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Omar Alvarez\Box\01.Contabilidad\2026\04. Prima\21. Jeeves\"/>
    </mc:Choice>
  </mc:AlternateContent>
  <xr:revisionPtr revIDLastSave="0" documentId="13_ncr:1_{A4386FEA-11F0-481C-8A56-7BADCB649322}" xr6:coauthVersionLast="47" xr6:coauthVersionMax="47" xr10:uidLastSave="{00000000-0000-0000-0000-000000000000}"/>
  <bookViews>
    <workbookView xWindow="28680" yWindow="-4530" windowWidth="29040" windowHeight="15720" xr2:uid="{00000000-000D-0000-FFFF-FFFF00000000}"/>
  </bookViews>
  <sheets>
    <sheet name="Hoja1" sheetId="92" r:id="rId1"/>
    <sheet name="Consolidación de datos " sheetId="1" r:id="rId2"/>
    <sheet name="Edo Cta Jeeves Sept" sheetId="2" r:id="rId3"/>
    <sheet name="catalogo" sheetId="3" r:id="rId4"/>
    <sheet name="#16 Rogelio" sheetId="4" r:id="rId5"/>
    <sheet name="#64 Erik Castillo" sheetId="5" r:id="rId6"/>
    <sheet name="#2 Cesar" sheetId="6" r:id="rId7"/>
    <sheet name="#1 Annelies" sheetId="7" state="hidden" r:id="rId8"/>
    <sheet name="#3 Cesar Uriel" sheetId="8" r:id="rId9"/>
    <sheet name="#4 Daniel Autrique" sheetId="9" r:id="rId10"/>
    <sheet name="#5 Fernanda" sheetId="10" r:id="rId11"/>
    <sheet name="#6 Fernando Sanchez" sheetId="11" r:id="rId12"/>
    <sheet name="#7 Isaac" sheetId="12" r:id="rId13"/>
    <sheet name="#8 Jose Ignacio" sheetId="13" r:id="rId14"/>
    <sheet name="#9 Jose Maria" sheetId="14" r:id="rId15"/>
    <sheet name="#13 Miguel" sheetId="15" r:id="rId16"/>
    <sheet name="#10 Juan Cappellini" sheetId="16" state="hidden" r:id="rId17"/>
    <sheet name="#12 Macarena" sheetId="17" state="hidden" r:id="rId18"/>
    <sheet name="#11 Juan Carlos" sheetId="18" state="hidden" r:id="rId19"/>
    <sheet name="#14 Patricio. " sheetId="19" r:id="rId20"/>
    <sheet name="#15 Raul" sheetId="20" state="hidden" r:id="rId21"/>
    <sheet name="#17 Sebastian" sheetId="21" state="hidden" r:id="rId22"/>
    <sheet name="#18 Josue Samuel Galindo Sosa" sheetId="22" state="hidden" r:id="rId23"/>
    <sheet name="#19 Daniel Alejandro Castillo R" sheetId="23" r:id="rId24"/>
    <sheet name="#21 Jesus Gonzalez Grana" sheetId="24" r:id="rId25"/>
    <sheet name="#20 Gerardo Guadalupe Ruiz Huer" sheetId="25" state="hidden" r:id="rId26"/>
    <sheet name="#22 Yosef Siman-tov Cohen" sheetId="26" state="hidden" r:id="rId27"/>
    <sheet name="#23 Marcos Gobbi" sheetId="27" state="hidden" r:id="rId28"/>
    <sheet name="#24 Andres Camacho" sheetId="28" r:id="rId29"/>
    <sheet name="#25 Jorge Estrada" sheetId="29" r:id="rId30"/>
    <sheet name="#26 Alexandra Ballesteros" sheetId="30" r:id="rId31"/>
    <sheet name="#28 Fernando Villalobos" sheetId="31" r:id="rId32"/>
    <sheet name="#30 Manuel Ibarra" sheetId="32" r:id="rId33"/>
    <sheet name=" #31 Emiliano Cavazos" sheetId="33" state="hidden" r:id="rId34"/>
    <sheet name="#34 Juan Pablo Ramos" sheetId="34" r:id="rId35"/>
    <sheet name="#35 Termis" sheetId="35" r:id="rId36"/>
    <sheet name="#40 Gabriela Zacarias" sheetId="36" r:id="rId37"/>
    <sheet name="#41 Jose Arechavala" sheetId="37" r:id="rId38"/>
    <sheet name="#27 Camilo Montañez" sheetId="38" state="hidden" r:id="rId39"/>
    <sheet name="#29 Jonatan Cid" sheetId="39" state="hidden" r:id="rId40"/>
    <sheet name="#33 Andrea Villamil" sheetId="40" state="hidden" r:id="rId41"/>
    <sheet name="#32 Fernando Robles" sheetId="41" state="hidden" r:id="rId42"/>
    <sheet name="#36 Jose Luis Aquino" sheetId="42" state="hidden" r:id="rId43"/>
    <sheet name="#37 Angel Pantoja" sheetId="43" state="hidden" r:id="rId44"/>
    <sheet name="#38 Facundo Sirolli" sheetId="44" state="hidden" r:id="rId45"/>
    <sheet name="#39 Catalina Vives" sheetId="45" state="hidden" r:id="rId46"/>
    <sheet name="#42 Rodrigo Perea" sheetId="46" r:id="rId47"/>
    <sheet name="#43 Pablo Ortiz" sheetId="47" r:id="rId48"/>
    <sheet name="#44 JP Hammerstein" sheetId="48" r:id="rId49"/>
    <sheet name="#45 Erick Cival" sheetId="49" state="hidden" r:id="rId50"/>
    <sheet name="#46 Kallie Parchman" sheetId="50" state="hidden" r:id="rId51"/>
    <sheet name="#48 Andres Preza" sheetId="51" state="hidden" r:id="rId52"/>
    <sheet name="#49 Jahaziel Galan" sheetId="52" r:id="rId53"/>
    <sheet name="#52 Tommaso Rivetti" sheetId="53" r:id="rId54"/>
    <sheet name="#51 Saul Murillo" sheetId="54" state="hidden" r:id="rId55"/>
    <sheet name="#47 Genaro Reyes" sheetId="55" state="hidden" r:id="rId56"/>
    <sheet name="#50 Flora Cruz" sheetId="56" state="hidden" r:id="rId57"/>
    <sheet name="#53 Monserrat Benitez" sheetId="57" r:id="rId58"/>
    <sheet name="#55 Gerardo Madrid" sheetId="58" r:id="rId59"/>
    <sheet name="#56 Carlos Ivan Gonzalez Merino" sheetId="59" r:id="rId60"/>
    <sheet name="#54 Mario Castorela" sheetId="60" r:id="rId61"/>
    <sheet name="#57 Paloma Santos" sheetId="61" state="hidden" r:id="rId62"/>
    <sheet name="#58 Jose Rosas" sheetId="62" r:id="rId63"/>
    <sheet name="#59 Mario Guadarrama" sheetId="63" state="hidden" r:id="rId64"/>
    <sheet name="#60 Carlos Aleman" sheetId="64" state="hidden" r:id="rId65"/>
    <sheet name="#61 Jorge Diaz" sheetId="65" state="hidden" r:id="rId66"/>
    <sheet name="#62 Jorge Rojas" sheetId="66" r:id="rId67"/>
    <sheet name="#63 Diego Morodo" sheetId="67" state="hidden" r:id="rId68"/>
    <sheet name="#65 Diana Miranda" sheetId="68" state="hidden" r:id="rId69"/>
    <sheet name="#66 Jorge Ramirez" sheetId="69" r:id="rId70"/>
    <sheet name="#67 Gustavo Rivas" sheetId="70" r:id="rId71"/>
    <sheet name="#68 Alfonso Bello" sheetId="71" r:id="rId72"/>
    <sheet name="#69 Cole Anderson" sheetId="72" state="hidden" r:id="rId73"/>
    <sheet name="#70 Mariano Alcaraz" sheetId="73" state="hidden" r:id="rId74"/>
    <sheet name="#71 Alan R " sheetId="74" state="hidden" r:id="rId75"/>
    <sheet name="#72 Julio Güemes" sheetId="75" r:id="rId76"/>
    <sheet name="#73 Manuel Caldera" sheetId="76" r:id="rId77"/>
    <sheet name="#74 Alan G" sheetId="77" state="hidden" r:id="rId78"/>
    <sheet name="#75 Naomi Gonzalez" sheetId="78" r:id="rId79"/>
    <sheet name="#76 Ricardo Malo" sheetId="79" r:id="rId80"/>
    <sheet name="#77 Tonancy Isidoro" sheetId="80" r:id="rId81"/>
    <sheet name="#78 Daniel Caraveo" sheetId="81" r:id="rId82"/>
    <sheet name="#79 Cindy Aguirre" sheetId="82" r:id="rId83"/>
    <sheet name="#80 Jorge Pena De La Luz" sheetId="83" r:id="rId84"/>
    <sheet name="#81 Aldahir Chiw" sheetId="84" r:id="rId85"/>
    <sheet name="#82 Antonio Lopez" sheetId="85" state="hidden" r:id="rId86"/>
    <sheet name="#83 Montserrat Camacho" sheetId="86" r:id="rId87"/>
    <sheet name="#84 Harold Pape" sheetId="87" r:id="rId88"/>
    <sheet name="#85 Jose Luis Franco" sheetId="88" r:id="rId89"/>
    <sheet name="#86 Jose Luis Ramirez Gonzalez" sheetId="89" r:id="rId90"/>
    <sheet name="#87 Karla Casique" sheetId="90" r:id="rId91"/>
    <sheet name="#88 Rene Granados" sheetId="91" r:id="rId92"/>
  </sheets>
  <externalReferences>
    <externalReference r:id="rId93"/>
  </externalReferences>
  <definedNames>
    <definedName name="_xlnm._FilterDatabase" localSheetId="3" hidden="1">catalogo!$A$1:$C$42</definedName>
    <definedName name="_xlnm._FilterDatabase" localSheetId="1" hidden="1">'Consolidación de datos '!$A$1:$X$864</definedName>
    <definedName name="_xlnm._FilterDatabase" localSheetId="2" hidden="1">'Edo Cta Jeeves Sept'!$A$12:$AI$1428</definedName>
    <definedName name="_xlnm._FilterDatabase" localSheetId="0" hidden="1">Hoja1!$A$1:$N$1163</definedName>
    <definedName name="Z_18015B2F_6A4E_48E4_91D0_56F14F5E9084_.wvu.FilterData" localSheetId="2" hidden="1">'Edo Cta Jeeves Sept'!$A$12:$C$1428</definedName>
    <definedName name="Z_1C89AF85_178D_4493_9287_A6DD2E7E68F1_.wvu.FilterData" localSheetId="2" hidden="1">'Edo Cta Jeeves Sept'!$G$12:$Z$1161</definedName>
  </definedNames>
  <calcPr calcId="191029"/>
  <customWorkbookViews>
    <customWorkbookView name="Fer" guid="{1C89AF85-178D-4493-9287-A6DD2E7E68F1}" maximized="1" windowWidth="0" windowHeight="0" activeSheetId="0"/>
    <customWorkbookView name="Filtro 1" guid="{18015B2F-6A4E-48E4-91D0-56F14F5E9084}"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0" i="91" l="1"/>
  <c r="K79" i="91"/>
  <c r="K78" i="91"/>
  <c r="K77" i="91"/>
  <c r="K76" i="91"/>
  <c r="K75" i="91"/>
  <c r="K74" i="91"/>
  <c r="K73" i="91"/>
  <c r="K72" i="91"/>
  <c r="K71" i="91"/>
  <c r="K70" i="91"/>
  <c r="K69" i="91"/>
  <c r="K68" i="91"/>
  <c r="K67" i="91"/>
  <c r="K66" i="91"/>
  <c r="K65" i="91"/>
  <c r="K64" i="91"/>
  <c r="K63" i="91"/>
  <c r="K62" i="91"/>
  <c r="K61" i="91"/>
  <c r="K60" i="91"/>
  <c r="K59" i="91"/>
  <c r="K58" i="91"/>
  <c r="K57" i="91"/>
  <c r="K56" i="91"/>
  <c r="K55" i="91"/>
  <c r="K54" i="91"/>
  <c r="K53" i="91"/>
  <c r="K52" i="91"/>
  <c r="K51" i="91"/>
  <c r="K50" i="91"/>
  <c r="K49" i="91"/>
  <c r="K48" i="91"/>
  <c r="K47" i="91"/>
  <c r="K46" i="91"/>
  <c r="I46" i="91"/>
  <c r="K45" i="91"/>
  <c r="I45" i="91"/>
  <c r="K44" i="91"/>
  <c r="I44" i="91"/>
  <c r="K43" i="91"/>
  <c r="I43" i="91"/>
  <c r="K42" i="91"/>
  <c r="I42" i="91"/>
  <c r="K41" i="91"/>
  <c r="I41" i="91"/>
  <c r="K40" i="91"/>
  <c r="I40" i="91"/>
  <c r="I39" i="91"/>
  <c r="I38" i="91"/>
  <c r="I37" i="91"/>
  <c r="I36" i="91"/>
  <c r="I35" i="91"/>
  <c r="I34" i="91"/>
  <c r="I33" i="91"/>
  <c r="I32" i="91"/>
  <c r="I31" i="91"/>
  <c r="I30" i="91"/>
  <c r="I29" i="91"/>
  <c r="I28" i="91"/>
  <c r="I27" i="91"/>
  <c r="I26" i="91"/>
  <c r="I25" i="91"/>
  <c r="I24" i="91"/>
  <c r="I23" i="91"/>
  <c r="I22" i="91"/>
  <c r="I21" i="91"/>
  <c r="I20" i="91"/>
  <c r="I19" i="91"/>
  <c r="I18" i="91"/>
  <c r="I17" i="91"/>
  <c r="I16" i="91"/>
  <c r="H16" i="91"/>
  <c r="G16" i="91"/>
  <c r="F16" i="91"/>
  <c r="E16" i="91"/>
  <c r="D16" i="91"/>
  <c r="C16" i="91"/>
  <c r="B16" i="91"/>
  <c r="A16" i="91"/>
  <c r="I15" i="91"/>
  <c r="H15" i="91"/>
  <c r="G15" i="91"/>
  <c r="F15" i="91"/>
  <c r="E15" i="91"/>
  <c r="D15" i="91"/>
  <c r="C15" i="91"/>
  <c r="B15" i="91"/>
  <c r="A15" i="91"/>
  <c r="I14" i="91"/>
  <c r="H14" i="91"/>
  <c r="G14" i="91"/>
  <c r="F14" i="91"/>
  <c r="E14" i="91"/>
  <c r="D14" i="91"/>
  <c r="C14" i="91"/>
  <c r="B14" i="91"/>
  <c r="A14" i="91"/>
  <c r="I13" i="91"/>
  <c r="H13" i="91"/>
  <c r="G13" i="91"/>
  <c r="F13" i="91"/>
  <c r="E13" i="91"/>
  <c r="D13" i="91"/>
  <c r="C13" i="91"/>
  <c r="B13" i="91"/>
  <c r="A13" i="91"/>
  <c r="I12" i="91"/>
  <c r="H12" i="91"/>
  <c r="G12" i="91"/>
  <c r="F12" i="91"/>
  <c r="E12" i="91"/>
  <c r="D12" i="91"/>
  <c r="C12" i="91"/>
  <c r="B12" i="91"/>
  <c r="A12" i="91"/>
  <c r="K80" i="90"/>
  <c r="K79" i="90"/>
  <c r="K78" i="90"/>
  <c r="K77" i="90"/>
  <c r="K76" i="90"/>
  <c r="K75" i="90"/>
  <c r="K74" i="90"/>
  <c r="K73" i="90"/>
  <c r="K72" i="90"/>
  <c r="K71" i="90"/>
  <c r="K70" i="90"/>
  <c r="K69" i="90"/>
  <c r="K68" i="90"/>
  <c r="K67" i="90"/>
  <c r="K66" i="90"/>
  <c r="K65" i="90"/>
  <c r="K64" i="90"/>
  <c r="K63" i="90"/>
  <c r="K62" i="90"/>
  <c r="K61" i="90"/>
  <c r="K60" i="90"/>
  <c r="K59" i="90"/>
  <c r="K58" i="90"/>
  <c r="K57" i="90"/>
  <c r="K56" i="90"/>
  <c r="K55" i="90"/>
  <c r="K54" i="90"/>
  <c r="K53" i="90"/>
  <c r="K52" i="90"/>
  <c r="K51" i="90"/>
  <c r="K50" i="90"/>
  <c r="K49" i="90"/>
  <c r="K48" i="90"/>
  <c r="K47" i="90"/>
  <c r="K46" i="90"/>
  <c r="I46" i="90"/>
  <c r="K45" i="90"/>
  <c r="I45" i="90"/>
  <c r="K44" i="90"/>
  <c r="I44" i="90"/>
  <c r="K43" i="90"/>
  <c r="I43" i="90"/>
  <c r="K42" i="90"/>
  <c r="I42" i="90"/>
  <c r="K41" i="90"/>
  <c r="I41" i="90"/>
  <c r="K40" i="90"/>
  <c r="I40" i="90"/>
  <c r="I39" i="90"/>
  <c r="I38" i="90"/>
  <c r="I37" i="90"/>
  <c r="I36" i="90"/>
  <c r="I35" i="90"/>
  <c r="I34" i="90"/>
  <c r="I33" i="90"/>
  <c r="I32" i="90"/>
  <c r="I31" i="90"/>
  <c r="I30" i="90"/>
  <c r="I29" i="90"/>
  <c r="I28" i="90"/>
  <c r="I27" i="90"/>
  <c r="I26" i="90"/>
  <c r="I25" i="90"/>
  <c r="I24" i="90"/>
  <c r="I23" i="90"/>
  <c r="I22" i="90"/>
  <c r="I21" i="90"/>
  <c r="I20" i="90"/>
  <c r="I19" i="90"/>
  <c r="I18" i="90"/>
  <c r="I17" i="90"/>
  <c r="I16" i="90"/>
  <c r="I15" i="90"/>
  <c r="I14" i="90"/>
  <c r="I13" i="90"/>
  <c r="K12" i="90"/>
  <c r="J12" i="90"/>
  <c r="I12" i="90"/>
  <c r="H12" i="90"/>
  <c r="G12" i="90"/>
  <c r="F12" i="90"/>
  <c r="E12" i="90"/>
  <c r="D12" i="90"/>
  <c r="C12" i="90"/>
  <c r="B12" i="90"/>
  <c r="A12" i="90"/>
  <c r="K80" i="89"/>
  <c r="K79" i="89"/>
  <c r="K78" i="89"/>
  <c r="K77" i="89"/>
  <c r="K76" i="89"/>
  <c r="K75" i="89"/>
  <c r="K74" i="89"/>
  <c r="J74" i="89"/>
  <c r="I74" i="89"/>
  <c r="H74" i="89"/>
  <c r="G74" i="89"/>
  <c r="F74" i="89"/>
  <c r="E74" i="89"/>
  <c r="D74" i="89"/>
  <c r="C74" i="89"/>
  <c r="B74" i="89"/>
  <c r="A74" i="89"/>
  <c r="K73" i="89"/>
  <c r="J73" i="89"/>
  <c r="I73" i="89"/>
  <c r="H73" i="89"/>
  <c r="G73" i="89"/>
  <c r="F73" i="89"/>
  <c r="E73" i="89"/>
  <c r="D73" i="89"/>
  <c r="C73" i="89"/>
  <c r="B73" i="89"/>
  <c r="A73" i="89"/>
  <c r="K72" i="89"/>
  <c r="J72" i="89"/>
  <c r="I72" i="89"/>
  <c r="H72" i="89"/>
  <c r="G72" i="89"/>
  <c r="F72" i="89"/>
  <c r="E72" i="89"/>
  <c r="D72" i="89"/>
  <c r="C72" i="89"/>
  <c r="B72" i="89"/>
  <c r="A72" i="89"/>
  <c r="K71" i="89"/>
  <c r="J71" i="89"/>
  <c r="I71" i="89"/>
  <c r="H71" i="89"/>
  <c r="G71" i="89"/>
  <c r="F71" i="89"/>
  <c r="E71" i="89"/>
  <c r="D71" i="89"/>
  <c r="C71" i="89"/>
  <c r="B71" i="89"/>
  <c r="A71" i="89"/>
  <c r="K70" i="89"/>
  <c r="J70" i="89"/>
  <c r="I70" i="89"/>
  <c r="H70" i="89"/>
  <c r="G70" i="89"/>
  <c r="F70" i="89"/>
  <c r="E70" i="89"/>
  <c r="D70" i="89"/>
  <c r="C70" i="89"/>
  <c r="B70" i="89"/>
  <c r="A70" i="89"/>
  <c r="K69" i="89"/>
  <c r="J69" i="89"/>
  <c r="I69" i="89"/>
  <c r="H69" i="89"/>
  <c r="G69" i="89"/>
  <c r="F69" i="89"/>
  <c r="E69" i="89"/>
  <c r="D69" i="89"/>
  <c r="C69" i="89"/>
  <c r="B69" i="89"/>
  <c r="A69" i="89"/>
  <c r="K68" i="89"/>
  <c r="J68" i="89"/>
  <c r="I68" i="89"/>
  <c r="H68" i="89"/>
  <c r="G68" i="89"/>
  <c r="F68" i="89"/>
  <c r="E68" i="89"/>
  <c r="D68" i="89"/>
  <c r="C68" i="89"/>
  <c r="B68" i="89"/>
  <c r="A68" i="89"/>
  <c r="K67" i="89"/>
  <c r="J67" i="89"/>
  <c r="I67" i="89"/>
  <c r="H67" i="89"/>
  <c r="G67" i="89"/>
  <c r="F67" i="89"/>
  <c r="E67" i="89"/>
  <c r="D67" i="89"/>
  <c r="C67" i="89"/>
  <c r="B67" i="89"/>
  <c r="A67" i="89"/>
  <c r="K66" i="89"/>
  <c r="J66" i="89"/>
  <c r="I66" i="89"/>
  <c r="H66" i="89"/>
  <c r="G66" i="89"/>
  <c r="F66" i="89"/>
  <c r="E66" i="89"/>
  <c r="D66" i="89"/>
  <c r="C66" i="89"/>
  <c r="B66" i="89"/>
  <c r="A66" i="89"/>
  <c r="K65" i="89"/>
  <c r="J65" i="89"/>
  <c r="I65" i="89"/>
  <c r="H65" i="89"/>
  <c r="G65" i="89"/>
  <c r="F65" i="89"/>
  <c r="E65" i="89"/>
  <c r="D65" i="89"/>
  <c r="C65" i="89"/>
  <c r="B65" i="89"/>
  <c r="A65" i="89"/>
  <c r="K64" i="89"/>
  <c r="J64" i="89"/>
  <c r="I64" i="89"/>
  <c r="H64" i="89"/>
  <c r="G64" i="89"/>
  <c r="F64" i="89"/>
  <c r="E64" i="89"/>
  <c r="D64" i="89"/>
  <c r="C64" i="89"/>
  <c r="B64" i="89"/>
  <c r="A64" i="89"/>
  <c r="K63" i="89"/>
  <c r="J63" i="89"/>
  <c r="I63" i="89"/>
  <c r="H63" i="89"/>
  <c r="G63" i="89"/>
  <c r="F63" i="89"/>
  <c r="E63" i="89"/>
  <c r="D63" i="89"/>
  <c r="C63" i="89"/>
  <c r="B63" i="89"/>
  <c r="A63" i="89"/>
  <c r="K62" i="89"/>
  <c r="J62" i="89"/>
  <c r="I62" i="89"/>
  <c r="H62" i="89"/>
  <c r="G62" i="89"/>
  <c r="F62" i="89"/>
  <c r="E62" i="89"/>
  <c r="D62" i="89"/>
  <c r="C62" i="89"/>
  <c r="B62" i="89"/>
  <c r="A62" i="89"/>
  <c r="K61" i="89"/>
  <c r="J61" i="89"/>
  <c r="I61" i="89"/>
  <c r="H61" i="89"/>
  <c r="G61" i="89"/>
  <c r="F61" i="89"/>
  <c r="E61" i="89"/>
  <c r="D61" i="89"/>
  <c r="C61" i="89"/>
  <c r="B61" i="89"/>
  <c r="A61" i="89"/>
  <c r="K60" i="89"/>
  <c r="J60" i="89"/>
  <c r="I60" i="89"/>
  <c r="H60" i="89"/>
  <c r="G60" i="89"/>
  <c r="F60" i="89"/>
  <c r="E60" i="89"/>
  <c r="D60" i="89"/>
  <c r="C60" i="89"/>
  <c r="B60" i="89"/>
  <c r="A60" i="89"/>
  <c r="K59" i="89"/>
  <c r="J59" i="89"/>
  <c r="I59" i="89"/>
  <c r="H59" i="89"/>
  <c r="G59" i="89"/>
  <c r="F59" i="89"/>
  <c r="E59" i="89"/>
  <c r="D59" i="89"/>
  <c r="C59" i="89"/>
  <c r="B59" i="89"/>
  <c r="A59" i="89"/>
  <c r="K58" i="89"/>
  <c r="J58" i="89"/>
  <c r="I58" i="89"/>
  <c r="H58" i="89"/>
  <c r="G58" i="89"/>
  <c r="F58" i="89"/>
  <c r="E58" i="89"/>
  <c r="D58" i="89"/>
  <c r="C58" i="89"/>
  <c r="B58" i="89"/>
  <c r="A58" i="89"/>
  <c r="K57" i="89"/>
  <c r="J57" i="89"/>
  <c r="I57" i="89"/>
  <c r="H57" i="89"/>
  <c r="G57" i="89"/>
  <c r="F57" i="89"/>
  <c r="E57" i="89"/>
  <c r="D57" i="89"/>
  <c r="C57" i="89"/>
  <c r="B57" i="89"/>
  <c r="A57" i="89"/>
  <c r="K56" i="89"/>
  <c r="J56" i="89"/>
  <c r="I56" i="89"/>
  <c r="H56" i="89"/>
  <c r="G56" i="89"/>
  <c r="F56" i="89"/>
  <c r="E56" i="89"/>
  <c r="D56" i="89"/>
  <c r="C56" i="89"/>
  <c r="B56" i="89"/>
  <c r="A56" i="89"/>
  <c r="K55" i="89"/>
  <c r="J55" i="89"/>
  <c r="I55" i="89"/>
  <c r="H55" i="89"/>
  <c r="G55" i="89"/>
  <c r="F55" i="89"/>
  <c r="E55" i="89"/>
  <c r="D55" i="89"/>
  <c r="C55" i="89"/>
  <c r="B55" i="89"/>
  <c r="A55" i="89"/>
  <c r="K54" i="89"/>
  <c r="J54" i="89"/>
  <c r="I54" i="89"/>
  <c r="H54" i="89"/>
  <c r="G54" i="89"/>
  <c r="F54" i="89"/>
  <c r="E54" i="89"/>
  <c r="D54" i="89"/>
  <c r="C54" i="89"/>
  <c r="B54" i="89"/>
  <c r="A54" i="89"/>
  <c r="K53" i="89"/>
  <c r="J53" i="89"/>
  <c r="I53" i="89"/>
  <c r="H53" i="89"/>
  <c r="G53" i="89"/>
  <c r="F53" i="89"/>
  <c r="E53" i="89"/>
  <c r="D53" i="89"/>
  <c r="C53" i="89"/>
  <c r="B53" i="89"/>
  <c r="A53" i="89"/>
  <c r="K52" i="89"/>
  <c r="J52" i="89"/>
  <c r="I52" i="89"/>
  <c r="H52" i="89"/>
  <c r="G52" i="89"/>
  <c r="F52" i="89"/>
  <c r="E52" i="89"/>
  <c r="D52" i="89"/>
  <c r="C52" i="89"/>
  <c r="B52" i="89"/>
  <c r="A52" i="89"/>
  <c r="K51" i="89"/>
  <c r="J51" i="89"/>
  <c r="I51" i="89"/>
  <c r="H51" i="89"/>
  <c r="G51" i="89"/>
  <c r="F51" i="89"/>
  <c r="E51" i="89"/>
  <c r="D51" i="89"/>
  <c r="C51" i="89"/>
  <c r="B51" i="89"/>
  <c r="A51" i="89"/>
  <c r="K50" i="89"/>
  <c r="J50" i="89"/>
  <c r="I50" i="89"/>
  <c r="H50" i="89"/>
  <c r="G50" i="89"/>
  <c r="F50" i="89"/>
  <c r="E50" i="89"/>
  <c r="D50" i="89"/>
  <c r="C50" i="89"/>
  <c r="B50" i="89"/>
  <c r="A50" i="89"/>
  <c r="K49" i="89"/>
  <c r="J49" i="89"/>
  <c r="I49" i="89"/>
  <c r="H49" i="89"/>
  <c r="G49" i="89"/>
  <c r="F49" i="89"/>
  <c r="E49" i="89"/>
  <c r="D49" i="89"/>
  <c r="C49" i="89"/>
  <c r="B49" i="89"/>
  <c r="A49" i="89"/>
  <c r="K48" i="89"/>
  <c r="J48" i="89"/>
  <c r="I48" i="89"/>
  <c r="H48" i="89"/>
  <c r="G48" i="89"/>
  <c r="F48" i="89"/>
  <c r="E48" i="89"/>
  <c r="D48" i="89"/>
  <c r="C48" i="89"/>
  <c r="B48" i="89"/>
  <c r="A48" i="89"/>
  <c r="K47" i="89"/>
  <c r="J47" i="89"/>
  <c r="I47" i="89"/>
  <c r="H47" i="89"/>
  <c r="G47" i="89"/>
  <c r="F47" i="89"/>
  <c r="E47" i="89"/>
  <c r="D47" i="89"/>
  <c r="C47" i="89"/>
  <c r="B47" i="89"/>
  <c r="A47" i="89"/>
  <c r="K46" i="89"/>
  <c r="J46" i="89"/>
  <c r="I46" i="89"/>
  <c r="H46" i="89"/>
  <c r="G46" i="89"/>
  <c r="F46" i="89"/>
  <c r="E46" i="89"/>
  <c r="D46" i="89"/>
  <c r="C46" i="89"/>
  <c r="B46" i="89"/>
  <c r="A46" i="89"/>
  <c r="K45" i="89"/>
  <c r="J45" i="89"/>
  <c r="I45" i="89"/>
  <c r="H45" i="89"/>
  <c r="G45" i="89"/>
  <c r="F45" i="89"/>
  <c r="E45" i="89"/>
  <c r="D45" i="89"/>
  <c r="C45" i="89"/>
  <c r="B45" i="89"/>
  <c r="A45" i="89"/>
  <c r="K44" i="89"/>
  <c r="J44" i="89"/>
  <c r="I44" i="89"/>
  <c r="H44" i="89"/>
  <c r="G44" i="89"/>
  <c r="F44" i="89"/>
  <c r="E44" i="89"/>
  <c r="D44" i="89"/>
  <c r="C44" i="89"/>
  <c r="B44" i="89"/>
  <c r="A44" i="89"/>
  <c r="K43" i="89"/>
  <c r="J43" i="89"/>
  <c r="I43" i="89"/>
  <c r="H43" i="89"/>
  <c r="G43" i="89"/>
  <c r="F43" i="89"/>
  <c r="E43" i="89"/>
  <c r="D43" i="89"/>
  <c r="C43" i="89"/>
  <c r="B43" i="89"/>
  <c r="A43" i="89"/>
  <c r="K42" i="89"/>
  <c r="J42" i="89"/>
  <c r="I42" i="89"/>
  <c r="H42" i="89"/>
  <c r="G42" i="89"/>
  <c r="F42" i="89"/>
  <c r="E42" i="89"/>
  <c r="D42" i="89"/>
  <c r="C42" i="89"/>
  <c r="B42" i="89"/>
  <c r="A42" i="89"/>
  <c r="K41" i="89"/>
  <c r="J41" i="89"/>
  <c r="I41" i="89"/>
  <c r="H41" i="89"/>
  <c r="G41" i="89"/>
  <c r="F41" i="89"/>
  <c r="E41" i="89"/>
  <c r="D41" i="89"/>
  <c r="C41" i="89"/>
  <c r="B41" i="89"/>
  <c r="A41" i="89"/>
  <c r="K40" i="89"/>
  <c r="J40" i="89"/>
  <c r="I40" i="89"/>
  <c r="H40" i="89"/>
  <c r="G40" i="89"/>
  <c r="F40" i="89"/>
  <c r="E40" i="89"/>
  <c r="D40" i="89"/>
  <c r="C40" i="89"/>
  <c r="B40" i="89"/>
  <c r="A40" i="89"/>
  <c r="K39" i="89"/>
  <c r="J39" i="89"/>
  <c r="I39" i="89"/>
  <c r="H39" i="89"/>
  <c r="G39" i="89"/>
  <c r="F39" i="89"/>
  <c r="E39" i="89"/>
  <c r="D39" i="89"/>
  <c r="C39" i="89"/>
  <c r="B39" i="89"/>
  <c r="A39" i="89"/>
  <c r="K38" i="89"/>
  <c r="J38" i="89"/>
  <c r="I38" i="89"/>
  <c r="H38" i="89"/>
  <c r="G38" i="89"/>
  <c r="F38" i="89"/>
  <c r="E38" i="89"/>
  <c r="D38" i="89"/>
  <c r="C38" i="89"/>
  <c r="B38" i="89"/>
  <c r="A38" i="89"/>
  <c r="K37" i="89"/>
  <c r="J37" i="89"/>
  <c r="I37" i="89"/>
  <c r="H37" i="89"/>
  <c r="G37" i="89"/>
  <c r="F37" i="89"/>
  <c r="E37" i="89"/>
  <c r="D37" i="89"/>
  <c r="C37" i="89"/>
  <c r="B37" i="89"/>
  <c r="A37" i="89"/>
  <c r="J36" i="89"/>
  <c r="I36" i="89"/>
  <c r="H36" i="89"/>
  <c r="G36" i="89"/>
  <c r="F36" i="89"/>
  <c r="E36" i="89"/>
  <c r="D36" i="89"/>
  <c r="C36" i="89"/>
  <c r="B36" i="89"/>
  <c r="A36" i="89"/>
  <c r="J35" i="89"/>
  <c r="I35" i="89"/>
  <c r="H35" i="89"/>
  <c r="G35" i="89"/>
  <c r="F35" i="89"/>
  <c r="E35" i="89"/>
  <c r="D35" i="89"/>
  <c r="C35" i="89"/>
  <c r="B35" i="89"/>
  <c r="A35" i="89"/>
  <c r="K34" i="89"/>
  <c r="J34" i="89"/>
  <c r="I34" i="89"/>
  <c r="H34" i="89"/>
  <c r="G34" i="89"/>
  <c r="F34" i="89"/>
  <c r="E34" i="89"/>
  <c r="D34" i="89"/>
  <c r="C34" i="89"/>
  <c r="B34" i="89"/>
  <c r="A34" i="89"/>
  <c r="K33" i="89"/>
  <c r="J33" i="89"/>
  <c r="I33" i="89"/>
  <c r="H33" i="89"/>
  <c r="G33" i="89"/>
  <c r="F33" i="89"/>
  <c r="E33" i="89"/>
  <c r="D33" i="89"/>
  <c r="C33" i="89"/>
  <c r="B33" i="89"/>
  <c r="A33" i="89"/>
  <c r="J32" i="89"/>
  <c r="I32" i="89"/>
  <c r="H32" i="89"/>
  <c r="G32" i="89"/>
  <c r="F32" i="89"/>
  <c r="E32" i="89"/>
  <c r="D32" i="89"/>
  <c r="C32" i="89"/>
  <c r="B32" i="89"/>
  <c r="A32" i="89"/>
  <c r="J31" i="89"/>
  <c r="I31" i="89"/>
  <c r="H31" i="89"/>
  <c r="G31" i="89"/>
  <c r="F31" i="89"/>
  <c r="E31" i="89"/>
  <c r="D31" i="89"/>
  <c r="C31" i="89"/>
  <c r="B31" i="89"/>
  <c r="A31" i="89"/>
  <c r="J30" i="89"/>
  <c r="I30" i="89"/>
  <c r="H30" i="89"/>
  <c r="G30" i="89"/>
  <c r="F30" i="89"/>
  <c r="E30" i="89"/>
  <c r="D30" i="89"/>
  <c r="C30" i="89"/>
  <c r="B30" i="89"/>
  <c r="A30" i="89"/>
  <c r="K29" i="89"/>
  <c r="J29" i="89"/>
  <c r="I29" i="89"/>
  <c r="H29" i="89"/>
  <c r="G29" i="89"/>
  <c r="F29" i="89"/>
  <c r="E29" i="89"/>
  <c r="D29" i="89"/>
  <c r="C29" i="89"/>
  <c r="B29" i="89"/>
  <c r="A29" i="89"/>
  <c r="K28" i="89"/>
  <c r="J28" i="89"/>
  <c r="I28" i="89"/>
  <c r="H28" i="89"/>
  <c r="G28" i="89"/>
  <c r="F28" i="89"/>
  <c r="E28" i="89"/>
  <c r="D28" i="89"/>
  <c r="C28" i="89"/>
  <c r="B28" i="89"/>
  <c r="A28" i="89"/>
  <c r="J27" i="89"/>
  <c r="I27" i="89"/>
  <c r="H27" i="89"/>
  <c r="G27" i="89"/>
  <c r="F27" i="89"/>
  <c r="E27" i="89"/>
  <c r="D27" i="89"/>
  <c r="C27" i="89"/>
  <c r="B27" i="89"/>
  <c r="A27" i="89"/>
  <c r="K26" i="89"/>
  <c r="J26" i="89"/>
  <c r="I26" i="89"/>
  <c r="H26" i="89"/>
  <c r="G26" i="89"/>
  <c r="F26" i="89"/>
  <c r="E26" i="89"/>
  <c r="D26" i="89"/>
  <c r="C26" i="89"/>
  <c r="B26" i="89"/>
  <c r="A26" i="89"/>
  <c r="J25" i="89"/>
  <c r="I25" i="89"/>
  <c r="H25" i="89"/>
  <c r="G25" i="89"/>
  <c r="F25" i="89"/>
  <c r="E25" i="89"/>
  <c r="D25" i="89"/>
  <c r="C25" i="89"/>
  <c r="B25" i="89"/>
  <c r="A25" i="89"/>
  <c r="J24" i="89"/>
  <c r="I24" i="89"/>
  <c r="H24" i="89"/>
  <c r="G24" i="89"/>
  <c r="F24" i="89"/>
  <c r="E24" i="89"/>
  <c r="D24" i="89"/>
  <c r="C24" i="89"/>
  <c r="B24" i="89"/>
  <c r="A24" i="89"/>
  <c r="J23" i="89"/>
  <c r="I23" i="89"/>
  <c r="H23" i="89"/>
  <c r="G23" i="89"/>
  <c r="F23" i="89"/>
  <c r="E23" i="89"/>
  <c r="D23" i="89"/>
  <c r="C23" i="89"/>
  <c r="B23" i="89"/>
  <c r="A23" i="89"/>
  <c r="J22" i="89"/>
  <c r="I22" i="89"/>
  <c r="H22" i="89"/>
  <c r="G22" i="89"/>
  <c r="F22" i="89"/>
  <c r="E22" i="89"/>
  <c r="D22" i="89"/>
  <c r="C22" i="89"/>
  <c r="B22" i="89"/>
  <c r="A22" i="89"/>
  <c r="J21" i="89"/>
  <c r="I21" i="89"/>
  <c r="H21" i="89"/>
  <c r="G21" i="89"/>
  <c r="F21" i="89"/>
  <c r="E21" i="89"/>
  <c r="D21" i="89"/>
  <c r="C21" i="89"/>
  <c r="B21" i="89"/>
  <c r="A21" i="89"/>
  <c r="J20" i="89"/>
  <c r="I20" i="89"/>
  <c r="H20" i="89"/>
  <c r="G20" i="89"/>
  <c r="F20" i="89"/>
  <c r="E20" i="89"/>
  <c r="D20" i="89"/>
  <c r="C20" i="89"/>
  <c r="B20" i="89"/>
  <c r="A20" i="89"/>
  <c r="K19" i="89"/>
  <c r="J19" i="89"/>
  <c r="I19" i="89"/>
  <c r="H19" i="89"/>
  <c r="G19" i="89"/>
  <c r="F19" i="89"/>
  <c r="E19" i="89"/>
  <c r="D19" i="89"/>
  <c r="C19" i="89"/>
  <c r="B19" i="89"/>
  <c r="A19" i="89"/>
  <c r="J18" i="89"/>
  <c r="I18" i="89"/>
  <c r="H18" i="89"/>
  <c r="G18" i="89"/>
  <c r="F18" i="89"/>
  <c r="E18" i="89"/>
  <c r="D18" i="89"/>
  <c r="C18" i="89"/>
  <c r="B18" i="89"/>
  <c r="A18" i="89"/>
  <c r="J17" i="89"/>
  <c r="I17" i="89"/>
  <c r="H17" i="89"/>
  <c r="G17" i="89"/>
  <c r="F17" i="89"/>
  <c r="E17" i="89"/>
  <c r="D17" i="89"/>
  <c r="C17" i="89"/>
  <c r="B17" i="89"/>
  <c r="A17" i="89"/>
  <c r="K16" i="89"/>
  <c r="J16" i="89"/>
  <c r="I16" i="89"/>
  <c r="H16" i="89"/>
  <c r="G16" i="89"/>
  <c r="F16" i="89"/>
  <c r="E16" i="89"/>
  <c r="D16" i="89"/>
  <c r="C16" i="89"/>
  <c r="B16" i="89"/>
  <c r="A16" i="89"/>
  <c r="J15" i="89"/>
  <c r="I15" i="89"/>
  <c r="H15" i="89"/>
  <c r="G15" i="89"/>
  <c r="F15" i="89"/>
  <c r="E15" i="89"/>
  <c r="D15" i="89"/>
  <c r="C15" i="89"/>
  <c r="B15" i="89"/>
  <c r="A15" i="89"/>
  <c r="K14" i="89"/>
  <c r="J14" i="89"/>
  <c r="I14" i="89"/>
  <c r="H14" i="89"/>
  <c r="G14" i="89"/>
  <c r="F14" i="89"/>
  <c r="E14" i="89"/>
  <c r="D14" i="89"/>
  <c r="C14" i="89"/>
  <c r="B14" i="89"/>
  <c r="A14" i="89"/>
  <c r="K13" i="89"/>
  <c r="J13" i="89"/>
  <c r="I13" i="89"/>
  <c r="H13" i="89"/>
  <c r="G13" i="89"/>
  <c r="F13" i="89"/>
  <c r="E13" i="89"/>
  <c r="D13" i="89"/>
  <c r="C13" i="89"/>
  <c r="B13" i="89"/>
  <c r="A13" i="89"/>
  <c r="K12" i="89"/>
  <c r="J12" i="89"/>
  <c r="I12" i="89"/>
  <c r="H12" i="89"/>
  <c r="G12" i="89"/>
  <c r="F12" i="89"/>
  <c r="E12" i="89"/>
  <c r="D12" i="89"/>
  <c r="C12" i="89"/>
  <c r="B12" i="89"/>
  <c r="A12" i="89"/>
  <c r="K80" i="88"/>
  <c r="K79" i="88"/>
  <c r="K78" i="88"/>
  <c r="K77" i="88"/>
  <c r="K76" i="88"/>
  <c r="K75" i="88"/>
  <c r="K74" i="88"/>
  <c r="K73" i="88"/>
  <c r="K72" i="88"/>
  <c r="K71" i="88"/>
  <c r="K70" i="88"/>
  <c r="K69" i="88"/>
  <c r="K68" i="88"/>
  <c r="K67" i="88"/>
  <c r="K66" i="88"/>
  <c r="K65" i="88"/>
  <c r="K64" i="88"/>
  <c r="K63" i="88"/>
  <c r="K62" i="88"/>
  <c r="J62" i="88"/>
  <c r="I62" i="88"/>
  <c r="H62" i="88"/>
  <c r="G62" i="88"/>
  <c r="F62" i="88"/>
  <c r="E62" i="88"/>
  <c r="D62" i="88"/>
  <c r="C62" i="88"/>
  <c r="B62" i="88"/>
  <c r="A62" i="88"/>
  <c r="K61" i="88"/>
  <c r="J61" i="88"/>
  <c r="I61" i="88"/>
  <c r="H61" i="88"/>
  <c r="G61" i="88"/>
  <c r="F61" i="88"/>
  <c r="E61" i="88"/>
  <c r="D61" i="88"/>
  <c r="C61" i="88"/>
  <c r="B61" i="88"/>
  <c r="A61" i="88"/>
  <c r="K60" i="88"/>
  <c r="J60" i="88"/>
  <c r="I60" i="88"/>
  <c r="H60" i="88"/>
  <c r="G60" i="88"/>
  <c r="F60" i="88"/>
  <c r="E60" i="88"/>
  <c r="D60" i="88"/>
  <c r="C60" i="88"/>
  <c r="B60" i="88"/>
  <c r="A60" i="88"/>
  <c r="K59" i="88"/>
  <c r="J59" i="88"/>
  <c r="I59" i="88"/>
  <c r="H59" i="88"/>
  <c r="G59" i="88"/>
  <c r="F59" i="88"/>
  <c r="E59" i="88"/>
  <c r="D59" i="88"/>
  <c r="C59" i="88"/>
  <c r="B59" i="88"/>
  <c r="A59" i="88"/>
  <c r="K58" i="88"/>
  <c r="J58" i="88"/>
  <c r="I58" i="88"/>
  <c r="H58" i="88"/>
  <c r="G58" i="88"/>
  <c r="F58" i="88"/>
  <c r="E58" i="88"/>
  <c r="D58" i="88"/>
  <c r="C58" i="88"/>
  <c r="B58" i="88"/>
  <c r="A58" i="88"/>
  <c r="K57" i="88"/>
  <c r="J57" i="88"/>
  <c r="I57" i="88"/>
  <c r="H57" i="88"/>
  <c r="G57" i="88"/>
  <c r="F57" i="88"/>
  <c r="E57" i="88"/>
  <c r="D57" i="88"/>
  <c r="C57" i="88"/>
  <c r="B57" i="88"/>
  <c r="A57" i="88"/>
  <c r="K56" i="88"/>
  <c r="J56" i="88"/>
  <c r="I56" i="88"/>
  <c r="H56" i="88"/>
  <c r="G56" i="88"/>
  <c r="F56" i="88"/>
  <c r="E56" i="88"/>
  <c r="D56" i="88"/>
  <c r="C56" i="88"/>
  <c r="B56" i="88"/>
  <c r="A56" i="88"/>
  <c r="K55" i="88"/>
  <c r="J55" i="88"/>
  <c r="I55" i="88"/>
  <c r="H55" i="88"/>
  <c r="G55" i="88"/>
  <c r="F55" i="88"/>
  <c r="E55" i="88"/>
  <c r="D55" i="88"/>
  <c r="C55" i="88"/>
  <c r="B55" i="88"/>
  <c r="A55" i="88"/>
  <c r="K54" i="88"/>
  <c r="J54" i="88"/>
  <c r="I54" i="88"/>
  <c r="H54" i="88"/>
  <c r="G54" i="88"/>
  <c r="F54" i="88"/>
  <c r="E54" i="88"/>
  <c r="D54" i="88"/>
  <c r="C54" i="88"/>
  <c r="B54" i="88"/>
  <c r="A54" i="88"/>
  <c r="K53" i="88"/>
  <c r="J53" i="88"/>
  <c r="I53" i="88"/>
  <c r="H53" i="88"/>
  <c r="G53" i="88"/>
  <c r="F53" i="88"/>
  <c r="E53" i="88"/>
  <c r="D53" i="88"/>
  <c r="C53" i="88"/>
  <c r="B53" i="88"/>
  <c r="A53" i="88"/>
  <c r="K52" i="88"/>
  <c r="J52" i="88"/>
  <c r="I52" i="88"/>
  <c r="H52" i="88"/>
  <c r="G52" i="88"/>
  <c r="F52" i="88"/>
  <c r="E52" i="88"/>
  <c r="D52" i="88"/>
  <c r="C52" i="88"/>
  <c r="B52" i="88"/>
  <c r="A52" i="88"/>
  <c r="K51" i="88"/>
  <c r="J51" i="88"/>
  <c r="I51" i="88"/>
  <c r="H51" i="88"/>
  <c r="G51" i="88"/>
  <c r="F51" i="88"/>
  <c r="E51" i="88"/>
  <c r="D51" i="88"/>
  <c r="C51" i="88"/>
  <c r="B51" i="88"/>
  <c r="A51" i="88"/>
  <c r="K50" i="88"/>
  <c r="J50" i="88"/>
  <c r="I50" i="88"/>
  <c r="H50" i="88"/>
  <c r="G50" i="88"/>
  <c r="F50" i="88"/>
  <c r="E50" i="88"/>
  <c r="D50" i="88"/>
  <c r="C50" i="88"/>
  <c r="B50" i="88"/>
  <c r="A50" i="88"/>
  <c r="K49" i="88"/>
  <c r="J49" i="88"/>
  <c r="I49" i="88"/>
  <c r="H49" i="88"/>
  <c r="G49" i="88"/>
  <c r="F49" i="88"/>
  <c r="E49" i="88"/>
  <c r="D49" i="88"/>
  <c r="C49" i="88"/>
  <c r="B49" i="88"/>
  <c r="A49" i="88"/>
  <c r="K48" i="88"/>
  <c r="J48" i="88"/>
  <c r="I48" i="88"/>
  <c r="H48" i="88"/>
  <c r="G48" i="88"/>
  <c r="F48" i="88"/>
  <c r="E48" i="88"/>
  <c r="D48" i="88"/>
  <c r="C48" i="88"/>
  <c r="B48" i="88"/>
  <c r="A48" i="88"/>
  <c r="K47" i="88"/>
  <c r="J47" i="88"/>
  <c r="I47" i="88"/>
  <c r="H47" i="88"/>
  <c r="G47" i="88"/>
  <c r="F47" i="88"/>
  <c r="E47" i="88"/>
  <c r="D47" i="88"/>
  <c r="C47" i="88"/>
  <c r="B47" i="88"/>
  <c r="A47" i="88"/>
  <c r="K46" i="88"/>
  <c r="J46" i="88"/>
  <c r="I46" i="88"/>
  <c r="H46" i="88"/>
  <c r="G46" i="88"/>
  <c r="F46" i="88"/>
  <c r="E46" i="88"/>
  <c r="D46" i="88"/>
  <c r="C46" i="88"/>
  <c r="B46" i="88"/>
  <c r="A46" i="88"/>
  <c r="K45" i="88"/>
  <c r="J45" i="88"/>
  <c r="I45" i="88"/>
  <c r="H45" i="88"/>
  <c r="G45" i="88"/>
  <c r="F45" i="88"/>
  <c r="E45" i="88"/>
  <c r="D45" i="88"/>
  <c r="C45" i="88"/>
  <c r="B45" i="88"/>
  <c r="A45" i="88"/>
  <c r="K44" i="88"/>
  <c r="J44" i="88"/>
  <c r="I44" i="88"/>
  <c r="H44" i="88"/>
  <c r="G44" i="88"/>
  <c r="F44" i="88"/>
  <c r="E44" i="88"/>
  <c r="D44" i="88"/>
  <c r="C44" i="88"/>
  <c r="B44" i="88"/>
  <c r="A44" i="88"/>
  <c r="K43" i="88"/>
  <c r="J43" i="88"/>
  <c r="I43" i="88"/>
  <c r="H43" i="88"/>
  <c r="G43" i="88"/>
  <c r="F43" i="88"/>
  <c r="E43" i="88"/>
  <c r="D43" i="88"/>
  <c r="C43" i="88"/>
  <c r="B43" i="88"/>
  <c r="A43" i="88"/>
  <c r="K42" i="88"/>
  <c r="J42" i="88"/>
  <c r="I42" i="88"/>
  <c r="H42" i="88"/>
  <c r="G42" i="88"/>
  <c r="F42" i="88"/>
  <c r="E42" i="88"/>
  <c r="D42" i="88"/>
  <c r="C42" i="88"/>
  <c r="B42" i="88"/>
  <c r="A42" i="88"/>
  <c r="K41" i="88"/>
  <c r="J41" i="88"/>
  <c r="I41" i="88"/>
  <c r="H41" i="88"/>
  <c r="G41" i="88"/>
  <c r="F41" i="88"/>
  <c r="E41" i="88"/>
  <c r="D41" i="88"/>
  <c r="C41" i="88"/>
  <c r="B41" i="88"/>
  <c r="A41" i="88"/>
  <c r="K40" i="88"/>
  <c r="J40" i="88"/>
  <c r="I40" i="88"/>
  <c r="H40" i="88"/>
  <c r="G40" i="88"/>
  <c r="F40" i="88"/>
  <c r="E40" i="88"/>
  <c r="D40" i="88"/>
  <c r="C40" i="88"/>
  <c r="B40" i="88"/>
  <c r="A40" i="88"/>
  <c r="K39" i="88"/>
  <c r="J39" i="88"/>
  <c r="I39" i="88"/>
  <c r="H39" i="88"/>
  <c r="G39" i="88"/>
  <c r="F39" i="88"/>
  <c r="E39" i="88"/>
  <c r="D39" i="88"/>
  <c r="C39" i="88"/>
  <c r="B39" i="88"/>
  <c r="A39" i="88"/>
  <c r="K38" i="88"/>
  <c r="J38" i="88"/>
  <c r="I38" i="88"/>
  <c r="H38" i="88"/>
  <c r="G38" i="88"/>
  <c r="F38" i="88"/>
  <c r="E38" i="88"/>
  <c r="D38" i="88"/>
  <c r="C38" i="88"/>
  <c r="B38" i="88"/>
  <c r="A38" i="88"/>
  <c r="K37" i="88"/>
  <c r="J37" i="88"/>
  <c r="I37" i="88"/>
  <c r="H37" i="88"/>
  <c r="G37" i="88"/>
  <c r="F37" i="88"/>
  <c r="E37" i="88"/>
  <c r="D37" i="88"/>
  <c r="C37" i="88"/>
  <c r="B37" i="88"/>
  <c r="A37" i="88"/>
  <c r="K36" i="88"/>
  <c r="J36" i="88"/>
  <c r="I36" i="88"/>
  <c r="H36" i="88"/>
  <c r="G36" i="88"/>
  <c r="F36" i="88"/>
  <c r="E36" i="88"/>
  <c r="D36" i="88"/>
  <c r="C36" i="88"/>
  <c r="B36" i="88"/>
  <c r="A36" i="88"/>
  <c r="K35" i="88"/>
  <c r="J35" i="88"/>
  <c r="I35" i="88"/>
  <c r="H35" i="88"/>
  <c r="G35" i="88"/>
  <c r="F35" i="88"/>
  <c r="E35" i="88"/>
  <c r="D35" i="88"/>
  <c r="C35" i="88"/>
  <c r="B35" i="88"/>
  <c r="A35" i="88"/>
  <c r="K34" i="88"/>
  <c r="J34" i="88"/>
  <c r="I34" i="88"/>
  <c r="H34" i="88"/>
  <c r="G34" i="88"/>
  <c r="F34" i="88"/>
  <c r="E34" i="88"/>
  <c r="D34" i="88"/>
  <c r="C34" i="88"/>
  <c r="B34" i="88"/>
  <c r="A34" i="88"/>
  <c r="K33" i="88"/>
  <c r="J33" i="88"/>
  <c r="I33" i="88"/>
  <c r="H33" i="88"/>
  <c r="G33" i="88"/>
  <c r="F33" i="88"/>
  <c r="E33" i="88"/>
  <c r="D33" i="88"/>
  <c r="C33" i="88"/>
  <c r="B33" i="88"/>
  <c r="A33" i="88"/>
  <c r="K32" i="88"/>
  <c r="J32" i="88"/>
  <c r="I32" i="88"/>
  <c r="H32" i="88"/>
  <c r="G32" i="88"/>
  <c r="F32" i="88"/>
  <c r="E32" i="88"/>
  <c r="D32" i="88"/>
  <c r="C32" i="88"/>
  <c r="B32" i="88"/>
  <c r="A32" i="88"/>
  <c r="K31" i="88"/>
  <c r="J31" i="88"/>
  <c r="I31" i="88"/>
  <c r="H31" i="88"/>
  <c r="G31" i="88"/>
  <c r="F31" i="88"/>
  <c r="E31" i="88"/>
  <c r="D31" i="88"/>
  <c r="C31" i="88"/>
  <c r="B31" i="88"/>
  <c r="A31" i="88"/>
  <c r="K30" i="88"/>
  <c r="J30" i="88"/>
  <c r="I30" i="88"/>
  <c r="H30" i="88"/>
  <c r="G30" i="88"/>
  <c r="F30" i="88"/>
  <c r="E30" i="88"/>
  <c r="D30" i="88"/>
  <c r="C30" i="88"/>
  <c r="B30" i="88"/>
  <c r="A30" i="88"/>
  <c r="K29" i="88"/>
  <c r="J29" i="88"/>
  <c r="I29" i="88"/>
  <c r="H29" i="88"/>
  <c r="G29" i="88"/>
  <c r="F29" i="88"/>
  <c r="E29" i="88"/>
  <c r="D29" i="88"/>
  <c r="C29" i="88"/>
  <c r="B29" i="88"/>
  <c r="A29" i="88"/>
  <c r="K28" i="88"/>
  <c r="J28" i="88"/>
  <c r="I28" i="88"/>
  <c r="H28" i="88"/>
  <c r="G28" i="88"/>
  <c r="F28" i="88"/>
  <c r="E28" i="88"/>
  <c r="D28" i="88"/>
  <c r="C28" i="88"/>
  <c r="B28" i="88"/>
  <c r="A28" i="88"/>
  <c r="K27" i="88"/>
  <c r="J27" i="88"/>
  <c r="I27" i="88"/>
  <c r="H27" i="88"/>
  <c r="G27" i="88"/>
  <c r="F27" i="88"/>
  <c r="E27" i="88"/>
  <c r="D27" i="88"/>
  <c r="C27" i="88"/>
  <c r="B27" i="88"/>
  <c r="A27" i="88"/>
  <c r="K26" i="88"/>
  <c r="J26" i="88"/>
  <c r="I26" i="88"/>
  <c r="H26" i="88"/>
  <c r="G26" i="88"/>
  <c r="F26" i="88"/>
  <c r="E26" i="88"/>
  <c r="D26" i="88"/>
  <c r="C26" i="88"/>
  <c r="B26" i="88"/>
  <c r="A26" i="88"/>
  <c r="K25" i="88"/>
  <c r="J25" i="88"/>
  <c r="I25" i="88"/>
  <c r="H25" i="88"/>
  <c r="G25" i="88"/>
  <c r="F25" i="88"/>
  <c r="E25" i="88"/>
  <c r="D25" i="88"/>
  <c r="C25" i="88"/>
  <c r="B25" i="88"/>
  <c r="A25" i="88"/>
  <c r="K24" i="88"/>
  <c r="J24" i="88"/>
  <c r="I24" i="88"/>
  <c r="H24" i="88"/>
  <c r="G24" i="88"/>
  <c r="F24" i="88"/>
  <c r="E24" i="88"/>
  <c r="D24" i="88"/>
  <c r="C24" i="88"/>
  <c r="B24" i="88"/>
  <c r="A24" i="88"/>
  <c r="K23" i="88"/>
  <c r="J23" i="88"/>
  <c r="I23" i="88"/>
  <c r="H23" i="88"/>
  <c r="G23" i="88"/>
  <c r="F23" i="88"/>
  <c r="E23" i="88"/>
  <c r="D23" i="88"/>
  <c r="C23" i="88"/>
  <c r="B23" i="88"/>
  <c r="A23" i="88"/>
  <c r="K22" i="88"/>
  <c r="J22" i="88"/>
  <c r="I22" i="88"/>
  <c r="H22" i="88"/>
  <c r="G22" i="88"/>
  <c r="F22" i="88"/>
  <c r="E22" i="88"/>
  <c r="D22" i="88"/>
  <c r="C22" i="88"/>
  <c r="B22" i="88"/>
  <c r="A22" i="88"/>
  <c r="K21" i="88"/>
  <c r="J21" i="88"/>
  <c r="I21" i="88"/>
  <c r="H21" i="88"/>
  <c r="G21" i="88"/>
  <c r="F21" i="88"/>
  <c r="E21" i="88"/>
  <c r="D21" i="88"/>
  <c r="C21" i="88"/>
  <c r="B21" i="88"/>
  <c r="A21" i="88"/>
  <c r="K20" i="88"/>
  <c r="J20" i="88"/>
  <c r="I20" i="88"/>
  <c r="H20" i="88"/>
  <c r="G20" i="88"/>
  <c r="F20" i="88"/>
  <c r="E20" i="88"/>
  <c r="D20" i="88"/>
  <c r="C20" i="88"/>
  <c r="B20" i="88"/>
  <c r="A20" i="88"/>
  <c r="K19" i="88"/>
  <c r="J19" i="88"/>
  <c r="I19" i="88"/>
  <c r="H19" i="88"/>
  <c r="G19" i="88"/>
  <c r="F19" i="88"/>
  <c r="E19" i="88"/>
  <c r="D19" i="88"/>
  <c r="C19" i="88"/>
  <c r="B19" i="88"/>
  <c r="A19" i="88"/>
  <c r="K18" i="88"/>
  <c r="J18" i="88"/>
  <c r="I18" i="88"/>
  <c r="H18" i="88"/>
  <c r="G18" i="88"/>
  <c r="F18" i="88"/>
  <c r="E18" i="88"/>
  <c r="D18" i="88"/>
  <c r="C18" i="88"/>
  <c r="B18" i="88"/>
  <c r="A18" i="88"/>
  <c r="K17" i="88"/>
  <c r="J17" i="88"/>
  <c r="I17" i="88"/>
  <c r="H17" i="88"/>
  <c r="G17" i="88"/>
  <c r="F17" i="88"/>
  <c r="E17" i="88"/>
  <c r="D17" i="88"/>
  <c r="C17" i="88"/>
  <c r="B17" i="88"/>
  <c r="A17" i="88"/>
  <c r="K16" i="88"/>
  <c r="J16" i="88"/>
  <c r="I16" i="88"/>
  <c r="H16" i="88"/>
  <c r="G16" i="88"/>
  <c r="F16" i="88"/>
  <c r="E16" i="88"/>
  <c r="D16" i="88"/>
  <c r="C16" i="88"/>
  <c r="B16" i="88"/>
  <c r="A16" i="88"/>
  <c r="K15" i="88"/>
  <c r="J15" i="88"/>
  <c r="I15" i="88"/>
  <c r="H15" i="88"/>
  <c r="G15" i="88"/>
  <c r="F15" i="88"/>
  <c r="E15" i="88"/>
  <c r="D15" i="88"/>
  <c r="C15" i="88"/>
  <c r="B15" i="88"/>
  <c r="A15" i="88"/>
  <c r="K14" i="88"/>
  <c r="J14" i="88"/>
  <c r="I14" i="88"/>
  <c r="H14" i="88"/>
  <c r="G14" i="88"/>
  <c r="F14" i="88"/>
  <c r="E14" i="88"/>
  <c r="D14" i="88"/>
  <c r="C14" i="88"/>
  <c r="B14" i="88"/>
  <c r="A14" i="88"/>
  <c r="K13" i="88"/>
  <c r="J13" i="88"/>
  <c r="I13" i="88"/>
  <c r="H13" i="88"/>
  <c r="G13" i="88"/>
  <c r="F13" i="88"/>
  <c r="E13" i="88"/>
  <c r="D13" i="88"/>
  <c r="C13" i="88"/>
  <c r="B13" i="88"/>
  <c r="A13" i="88"/>
  <c r="K12" i="88"/>
  <c r="J12" i="88"/>
  <c r="I12" i="88"/>
  <c r="H12" i="88"/>
  <c r="G12" i="88"/>
  <c r="F12" i="88"/>
  <c r="E12" i="88"/>
  <c r="D12" i="88"/>
  <c r="C12" i="88"/>
  <c r="B12" i="88"/>
  <c r="A12" i="88"/>
  <c r="K80" i="87"/>
  <c r="K79" i="87"/>
  <c r="K78" i="87"/>
  <c r="K77" i="87"/>
  <c r="K76" i="87"/>
  <c r="K75" i="87"/>
  <c r="K74" i="87"/>
  <c r="K73" i="87"/>
  <c r="K72" i="87"/>
  <c r="K71" i="87"/>
  <c r="K70" i="87"/>
  <c r="K69" i="87"/>
  <c r="K68" i="87"/>
  <c r="K67" i="87"/>
  <c r="K66" i="87"/>
  <c r="K65" i="87"/>
  <c r="K64" i="87"/>
  <c r="K63" i="87"/>
  <c r="K62" i="87"/>
  <c r="K61" i="87"/>
  <c r="K60" i="87"/>
  <c r="K59" i="87"/>
  <c r="K58" i="87"/>
  <c r="K57" i="87"/>
  <c r="K56" i="87"/>
  <c r="K55" i="87"/>
  <c r="K54" i="87"/>
  <c r="K53" i="87"/>
  <c r="K52" i="87"/>
  <c r="K51" i="87"/>
  <c r="K50" i="87"/>
  <c r="K49" i="87"/>
  <c r="K48" i="87"/>
  <c r="K47" i="87"/>
  <c r="K46" i="87"/>
  <c r="K45" i="87"/>
  <c r="K44" i="87"/>
  <c r="K43" i="87"/>
  <c r="K42" i="87"/>
  <c r="K41" i="87"/>
  <c r="K40" i="87"/>
  <c r="K39" i="87"/>
  <c r="K38" i="87"/>
  <c r="H38" i="87"/>
  <c r="G38" i="87"/>
  <c r="F38" i="87"/>
  <c r="E38" i="87"/>
  <c r="D38" i="87"/>
  <c r="C38" i="87"/>
  <c r="B38" i="87"/>
  <c r="A38" i="87"/>
  <c r="K37" i="87"/>
  <c r="H37" i="87"/>
  <c r="G37" i="87"/>
  <c r="F37" i="87"/>
  <c r="E37" i="87"/>
  <c r="D37" i="87"/>
  <c r="C37" i="87"/>
  <c r="B37" i="87"/>
  <c r="A37" i="87"/>
  <c r="K36" i="87"/>
  <c r="H36" i="87"/>
  <c r="G36" i="87"/>
  <c r="F36" i="87"/>
  <c r="E36" i="87"/>
  <c r="D36" i="87"/>
  <c r="C36" i="87"/>
  <c r="B36" i="87"/>
  <c r="A36" i="87"/>
  <c r="K35" i="87"/>
  <c r="H35" i="87"/>
  <c r="G35" i="87"/>
  <c r="F35" i="87"/>
  <c r="E35" i="87"/>
  <c r="D35" i="87"/>
  <c r="C35" i="87"/>
  <c r="B35" i="87"/>
  <c r="A35" i="87"/>
  <c r="K34" i="87"/>
  <c r="H34" i="87"/>
  <c r="G34" i="87"/>
  <c r="F34" i="87"/>
  <c r="E34" i="87"/>
  <c r="D34" i="87"/>
  <c r="C34" i="87"/>
  <c r="B34" i="87"/>
  <c r="A34" i="87"/>
  <c r="K33" i="87"/>
  <c r="H33" i="87"/>
  <c r="G33" i="87"/>
  <c r="F33" i="87"/>
  <c r="E33" i="87"/>
  <c r="D33" i="87"/>
  <c r="C33" i="87"/>
  <c r="B33" i="87"/>
  <c r="A33" i="87"/>
  <c r="K32" i="87"/>
  <c r="H32" i="87"/>
  <c r="G32" i="87"/>
  <c r="F32" i="87"/>
  <c r="E32" i="87"/>
  <c r="D32" i="87"/>
  <c r="C32" i="87"/>
  <c r="B32" i="87"/>
  <c r="A32" i="87"/>
  <c r="K31" i="87"/>
  <c r="H31" i="87"/>
  <c r="G31" i="87"/>
  <c r="F31" i="87"/>
  <c r="E31" i="87"/>
  <c r="D31" i="87"/>
  <c r="C31" i="87"/>
  <c r="B31" i="87"/>
  <c r="A31" i="87"/>
  <c r="K30" i="87"/>
  <c r="H30" i="87"/>
  <c r="G30" i="87"/>
  <c r="F30" i="87"/>
  <c r="E30" i="87"/>
  <c r="D30" i="87"/>
  <c r="C30" i="87"/>
  <c r="B30" i="87"/>
  <c r="A30" i="87"/>
  <c r="K29" i="87"/>
  <c r="J29" i="87"/>
  <c r="I29" i="87"/>
  <c r="H29" i="87"/>
  <c r="G29" i="87"/>
  <c r="F29" i="87"/>
  <c r="E29" i="87"/>
  <c r="D29" i="87"/>
  <c r="C29" i="87"/>
  <c r="B29" i="87"/>
  <c r="A29" i="87"/>
  <c r="K28" i="87"/>
  <c r="J28" i="87"/>
  <c r="I28" i="87"/>
  <c r="H28" i="87"/>
  <c r="G28" i="87"/>
  <c r="F28" i="87"/>
  <c r="E28" i="87"/>
  <c r="D28" i="87"/>
  <c r="C28" i="87"/>
  <c r="B28" i="87"/>
  <c r="A28" i="87"/>
  <c r="K27" i="87"/>
  <c r="J27" i="87"/>
  <c r="I27" i="87"/>
  <c r="H27" i="87"/>
  <c r="G27" i="87"/>
  <c r="F27" i="87"/>
  <c r="E27" i="87"/>
  <c r="D27" i="87"/>
  <c r="C27" i="87"/>
  <c r="B27" i="87"/>
  <c r="A27" i="87"/>
  <c r="K26" i="87"/>
  <c r="J26" i="87"/>
  <c r="I26" i="87"/>
  <c r="H26" i="87"/>
  <c r="G26" i="87"/>
  <c r="F26" i="87"/>
  <c r="E26" i="87"/>
  <c r="D26" i="87"/>
  <c r="C26" i="87"/>
  <c r="B26" i="87"/>
  <c r="A26" i="87"/>
  <c r="K25" i="87"/>
  <c r="J25" i="87"/>
  <c r="I25" i="87"/>
  <c r="H25" i="87"/>
  <c r="G25" i="87"/>
  <c r="F25" i="87"/>
  <c r="E25" i="87"/>
  <c r="D25" i="87"/>
  <c r="C25" i="87"/>
  <c r="B25" i="87"/>
  <c r="A25" i="87"/>
  <c r="K24" i="87"/>
  <c r="J24" i="87"/>
  <c r="I24" i="87"/>
  <c r="H24" i="87"/>
  <c r="G24" i="87"/>
  <c r="F24" i="87"/>
  <c r="E24" i="87"/>
  <c r="D24" i="87"/>
  <c r="C24" i="87"/>
  <c r="B24" i="87"/>
  <c r="A24" i="87"/>
  <c r="K23" i="87"/>
  <c r="J23" i="87"/>
  <c r="I23" i="87"/>
  <c r="H23" i="87"/>
  <c r="G23" i="87"/>
  <c r="F23" i="87"/>
  <c r="E23" i="87"/>
  <c r="D23" i="87"/>
  <c r="C23" i="87"/>
  <c r="B23" i="87"/>
  <c r="A23" i="87"/>
  <c r="K22" i="87"/>
  <c r="J22" i="87"/>
  <c r="I22" i="87"/>
  <c r="H22" i="87"/>
  <c r="G22" i="87"/>
  <c r="F22" i="87"/>
  <c r="E22" i="87"/>
  <c r="D22" i="87"/>
  <c r="C22" i="87"/>
  <c r="B22" i="87"/>
  <c r="A22" i="87"/>
  <c r="K21" i="87"/>
  <c r="J21" i="87"/>
  <c r="I21" i="87"/>
  <c r="H21" i="87"/>
  <c r="G21" i="87"/>
  <c r="F21" i="87"/>
  <c r="E21" i="87"/>
  <c r="D21" i="87"/>
  <c r="C21" i="87"/>
  <c r="B21" i="87"/>
  <c r="A21" i="87"/>
  <c r="K20" i="87"/>
  <c r="J20" i="87"/>
  <c r="I20" i="87"/>
  <c r="H20" i="87"/>
  <c r="G20" i="87"/>
  <c r="F20" i="87"/>
  <c r="E20" i="87"/>
  <c r="D20" i="87"/>
  <c r="C20" i="87"/>
  <c r="B20" i="87"/>
  <c r="A20" i="87"/>
  <c r="K19" i="87"/>
  <c r="J19" i="87"/>
  <c r="I19" i="87"/>
  <c r="H19" i="87"/>
  <c r="G19" i="87"/>
  <c r="F19" i="87"/>
  <c r="E19" i="87"/>
  <c r="D19" i="87"/>
  <c r="C19" i="87"/>
  <c r="B19" i="87"/>
  <c r="A19" i="87"/>
  <c r="K18" i="87"/>
  <c r="J18" i="87"/>
  <c r="I18" i="87"/>
  <c r="H18" i="87"/>
  <c r="G18" i="87"/>
  <c r="F18" i="87"/>
  <c r="E18" i="87"/>
  <c r="D18" i="87"/>
  <c r="C18" i="87"/>
  <c r="B18" i="87"/>
  <c r="A18" i="87"/>
  <c r="K17" i="87"/>
  <c r="J17" i="87"/>
  <c r="I17" i="87"/>
  <c r="H17" i="87"/>
  <c r="G17" i="87"/>
  <c r="F17" i="87"/>
  <c r="E17" i="87"/>
  <c r="D17" i="87"/>
  <c r="C17" i="87"/>
  <c r="B17" i="87"/>
  <c r="A17" i="87"/>
  <c r="K16" i="87"/>
  <c r="J16" i="87"/>
  <c r="I16" i="87"/>
  <c r="H16" i="87"/>
  <c r="G16" i="87"/>
  <c r="F16" i="87"/>
  <c r="E16" i="87"/>
  <c r="D16" i="87"/>
  <c r="C16" i="87"/>
  <c r="B16" i="87"/>
  <c r="A16" i="87"/>
  <c r="K15" i="87"/>
  <c r="J15" i="87"/>
  <c r="I15" i="87"/>
  <c r="H15" i="87"/>
  <c r="G15" i="87"/>
  <c r="F15" i="87"/>
  <c r="E15" i="87"/>
  <c r="D15" i="87"/>
  <c r="C15" i="87"/>
  <c r="B15" i="87"/>
  <c r="A15" i="87"/>
  <c r="K14" i="87"/>
  <c r="J14" i="87"/>
  <c r="I14" i="87"/>
  <c r="H14" i="87"/>
  <c r="G14" i="87"/>
  <c r="F14" i="87"/>
  <c r="E14" i="87"/>
  <c r="D14" i="87"/>
  <c r="C14" i="87"/>
  <c r="B14" i="87"/>
  <c r="A14" i="87"/>
  <c r="K13" i="87"/>
  <c r="J13" i="87"/>
  <c r="I13" i="87"/>
  <c r="H13" i="87"/>
  <c r="G13" i="87"/>
  <c r="F13" i="87"/>
  <c r="E13" i="87"/>
  <c r="D13" i="87"/>
  <c r="C13" i="87"/>
  <c r="B13" i="87"/>
  <c r="A13" i="87"/>
  <c r="K12" i="87"/>
  <c r="J12" i="87"/>
  <c r="I12" i="87"/>
  <c r="H12" i="87"/>
  <c r="G12" i="87"/>
  <c r="F12" i="87"/>
  <c r="E12" i="87"/>
  <c r="D12" i="87"/>
  <c r="C12" i="87"/>
  <c r="B12" i="87"/>
  <c r="A12" i="87"/>
  <c r="K80" i="86"/>
  <c r="K79" i="86"/>
  <c r="K78" i="86"/>
  <c r="K77" i="86"/>
  <c r="K76" i="86"/>
  <c r="K75" i="86"/>
  <c r="K74" i="86"/>
  <c r="K73" i="86"/>
  <c r="K72" i="86"/>
  <c r="K71" i="86"/>
  <c r="K70" i="86"/>
  <c r="K69" i="86"/>
  <c r="K68" i="86"/>
  <c r="K67" i="86"/>
  <c r="K66" i="86"/>
  <c r="K65" i="86"/>
  <c r="K64" i="86"/>
  <c r="K63" i="86"/>
  <c r="K62" i="86"/>
  <c r="K61" i="86"/>
  <c r="K60" i="86"/>
  <c r="K59" i="86"/>
  <c r="K58" i="86"/>
  <c r="K57" i="86"/>
  <c r="K56" i="86"/>
  <c r="K55" i="86"/>
  <c r="K54" i="86"/>
  <c r="K53" i="86"/>
  <c r="K52" i="86"/>
  <c r="K51" i="86"/>
  <c r="K50" i="86"/>
  <c r="K49" i="86"/>
  <c r="K48" i="86"/>
  <c r="K47" i="86"/>
  <c r="K46" i="86"/>
  <c r="K45" i="86"/>
  <c r="K44" i="86"/>
  <c r="K43" i="86"/>
  <c r="K42" i="86"/>
  <c r="K41" i="86"/>
  <c r="K40" i="86"/>
  <c r="K39" i="86"/>
  <c r="K38" i="86"/>
  <c r="K37" i="86"/>
  <c r="K36" i="86"/>
  <c r="K35" i="86"/>
  <c r="K34" i="86"/>
  <c r="K33" i="86"/>
  <c r="K32" i="86"/>
  <c r="K31" i="86"/>
  <c r="K30" i="86"/>
  <c r="K29" i="86"/>
  <c r="K28" i="86"/>
  <c r="K27" i="86"/>
  <c r="K26" i="86"/>
  <c r="K25" i="86"/>
  <c r="K24" i="86"/>
  <c r="K23" i="86"/>
  <c r="K22" i="86"/>
  <c r="K21" i="86"/>
  <c r="K20" i="86"/>
  <c r="K12" i="86"/>
  <c r="J12" i="86"/>
  <c r="I12" i="86"/>
  <c r="H12" i="86"/>
  <c r="G12" i="86"/>
  <c r="F12" i="86"/>
  <c r="E12" i="86"/>
  <c r="D12" i="86"/>
  <c r="C12" i="86"/>
  <c r="B12" i="86"/>
  <c r="A12" i="86"/>
  <c r="K80" i="85"/>
  <c r="K79" i="85"/>
  <c r="K78" i="85"/>
  <c r="K77" i="85"/>
  <c r="K76" i="85"/>
  <c r="K75" i="85"/>
  <c r="K74" i="85"/>
  <c r="K73" i="85"/>
  <c r="K72" i="85"/>
  <c r="K71" i="85"/>
  <c r="K70" i="85"/>
  <c r="K69" i="85"/>
  <c r="K68" i="85"/>
  <c r="K67" i="85"/>
  <c r="K66" i="85"/>
  <c r="K65" i="85"/>
  <c r="K64" i="85"/>
  <c r="K63" i="85"/>
  <c r="K62" i="85"/>
  <c r="K61" i="85"/>
  <c r="K60" i="85"/>
  <c r="K59" i="85"/>
  <c r="K58" i="85"/>
  <c r="K57" i="85"/>
  <c r="K56" i="85"/>
  <c r="K55" i="85"/>
  <c r="K54" i="85"/>
  <c r="K53" i="85"/>
  <c r="K52" i="85"/>
  <c r="K51" i="85"/>
  <c r="K50" i="85"/>
  <c r="K49" i="85"/>
  <c r="K48" i="85"/>
  <c r="K47" i="85"/>
  <c r="K46" i="85"/>
  <c r="K45" i="85"/>
  <c r="K44" i="85"/>
  <c r="K43" i="85"/>
  <c r="K42" i="85"/>
  <c r="K41" i="85"/>
  <c r="K40" i="85"/>
  <c r="K39" i="85"/>
  <c r="K38" i="85"/>
  <c r="K37" i="85"/>
  <c r="K36" i="85"/>
  <c r="K35" i="85"/>
  <c r="K34" i="85"/>
  <c r="K19" i="85"/>
  <c r="J19" i="85"/>
  <c r="I19" i="85"/>
  <c r="K18" i="85"/>
  <c r="J18" i="85"/>
  <c r="I18" i="85"/>
  <c r="K17" i="85"/>
  <c r="J17" i="85"/>
  <c r="I17" i="85"/>
  <c r="K16" i="85"/>
  <c r="J16" i="85"/>
  <c r="I16" i="85"/>
  <c r="K15" i="85"/>
  <c r="J15" i="85"/>
  <c r="I15" i="85"/>
  <c r="J14" i="85"/>
  <c r="I14" i="85"/>
  <c r="K13" i="85"/>
  <c r="J13" i="85"/>
  <c r="I13" i="85"/>
  <c r="H13" i="85"/>
  <c r="G13" i="85"/>
  <c r="F13" i="85"/>
  <c r="E13" i="85"/>
  <c r="D13" i="85"/>
  <c r="C13" i="85"/>
  <c r="B13" i="85"/>
  <c r="A13" i="85"/>
  <c r="K12" i="85"/>
  <c r="J12" i="85"/>
  <c r="I12" i="85"/>
  <c r="H12" i="85"/>
  <c r="G12" i="85"/>
  <c r="F12" i="85"/>
  <c r="E12" i="85"/>
  <c r="D12" i="85"/>
  <c r="C12" i="85"/>
  <c r="B12" i="85"/>
  <c r="A12" i="85"/>
  <c r="K80" i="84"/>
  <c r="K79" i="84"/>
  <c r="K78" i="84"/>
  <c r="K77" i="84"/>
  <c r="K76" i="84"/>
  <c r="K75" i="84"/>
  <c r="K74" i="84"/>
  <c r="K73" i="84"/>
  <c r="K72" i="84"/>
  <c r="K71" i="84"/>
  <c r="K70" i="84"/>
  <c r="K69" i="84"/>
  <c r="K68" i="84"/>
  <c r="K67" i="84"/>
  <c r="K66" i="84"/>
  <c r="K65" i="84"/>
  <c r="K64" i="84"/>
  <c r="K63" i="84"/>
  <c r="K62" i="84"/>
  <c r="K61" i="84"/>
  <c r="K60" i="84"/>
  <c r="K59" i="84"/>
  <c r="K58" i="84"/>
  <c r="K57" i="84"/>
  <c r="K56" i="84"/>
  <c r="K55" i="84"/>
  <c r="K54" i="84"/>
  <c r="K53" i="84"/>
  <c r="K52" i="84"/>
  <c r="K51" i="84"/>
  <c r="K50" i="84"/>
  <c r="K49" i="84"/>
  <c r="K48" i="84"/>
  <c r="K47" i="84"/>
  <c r="K46" i="84"/>
  <c r="K45" i="84"/>
  <c r="K44" i="84"/>
  <c r="K43" i="84"/>
  <c r="K42" i="84"/>
  <c r="K41" i="84"/>
  <c r="K40" i="84"/>
  <c r="K39" i="84"/>
  <c r="K38" i="84"/>
  <c r="K37" i="84"/>
  <c r="K36" i="84"/>
  <c r="K35" i="84"/>
  <c r="K34" i="84"/>
  <c r="K33" i="84"/>
  <c r="K32" i="84"/>
  <c r="K31" i="84"/>
  <c r="K30" i="84"/>
  <c r="K29" i="84"/>
  <c r="K28" i="84"/>
  <c r="K27" i="84"/>
  <c r="K26" i="84"/>
  <c r="K25" i="84"/>
  <c r="K24" i="84"/>
  <c r="K23" i="84"/>
  <c r="K22" i="84"/>
  <c r="K21" i="84"/>
  <c r="K20" i="84"/>
  <c r="K19" i="84"/>
  <c r="K18" i="84"/>
  <c r="I18" i="84"/>
  <c r="I17" i="84"/>
  <c r="I16" i="84"/>
  <c r="I15" i="84"/>
  <c r="I14" i="84"/>
  <c r="I13" i="84"/>
  <c r="J12" i="84"/>
  <c r="I12" i="84"/>
  <c r="G12" i="84"/>
  <c r="F12" i="84"/>
  <c r="E12" i="84"/>
  <c r="D12" i="84"/>
  <c r="A12" i="84"/>
  <c r="K80" i="83"/>
  <c r="K79" i="83"/>
  <c r="K78" i="83"/>
  <c r="K77" i="83"/>
  <c r="K76" i="83"/>
  <c r="K75" i="83"/>
  <c r="K74" i="83"/>
  <c r="K73" i="83"/>
  <c r="K72" i="83"/>
  <c r="K71" i="83"/>
  <c r="K70" i="83"/>
  <c r="K69" i="83"/>
  <c r="K68" i="83"/>
  <c r="K67" i="83"/>
  <c r="K66" i="83"/>
  <c r="K65" i="83"/>
  <c r="K64" i="83"/>
  <c r="K63" i="83"/>
  <c r="K62" i="83"/>
  <c r="K61" i="83"/>
  <c r="K60" i="83"/>
  <c r="K59" i="83"/>
  <c r="K58" i="83"/>
  <c r="K57" i="83"/>
  <c r="K56" i="83"/>
  <c r="K55" i="83"/>
  <c r="K54" i="83"/>
  <c r="K53" i="83"/>
  <c r="K52" i="83"/>
  <c r="K51" i="83"/>
  <c r="K50" i="83"/>
  <c r="K49" i="83"/>
  <c r="K48" i="83"/>
  <c r="K47" i="83"/>
  <c r="K46" i="83"/>
  <c r="K45" i="83"/>
  <c r="K44" i="83"/>
  <c r="K43" i="83"/>
  <c r="K42" i="83"/>
  <c r="K41" i="83"/>
  <c r="K40" i="83"/>
  <c r="K39" i="83"/>
  <c r="K38" i="83"/>
  <c r="K37" i="83"/>
  <c r="K36" i="83"/>
  <c r="K35" i="83"/>
  <c r="K30" i="83"/>
  <c r="K28" i="83"/>
  <c r="J28" i="83"/>
  <c r="I28" i="83"/>
  <c r="H28" i="83"/>
  <c r="G28" i="83"/>
  <c r="F28" i="83"/>
  <c r="E28" i="83"/>
  <c r="D28" i="83"/>
  <c r="C28" i="83"/>
  <c r="B28" i="83"/>
  <c r="A28" i="83"/>
  <c r="K27" i="83"/>
  <c r="J27" i="83"/>
  <c r="I27" i="83"/>
  <c r="H27" i="83"/>
  <c r="G27" i="83"/>
  <c r="F27" i="83"/>
  <c r="E27" i="83"/>
  <c r="D27" i="83"/>
  <c r="C27" i="83"/>
  <c r="B27" i="83"/>
  <c r="A27" i="83"/>
  <c r="K26" i="83"/>
  <c r="J26" i="83"/>
  <c r="I26" i="83"/>
  <c r="H26" i="83"/>
  <c r="G26" i="83"/>
  <c r="F26" i="83"/>
  <c r="E26" i="83"/>
  <c r="D26" i="83"/>
  <c r="C26" i="83"/>
  <c r="B26" i="83"/>
  <c r="A26" i="83"/>
  <c r="K25" i="83"/>
  <c r="J25" i="83"/>
  <c r="I25" i="83"/>
  <c r="H25" i="83"/>
  <c r="G25" i="83"/>
  <c r="F25" i="83"/>
  <c r="E25" i="83"/>
  <c r="D25" i="83"/>
  <c r="C25" i="83"/>
  <c r="B25" i="83"/>
  <c r="A25" i="83"/>
  <c r="K24" i="83"/>
  <c r="J24" i="83"/>
  <c r="I24" i="83"/>
  <c r="H24" i="83"/>
  <c r="G24" i="83"/>
  <c r="F24" i="83"/>
  <c r="E24" i="83"/>
  <c r="D24" i="83"/>
  <c r="C24" i="83"/>
  <c r="B24" i="83"/>
  <c r="A24" i="83"/>
  <c r="K23" i="83"/>
  <c r="J23" i="83"/>
  <c r="I23" i="83"/>
  <c r="H23" i="83"/>
  <c r="G23" i="83"/>
  <c r="F23" i="83"/>
  <c r="E23" i="83"/>
  <c r="D23" i="83"/>
  <c r="C23" i="83"/>
  <c r="B23" i="83"/>
  <c r="A23" i="83"/>
  <c r="K22" i="83"/>
  <c r="J22" i="83"/>
  <c r="I22" i="83"/>
  <c r="H22" i="83"/>
  <c r="G22" i="83"/>
  <c r="F22" i="83"/>
  <c r="E22" i="83"/>
  <c r="D22" i="83"/>
  <c r="C22" i="83"/>
  <c r="B22" i="83"/>
  <c r="A22" i="83"/>
  <c r="K21" i="83"/>
  <c r="J21" i="83"/>
  <c r="I21" i="83"/>
  <c r="H21" i="83"/>
  <c r="G21" i="83"/>
  <c r="F21" i="83"/>
  <c r="E21" i="83"/>
  <c r="D21" i="83"/>
  <c r="C21" i="83"/>
  <c r="B21" i="83"/>
  <c r="A21" i="83"/>
  <c r="K20" i="83"/>
  <c r="J20" i="83"/>
  <c r="I20" i="83"/>
  <c r="H20" i="83"/>
  <c r="G20" i="83"/>
  <c r="F20" i="83"/>
  <c r="E20" i="83"/>
  <c r="D20" i="83"/>
  <c r="C20" i="83"/>
  <c r="B20" i="83"/>
  <c r="A20" i="83"/>
  <c r="K19" i="83"/>
  <c r="J19" i="83"/>
  <c r="I19" i="83"/>
  <c r="H19" i="83"/>
  <c r="G19" i="83"/>
  <c r="F19" i="83"/>
  <c r="E19" i="83"/>
  <c r="D19" i="83"/>
  <c r="C19" i="83"/>
  <c r="B19" i="83"/>
  <c r="A19" i="83"/>
  <c r="K18" i="83"/>
  <c r="J18" i="83"/>
  <c r="I18" i="83"/>
  <c r="H18" i="83"/>
  <c r="G18" i="83"/>
  <c r="F18" i="83"/>
  <c r="E18" i="83"/>
  <c r="D18" i="83"/>
  <c r="C18" i="83"/>
  <c r="B18" i="83"/>
  <c r="A18" i="83"/>
  <c r="K17" i="83"/>
  <c r="J17" i="83"/>
  <c r="I17" i="83"/>
  <c r="H17" i="83"/>
  <c r="G17" i="83"/>
  <c r="F17" i="83"/>
  <c r="E17" i="83"/>
  <c r="D17" i="83"/>
  <c r="C17" i="83"/>
  <c r="B17" i="83"/>
  <c r="A17" i="83"/>
  <c r="K16" i="83"/>
  <c r="J16" i="83"/>
  <c r="I16" i="83"/>
  <c r="H16" i="83"/>
  <c r="G16" i="83"/>
  <c r="F16" i="83"/>
  <c r="E16" i="83"/>
  <c r="D16" i="83"/>
  <c r="C16" i="83"/>
  <c r="B16" i="83"/>
  <c r="A16" i="83"/>
  <c r="K15" i="83"/>
  <c r="J15" i="83"/>
  <c r="I15" i="83"/>
  <c r="H15" i="83"/>
  <c r="G15" i="83"/>
  <c r="F15" i="83"/>
  <c r="E15" i="83"/>
  <c r="D15" i="83"/>
  <c r="C15" i="83"/>
  <c r="B15" i="83"/>
  <c r="A15" i="83"/>
  <c r="K14" i="83"/>
  <c r="J14" i="83"/>
  <c r="I14" i="83"/>
  <c r="H14" i="83"/>
  <c r="G14" i="83"/>
  <c r="F14" i="83"/>
  <c r="E14" i="83"/>
  <c r="D14" i="83"/>
  <c r="C14" i="83"/>
  <c r="B14" i="83"/>
  <c r="A14" i="83"/>
  <c r="K13" i="83"/>
  <c r="J13" i="83"/>
  <c r="I13" i="83"/>
  <c r="H13" i="83"/>
  <c r="G13" i="83"/>
  <c r="F13" i="83"/>
  <c r="E13" i="83"/>
  <c r="D13" i="83"/>
  <c r="C13" i="83"/>
  <c r="B13" i="83"/>
  <c r="A13" i="83"/>
  <c r="K12" i="83"/>
  <c r="J12" i="83"/>
  <c r="I12" i="83"/>
  <c r="H12" i="83"/>
  <c r="G12" i="83"/>
  <c r="F12" i="83"/>
  <c r="E12" i="83"/>
  <c r="D12" i="83"/>
  <c r="C12" i="83"/>
  <c r="B12" i="83"/>
  <c r="A12" i="83"/>
  <c r="K80" i="82"/>
  <c r="K79" i="82"/>
  <c r="K78" i="82"/>
  <c r="K77" i="82"/>
  <c r="K76" i="82"/>
  <c r="K75" i="82"/>
  <c r="K74" i="82"/>
  <c r="K73" i="82"/>
  <c r="K72" i="82"/>
  <c r="K71" i="82"/>
  <c r="K70" i="82"/>
  <c r="K69" i="82"/>
  <c r="K68" i="82"/>
  <c r="K67" i="82"/>
  <c r="K66" i="82"/>
  <c r="K65" i="82"/>
  <c r="K64" i="82"/>
  <c r="K63" i="82"/>
  <c r="K62" i="82"/>
  <c r="K61" i="82"/>
  <c r="K60" i="82"/>
  <c r="K59" i="82"/>
  <c r="K58" i="82"/>
  <c r="K57" i="82"/>
  <c r="I56" i="82"/>
  <c r="I55" i="82"/>
  <c r="I54" i="82"/>
  <c r="I53" i="82"/>
  <c r="I52" i="82"/>
  <c r="I51" i="82"/>
  <c r="I50" i="82"/>
  <c r="I49" i="82"/>
  <c r="I48" i="82"/>
  <c r="I47" i="82"/>
  <c r="I46" i="82"/>
  <c r="I45" i="82"/>
  <c r="I44" i="82"/>
  <c r="I43" i="82"/>
  <c r="I42" i="82"/>
  <c r="I41" i="82"/>
  <c r="I40" i="82"/>
  <c r="I39" i="82"/>
  <c r="I38" i="82"/>
  <c r="I37" i="82"/>
  <c r="I36" i="82"/>
  <c r="I35" i="82"/>
  <c r="I34" i="82"/>
  <c r="I33" i="82"/>
  <c r="I32" i="82"/>
  <c r="I31" i="82"/>
  <c r="I30" i="82"/>
  <c r="I29" i="82"/>
  <c r="I28" i="82"/>
  <c r="I27" i="82"/>
  <c r="I26" i="82"/>
  <c r="I25" i="82"/>
  <c r="I24" i="82"/>
  <c r="I23" i="82"/>
  <c r="I22" i="82"/>
  <c r="I21" i="82"/>
  <c r="I20" i="82"/>
  <c r="I19" i="82"/>
  <c r="I18" i="82"/>
  <c r="K17" i="82"/>
  <c r="J17" i="82"/>
  <c r="I17" i="82"/>
  <c r="H17" i="82"/>
  <c r="G17" i="82"/>
  <c r="F17" i="82"/>
  <c r="E17" i="82"/>
  <c r="D17" i="82"/>
  <c r="C17" i="82"/>
  <c r="B17" i="82"/>
  <c r="A17" i="82"/>
  <c r="K16" i="82"/>
  <c r="J16" i="82"/>
  <c r="I16" i="82"/>
  <c r="H16" i="82"/>
  <c r="G16" i="82"/>
  <c r="F16" i="82"/>
  <c r="E16" i="82"/>
  <c r="D16" i="82"/>
  <c r="C16" i="82"/>
  <c r="B16" i="82"/>
  <c r="A16" i="82"/>
  <c r="K15" i="82"/>
  <c r="J15" i="82"/>
  <c r="I15" i="82"/>
  <c r="H15" i="82"/>
  <c r="G15" i="82"/>
  <c r="F15" i="82"/>
  <c r="E15" i="82"/>
  <c r="D15" i="82"/>
  <c r="C15" i="82"/>
  <c r="B15" i="82"/>
  <c r="A15" i="82"/>
  <c r="K14" i="82"/>
  <c r="J14" i="82"/>
  <c r="I14" i="82"/>
  <c r="H14" i="82"/>
  <c r="G14" i="82"/>
  <c r="F14" i="82"/>
  <c r="E14" i="82"/>
  <c r="D14" i="82"/>
  <c r="C14" i="82"/>
  <c r="B14" i="82"/>
  <c r="A14" i="82"/>
  <c r="K13" i="82"/>
  <c r="J13" i="82"/>
  <c r="I13" i="82"/>
  <c r="H13" i="82"/>
  <c r="G13" i="82"/>
  <c r="F13" i="82"/>
  <c r="E13" i="82"/>
  <c r="D13" i="82"/>
  <c r="C13" i="82"/>
  <c r="B13" i="82"/>
  <c r="A13" i="82"/>
  <c r="K12" i="82"/>
  <c r="J12" i="82"/>
  <c r="I12" i="82"/>
  <c r="H12" i="82"/>
  <c r="G12" i="82"/>
  <c r="F12" i="82"/>
  <c r="E12" i="82"/>
  <c r="D12" i="82"/>
  <c r="C12" i="82"/>
  <c r="B12" i="82"/>
  <c r="A12" i="82"/>
  <c r="K80" i="81"/>
  <c r="K79" i="81"/>
  <c r="K78" i="81"/>
  <c r="K77" i="81"/>
  <c r="K76" i="81"/>
  <c r="K75" i="81"/>
  <c r="K74" i="81"/>
  <c r="K73" i="81"/>
  <c r="K72" i="81"/>
  <c r="K71" i="81"/>
  <c r="K70" i="81"/>
  <c r="K69" i="81"/>
  <c r="K68" i="81"/>
  <c r="K67" i="81"/>
  <c r="K66" i="81"/>
  <c r="J66" i="81"/>
  <c r="I66" i="81"/>
  <c r="H66" i="81"/>
  <c r="G66" i="81"/>
  <c r="F66" i="81"/>
  <c r="E66" i="81"/>
  <c r="D66" i="81"/>
  <c r="C66" i="81"/>
  <c r="B66" i="81"/>
  <c r="A66" i="81"/>
  <c r="K65" i="81"/>
  <c r="J65" i="81"/>
  <c r="I65" i="81"/>
  <c r="H65" i="81"/>
  <c r="G65" i="81"/>
  <c r="F65" i="81"/>
  <c r="E65" i="81"/>
  <c r="D65" i="81"/>
  <c r="C65" i="81"/>
  <c r="B65" i="81"/>
  <c r="A65" i="81"/>
  <c r="K64" i="81"/>
  <c r="J64" i="81"/>
  <c r="I64" i="81"/>
  <c r="H64" i="81"/>
  <c r="G64" i="81"/>
  <c r="F64" i="81"/>
  <c r="E64" i="81"/>
  <c r="D64" i="81"/>
  <c r="C64" i="81"/>
  <c r="B64" i="81"/>
  <c r="A64" i="81"/>
  <c r="K63" i="81"/>
  <c r="J63" i="81"/>
  <c r="I63" i="81"/>
  <c r="H63" i="81"/>
  <c r="G63" i="81"/>
  <c r="F63" i="81"/>
  <c r="E63" i="81"/>
  <c r="D63" i="81"/>
  <c r="C63" i="81"/>
  <c r="B63" i="81"/>
  <c r="A63" i="81"/>
  <c r="K62" i="81"/>
  <c r="J62" i="81"/>
  <c r="I62" i="81"/>
  <c r="H62" i="81"/>
  <c r="G62" i="81"/>
  <c r="F62" i="81"/>
  <c r="E62" i="81"/>
  <c r="D62" i="81"/>
  <c r="C62" i="81"/>
  <c r="B62" i="81"/>
  <c r="A62" i="81"/>
  <c r="K61" i="81"/>
  <c r="J61" i="81"/>
  <c r="I61" i="81"/>
  <c r="H61" i="81"/>
  <c r="G61" i="81"/>
  <c r="F61" i="81"/>
  <c r="E61" i="81"/>
  <c r="D61" i="81"/>
  <c r="C61" i="81"/>
  <c r="B61" i="81"/>
  <c r="A61" i="81"/>
  <c r="K60" i="81"/>
  <c r="J60" i="81"/>
  <c r="I60" i="81"/>
  <c r="H60" i="81"/>
  <c r="G60" i="81"/>
  <c r="F60" i="81"/>
  <c r="E60" i="81"/>
  <c r="D60" i="81"/>
  <c r="C60" i="81"/>
  <c r="B60" i="81"/>
  <c r="A60" i="81"/>
  <c r="K59" i="81"/>
  <c r="J59" i="81"/>
  <c r="I59" i="81"/>
  <c r="H59" i="81"/>
  <c r="G59" i="81"/>
  <c r="F59" i="81"/>
  <c r="E59" i="81"/>
  <c r="D59" i="81"/>
  <c r="C59" i="81"/>
  <c r="B59" i="81"/>
  <c r="A59" i="81"/>
  <c r="K58" i="81"/>
  <c r="J58" i="81"/>
  <c r="I58" i="81"/>
  <c r="H58" i="81"/>
  <c r="G58" i="81"/>
  <c r="F58" i="81"/>
  <c r="E58" i="81"/>
  <c r="D58" i="81"/>
  <c r="C58" i="81"/>
  <c r="B58" i="81"/>
  <c r="A58" i="81"/>
  <c r="K57" i="81"/>
  <c r="J57" i="81"/>
  <c r="I57" i="81"/>
  <c r="H57" i="81"/>
  <c r="G57" i="81"/>
  <c r="F57" i="81"/>
  <c r="E57" i="81"/>
  <c r="D57" i="81"/>
  <c r="C57" i="81"/>
  <c r="B57" i="81"/>
  <c r="A57" i="81"/>
  <c r="K56" i="81"/>
  <c r="J56" i="81"/>
  <c r="I56" i="81"/>
  <c r="H56" i="81"/>
  <c r="G56" i="81"/>
  <c r="F56" i="81"/>
  <c r="E56" i="81"/>
  <c r="D56" i="81"/>
  <c r="C56" i="81"/>
  <c r="B56" i="81"/>
  <c r="A56" i="81"/>
  <c r="K55" i="81"/>
  <c r="J55" i="81"/>
  <c r="I55" i="81"/>
  <c r="H55" i="81"/>
  <c r="G55" i="81"/>
  <c r="F55" i="81"/>
  <c r="E55" i="81"/>
  <c r="D55" i="81"/>
  <c r="C55" i="81"/>
  <c r="B55" i="81"/>
  <c r="A55" i="81"/>
  <c r="K54" i="81"/>
  <c r="J54" i="81"/>
  <c r="I54" i="81"/>
  <c r="H54" i="81"/>
  <c r="G54" i="81"/>
  <c r="F54" i="81"/>
  <c r="E54" i="81"/>
  <c r="D54" i="81"/>
  <c r="C54" i="81"/>
  <c r="B54" i="81"/>
  <c r="A54" i="81"/>
  <c r="K53" i="81"/>
  <c r="J53" i="81"/>
  <c r="I53" i="81"/>
  <c r="H53" i="81"/>
  <c r="G53" i="81"/>
  <c r="F53" i="81"/>
  <c r="E53" i="81"/>
  <c r="D53" i="81"/>
  <c r="C53" i="81"/>
  <c r="B53" i="81"/>
  <c r="A53" i="81"/>
  <c r="K52" i="81"/>
  <c r="J52" i="81"/>
  <c r="I52" i="81"/>
  <c r="H52" i="81"/>
  <c r="G52" i="81"/>
  <c r="F52" i="81"/>
  <c r="E52" i="81"/>
  <c r="D52" i="81"/>
  <c r="C52" i="81"/>
  <c r="B52" i="81"/>
  <c r="A52" i="81"/>
  <c r="K51" i="81"/>
  <c r="J51" i="81"/>
  <c r="I51" i="81"/>
  <c r="H51" i="81"/>
  <c r="G51" i="81"/>
  <c r="F51" i="81"/>
  <c r="E51" i="81"/>
  <c r="D51" i="81"/>
  <c r="C51" i="81"/>
  <c r="B51" i="81"/>
  <c r="A51" i="81"/>
  <c r="K50" i="81"/>
  <c r="J50" i="81"/>
  <c r="I50" i="81"/>
  <c r="H50" i="81"/>
  <c r="G50" i="81"/>
  <c r="F50" i="81"/>
  <c r="E50" i="81"/>
  <c r="D50" i="81"/>
  <c r="C50" i="81"/>
  <c r="B50" i="81"/>
  <c r="A50" i="81"/>
  <c r="K49" i="81"/>
  <c r="J49" i="81"/>
  <c r="I49" i="81"/>
  <c r="H49" i="81"/>
  <c r="G49" i="81"/>
  <c r="F49" i="81"/>
  <c r="E49" i="81"/>
  <c r="D49" i="81"/>
  <c r="C49" i="81"/>
  <c r="B49" i="81"/>
  <c r="A49" i="81"/>
  <c r="K48" i="81"/>
  <c r="J48" i="81"/>
  <c r="I48" i="81"/>
  <c r="H48" i="81"/>
  <c r="G48" i="81"/>
  <c r="F48" i="81"/>
  <c r="E48" i="81"/>
  <c r="D48" i="81"/>
  <c r="C48" i="81"/>
  <c r="B48" i="81"/>
  <c r="A48" i="81"/>
  <c r="K47" i="81"/>
  <c r="J47" i="81"/>
  <c r="I47" i="81"/>
  <c r="H47" i="81"/>
  <c r="G47" i="81"/>
  <c r="F47" i="81"/>
  <c r="E47" i="81"/>
  <c r="D47" i="81"/>
  <c r="C47" i="81"/>
  <c r="B47" i="81"/>
  <c r="A47" i="81"/>
  <c r="K46" i="81"/>
  <c r="J46" i="81"/>
  <c r="I46" i="81"/>
  <c r="H46" i="81"/>
  <c r="G46" i="81"/>
  <c r="F46" i="81"/>
  <c r="E46" i="81"/>
  <c r="D46" i="81"/>
  <c r="C46" i="81"/>
  <c r="B46" i="81"/>
  <c r="A46" i="81"/>
  <c r="K45" i="81"/>
  <c r="J45" i="81"/>
  <c r="I45" i="81"/>
  <c r="H45" i="81"/>
  <c r="G45" i="81"/>
  <c r="F45" i="81"/>
  <c r="E45" i="81"/>
  <c r="D45" i="81"/>
  <c r="C45" i="81"/>
  <c r="B45" i="81"/>
  <c r="A45" i="81"/>
  <c r="K44" i="81"/>
  <c r="J44" i="81"/>
  <c r="I44" i="81"/>
  <c r="H44" i="81"/>
  <c r="G44" i="81"/>
  <c r="F44" i="81"/>
  <c r="E44" i="81"/>
  <c r="D44" i="81"/>
  <c r="C44" i="81"/>
  <c r="B44" i="81"/>
  <c r="A44" i="81"/>
  <c r="K43" i="81"/>
  <c r="J43" i="81"/>
  <c r="I43" i="81"/>
  <c r="H43" i="81"/>
  <c r="G43" i="81"/>
  <c r="F43" i="81"/>
  <c r="E43" i="81"/>
  <c r="D43" i="81"/>
  <c r="C43" i="81"/>
  <c r="B43" i="81"/>
  <c r="A43" i="81"/>
  <c r="K42" i="81"/>
  <c r="J42" i="81"/>
  <c r="I42" i="81"/>
  <c r="H42" i="81"/>
  <c r="G42" i="81"/>
  <c r="F42" i="81"/>
  <c r="E42" i="81"/>
  <c r="D42" i="81"/>
  <c r="C42" i="81"/>
  <c r="B42" i="81"/>
  <c r="A42" i="81"/>
  <c r="K41" i="81"/>
  <c r="J41" i="81"/>
  <c r="I41" i="81"/>
  <c r="H41" i="81"/>
  <c r="G41" i="81"/>
  <c r="F41" i="81"/>
  <c r="E41" i="81"/>
  <c r="D41" i="81"/>
  <c r="C41" i="81"/>
  <c r="B41" i="81"/>
  <c r="A41" i="81"/>
  <c r="K40" i="81"/>
  <c r="J40" i="81"/>
  <c r="I40" i="81"/>
  <c r="H40" i="81"/>
  <c r="G40" i="81"/>
  <c r="F40" i="81"/>
  <c r="E40" i="81"/>
  <c r="D40" i="81"/>
  <c r="C40" i="81"/>
  <c r="B40" i="81"/>
  <c r="A40" i="81"/>
  <c r="K39" i="81"/>
  <c r="J39" i="81"/>
  <c r="I39" i="81"/>
  <c r="H39" i="81"/>
  <c r="G39" i="81"/>
  <c r="F39" i="81"/>
  <c r="E39" i="81"/>
  <c r="D39" i="81"/>
  <c r="C39" i="81"/>
  <c r="B39" i="81"/>
  <c r="A39" i="81"/>
  <c r="K38" i="81"/>
  <c r="J38" i="81"/>
  <c r="I38" i="81"/>
  <c r="H38" i="81"/>
  <c r="G38" i="81"/>
  <c r="F38" i="81"/>
  <c r="E38" i="81"/>
  <c r="D38" i="81"/>
  <c r="C38" i="81"/>
  <c r="B38" i="81"/>
  <c r="A38" i="81"/>
  <c r="K37" i="81"/>
  <c r="J37" i="81"/>
  <c r="I37" i="81"/>
  <c r="H37" i="81"/>
  <c r="G37" i="81"/>
  <c r="F37" i="81"/>
  <c r="E37" i="81"/>
  <c r="D37" i="81"/>
  <c r="C37" i="81"/>
  <c r="B37" i="81"/>
  <c r="A37" i="81"/>
  <c r="K36" i="81"/>
  <c r="J36" i="81"/>
  <c r="I36" i="81"/>
  <c r="H36" i="81"/>
  <c r="G36" i="81"/>
  <c r="F36" i="81"/>
  <c r="E36" i="81"/>
  <c r="D36" i="81"/>
  <c r="C36" i="81"/>
  <c r="B36" i="81"/>
  <c r="A36" i="81"/>
  <c r="K35" i="81"/>
  <c r="J35" i="81"/>
  <c r="I35" i="81"/>
  <c r="H35" i="81"/>
  <c r="G35" i="81"/>
  <c r="F35" i="81"/>
  <c r="E35" i="81"/>
  <c r="D35" i="81"/>
  <c r="C35" i="81"/>
  <c r="B35" i="81"/>
  <c r="A35" i="81"/>
  <c r="K34" i="81"/>
  <c r="J34" i="81"/>
  <c r="I34" i="81"/>
  <c r="H34" i="81"/>
  <c r="G34" i="81"/>
  <c r="F34" i="81"/>
  <c r="E34" i="81"/>
  <c r="D34" i="81"/>
  <c r="C34" i="81"/>
  <c r="B34" i="81"/>
  <c r="A34" i="81"/>
  <c r="K33" i="81"/>
  <c r="J33" i="81"/>
  <c r="I33" i="81"/>
  <c r="H33" i="81"/>
  <c r="G33" i="81"/>
  <c r="F33" i="81"/>
  <c r="E33" i="81"/>
  <c r="D33" i="81"/>
  <c r="C33" i="81"/>
  <c r="B33" i="81"/>
  <c r="A33" i="81"/>
  <c r="K32" i="81"/>
  <c r="J32" i="81"/>
  <c r="I32" i="81"/>
  <c r="H32" i="81"/>
  <c r="G32" i="81"/>
  <c r="F32" i="81"/>
  <c r="E32" i="81"/>
  <c r="D32" i="81"/>
  <c r="C32" i="81"/>
  <c r="B32" i="81"/>
  <c r="A32" i="81"/>
  <c r="K31" i="81"/>
  <c r="J31" i="81"/>
  <c r="I31" i="81"/>
  <c r="H31" i="81"/>
  <c r="G31" i="81"/>
  <c r="F31" i="81"/>
  <c r="E31" i="81"/>
  <c r="D31" i="81"/>
  <c r="C31" i="81"/>
  <c r="B31" i="81"/>
  <c r="A31" i="81"/>
  <c r="K30" i="81"/>
  <c r="J30" i="81"/>
  <c r="I30" i="81"/>
  <c r="H30" i="81"/>
  <c r="G30" i="81"/>
  <c r="F30" i="81"/>
  <c r="E30" i="81"/>
  <c r="D30" i="81"/>
  <c r="C30" i="81"/>
  <c r="B30" i="81"/>
  <c r="A30" i="81"/>
  <c r="K29" i="81"/>
  <c r="J29" i="81"/>
  <c r="I29" i="81"/>
  <c r="H29" i="81"/>
  <c r="G29" i="81"/>
  <c r="F29" i="81"/>
  <c r="E29" i="81"/>
  <c r="D29" i="81"/>
  <c r="C29" i="81"/>
  <c r="B29" i="81"/>
  <c r="A29" i="81"/>
  <c r="K28" i="81"/>
  <c r="J28" i="81"/>
  <c r="I28" i="81"/>
  <c r="H28" i="81"/>
  <c r="G28" i="81"/>
  <c r="F28" i="81"/>
  <c r="E28" i="81"/>
  <c r="D28" i="81"/>
  <c r="C28" i="81"/>
  <c r="B28" i="81"/>
  <c r="A28" i="81"/>
  <c r="K27" i="81"/>
  <c r="J27" i="81"/>
  <c r="I27" i="81"/>
  <c r="H27" i="81"/>
  <c r="G27" i="81"/>
  <c r="F27" i="81"/>
  <c r="E27" i="81"/>
  <c r="D27" i="81"/>
  <c r="C27" i="81"/>
  <c r="B27" i="81"/>
  <c r="A27" i="81"/>
  <c r="K26" i="81"/>
  <c r="J26" i="81"/>
  <c r="I26" i="81"/>
  <c r="H26" i="81"/>
  <c r="G26" i="81"/>
  <c r="F26" i="81"/>
  <c r="E26" i="81"/>
  <c r="D26" i="81"/>
  <c r="C26" i="81"/>
  <c r="B26" i="81"/>
  <c r="A26" i="81"/>
  <c r="K25" i="81"/>
  <c r="J25" i="81"/>
  <c r="I25" i="81"/>
  <c r="H25" i="81"/>
  <c r="G25" i="81"/>
  <c r="F25" i="81"/>
  <c r="E25" i="81"/>
  <c r="D25" i="81"/>
  <c r="C25" i="81"/>
  <c r="B25" i="81"/>
  <c r="A25" i="81"/>
  <c r="K24" i="81"/>
  <c r="J24" i="81"/>
  <c r="I24" i="81"/>
  <c r="H24" i="81"/>
  <c r="G24" i="81"/>
  <c r="F24" i="81"/>
  <c r="E24" i="81"/>
  <c r="D24" i="81"/>
  <c r="C24" i="81"/>
  <c r="B24" i="81"/>
  <c r="A24" i="81"/>
  <c r="K23" i="81"/>
  <c r="J23" i="81"/>
  <c r="I23" i="81"/>
  <c r="H23" i="81"/>
  <c r="G23" i="81"/>
  <c r="F23" i="81"/>
  <c r="E23" i="81"/>
  <c r="D23" i="81"/>
  <c r="C23" i="81"/>
  <c r="B23" i="81"/>
  <c r="A23" i="81"/>
  <c r="K22" i="81"/>
  <c r="J22" i="81"/>
  <c r="I22" i="81"/>
  <c r="H22" i="81"/>
  <c r="G22" i="81"/>
  <c r="F22" i="81"/>
  <c r="E22" i="81"/>
  <c r="D22" i="81"/>
  <c r="C22" i="81"/>
  <c r="B22" i="81"/>
  <c r="A22" i="81"/>
  <c r="K21" i="81"/>
  <c r="J21" i="81"/>
  <c r="I21" i="81"/>
  <c r="H21" i="81"/>
  <c r="G21" i="81"/>
  <c r="F21" i="81"/>
  <c r="E21" i="81"/>
  <c r="D21" i="81"/>
  <c r="C21" i="81"/>
  <c r="B21" i="81"/>
  <c r="A21" i="81"/>
  <c r="K20" i="81"/>
  <c r="J20" i="81"/>
  <c r="I20" i="81"/>
  <c r="H20" i="81"/>
  <c r="G20" i="81"/>
  <c r="F20" i="81"/>
  <c r="E20" i="81"/>
  <c r="D20" i="81"/>
  <c r="C20" i="81"/>
  <c r="B20" i="81"/>
  <c r="A20" i="81"/>
  <c r="K19" i="81"/>
  <c r="J19" i="81"/>
  <c r="I19" i="81"/>
  <c r="H19" i="81"/>
  <c r="G19" i="81"/>
  <c r="F19" i="81"/>
  <c r="E19" i="81"/>
  <c r="D19" i="81"/>
  <c r="C19" i="81"/>
  <c r="B19" i="81"/>
  <c r="A19" i="81"/>
  <c r="K18" i="81"/>
  <c r="J18" i="81"/>
  <c r="I18" i="81"/>
  <c r="H18" i="81"/>
  <c r="G18" i="81"/>
  <c r="F18" i="81"/>
  <c r="E18" i="81"/>
  <c r="D18" i="81"/>
  <c r="C18" i="81"/>
  <c r="B18" i="81"/>
  <c r="A18" i="81"/>
  <c r="K17" i="81"/>
  <c r="J17" i="81"/>
  <c r="I17" i="81"/>
  <c r="H17" i="81"/>
  <c r="G17" i="81"/>
  <c r="F17" i="81"/>
  <c r="E17" i="81"/>
  <c r="D17" i="81"/>
  <c r="C17" i="81"/>
  <c r="B17" i="81"/>
  <c r="A17" i="81"/>
  <c r="K16" i="81"/>
  <c r="J16" i="81"/>
  <c r="I16" i="81"/>
  <c r="H16" i="81"/>
  <c r="G16" i="81"/>
  <c r="F16" i="81"/>
  <c r="E16" i="81"/>
  <c r="D16" i="81"/>
  <c r="C16" i="81"/>
  <c r="B16" i="81"/>
  <c r="A16" i="81"/>
  <c r="K15" i="81"/>
  <c r="J15" i="81"/>
  <c r="I15" i="81"/>
  <c r="H15" i="81"/>
  <c r="G15" i="81"/>
  <c r="F15" i="81"/>
  <c r="E15" i="81"/>
  <c r="D15" i="81"/>
  <c r="C15" i="81"/>
  <c r="B15" i="81"/>
  <c r="A15" i="81"/>
  <c r="K14" i="81"/>
  <c r="J14" i="81"/>
  <c r="I14" i="81"/>
  <c r="H14" i="81"/>
  <c r="G14" i="81"/>
  <c r="F14" i="81"/>
  <c r="E14" i="81"/>
  <c r="D14" i="81"/>
  <c r="C14" i="81"/>
  <c r="B14" i="81"/>
  <c r="A14" i="81"/>
  <c r="K13" i="81"/>
  <c r="J13" i="81"/>
  <c r="I13" i="81"/>
  <c r="H13" i="81"/>
  <c r="G13" i="81"/>
  <c r="F13" i="81"/>
  <c r="E13" i="81"/>
  <c r="D13" i="81"/>
  <c r="C13" i="81"/>
  <c r="B13" i="81"/>
  <c r="A13" i="81"/>
  <c r="K12" i="81"/>
  <c r="J12" i="81"/>
  <c r="I12" i="81"/>
  <c r="H12" i="81"/>
  <c r="G12" i="81"/>
  <c r="F12" i="81"/>
  <c r="E12" i="81"/>
  <c r="D12" i="81"/>
  <c r="C12" i="81"/>
  <c r="B12" i="81"/>
  <c r="A12" i="81"/>
  <c r="K80" i="80"/>
  <c r="K79" i="80"/>
  <c r="K78" i="80"/>
  <c r="K77" i="80"/>
  <c r="K76" i="80"/>
  <c r="K75" i="80"/>
  <c r="K74" i="80"/>
  <c r="K73" i="80"/>
  <c r="K72" i="80"/>
  <c r="K71" i="80"/>
  <c r="K70" i="80"/>
  <c r="K69" i="80"/>
  <c r="K68" i="80"/>
  <c r="K67" i="80"/>
  <c r="K66" i="80"/>
  <c r="K65" i="80"/>
  <c r="K64" i="80"/>
  <c r="K63" i="80"/>
  <c r="K62" i="80"/>
  <c r="K61" i="80"/>
  <c r="K60" i="80"/>
  <c r="K59" i="80"/>
  <c r="K58" i="80"/>
  <c r="K57" i="80"/>
  <c r="K56" i="80"/>
  <c r="K55" i="80"/>
  <c r="K54" i="80"/>
  <c r="K53" i="80"/>
  <c r="K52" i="80"/>
  <c r="K51" i="80"/>
  <c r="K50" i="80"/>
  <c r="K49" i="80"/>
  <c r="K48" i="80"/>
  <c r="K47" i="80"/>
  <c r="K46" i="80"/>
  <c r="K45" i="80"/>
  <c r="K44" i="80"/>
  <c r="K43" i="80"/>
  <c r="K42" i="80"/>
  <c r="K41" i="80"/>
  <c r="K40" i="80"/>
  <c r="K39" i="80"/>
  <c r="K38" i="80"/>
  <c r="K37" i="80"/>
  <c r="K36" i="80"/>
  <c r="K35" i="80"/>
  <c r="K34" i="80"/>
  <c r="K33" i="80"/>
  <c r="K32" i="80"/>
  <c r="K31" i="80"/>
  <c r="K30" i="80"/>
  <c r="K29" i="80"/>
  <c r="K28" i="80"/>
  <c r="K27" i="80"/>
  <c r="K26" i="80"/>
  <c r="K25" i="80"/>
  <c r="K24" i="80"/>
  <c r="J24" i="80"/>
  <c r="I24" i="80"/>
  <c r="H24" i="80"/>
  <c r="G24" i="80"/>
  <c r="F24" i="80"/>
  <c r="E24" i="80"/>
  <c r="D24" i="80"/>
  <c r="C24" i="80"/>
  <c r="B24" i="80"/>
  <c r="A24" i="80"/>
  <c r="K23" i="80"/>
  <c r="J23" i="80"/>
  <c r="I23" i="80"/>
  <c r="H23" i="80"/>
  <c r="G23" i="80"/>
  <c r="F23" i="80"/>
  <c r="E23" i="80"/>
  <c r="D23" i="80"/>
  <c r="C23" i="80"/>
  <c r="B23" i="80"/>
  <c r="A23" i="80"/>
  <c r="K22" i="80"/>
  <c r="J22" i="80"/>
  <c r="I22" i="80"/>
  <c r="H22" i="80"/>
  <c r="G22" i="80"/>
  <c r="F22" i="80"/>
  <c r="E22" i="80"/>
  <c r="D22" i="80"/>
  <c r="C22" i="80"/>
  <c r="B22" i="80"/>
  <c r="A22" i="80"/>
  <c r="K21" i="80"/>
  <c r="J21" i="80"/>
  <c r="I21" i="80"/>
  <c r="H21" i="80"/>
  <c r="G21" i="80"/>
  <c r="F21" i="80"/>
  <c r="E21" i="80"/>
  <c r="D21" i="80"/>
  <c r="C21" i="80"/>
  <c r="B21" i="80"/>
  <c r="A21" i="80"/>
  <c r="K20" i="80"/>
  <c r="J20" i="80"/>
  <c r="I20" i="80"/>
  <c r="H20" i="80"/>
  <c r="G20" i="80"/>
  <c r="F20" i="80"/>
  <c r="E20" i="80"/>
  <c r="D20" i="80"/>
  <c r="C20" i="80"/>
  <c r="B20" i="80"/>
  <c r="A20" i="80"/>
  <c r="K19" i="80"/>
  <c r="J19" i="80"/>
  <c r="I19" i="80"/>
  <c r="H19" i="80"/>
  <c r="G19" i="80"/>
  <c r="F19" i="80"/>
  <c r="E19" i="80"/>
  <c r="D19" i="80"/>
  <c r="C19" i="80"/>
  <c r="B19" i="80"/>
  <c r="A19" i="80"/>
  <c r="K18" i="80"/>
  <c r="J18" i="80"/>
  <c r="I18" i="80"/>
  <c r="H18" i="80"/>
  <c r="G18" i="80"/>
  <c r="F18" i="80"/>
  <c r="E18" i="80"/>
  <c r="D18" i="80"/>
  <c r="C18" i="80"/>
  <c r="B18" i="80"/>
  <c r="A18" i="80"/>
  <c r="K17" i="80"/>
  <c r="J17" i="80"/>
  <c r="I17" i="80"/>
  <c r="H17" i="80"/>
  <c r="G17" i="80"/>
  <c r="F17" i="80"/>
  <c r="E17" i="80"/>
  <c r="D17" i="80"/>
  <c r="C17" i="80"/>
  <c r="B17" i="80"/>
  <c r="A17" i="80"/>
  <c r="K16" i="80"/>
  <c r="J16" i="80"/>
  <c r="I16" i="80"/>
  <c r="H16" i="80"/>
  <c r="G16" i="80"/>
  <c r="F16" i="80"/>
  <c r="E16" i="80"/>
  <c r="D16" i="80"/>
  <c r="C16" i="80"/>
  <c r="B16" i="80"/>
  <c r="A16" i="80"/>
  <c r="K15" i="80"/>
  <c r="J15" i="80"/>
  <c r="I15" i="80"/>
  <c r="H15" i="80"/>
  <c r="G15" i="80"/>
  <c r="F15" i="80"/>
  <c r="E15" i="80"/>
  <c r="D15" i="80"/>
  <c r="C15" i="80"/>
  <c r="B15" i="80"/>
  <c r="A15" i="80"/>
  <c r="K14" i="80"/>
  <c r="J14" i="80"/>
  <c r="I14" i="80"/>
  <c r="H14" i="80"/>
  <c r="G14" i="80"/>
  <c r="F14" i="80"/>
  <c r="E14" i="80"/>
  <c r="D14" i="80"/>
  <c r="C14" i="80"/>
  <c r="B14" i="80"/>
  <c r="A14" i="80"/>
  <c r="K13" i="80"/>
  <c r="J13" i="80"/>
  <c r="I13" i="80"/>
  <c r="H13" i="80"/>
  <c r="G13" i="80"/>
  <c r="F13" i="80"/>
  <c r="E13" i="80"/>
  <c r="D13" i="80"/>
  <c r="C13" i="80"/>
  <c r="B13" i="80"/>
  <c r="A13" i="80"/>
  <c r="K12" i="80"/>
  <c r="J12" i="80"/>
  <c r="I12" i="80"/>
  <c r="H12" i="80"/>
  <c r="G12" i="80"/>
  <c r="F12" i="80"/>
  <c r="E12" i="80"/>
  <c r="D12" i="80"/>
  <c r="C12" i="80"/>
  <c r="B12" i="80"/>
  <c r="A12" i="80"/>
  <c r="K80" i="79"/>
  <c r="K79" i="79"/>
  <c r="K78" i="79"/>
  <c r="K77" i="79"/>
  <c r="K76" i="79"/>
  <c r="K75" i="79"/>
  <c r="K74" i="79"/>
  <c r="K73" i="79"/>
  <c r="K72" i="79"/>
  <c r="K71" i="79"/>
  <c r="K70" i="79"/>
  <c r="K69" i="79"/>
  <c r="K68" i="79"/>
  <c r="K67" i="79"/>
  <c r="K66" i="79"/>
  <c r="K65" i="79"/>
  <c r="K64" i="79"/>
  <c r="K63" i="79"/>
  <c r="K62" i="79"/>
  <c r="K61" i="79"/>
  <c r="K60" i="79"/>
  <c r="K59" i="79"/>
  <c r="K58" i="79"/>
  <c r="K57" i="79"/>
  <c r="K56" i="79"/>
  <c r="K55" i="79"/>
  <c r="K54" i="79"/>
  <c r="K53" i="79"/>
  <c r="K52" i="79"/>
  <c r="K51" i="79"/>
  <c r="K50" i="79"/>
  <c r="K49" i="79"/>
  <c r="K48" i="79"/>
  <c r="K47" i="79"/>
  <c r="K46" i="79"/>
  <c r="K45" i="79"/>
  <c r="K44" i="79"/>
  <c r="K43" i="79"/>
  <c r="K42" i="79"/>
  <c r="K41" i="79"/>
  <c r="K40" i="79"/>
  <c r="K39" i="79"/>
  <c r="K38" i="79"/>
  <c r="K37" i="79"/>
  <c r="K36" i="79"/>
  <c r="K35" i="79"/>
  <c r="K34" i="79"/>
  <c r="K33" i="79"/>
  <c r="K32" i="79"/>
  <c r="K31" i="79"/>
  <c r="K30" i="79"/>
  <c r="K29" i="79"/>
  <c r="K28" i="79"/>
  <c r="K27" i="79"/>
  <c r="K26" i="79"/>
  <c r="I23" i="79"/>
  <c r="I22" i="79"/>
  <c r="I21" i="79"/>
  <c r="I20" i="79"/>
  <c r="I19" i="79"/>
  <c r="I18" i="79"/>
  <c r="I17" i="79"/>
  <c r="I16" i="79"/>
  <c r="I15" i="79"/>
  <c r="K14" i="79"/>
  <c r="J14" i="79"/>
  <c r="I14" i="79"/>
  <c r="H14" i="79"/>
  <c r="G14" i="79"/>
  <c r="E14" i="79"/>
  <c r="D14" i="79"/>
  <c r="C14" i="79"/>
  <c r="B14" i="79"/>
  <c r="A14" i="79"/>
  <c r="J13" i="79"/>
  <c r="I13" i="79"/>
  <c r="H13" i="79"/>
  <c r="G13" i="79"/>
  <c r="E13" i="79"/>
  <c r="D13" i="79"/>
  <c r="C13" i="79"/>
  <c r="B13" i="79"/>
  <c r="A13" i="79"/>
  <c r="K12" i="79"/>
  <c r="J12" i="79"/>
  <c r="I12" i="79"/>
  <c r="H12" i="79"/>
  <c r="G12" i="79"/>
  <c r="F12" i="79"/>
  <c r="E12" i="79"/>
  <c r="D12" i="79"/>
  <c r="C12" i="79"/>
  <c r="B12" i="79"/>
  <c r="A12" i="79"/>
  <c r="K80" i="78"/>
  <c r="K79" i="78"/>
  <c r="K78" i="78"/>
  <c r="K77" i="78"/>
  <c r="K76" i="78"/>
  <c r="K75" i="78"/>
  <c r="K74" i="78"/>
  <c r="K73" i="78"/>
  <c r="K72" i="78"/>
  <c r="K71" i="78"/>
  <c r="K70" i="78"/>
  <c r="K69" i="78"/>
  <c r="K68" i="78"/>
  <c r="K67" i="78"/>
  <c r="K66" i="78"/>
  <c r="K65" i="78"/>
  <c r="K64" i="78"/>
  <c r="K63" i="78"/>
  <c r="K62" i="78"/>
  <c r="K61" i="78"/>
  <c r="K60" i="78"/>
  <c r="K59" i="78"/>
  <c r="K58" i="78"/>
  <c r="K57" i="78"/>
  <c r="K56" i="78"/>
  <c r="K55" i="78"/>
  <c r="K54" i="78"/>
  <c r="K53" i="78"/>
  <c r="K52" i="78"/>
  <c r="K51" i="78"/>
  <c r="K50" i="78"/>
  <c r="K49" i="78"/>
  <c r="K48" i="78"/>
  <c r="K47" i="78"/>
  <c r="K46" i="78"/>
  <c r="K45" i="78"/>
  <c r="K44" i="78"/>
  <c r="K43" i="78"/>
  <c r="K42" i="78"/>
  <c r="K41" i="78"/>
  <c r="K40" i="78"/>
  <c r="K39" i="78"/>
  <c r="K38" i="78"/>
  <c r="K37" i="78"/>
  <c r="K36" i="78"/>
  <c r="K35" i="78"/>
  <c r="K34" i="78"/>
  <c r="K33" i="78"/>
  <c r="K32" i="78"/>
  <c r="K31" i="78"/>
  <c r="K30" i="78"/>
  <c r="K29" i="78"/>
  <c r="K28" i="78"/>
  <c r="K27" i="78"/>
  <c r="K26" i="78"/>
  <c r="K25" i="78"/>
  <c r="K24" i="78"/>
  <c r="J24" i="78"/>
  <c r="I24" i="78"/>
  <c r="H24" i="78"/>
  <c r="G24" i="78"/>
  <c r="F24" i="78"/>
  <c r="E24" i="78"/>
  <c r="D24" i="78"/>
  <c r="C24" i="78"/>
  <c r="B24" i="78"/>
  <c r="A24" i="78"/>
  <c r="K23" i="78"/>
  <c r="J23" i="78"/>
  <c r="I23" i="78"/>
  <c r="H23" i="78"/>
  <c r="G23" i="78"/>
  <c r="F23" i="78"/>
  <c r="E23" i="78"/>
  <c r="D23" i="78"/>
  <c r="C23" i="78"/>
  <c r="B23" i="78"/>
  <c r="A23" i="78"/>
  <c r="K22" i="78"/>
  <c r="J22" i="78"/>
  <c r="I22" i="78"/>
  <c r="H22" i="78"/>
  <c r="G22" i="78"/>
  <c r="F22" i="78"/>
  <c r="E22" i="78"/>
  <c r="D22" i="78"/>
  <c r="C22" i="78"/>
  <c r="B22" i="78"/>
  <c r="A22" i="78"/>
  <c r="K21" i="78"/>
  <c r="J21" i="78"/>
  <c r="I21" i="78"/>
  <c r="H21" i="78"/>
  <c r="G21" i="78"/>
  <c r="F21" i="78"/>
  <c r="E21" i="78"/>
  <c r="D21" i="78"/>
  <c r="C21" i="78"/>
  <c r="B21" i="78"/>
  <c r="A21" i="78"/>
  <c r="K20" i="78"/>
  <c r="J20" i="78"/>
  <c r="I20" i="78"/>
  <c r="H20" i="78"/>
  <c r="G20" i="78"/>
  <c r="F20" i="78"/>
  <c r="E20" i="78"/>
  <c r="D20" i="78"/>
  <c r="C20" i="78"/>
  <c r="B20" i="78"/>
  <c r="A20" i="78"/>
  <c r="K19" i="78"/>
  <c r="J19" i="78"/>
  <c r="I19" i="78"/>
  <c r="H19" i="78"/>
  <c r="G19" i="78"/>
  <c r="F19" i="78"/>
  <c r="E19" i="78"/>
  <c r="D19" i="78"/>
  <c r="C19" i="78"/>
  <c r="B19" i="78"/>
  <c r="A19" i="78"/>
  <c r="K18" i="78"/>
  <c r="I18" i="78"/>
  <c r="H18" i="78"/>
  <c r="G18" i="78"/>
  <c r="F18" i="78"/>
  <c r="E18" i="78"/>
  <c r="D18" i="78"/>
  <c r="C18" i="78"/>
  <c r="B18" i="78"/>
  <c r="A18" i="78"/>
  <c r="K17" i="78"/>
  <c r="J17" i="78"/>
  <c r="I17" i="78"/>
  <c r="H17" i="78"/>
  <c r="G17" i="78"/>
  <c r="F17" i="78"/>
  <c r="E17" i="78"/>
  <c r="D17" i="78"/>
  <c r="C17" i="78"/>
  <c r="B17" i="78"/>
  <c r="A17" i="78"/>
  <c r="K16" i="78"/>
  <c r="J16" i="78"/>
  <c r="I16" i="78"/>
  <c r="H16" i="78"/>
  <c r="G16" i="78"/>
  <c r="F16" i="78"/>
  <c r="E16" i="78"/>
  <c r="D16" i="78"/>
  <c r="C16" i="78"/>
  <c r="B16" i="78"/>
  <c r="A16" i="78"/>
  <c r="K15" i="78"/>
  <c r="J15" i="78"/>
  <c r="I15" i="78"/>
  <c r="H15" i="78"/>
  <c r="G15" i="78"/>
  <c r="F15" i="78"/>
  <c r="E15" i="78"/>
  <c r="D15" i="78"/>
  <c r="C15" i="78"/>
  <c r="B15" i="78"/>
  <c r="A15" i="78"/>
  <c r="K14" i="78"/>
  <c r="J14" i="78"/>
  <c r="I14" i="78"/>
  <c r="H14" i="78"/>
  <c r="G14" i="78"/>
  <c r="F14" i="78"/>
  <c r="E14" i="78"/>
  <c r="D14" i="78"/>
  <c r="C14" i="78"/>
  <c r="B14" i="78"/>
  <c r="A14" i="78"/>
  <c r="K13" i="78"/>
  <c r="J13" i="78"/>
  <c r="I13" i="78"/>
  <c r="H13" i="78"/>
  <c r="G13" i="78"/>
  <c r="F13" i="78"/>
  <c r="E13" i="78"/>
  <c r="D13" i="78"/>
  <c r="C13" i="78"/>
  <c r="B13" i="78"/>
  <c r="A13" i="78"/>
  <c r="K12" i="78"/>
  <c r="J12" i="78"/>
  <c r="I12" i="78"/>
  <c r="H12" i="78"/>
  <c r="G12" i="78"/>
  <c r="F12" i="78"/>
  <c r="E12" i="78"/>
  <c r="D12" i="78"/>
  <c r="C12" i="78"/>
  <c r="B12" i="78"/>
  <c r="A12" i="78"/>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K53" i="77"/>
  <c r="K52" i="77"/>
  <c r="K51" i="77"/>
  <c r="K50" i="77"/>
  <c r="K49" i="77"/>
  <c r="K48" i="77"/>
  <c r="K47" i="77"/>
  <c r="K46" i="77"/>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I12" i="77"/>
  <c r="G12" i="77"/>
  <c r="F12" i="77"/>
  <c r="E12" i="77"/>
  <c r="D12" i="77"/>
  <c r="A12" i="77"/>
  <c r="K80" i="76"/>
  <c r="K79" i="76"/>
  <c r="K78" i="76"/>
  <c r="K77" i="76"/>
  <c r="K76" i="76"/>
  <c r="K75" i="76"/>
  <c r="K74" i="76"/>
  <c r="K73" i="76"/>
  <c r="K72" i="76"/>
  <c r="K71" i="76"/>
  <c r="K70" i="76"/>
  <c r="K69" i="76"/>
  <c r="K68" i="76"/>
  <c r="K67" i="76"/>
  <c r="K66" i="76"/>
  <c r="K65" i="76"/>
  <c r="K64" i="76"/>
  <c r="K63" i="76"/>
  <c r="K62" i="76"/>
  <c r="K61" i="76"/>
  <c r="K60" i="76"/>
  <c r="K59" i="76"/>
  <c r="K58" i="76"/>
  <c r="K57" i="76"/>
  <c r="K56" i="76"/>
  <c r="K55" i="76"/>
  <c r="K54" i="76"/>
  <c r="K53" i="76"/>
  <c r="K52" i="76"/>
  <c r="K51" i="76"/>
  <c r="H51" i="76"/>
  <c r="G51" i="76"/>
  <c r="F51" i="76"/>
  <c r="E51" i="76"/>
  <c r="D51" i="76"/>
  <c r="C51" i="76"/>
  <c r="B51" i="76"/>
  <c r="A51" i="76"/>
  <c r="K50" i="76"/>
  <c r="H50" i="76"/>
  <c r="G50" i="76"/>
  <c r="F50" i="76"/>
  <c r="E50" i="76"/>
  <c r="D50" i="76"/>
  <c r="C50" i="76"/>
  <c r="B50" i="76"/>
  <c r="A50" i="76"/>
  <c r="K49" i="76"/>
  <c r="H49" i="76"/>
  <c r="G49" i="76"/>
  <c r="F49" i="76"/>
  <c r="E49" i="76"/>
  <c r="D49" i="76"/>
  <c r="C49" i="76"/>
  <c r="B49" i="76"/>
  <c r="A49" i="76"/>
  <c r="K48" i="76"/>
  <c r="H48" i="76"/>
  <c r="G48" i="76"/>
  <c r="F48" i="76"/>
  <c r="E48" i="76"/>
  <c r="D48" i="76"/>
  <c r="C48" i="76"/>
  <c r="B48" i="76"/>
  <c r="A48" i="76"/>
  <c r="K47" i="76"/>
  <c r="I47" i="76"/>
  <c r="H47" i="76"/>
  <c r="G47" i="76"/>
  <c r="F47" i="76"/>
  <c r="E47" i="76"/>
  <c r="D47" i="76"/>
  <c r="C47" i="76"/>
  <c r="B47" i="76"/>
  <c r="A47" i="76"/>
  <c r="K46" i="76"/>
  <c r="I46" i="76"/>
  <c r="H46" i="76"/>
  <c r="G46" i="76"/>
  <c r="F46" i="76"/>
  <c r="E46" i="76"/>
  <c r="D46" i="76"/>
  <c r="C46" i="76"/>
  <c r="B46" i="76"/>
  <c r="A46" i="76"/>
  <c r="K45" i="76"/>
  <c r="I45" i="76"/>
  <c r="H45" i="76"/>
  <c r="G45" i="76"/>
  <c r="F45" i="76"/>
  <c r="E45" i="76"/>
  <c r="D45" i="76"/>
  <c r="C45" i="76"/>
  <c r="B45" i="76"/>
  <c r="A45" i="76"/>
  <c r="K44" i="76"/>
  <c r="I44" i="76"/>
  <c r="H44" i="76"/>
  <c r="G44" i="76"/>
  <c r="F44" i="76"/>
  <c r="E44" i="76"/>
  <c r="D44" i="76"/>
  <c r="C44" i="76"/>
  <c r="B44" i="76"/>
  <c r="A44" i="76"/>
  <c r="K43" i="76"/>
  <c r="J43" i="76"/>
  <c r="I43" i="76"/>
  <c r="H43" i="76"/>
  <c r="G43" i="76"/>
  <c r="F43" i="76"/>
  <c r="E43" i="76"/>
  <c r="D43" i="76"/>
  <c r="C43" i="76"/>
  <c r="B43" i="76"/>
  <c r="A43" i="76"/>
  <c r="K42" i="76"/>
  <c r="J42" i="76"/>
  <c r="I42" i="76"/>
  <c r="H42" i="76"/>
  <c r="G42" i="76"/>
  <c r="F42" i="76"/>
  <c r="E42" i="76"/>
  <c r="D42" i="76"/>
  <c r="C42" i="76"/>
  <c r="B42" i="76"/>
  <c r="A42" i="76"/>
  <c r="K41" i="76"/>
  <c r="J41" i="76"/>
  <c r="I41" i="76"/>
  <c r="H41" i="76"/>
  <c r="G41" i="76"/>
  <c r="F41" i="76"/>
  <c r="E41" i="76"/>
  <c r="D41" i="76"/>
  <c r="C41" i="76"/>
  <c r="B41" i="76"/>
  <c r="A41" i="76"/>
  <c r="K40" i="76"/>
  <c r="J40" i="76"/>
  <c r="I40" i="76"/>
  <c r="H40" i="76"/>
  <c r="G40" i="76"/>
  <c r="F40" i="76"/>
  <c r="E40" i="76"/>
  <c r="D40" i="76"/>
  <c r="C40" i="76"/>
  <c r="B40" i="76"/>
  <c r="A40" i="76"/>
  <c r="K39" i="76"/>
  <c r="J39" i="76"/>
  <c r="I39" i="76"/>
  <c r="H39" i="76"/>
  <c r="G39" i="76"/>
  <c r="F39" i="76"/>
  <c r="E39" i="76"/>
  <c r="D39" i="76"/>
  <c r="C39" i="76"/>
  <c r="B39" i="76"/>
  <c r="A39" i="76"/>
  <c r="K38" i="76"/>
  <c r="J38" i="76"/>
  <c r="I38" i="76"/>
  <c r="H38" i="76"/>
  <c r="G38" i="76"/>
  <c r="F38" i="76"/>
  <c r="E38" i="76"/>
  <c r="D38" i="76"/>
  <c r="C38" i="76"/>
  <c r="B38" i="76"/>
  <c r="A38" i="76"/>
  <c r="K37" i="76"/>
  <c r="J37" i="76"/>
  <c r="I37" i="76"/>
  <c r="H37" i="76"/>
  <c r="G37" i="76"/>
  <c r="F37" i="76"/>
  <c r="E37" i="76"/>
  <c r="D37" i="76"/>
  <c r="C37" i="76"/>
  <c r="B37" i="76"/>
  <c r="A37" i="76"/>
  <c r="K36" i="76"/>
  <c r="J36" i="76"/>
  <c r="I36" i="76"/>
  <c r="H36" i="76"/>
  <c r="G36" i="76"/>
  <c r="F36" i="76"/>
  <c r="E36" i="76"/>
  <c r="D36" i="76"/>
  <c r="C36" i="76"/>
  <c r="B36" i="76"/>
  <c r="A36" i="76"/>
  <c r="K35" i="76"/>
  <c r="J35" i="76"/>
  <c r="I35" i="76"/>
  <c r="H35" i="76"/>
  <c r="G35" i="76"/>
  <c r="F35" i="76"/>
  <c r="E35" i="76"/>
  <c r="D35" i="76"/>
  <c r="C35" i="76"/>
  <c r="B35" i="76"/>
  <c r="A35" i="76"/>
  <c r="K34" i="76"/>
  <c r="J34" i="76"/>
  <c r="I34" i="76"/>
  <c r="H34" i="76"/>
  <c r="G34" i="76"/>
  <c r="F34" i="76"/>
  <c r="E34" i="76"/>
  <c r="D34" i="76"/>
  <c r="C34" i="76"/>
  <c r="B34" i="76"/>
  <c r="A34" i="76"/>
  <c r="K33" i="76"/>
  <c r="J33" i="76"/>
  <c r="I33" i="76"/>
  <c r="H33" i="76"/>
  <c r="G33" i="76"/>
  <c r="F33" i="76"/>
  <c r="E33" i="76"/>
  <c r="D33" i="76"/>
  <c r="C33" i="76"/>
  <c r="B33" i="76"/>
  <c r="A33" i="76"/>
  <c r="K32" i="76"/>
  <c r="J32" i="76"/>
  <c r="I32" i="76"/>
  <c r="H32" i="76"/>
  <c r="G32" i="76"/>
  <c r="F32" i="76"/>
  <c r="E32" i="76"/>
  <c r="D32" i="76"/>
  <c r="C32" i="76"/>
  <c r="B32" i="76"/>
  <c r="A32" i="76"/>
  <c r="K31" i="76"/>
  <c r="J31" i="76"/>
  <c r="I31" i="76"/>
  <c r="H31" i="76"/>
  <c r="G31" i="76"/>
  <c r="F31" i="76"/>
  <c r="E31" i="76"/>
  <c r="D31" i="76"/>
  <c r="C31" i="76"/>
  <c r="B31" i="76"/>
  <c r="A31" i="76"/>
  <c r="K30" i="76"/>
  <c r="J30" i="76"/>
  <c r="I30" i="76"/>
  <c r="H30" i="76"/>
  <c r="G30" i="76"/>
  <c r="F30" i="76"/>
  <c r="E30" i="76"/>
  <c r="D30" i="76"/>
  <c r="C30" i="76"/>
  <c r="B30" i="76"/>
  <c r="A30" i="76"/>
  <c r="K29" i="76"/>
  <c r="J29" i="76"/>
  <c r="I29" i="76"/>
  <c r="H29" i="76"/>
  <c r="G29" i="76"/>
  <c r="F29" i="76"/>
  <c r="E29" i="76"/>
  <c r="D29" i="76"/>
  <c r="C29" i="76"/>
  <c r="B29" i="76"/>
  <c r="A29" i="76"/>
  <c r="K28" i="76"/>
  <c r="J28" i="76"/>
  <c r="I28" i="76"/>
  <c r="H28" i="76"/>
  <c r="G28" i="76"/>
  <c r="F28" i="76"/>
  <c r="E28" i="76"/>
  <c r="D28" i="76"/>
  <c r="C28" i="76"/>
  <c r="B28" i="76"/>
  <c r="A28" i="76"/>
  <c r="K27" i="76"/>
  <c r="J27" i="76"/>
  <c r="I27" i="76"/>
  <c r="H27" i="76"/>
  <c r="G27" i="76"/>
  <c r="F27" i="76"/>
  <c r="E27" i="76"/>
  <c r="D27" i="76"/>
  <c r="C27" i="76"/>
  <c r="B27" i="76"/>
  <c r="A27" i="76"/>
  <c r="K26" i="76"/>
  <c r="J26" i="76"/>
  <c r="I26" i="76"/>
  <c r="H26" i="76"/>
  <c r="G26" i="76"/>
  <c r="F26" i="76"/>
  <c r="E26" i="76"/>
  <c r="D26" i="76"/>
  <c r="C26" i="76"/>
  <c r="B26" i="76"/>
  <c r="A26" i="76"/>
  <c r="K25" i="76"/>
  <c r="J25" i="76"/>
  <c r="I25" i="76"/>
  <c r="H25" i="76"/>
  <c r="G25" i="76"/>
  <c r="F25" i="76"/>
  <c r="E25" i="76"/>
  <c r="D25" i="76"/>
  <c r="C25" i="76"/>
  <c r="B25" i="76"/>
  <c r="A25" i="76"/>
  <c r="K24" i="76"/>
  <c r="J24" i="76"/>
  <c r="I24" i="76"/>
  <c r="H24" i="76"/>
  <c r="G24" i="76"/>
  <c r="F24" i="76"/>
  <c r="E24" i="76"/>
  <c r="D24" i="76"/>
  <c r="C24" i="76"/>
  <c r="B24" i="76"/>
  <c r="A24" i="76"/>
  <c r="K23" i="76"/>
  <c r="J23" i="76"/>
  <c r="I23" i="76"/>
  <c r="H23" i="76"/>
  <c r="G23" i="76"/>
  <c r="F23" i="76"/>
  <c r="E23" i="76"/>
  <c r="D23" i="76"/>
  <c r="C23" i="76"/>
  <c r="B23" i="76"/>
  <c r="A23" i="76"/>
  <c r="K22" i="76"/>
  <c r="J22" i="76"/>
  <c r="I22" i="76"/>
  <c r="H22" i="76"/>
  <c r="G22" i="76"/>
  <c r="F22" i="76"/>
  <c r="E22" i="76"/>
  <c r="D22" i="76"/>
  <c r="C22" i="76"/>
  <c r="B22" i="76"/>
  <c r="A22" i="76"/>
  <c r="K21" i="76"/>
  <c r="J21" i="76"/>
  <c r="I21" i="76"/>
  <c r="H21" i="76"/>
  <c r="G21" i="76"/>
  <c r="F21" i="76"/>
  <c r="E21" i="76"/>
  <c r="D21" i="76"/>
  <c r="C21" i="76"/>
  <c r="B21" i="76"/>
  <c r="A21" i="76"/>
  <c r="K20" i="76"/>
  <c r="J20" i="76"/>
  <c r="I20" i="76"/>
  <c r="H20" i="76"/>
  <c r="G20" i="76"/>
  <c r="F20" i="76"/>
  <c r="E20" i="76"/>
  <c r="D20" i="76"/>
  <c r="C20" i="76"/>
  <c r="B20" i="76"/>
  <c r="A20" i="76"/>
  <c r="K19" i="76"/>
  <c r="J19" i="76"/>
  <c r="I19" i="76"/>
  <c r="H19" i="76"/>
  <c r="G19" i="76"/>
  <c r="F19" i="76"/>
  <c r="E19" i="76"/>
  <c r="D19" i="76"/>
  <c r="C19" i="76"/>
  <c r="B19" i="76"/>
  <c r="A19" i="76"/>
  <c r="K18" i="76"/>
  <c r="J18" i="76"/>
  <c r="I18" i="76"/>
  <c r="H18" i="76"/>
  <c r="G18" i="76"/>
  <c r="F18" i="76"/>
  <c r="E18" i="76"/>
  <c r="D18" i="76"/>
  <c r="C18" i="76"/>
  <c r="B18" i="76"/>
  <c r="A18" i="76"/>
  <c r="K17" i="76"/>
  <c r="J17" i="76"/>
  <c r="I17" i="76"/>
  <c r="H17" i="76"/>
  <c r="G17" i="76"/>
  <c r="F17" i="76"/>
  <c r="E17" i="76"/>
  <c r="D17" i="76"/>
  <c r="C17" i="76"/>
  <c r="B17" i="76"/>
  <c r="A17" i="76"/>
  <c r="J16" i="76"/>
  <c r="I16" i="76"/>
  <c r="H16" i="76"/>
  <c r="G16" i="76"/>
  <c r="F16" i="76"/>
  <c r="E16" i="76"/>
  <c r="D16" i="76"/>
  <c r="C16" i="76"/>
  <c r="B16" i="76"/>
  <c r="A16" i="76"/>
  <c r="J15" i="76"/>
  <c r="I15" i="76"/>
  <c r="H15" i="76"/>
  <c r="G15" i="76"/>
  <c r="F15" i="76"/>
  <c r="E15" i="76"/>
  <c r="D15" i="76"/>
  <c r="C15" i="76"/>
  <c r="B15" i="76"/>
  <c r="A15" i="76"/>
  <c r="J14" i="76"/>
  <c r="I14" i="76"/>
  <c r="H14" i="76"/>
  <c r="G14" i="76"/>
  <c r="F14" i="76"/>
  <c r="E14" i="76"/>
  <c r="D14" i="76"/>
  <c r="C14" i="76"/>
  <c r="B14" i="76"/>
  <c r="A14" i="76"/>
  <c r="J13" i="76"/>
  <c r="I13" i="76"/>
  <c r="H13" i="76"/>
  <c r="G13" i="76"/>
  <c r="F13" i="76"/>
  <c r="E13" i="76"/>
  <c r="D13" i="76"/>
  <c r="C13" i="76"/>
  <c r="B13" i="76"/>
  <c r="A13" i="76"/>
  <c r="J12" i="76"/>
  <c r="I12" i="76"/>
  <c r="H12" i="76"/>
  <c r="G12" i="76"/>
  <c r="F12" i="76"/>
  <c r="E12" i="76"/>
  <c r="D12" i="76"/>
  <c r="C12" i="76"/>
  <c r="B12" i="76"/>
  <c r="A12" i="76"/>
  <c r="K80" i="75"/>
  <c r="K79" i="75"/>
  <c r="K78" i="75"/>
  <c r="K77" i="75"/>
  <c r="K76" i="75"/>
  <c r="K75" i="75"/>
  <c r="K74" i="75"/>
  <c r="K73" i="75"/>
  <c r="K72" i="75"/>
  <c r="K71" i="75"/>
  <c r="K70" i="75"/>
  <c r="K69" i="75"/>
  <c r="K68" i="75"/>
  <c r="K67" i="75"/>
  <c r="K66" i="75"/>
  <c r="K65" i="75"/>
  <c r="K64" i="75"/>
  <c r="K63" i="75"/>
  <c r="K62" i="75"/>
  <c r="K61" i="75"/>
  <c r="J61" i="75"/>
  <c r="I61" i="75"/>
  <c r="H61" i="75"/>
  <c r="G61" i="75"/>
  <c r="F61" i="75"/>
  <c r="E61" i="75"/>
  <c r="D61" i="75"/>
  <c r="C61" i="75"/>
  <c r="B61" i="75"/>
  <c r="A61" i="75"/>
  <c r="K60" i="75"/>
  <c r="J60" i="75"/>
  <c r="I60" i="75"/>
  <c r="H60" i="75"/>
  <c r="G60" i="75"/>
  <c r="F60" i="75"/>
  <c r="E60" i="75"/>
  <c r="D60" i="75"/>
  <c r="C60" i="75"/>
  <c r="B60" i="75"/>
  <c r="A60" i="75"/>
  <c r="K59" i="75"/>
  <c r="J59" i="75"/>
  <c r="I59" i="75"/>
  <c r="H59" i="75"/>
  <c r="G59" i="75"/>
  <c r="F59" i="75"/>
  <c r="E59" i="75"/>
  <c r="D59" i="75"/>
  <c r="C59" i="75"/>
  <c r="B59" i="75"/>
  <c r="A59" i="75"/>
  <c r="K58" i="75"/>
  <c r="J58" i="75"/>
  <c r="I58" i="75"/>
  <c r="H58" i="75"/>
  <c r="G58" i="75"/>
  <c r="F58" i="75"/>
  <c r="E58" i="75"/>
  <c r="D58" i="75"/>
  <c r="C58" i="75"/>
  <c r="B58" i="75"/>
  <c r="A58" i="75"/>
  <c r="K57" i="75"/>
  <c r="J57" i="75"/>
  <c r="I57" i="75"/>
  <c r="H57" i="75"/>
  <c r="G57" i="75"/>
  <c r="F57" i="75"/>
  <c r="E57" i="75"/>
  <c r="D57" i="75"/>
  <c r="C57" i="75"/>
  <c r="B57" i="75"/>
  <c r="A57" i="75"/>
  <c r="K56" i="75"/>
  <c r="J56" i="75"/>
  <c r="I56" i="75"/>
  <c r="H56" i="75"/>
  <c r="G56" i="75"/>
  <c r="F56" i="75"/>
  <c r="E56" i="75"/>
  <c r="D56" i="75"/>
  <c r="C56" i="75"/>
  <c r="B56" i="75"/>
  <c r="A56" i="75"/>
  <c r="K55" i="75"/>
  <c r="J55" i="75"/>
  <c r="I55" i="75"/>
  <c r="H55" i="75"/>
  <c r="G55" i="75"/>
  <c r="F55" i="75"/>
  <c r="E55" i="75"/>
  <c r="D55" i="75"/>
  <c r="C55" i="75"/>
  <c r="B55" i="75"/>
  <c r="A55" i="75"/>
  <c r="K54" i="75"/>
  <c r="J54" i="75"/>
  <c r="I54" i="75"/>
  <c r="H54" i="75"/>
  <c r="G54" i="75"/>
  <c r="F54" i="75"/>
  <c r="E54" i="75"/>
  <c r="D54" i="75"/>
  <c r="C54" i="75"/>
  <c r="B54" i="75"/>
  <c r="A54" i="75"/>
  <c r="K53" i="75"/>
  <c r="J53" i="75"/>
  <c r="I53" i="75"/>
  <c r="H53" i="75"/>
  <c r="G53" i="75"/>
  <c r="F53" i="75"/>
  <c r="E53" i="75"/>
  <c r="D53" i="75"/>
  <c r="C53" i="75"/>
  <c r="B53" i="75"/>
  <c r="A53" i="75"/>
  <c r="K52" i="75"/>
  <c r="J52" i="75"/>
  <c r="I52" i="75"/>
  <c r="H52" i="75"/>
  <c r="G52" i="75"/>
  <c r="F52" i="75"/>
  <c r="E52" i="75"/>
  <c r="D52" i="75"/>
  <c r="C52" i="75"/>
  <c r="B52" i="75"/>
  <c r="A52" i="75"/>
  <c r="K51" i="75"/>
  <c r="J51" i="75"/>
  <c r="I51" i="75"/>
  <c r="H51" i="75"/>
  <c r="G51" i="75"/>
  <c r="F51" i="75"/>
  <c r="E51" i="75"/>
  <c r="D51" i="75"/>
  <c r="C51" i="75"/>
  <c r="B51" i="75"/>
  <c r="A51" i="75"/>
  <c r="K50" i="75"/>
  <c r="J50" i="75"/>
  <c r="I50" i="75"/>
  <c r="H50" i="75"/>
  <c r="G50" i="75"/>
  <c r="F50" i="75"/>
  <c r="E50" i="75"/>
  <c r="D50" i="75"/>
  <c r="C50" i="75"/>
  <c r="B50" i="75"/>
  <c r="A50" i="75"/>
  <c r="K49" i="75"/>
  <c r="J49" i="75"/>
  <c r="I49" i="75"/>
  <c r="H49" i="75"/>
  <c r="G49" i="75"/>
  <c r="F49" i="75"/>
  <c r="E49" i="75"/>
  <c r="D49" i="75"/>
  <c r="C49" i="75"/>
  <c r="B49" i="75"/>
  <c r="A49" i="75"/>
  <c r="K48" i="75"/>
  <c r="J48" i="75"/>
  <c r="I48" i="75"/>
  <c r="H48" i="75"/>
  <c r="G48" i="75"/>
  <c r="F48" i="75"/>
  <c r="E48" i="75"/>
  <c r="D48" i="75"/>
  <c r="C48" i="75"/>
  <c r="B48" i="75"/>
  <c r="A48" i="75"/>
  <c r="K47" i="75"/>
  <c r="J47" i="75"/>
  <c r="I47" i="75"/>
  <c r="H47" i="75"/>
  <c r="G47" i="75"/>
  <c r="F47" i="75"/>
  <c r="E47" i="75"/>
  <c r="D47" i="75"/>
  <c r="C47" i="75"/>
  <c r="B47" i="75"/>
  <c r="A47" i="75"/>
  <c r="K46" i="75"/>
  <c r="J46" i="75"/>
  <c r="I46" i="75"/>
  <c r="H46" i="75"/>
  <c r="G46" i="75"/>
  <c r="F46" i="75"/>
  <c r="E46" i="75"/>
  <c r="D46" i="75"/>
  <c r="C46" i="75"/>
  <c r="B46" i="75"/>
  <c r="A46" i="75"/>
  <c r="K45" i="75"/>
  <c r="J45" i="75"/>
  <c r="I45" i="75"/>
  <c r="H45" i="75"/>
  <c r="G45" i="75"/>
  <c r="F45" i="75"/>
  <c r="E45" i="75"/>
  <c r="D45" i="75"/>
  <c r="C45" i="75"/>
  <c r="B45" i="75"/>
  <c r="A45" i="75"/>
  <c r="K44" i="75"/>
  <c r="J44" i="75"/>
  <c r="I44" i="75"/>
  <c r="H44" i="75"/>
  <c r="G44" i="75"/>
  <c r="F44" i="75"/>
  <c r="E44" i="75"/>
  <c r="D44" i="75"/>
  <c r="C44" i="75"/>
  <c r="B44" i="75"/>
  <c r="A44" i="75"/>
  <c r="K43" i="75"/>
  <c r="J43" i="75"/>
  <c r="I43" i="75"/>
  <c r="H43" i="75"/>
  <c r="G43" i="75"/>
  <c r="F43" i="75"/>
  <c r="E43" i="75"/>
  <c r="D43" i="75"/>
  <c r="C43" i="75"/>
  <c r="B43" i="75"/>
  <c r="A43" i="75"/>
  <c r="K42" i="75"/>
  <c r="J42" i="75"/>
  <c r="I42" i="75"/>
  <c r="H42" i="75"/>
  <c r="G42" i="75"/>
  <c r="F42" i="75"/>
  <c r="E42" i="75"/>
  <c r="D42" i="75"/>
  <c r="C42" i="75"/>
  <c r="B42" i="75"/>
  <c r="A42" i="75"/>
  <c r="K41" i="75"/>
  <c r="J41" i="75"/>
  <c r="I41" i="75"/>
  <c r="H41" i="75"/>
  <c r="G41" i="75"/>
  <c r="F41" i="75"/>
  <c r="E41" i="75"/>
  <c r="D41" i="75"/>
  <c r="C41" i="75"/>
  <c r="B41" i="75"/>
  <c r="A41" i="75"/>
  <c r="K40" i="75"/>
  <c r="J40" i="75"/>
  <c r="I40" i="75"/>
  <c r="H40" i="75"/>
  <c r="G40" i="75"/>
  <c r="F40" i="75"/>
  <c r="E40" i="75"/>
  <c r="D40" i="75"/>
  <c r="C40" i="75"/>
  <c r="B40" i="75"/>
  <c r="A40" i="75"/>
  <c r="K39" i="75"/>
  <c r="J39" i="75"/>
  <c r="I39" i="75"/>
  <c r="H39" i="75"/>
  <c r="G39" i="75"/>
  <c r="F39" i="75"/>
  <c r="E39" i="75"/>
  <c r="D39" i="75"/>
  <c r="C39" i="75"/>
  <c r="B39" i="75"/>
  <c r="A39" i="75"/>
  <c r="K38" i="75"/>
  <c r="J38" i="75"/>
  <c r="I38" i="75"/>
  <c r="H38" i="75"/>
  <c r="G38" i="75"/>
  <c r="F38" i="75"/>
  <c r="E38" i="75"/>
  <c r="D38" i="75"/>
  <c r="C38" i="75"/>
  <c r="B38" i="75"/>
  <c r="A38" i="75"/>
  <c r="K37" i="75"/>
  <c r="J37" i="75"/>
  <c r="I37" i="75"/>
  <c r="H37" i="75"/>
  <c r="G37" i="75"/>
  <c r="F37" i="75"/>
  <c r="E37" i="75"/>
  <c r="D37" i="75"/>
  <c r="C37" i="75"/>
  <c r="B37" i="75"/>
  <c r="A37" i="75"/>
  <c r="K36" i="75"/>
  <c r="J36" i="75"/>
  <c r="I36" i="75"/>
  <c r="H36" i="75"/>
  <c r="G36" i="75"/>
  <c r="F36" i="75"/>
  <c r="E36" i="75"/>
  <c r="D36" i="75"/>
  <c r="C36" i="75"/>
  <c r="B36" i="75"/>
  <c r="A36" i="75"/>
  <c r="K35" i="75"/>
  <c r="J35" i="75"/>
  <c r="I35" i="75"/>
  <c r="H35" i="75"/>
  <c r="G35" i="75"/>
  <c r="F35" i="75"/>
  <c r="E35" i="75"/>
  <c r="D35" i="75"/>
  <c r="C35" i="75"/>
  <c r="B35" i="75"/>
  <c r="A35" i="75"/>
  <c r="K34" i="75"/>
  <c r="J34" i="75"/>
  <c r="I34" i="75"/>
  <c r="H34" i="75"/>
  <c r="G34" i="75"/>
  <c r="F34" i="75"/>
  <c r="E34" i="75"/>
  <c r="D34" i="75"/>
  <c r="C34" i="75"/>
  <c r="B34" i="75"/>
  <c r="A34" i="75"/>
  <c r="K33" i="75"/>
  <c r="J33" i="75"/>
  <c r="I33" i="75"/>
  <c r="H33" i="75"/>
  <c r="G33" i="75"/>
  <c r="F33" i="75"/>
  <c r="E33" i="75"/>
  <c r="D33" i="75"/>
  <c r="C33" i="75"/>
  <c r="B33" i="75"/>
  <c r="A33" i="75"/>
  <c r="K32" i="75"/>
  <c r="J32" i="75"/>
  <c r="I32" i="75"/>
  <c r="H32" i="75"/>
  <c r="G32" i="75"/>
  <c r="F32" i="75"/>
  <c r="E32" i="75"/>
  <c r="D32" i="75"/>
  <c r="C32" i="75"/>
  <c r="B32" i="75"/>
  <c r="A32" i="75"/>
  <c r="K31" i="75"/>
  <c r="J31" i="75"/>
  <c r="I31" i="75"/>
  <c r="H31" i="75"/>
  <c r="G31" i="75"/>
  <c r="F31" i="75"/>
  <c r="E31" i="75"/>
  <c r="D31" i="75"/>
  <c r="C31" i="75"/>
  <c r="B31" i="75"/>
  <c r="A31" i="75"/>
  <c r="K30" i="75"/>
  <c r="J30" i="75"/>
  <c r="I30" i="75"/>
  <c r="H30" i="75"/>
  <c r="G30" i="75"/>
  <c r="F30" i="75"/>
  <c r="E30" i="75"/>
  <c r="D30" i="75"/>
  <c r="C30" i="75"/>
  <c r="B30" i="75"/>
  <c r="A30" i="75"/>
  <c r="K29" i="75"/>
  <c r="J29" i="75"/>
  <c r="I29" i="75"/>
  <c r="H29" i="75"/>
  <c r="G29" i="75"/>
  <c r="F29" i="75"/>
  <c r="E29" i="75"/>
  <c r="D29" i="75"/>
  <c r="C29" i="75"/>
  <c r="B29" i="75"/>
  <c r="A29" i="75"/>
  <c r="K28" i="75"/>
  <c r="J28" i="75"/>
  <c r="I28" i="75"/>
  <c r="H28" i="75"/>
  <c r="G28" i="75"/>
  <c r="F28" i="75"/>
  <c r="E28" i="75"/>
  <c r="D28" i="75"/>
  <c r="C28" i="75"/>
  <c r="B28" i="75"/>
  <c r="A28" i="75"/>
  <c r="K27" i="75"/>
  <c r="J27" i="75"/>
  <c r="I27" i="75"/>
  <c r="H27" i="75"/>
  <c r="G27" i="75"/>
  <c r="F27" i="75"/>
  <c r="E27" i="75"/>
  <c r="D27" i="75"/>
  <c r="C27" i="75"/>
  <c r="B27" i="75"/>
  <c r="A27" i="75"/>
  <c r="K26" i="75"/>
  <c r="J26" i="75"/>
  <c r="I26" i="75"/>
  <c r="H26" i="75"/>
  <c r="G26" i="75"/>
  <c r="F26" i="75"/>
  <c r="E26" i="75"/>
  <c r="D26" i="75"/>
  <c r="C26" i="75"/>
  <c r="B26" i="75"/>
  <c r="A26" i="75"/>
  <c r="K25" i="75"/>
  <c r="J25" i="75"/>
  <c r="I25" i="75"/>
  <c r="H25" i="75"/>
  <c r="G25" i="75"/>
  <c r="F25" i="75"/>
  <c r="E25" i="75"/>
  <c r="D25" i="75"/>
  <c r="C25" i="75"/>
  <c r="B25" i="75"/>
  <c r="A25" i="75"/>
  <c r="K24" i="75"/>
  <c r="J24" i="75"/>
  <c r="I24" i="75"/>
  <c r="H24" i="75"/>
  <c r="G24" i="75"/>
  <c r="F24" i="75"/>
  <c r="E24" i="75"/>
  <c r="D24" i="75"/>
  <c r="C24" i="75"/>
  <c r="B24" i="75"/>
  <c r="A24" i="75"/>
  <c r="K23" i="75"/>
  <c r="J23" i="75"/>
  <c r="I23" i="75"/>
  <c r="H23" i="75"/>
  <c r="G23" i="75"/>
  <c r="F23" i="75"/>
  <c r="E23" i="75"/>
  <c r="D23" i="75"/>
  <c r="C23" i="75"/>
  <c r="B23" i="75"/>
  <c r="A23" i="75"/>
  <c r="K22" i="75"/>
  <c r="J22" i="75"/>
  <c r="I22" i="75"/>
  <c r="H22" i="75"/>
  <c r="G22" i="75"/>
  <c r="F22" i="75"/>
  <c r="E22" i="75"/>
  <c r="D22" i="75"/>
  <c r="C22" i="75"/>
  <c r="B22" i="75"/>
  <c r="A22" i="75"/>
  <c r="K21" i="75"/>
  <c r="J21" i="75"/>
  <c r="I21" i="75"/>
  <c r="H21" i="75"/>
  <c r="G21" i="75"/>
  <c r="F21" i="75"/>
  <c r="E21" i="75"/>
  <c r="D21" i="75"/>
  <c r="C21" i="75"/>
  <c r="B21" i="75"/>
  <c r="A21" i="75"/>
  <c r="J20" i="75"/>
  <c r="I20" i="75"/>
  <c r="H20" i="75"/>
  <c r="G20" i="75"/>
  <c r="F20" i="75"/>
  <c r="E20" i="75"/>
  <c r="D20" i="75"/>
  <c r="C20" i="75"/>
  <c r="B20" i="75"/>
  <c r="A20" i="75"/>
  <c r="J19" i="75"/>
  <c r="I19" i="75"/>
  <c r="H19" i="75"/>
  <c r="G19" i="75"/>
  <c r="F19" i="75"/>
  <c r="E19" i="75"/>
  <c r="D19" i="75"/>
  <c r="C19" i="75"/>
  <c r="B19" i="75"/>
  <c r="A19" i="75"/>
  <c r="J18" i="75"/>
  <c r="I18" i="75"/>
  <c r="H18" i="75"/>
  <c r="G18" i="75"/>
  <c r="F18" i="75"/>
  <c r="E18" i="75"/>
  <c r="D18" i="75"/>
  <c r="C18" i="75"/>
  <c r="B18" i="75"/>
  <c r="A18" i="75"/>
  <c r="J17" i="75"/>
  <c r="I17" i="75"/>
  <c r="H17" i="75"/>
  <c r="G17" i="75"/>
  <c r="F17" i="75"/>
  <c r="E17" i="75"/>
  <c r="D17" i="75"/>
  <c r="C17" i="75"/>
  <c r="B17" i="75"/>
  <c r="A17" i="75"/>
  <c r="J16" i="75"/>
  <c r="I16" i="75"/>
  <c r="H16" i="75"/>
  <c r="G16" i="75"/>
  <c r="F16" i="75"/>
  <c r="E16" i="75"/>
  <c r="D16" i="75"/>
  <c r="C16" i="75"/>
  <c r="B16" i="75"/>
  <c r="A16" i="75"/>
  <c r="J15" i="75"/>
  <c r="I15" i="75"/>
  <c r="H15" i="75"/>
  <c r="G15" i="75"/>
  <c r="F15" i="75"/>
  <c r="E15" i="75"/>
  <c r="D15" i="75"/>
  <c r="C15" i="75"/>
  <c r="B15" i="75"/>
  <c r="A15" i="75"/>
  <c r="J14" i="75"/>
  <c r="I14" i="75"/>
  <c r="H14" i="75"/>
  <c r="G14" i="75"/>
  <c r="F14" i="75"/>
  <c r="E14" i="75"/>
  <c r="D14" i="75"/>
  <c r="C14" i="75"/>
  <c r="B14" i="75"/>
  <c r="A14" i="75"/>
  <c r="J13" i="75"/>
  <c r="I13" i="75"/>
  <c r="H13" i="75"/>
  <c r="G13" i="75"/>
  <c r="F13" i="75"/>
  <c r="E13" i="75"/>
  <c r="D13" i="75"/>
  <c r="C13" i="75"/>
  <c r="B13" i="75"/>
  <c r="A13" i="75"/>
  <c r="J12" i="75"/>
  <c r="I12" i="75"/>
  <c r="H12" i="75"/>
  <c r="G12" i="75"/>
  <c r="F12" i="75"/>
  <c r="E12" i="75"/>
  <c r="D12" i="75"/>
  <c r="C12" i="75"/>
  <c r="B12" i="75"/>
  <c r="A12" i="75"/>
  <c r="K80" i="74"/>
  <c r="K79" i="74"/>
  <c r="K78" i="74"/>
  <c r="K77" i="74"/>
  <c r="K76" i="74"/>
  <c r="K75" i="74"/>
  <c r="K74" i="74"/>
  <c r="K73" i="74"/>
  <c r="K72" i="74"/>
  <c r="K71" i="74"/>
  <c r="K70" i="74"/>
  <c r="K69" i="74"/>
  <c r="K68" i="74"/>
  <c r="K67" i="74"/>
  <c r="K66" i="74"/>
  <c r="K65" i="74"/>
  <c r="K64" i="74"/>
  <c r="K63" i="74"/>
  <c r="K62" i="74"/>
  <c r="K61" i="74"/>
  <c r="K60" i="74"/>
  <c r="K59" i="74"/>
  <c r="K58" i="74"/>
  <c r="K57" i="74"/>
  <c r="K56" i="74"/>
  <c r="K55" i="74"/>
  <c r="K54" i="74"/>
  <c r="K53" i="74"/>
  <c r="K52" i="74"/>
  <c r="K51" i="74"/>
  <c r="K50" i="74"/>
  <c r="K49" i="74"/>
  <c r="K48" i="74"/>
  <c r="K47" i="74"/>
  <c r="K46" i="74"/>
  <c r="K45" i="74"/>
  <c r="K44" i="74"/>
  <c r="K43" i="74"/>
  <c r="K42" i="74"/>
  <c r="K41" i="74"/>
  <c r="K40" i="74"/>
  <c r="K39" i="74"/>
  <c r="K38" i="74"/>
  <c r="K37" i="74"/>
  <c r="K36" i="74"/>
  <c r="K35" i="74"/>
  <c r="K34" i="74"/>
  <c r="K33" i="74"/>
  <c r="K32" i="74"/>
  <c r="K31" i="74"/>
  <c r="K30" i="74"/>
  <c r="K29" i="74"/>
  <c r="K28" i="74"/>
  <c r="K27" i="74"/>
  <c r="K26" i="74"/>
  <c r="K25" i="74"/>
  <c r="K24" i="74"/>
  <c r="K23" i="74"/>
  <c r="K22" i="74"/>
  <c r="K21" i="74"/>
  <c r="K20" i="74"/>
  <c r="K19" i="74"/>
  <c r="K18" i="74"/>
  <c r="K17" i="74"/>
  <c r="K16" i="74"/>
  <c r="K15" i="74"/>
  <c r="K14" i="74"/>
  <c r="K13" i="74"/>
  <c r="I13" i="74"/>
  <c r="K12" i="74"/>
  <c r="I12" i="74"/>
  <c r="G12" i="74"/>
  <c r="F12" i="74"/>
  <c r="E12" i="74"/>
  <c r="D12" i="74"/>
  <c r="A12" i="74"/>
  <c r="K80" i="73"/>
  <c r="K79" i="73"/>
  <c r="K78" i="73"/>
  <c r="K77" i="73"/>
  <c r="K76" i="73"/>
  <c r="K75" i="73"/>
  <c r="K74" i="73"/>
  <c r="K73" i="73"/>
  <c r="K72" i="73"/>
  <c r="K71" i="73"/>
  <c r="K70" i="73"/>
  <c r="K69" i="73"/>
  <c r="K68" i="73"/>
  <c r="K67" i="73"/>
  <c r="K66" i="73"/>
  <c r="K65" i="73"/>
  <c r="K64" i="73"/>
  <c r="K63" i="73"/>
  <c r="K62" i="73"/>
  <c r="K61" i="73"/>
  <c r="K60" i="73"/>
  <c r="K59" i="73"/>
  <c r="K58" i="73"/>
  <c r="K57" i="73"/>
  <c r="K56" i="73"/>
  <c r="K55" i="73"/>
  <c r="K54" i="73"/>
  <c r="K53" i="73"/>
  <c r="K52" i="73"/>
  <c r="K51" i="73"/>
  <c r="K50" i="73"/>
  <c r="K49" i="73"/>
  <c r="K48" i="73"/>
  <c r="K47" i="73"/>
  <c r="K46" i="73"/>
  <c r="K45" i="73"/>
  <c r="K44" i="73"/>
  <c r="K43" i="73"/>
  <c r="K42" i="73"/>
  <c r="K41" i="73"/>
  <c r="K40" i="73"/>
  <c r="K39" i="73"/>
  <c r="K38" i="73"/>
  <c r="K37" i="73"/>
  <c r="K36" i="73"/>
  <c r="K35" i="73"/>
  <c r="K34" i="73"/>
  <c r="K33" i="73"/>
  <c r="K32" i="73"/>
  <c r="K31" i="73"/>
  <c r="K30" i="73"/>
  <c r="K29" i="73"/>
  <c r="K28" i="73"/>
  <c r="K27" i="73"/>
  <c r="K26" i="73"/>
  <c r="K25" i="73"/>
  <c r="K24" i="73"/>
  <c r="K23" i="73"/>
  <c r="K22" i="73"/>
  <c r="K21" i="73"/>
  <c r="K20" i="73"/>
  <c r="K19" i="73"/>
  <c r="K18" i="73"/>
  <c r="J18" i="73"/>
  <c r="I18" i="73"/>
  <c r="K17" i="73"/>
  <c r="J17" i="73"/>
  <c r="I17" i="73"/>
  <c r="K16" i="73"/>
  <c r="J16" i="73"/>
  <c r="I16" i="73"/>
  <c r="K15" i="73"/>
  <c r="J15" i="73"/>
  <c r="I15" i="73"/>
  <c r="K14" i="73"/>
  <c r="J14" i="73"/>
  <c r="I14" i="73"/>
  <c r="K13" i="73"/>
  <c r="J13" i="73"/>
  <c r="I13" i="73"/>
  <c r="K12" i="73"/>
  <c r="J12" i="73"/>
  <c r="I12" i="73"/>
  <c r="G12" i="73"/>
  <c r="F12" i="73"/>
  <c r="E12" i="73"/>
  <c r="D12" i="73"/>
  <c r="A12" i="73"/>
  <c r="K80" i="72"/>
  <c r="K79" i="72"/>
  <c r="K78" i="72"/>
  <c r="K77" i="72"/>
  <c r="K76" i="72"/>
  <c r="K75" i="72"/>
  <c r="K74" i="72"/>
  <c r="K73" i="72"/>
  <c r="K72" i="72"/>
  <c r="K71" i="72"/>
  <c r="K70" i="72"/>
  <c r="K69" i="72"/>
  <c r="K68" i="72"/>
  <c r="K67" i="72"/>
  <c r="K66" i="72"/>
  <c r="K65" i="72"/>
  <c r="K64" i="72"/>
  <c r="K63" i="72"/>
  <c r="K62" i="72"/>
  <c r="K61" i="72"/>
  <c r="K60" i="72"/>
  <c r="K59" i="72"/>
  <c r="K58" i="72"/>
  <c r="K57" i="72"/>
  <c r="K56" i="72"/>
  <c r="K55" i="72"/>
  <c r="K54" i="72"/>
  <c r="K53" i="72"/>
  <c r="K52" i="72"/>
  <c r="K51" i="72"/>
  <c r="K50" i="72"/>
  <c r="K49" i="72"/>
  <c r="K48" i="72"/>
  <c r="K47" i="72"/>
  <c r="K46" i="72"/>
  <c r="K45" i="72"/>
  <c r="K44" i="72"/>
  <c r="K43" i="72"/>
  <c r="K42" i="72"/>
  <c r="K41" i="72"/>
  <c r="K40" i="72"/>
  <c r="K39" i="72"/>
  <c r="K38" i="72"/>
  <c r="K37" i="72"/>
  <c r="K36" i="72"/>
  <c r="K35" i="72"/>
  <c r="K34" i="72"/>
  <c r="K33" i="72"/>
  <c r="K32" i="72"/>
  <c r="K31" i="72"/>
  <c r="K30" i="72"/>
  <c r="K29" i="72"/>
  <c r="K28" i="72"/>
  <c r="K27" i="72"/>
  <c r="K26" i="72"/>
  <c r="K25" i="72"/>
  <c r="K24" i="72"/>
  <c r="K23" i="72"/>
  <c r="K22" i="72"/>
  <c r="K21" i="72"/>
  <c r="K20" i="72"/>
  <c r="K19" i="72"/>
  <c r="K18" i="72"/>
  <c r="K17" i="72"/>
  <c r="K16" i="72"/>
  <c r="K15" i="72"/>
  <c r="I15" i="72"/>
  <c r="K14" i="72"/>
  <c r="I14" i="72"/>
  <c r="K13" i="72"/>
  <c r="I13" i="72"/>
  <c r="K12" i="72"/>
  <c r="I12" i="72"/>
  <c r="G12" i="72"/>
  <c r="F12" i="72"/>
  <c r="E12" i="72"/>
  <c r="D12" i="72"/>
  <c r="A12" i="72"/>
  <c r="K80" i="71"/>
  <c r="K79" i="71"/>
  <c r="K78" i="71"/>
  <c r="K77" i="71"/>
  <c r="K76" i="71"/>
  <c r="J76" i="71"/>
  <c r="I76" i="71"/>
  <c r="K75" i="71"/>
  <c r="J75" i="71"/>
  <c r="I75" i="71"/>
  <c r="K74" i="71"/>
  <c r="J74" i="71"/>
  <c r="I74" i="71"/>
  <c r="K73" i="71"/>
  <c r="J73" i="71"/>
  <c r="I73" i="71"/>
  <c r="K72" i="71"/>
  <c r="J72" i="71"/>
  <c r="I72" i="71"/>
  <c r="K71" i="71"/>
  <c r="J71" i="71"/>
  <c r="I71" i="71"/>
  <c r="K70" i="71"/>
  <c r="J70" i="71"/>
  <c r="I70" i="71"/>
  <c r="K69" i="71"/>
  <c r="J69" i="71"/>
  <c r="I69" i="71"/>
  <c r="K68" i="71"/>
  <c r="J68" i="71"/>
  <c r="I68" i="71"/>
  <c r="K67" i="71"/>
  <c r="J67" i="71"/>
  <c r="I67" i="71"/>
  <c r="K66" i="71"/>
  <c r="J66" i="71"/>
  <c r="I66" i="71"/>
  <c r="K65" i="71"/>
  <c r="J65" i="71"/>
  <c r="I65" i="71"/>
  <c r="K64" i="71"/>
  <c r="J64" i="71"/>
  <c r="I64" i="71"/>
  <c r="K63" i="71"/>
  <c r="J63" i="71"/>
  <c r="I63" i="71"/>
  <c r="K62" i="71"/>
  <c r="J62" i="71"/>
  <c r="I62" i="71"/>
  <c r="K61" i="71"/>
  <c r="J61" i="71"/>
  <c r="I61" i="71"/>
  <c r="K60" i="71"/>
  <c r="J60" i="71"/>
  <c r="I60" i="71"/>
  <c r="K59" i="71"/>
  <c r="J59" i="71"/>
  <c r="I59" i="71"/>
  <c r="K58" i="71"/>
  <c r="J58" i="71"/>
  <c r="I58" i="71"/>
  <c r="K57" i="71"/>
  <c r="J57" i="71"/>
  <c r="I57" i="71"/>
  <c r="K56" i="71"/>
  <c r="J56" i="71"/>
  <c r="I56" i="71"/>
  <c r="K55" i="71"/>
  <c r="J55" i="71"/>
  <c r="I55" i="71"/>
  <c r="K54" i="71"/>
  <c r="J54" i="71"/>
  <c r="I54" i="71"/>
  <c r="K53" i="71"/>
  <c r="J53" i="71"/>
  <c r="I53" i="71"/>
  <c r="K52" i="71"/>
  <c r="J52" i="71"/>
  <c r="I52" i="71"/>
  <c r="K51" i="71"/>
  <c r="J51" i="71"/>
  <c r="I51" i="71"/>
  <c r="K50" i="71"/>
  <c r="J50" i="71"/>
  <c r="I50" i="71"/>
  <c r="K49" i="71"/>
  <c r="J49" i="71"/>
  <c r="I49" i="71"/>
  <c r="K48" i="71"/>
  <c r="J48" i="71"/>
  <c r="I48" i="71"/>
  <c r="K47" i="71"/>
  <c r="J47" i="71"/>
  <c r="I47" i="71"/>
  <c r="K46" i="71"/>
  <c r="J46" i="71"/>
  <c r="I46" i="71"/>
  <c r="K45" i="71"/>
  <c r="J45" i="71"/>
  <c r="I45" i="71"/>
  <c r="K44" i="71"/>
  <c r="J44" i="71"/>
  <c r="I44" i="71"/>
  <c r="K43" i="71"/>
  <c r="J43" i="71"/>
  <c r="I43" i="71"/>
  <c r="K42" i="71"/>
  <c r="J42" i="71"/>
  <c r="I42" i="71"/>
  <c r="K41" i="71"/>
  <c r="J41" i="71"/>
  <c r="I41" i="71"/>
  <c r="K40" i="71"/>
  <c r="J40" i="71"/>
  <c r="I40" i="71"/>
  <c r="K39" i="71"/>
  <c r="J39" i="71"/>
  <c r="I39" i="71"/>
  <c r="K38" i="71"/>
  <c r="J38" i="71"/>
  <c r="I38" i="71"/>
  <c r="K37" i="71"/>
  <c r="J37" i="71"/>
  <c r="I37" i="71"/>
  <c r="K36" i="71"/>
  <c r="J36" i="71"/>
  <c r="I36" i="71"/>
  <c r="K35" i="71"/>
  <c r="J35" i="71"/>
  <c r="I35" i="71"/>
  <c r="K34" i="71"/>
  <c r="J34" i="71"/>
  <c r="I34" i="71"/>
  <c r="K33" i="71"/>
  <c r="J33" i="71"/>
  <c r="I33" i="71"/>
  <c r="K32" i="71"/>
  <c r="J32" i="71"/>
  <c r="I32" i="71"/>
  <c r="K31" i="71"/>
  <c r="J31" i="71"/>
  <c r="I31" i="71"/>
  <c r="K30" i="71"/>
  <c r="J30" i="71"/>
  <c r="I30" i="71"/>
  <c r="K29" i="71"/>
  <c r="J29" i="71"/>
  <c r="I29" i="71"/>
  <c r="K28" i="71"/>
  <c r="J28" i="71"/>
  <c r="I28" i="71"/>
  <c r="K27" i="71"/>
  <c r="J27" i="71"/>
  <c r="I27" i="71"/>
  <c r="K26" i="71"/>
  <c r="J26" i="71"/>
  <c r="I26" i="71"/>
  <c r="K25" i="71"/>
  <c r="J25" i="71"/>
  <c r="I25" i="71"/>
  <c r="K24" i="71"/>
  <c r="J24" i="71"/>
  <c r="I24" i="71"/>
  <c r="K23" i="71"/>
  <c r="J23" i="71"/>
  <c r="I23" i="71"/>
  <c r="K22" i="71"/>
  <c r="J22" i="71"/>
  <c r="I22" i="71"/>
  <c r="K21" i="71"/>
  <c r="J21" i="71"/>
  <c r="I21" i="71"/>
  <c r="K20" i="71"/>
  <c r="J20" i="71"/>
  <c r="I20" i="71"/>
  <c r="K19" i="71"/>
  <c r="J19" i="71"/>
  <c r="I19" i="71"/>
  <c r="K18" i="71"/>
  <c r="J18" i="71"/>
  <c r="I18" i="71"/>
  <c r="K17" i="71"/>
  <c r="J17" i="71"/>
  <c r="I17" i="71"/>
  <c r="K16" i="71"/>
  <c r="J16" i="71"/>
  <c r="I16" i="71"/>
  <c r="K15" i="71"/>
  <c r="J15" i="71"/>
  <c r="I15" i="71"/>
  <c r="H15" i="71"/>
  <c r="G15" i="71"/>
  <c r="F15" i="71"/>
  <c r="E15" i="71"/>
  <c r="D15" i="71"/>
  <c r="C15" i="71"/>
  <c r="B15" i="71"/>
  <c r="A15" i="71"/>
  <c r="K14" i="71"/>
  <c r="J14" i="71"/>
  <c r="I14" i="71"/>
  <c r="H14" i="71"/>
  <c r="G14" i="71"/>
  <c r="F14" i="71"/>
  <c r="E14" i="71"/>
  <c r="D14" i="71"/>
  <c r="C14" i="71"/>
  <c r="B14" i="71"/>
  <c r="A14" i="71"/>
  <c r="K13" i="71"/>
  <c r="J13" i="71"/>
  <c r="I13" i="71"/>
  <c r="H13" i="71"/>
  <c r="G13" i="71"/>
  <c r="F13" i="71"/>
  <c r="E13" i="71"/>
  <c r="D13" i="71"/>
  <c r="C13" i="71"/>
  <c r="B13" i="71"/>
  <c r="A13" i="71"/>
  <c r="K12" i="71"/>
  <c r="J12" i="71"/>
  <c r="I12" i="71"/>
  <c r="H12" i="71"/>
  <c r="G12" i="71"/>
  <c r="F12" i="71"/>
  <c r="E12" i="71"/>
  <c r="D12" i="71"/>
  <c r="C12" i="71"/>
  <c r="B12" i="71"/>
  <c r="A12" i="71"/>
  <c r="K80" i="70"/>
  <c r="K79" i="70"/>
  <c r="K78" i="70"/>
  <c r="K77" i="70"/>
  <c r="K76" i="70"/>
  <c r="K75" i="70"/>
  <c r="K74" i="70"/>
  <c r="K73" i="70"/>
  <c r="K72" i="70"/>
  <c r="K71" i="70"/>
  <c r="K70" i="70"/>
  <c r="K69" i="70"/>
  <c r="K68" i="70"/>
  <c r="K67" i="70"/>
  <c r="K66" i="70"/>
  <c r="K65" i="70"/>
  <c r="K64" i="70"/>
  <c r="K63" i="70"/>
  <c r="K62" i="70"/>
  <c r="K61" i="70"/>
  <c r="K60" i="70"/>
  <c r="K59" i="70"/>
  <c r="K58" i="70"/>
  <c r="K57" i="70"/>
  <c r="K56" i="70"/>
  <c r="K55" i="70"/>
  <c r="K54" i="70"/>
  <c r="K53" i="70"/>
  <c r="K52" i="70"/>
  <c r="K51" i="70"/>
  <c r="I50" i="70"/>
  <c r="I49" i="70"/>
  <c r="I48" i="70"/>
  <c r="I47" i="70"/>
  <c r="I46" i="70"/>
  <c r="I45" i="70"/>
  <c r="I44" i="70"/>
  <c r="I43" i="70"/>
  <c r="I42" i="70"/>
  <c r="I41" i="70"/>
  <c r="I40" i="70"/>
  <c r="J39" i="70"/>
  <c r="I39" i="70"/>
  <c r="H39" i="70"/>
  <c r="G39" i="70"/>
  <c r="F39" i="70"/>
  <c r="E39" i="70"/>
  <c r="D39" i="70"/>
  <c r="C39" i="70"/>
  <c r="B39" i="70"/>
  <c r="A39" i="70"/>
  <c r="J38" i="70"/>
  <c r="I38" i="70"/>
  <c r="H38" i="70"/>
  <c r="G38" i="70"/>
  <c r="F38" i="70"/>
  <c r="E38" i="70"/>
  <c r="D38" i="70"/>
  <c r="C38" i="70"/>
  <c r="B38" i="70"/>
  <c r="A38" i="70"/>
  <c r="I37" i="70"/>
  <c r="H37" i="70"/>
  <c r="G37" i="70"/>
  <c r="F37" i="70"/>
  <c r="E37" i="70"/>
  <c r="D37" i="70"/>
  <c r="C37" i="70"/>
  <c r="B37" i="70"/>
  <c r="A37" i="70"/>
  <c r="I36" i="70"/>
  <c r="H36" i="70"/>
  <c r="G36" i="70"/>
  <c r="F36" i="70"/>
  <c r="E36" i="70"/>
  <c r="D36" i="70"/>
  <c r="C36" i="70"/>
  <c r="B36" i="70"/>
  <c r="A36" i="70"/>
  <c r="K35" i="70"/>
  <c r="J35" i="70"/>
  <c r="I35" i="70"/>
  <c r="H35" i="70"/>
  <c r="G35" i="70"/>
  <c r="F35" i="70"/>
  <c r="E35" i="70"/>
  <c r="D35" i="70"/>
  <c r="C35" i="70"/>
  <c r="B35" i="70"/>
  <c r="A35" i="70"/>
  <c r="J34" i="70"/>
  <c r="I34" i="70"/>
  <c r="H34" i="70"/>
  <c r="G34" i="70"/>
  <c r="F34" i="70"/>
  <c r="E34" i="70"/>
  <c r="D34" i="70"/>
  <c r="C34" i="70"/>
  <c r="B34" i="70"/>
  <c r="A34" i="70"/>
  <c r="J33" i="70"/>
  <c r="I33" i="70"/>
  <c r="H33" i="70"/>
  <c r="G33" i="70"/>
  <c r="F33" i="70"/>
  <c r="E33" i="70"/>
  <c r="D33" i="70"/>
  <c r="C33" i="70"/>
  <c r="B33" i="70"/>
  <c r="A33" i="70"/>
  <c r="K32" i="70"/>
  <c r="J32" i="70"/>
  <c r="I32" i="70"/>
  <c r="H32" i="70"/>
  <c r="G32" i="70"/>
  <c r="F32" i="70"/>
  <c r="E32" i="70"/>
  <c r="D32" i="70"/>
  <c r="C32" i="70"/>
  <c r="B32" i="70"/>
  <c r="A32" i="70"/>
  <c r="J31" i="70"/>
  <c r="I31" i="70"/>
  <c r="H31" i="70"/>
  <c r="G31" i="70"/>
  <c r="F31" i="70"/>
  <c r="E31" i="70"/>
  <c r="D31" i="70"/>
  <c r="C31" i="70"/>
  <c r="B31" i="70"/>
  <c r="A31" i="70"/>
  <c r="K30" i="70"/>
  <c r="J30" i="70"/>
  <c r="I30" i="70"/>
  <c r="H30" i="70"/>
  <c r="G30" i="70"/>
  <c r="F30" i="70"/>
  <c r="E30" i="70"/>
  <c r="D30" i="70"/>
  <c r="C30" i="70"/>
  <c r="B30" i="70"/>
  <c r="A30" i="70"/>
  <c r="J29" i="70"/>
  <c r="I29" i="70"/>
  <c r="H29" i="70"/>
  <c r="G29" i="70"/>
  <c r="F29" i="70"/>
  <c r="E29" i="70"/>
  <c r="D29" i="70"/>
  <c r="C29" i="70"/>
  <c r="B29" i="70"/>
  <c r="A29" i="70"/>
  <c r="K28" i="70"/>
  <c r="J28" i="70"/>
  <c r="I28" i="70"/>
  <c r="H28" i="70"/>
  <c r="G28" i="70"/>
  <c r="F28" i="70"/>
  <c r="E28" i="70"/>
  <c r="D28" i="70"/>
  <c r="C28" i="70"/>
  <c r="B28" i="70"/>
  <c r="A28" i="70"/>
  <c r="K27" i="70"/>
  <c r="J27" i="70"/>
  <c r="I27" i="70"/>
  <c r="H27" i="70"/>
  <c r="G27" i="70"/>
  <c r="F27" i="70"/>
  <c r="E27" i="70"/>
  <c r="D27" i="70"/>
  <c r="C27" i="70"/>
  <c r="B27" i="70"/>
  <c r="A27" i="70"/>
  <c r="K26" i="70"/>
  <c r="J26" i="70"/>
  <c r="I26" i="70"/>
  <c r="H26" i="70"/>
  <c r="G26" i="70"/>
  <c r="F26" i="70"/>
  <c r="E26" i="70"/>
  <c r="D26" i="70"/>
  <c r="C26" i="70"/>
  <c r="B26" i="70"/>
  <c r="A26" i="70"/>
  <c r="K25" i="70"/>
  <c r="J25" i="70"/>
  <c r="I25" i="70"/>
  <c r="H25" i="70"/>
  <c r="G25" i="70"/>
  <c r="F25" i="70"/>
  <c r="E25" i="70"/>
  <c r="D25" i="70"/>
  <c r="C25" i="70"/>
  <c r="B25" i="70"/>
  <c r="A25" i="70"/>
  <c r="J24" i="70"/>
  <c r="I24" i="70"/>
  <c r="H24" i="70"/>
  <c r="G24" i="70"/>
  <c r="F24" i="70"/>
  <c r="E24" i="70"/>
  <c r="D24" i="70"/>
  <c r="C24" i="70"/>
  <c r="B24" i="70"/>
  <c r="A24" i="70"/>
  <c r="J23" i="70"/>
  <c r="I23" i="70"/>
  <c r="H23" i="70"/>
  <c r="G23" i="70"/>
  <c r="F23" i="70"/>
  <c r="E23" i="70"/>
  <c r="D23" i="70"/>
  <c r="C23" i="70"/>
  <c r="B23" i="70"/>
  <c r="A23" i="70"/>
  <c r="J22" i="70"/>
  <c r="I22" i="70"/>
  <c r="H22" i="70"/>
  <c r="G22" i="70"/>
  <c r="F22" i="70"/>
  <c r="E22" i="70"/>
  <c r="D22" i="70"/>
  <c r="C22" i="70"/>
  <c r="B22" i="70"/>
  <c r="A22" i="70"/>
  <c r="K21" i="70"/>
  <c r="J21" i="70"/>
  <c r="I21" i="70"/>
  <c r="H21" i="70"/>
  <c r="G21" i="70"/>
  <c r="F21" i="70"/>
  <c r="E21" i="70"/>
  <c r="D21" i="70"/>
  <c r="C21" i="70"/>
  <c r="B21" i="70"/>
  <c r="A21" i="70"/>
  <c r="K20" i="70"/>
  <c r="J20" i="70"/>
  <c r="I20" i="70"/>
  <c r="H20" i="70"/>
  <c r="G20" i="70"/>
  <c r="F20" i="70"/>
  <c r="E20" i="70"/>
  <c r="D20" i="70"/>
  <c r="C20" i="70"/>
  <c r="B20" i="70"/>
  <c r="A20" i="70"/>
  <c r="J19" i="70"/>
  <c r="I19" i="70"/>
  <c r="H19" i="70"/>
  <c r="G19" i="70"/>
  <c r="F19" i="70"/>
  <c r="E19" i="70"/>
  <c r="D19" i="70"/>
  <c r="C19" i="70"/>
  <c r="B19" i="70"/>
  <c r="A19" i="70"/>
  <c r="J18" i="70"/>
  <c r="I18" i="70"/>
  <c r="H18" i="70"/>
  <c r="G18" i="70"/>
  <c r="F18" i="70"/>
  <c r="E18" i="70"/>
  <c r="D18" i="70"/>
  <c r="C18" i="70"/>
  <c r="B18" i="70"/>
  <c r="A18" i="70"/>
  <c r="J17" i="70"/>
  <c r="I17" i="70"/>
  <c r="H17" i="70"/>
  <c r="G17" i="70"/>
  <c r="F17" i="70"/>
  <c r="E17" i="70"/>
  <c r="D17" i="70"/>
  <c r="C17" i="70"/>
  <c r="B17" i="70"/>
  <c r="A17" i="70"/>
  <c r="K16" i="70"/>
  <c r="J16" i="70"/>
  <c r="I16" i="70"/>
  <c r="H16" i="70"/>
  <c r="G16" i="70"/>
  <c r="F16" i="70"/>
  <c r="E16" i="70"/>
  <c r="D16" i="70"/>
  <c r="C16" i="70"/>
  <c r="B16" i="70"/>
  <c r="A16" i="70"/>
  <c r="J15" i="70"/>
  <c r="I15" i="70"/>
  <c r="H15" i="70"/>
  <c r="G15" i="70"/>
  <c r="F15" i="70"/>
  <c r="E15" i="70"/>
  <c r="D15" i="70"/>
  <c r="C15" i="70"/>
  <c r="B15" i="70"/>
  <c r="A15" i="70"/>
  <c r="I14" i="70"/>
  <c r="H14" i="70"/>
  <c r="G14" i="70"/>
  <c r="F14" i="70"/>
  <c r="E14" i="70"/>
  <c r="D14" i="70"/>
  <c r="C14" i="70"/>
  <c r="B14" i="70"/>
  <c r="A14" i="70"/>
  <c r="K13" i="70"/>
  <c r="J13" i="70"/>
  <c r="I13" i="70"/>
  <c r="H13" i="70"/>
  <c r="G13" i="70"/>
  <c r="F13" i="70"/>
  <c r="E13" i="70"/>
  <c r="D13" i="70"/>
  <c r="C13" i="70"/>
  <c r="B13" i="70"/>
  <c r="A13" i="70"/>
  <c r="J12" i="70"/>
  <c r="I12" i="70"/>
  <c r="H12" i="70"/>
  <c r="G12" i="70"/>
  <c r="F12" i="70"/>
  <c r="E12" i="70"/>
  <c r="D12" i="70"/>
  <c r="C12" i="70"/>
  <c r="B12" i="70"/>
  <c r="A12" i="70"/>
  <c r="K80" i="69"/>
  <c r="K79" i="69"/>
  <c r="K78" i="69"/>
  <c r="K77" i="69"/>
  <c r="K76" i="69"/>
  <c r="K75" i="69"/>
  <c r="K74" i="69"/>
  <c r="K73" i="69"/>
  <c r="K66" i="69"/>
  <c r="J66" i="69"/>
  <c r="I66" i="69"/>
  <c r="H66" i="69"/>
  <c r="G66" i="69"/>
  <c r="F66" i="69"/>
  <c r="E66" i="69"/>
  <c r="D66" i="69"/>
  <c r="C66" i="69"/>
  <c r="B66" i="69"/>
  <c r="A66" i="69"/>
  <c r="K65" i="69"/>
  <c r="J65" i="69"/>
  <c r="I65" i="69"/>
  <c r="H65" i="69"/>
  <c r="G65" i="69"/>
  <c r="F65" i="69"/>
  <c r="E65" i="69"/>
  <c r="D65" i="69"/>
  <c r="C65" i="69"/>
  <c r="B65" i="69"/>
  <c r="A65" i="69"/>
  <c r="K64" i="69"/>
  <c r="J64" i="69"/>
  <c r="I64" i="69"/>
  <c r="H64" i="69"/>
  <c r="G64" i="69"/>
  <c r="F64" i="69"/>
  <c r="E64" i="69"/>
  <c r="D64" i="69"/>
  <c r="C64" i="69"/>
  <c r="B64" i="69"/>
  <c r="A64" i="69"/>
  <c r="K63" i="69"/>
  <c r="J63" i="69"/>
  <c r="I63" i="69"/>
  <c r="H63" i="69"/>
  <c r="G63" i="69"/>
  <c r="F63" i="69"/>
  <c r="E63" i="69"/>
  <c r="D63" i="69"/>
  <c r="C63" i="69"/>
  <c r="B63" i="69"/>
  <c r="A63" i="69"/>
  <c r="K62" i="69"/>
  <c r="J62" i="69"/>
  <c r="I62" i="69"/>
  <c r="H62" i="69"/>
  <c r="G62" i="69"/>
  <c r="F62" i="69"/>
  <c r="E62" i="69"/>
  <c r="D62" i="69"/>
  <c r="C62" i="69"/>
  <c r="B62" i="69"/>
  <c r="A62" i="69"/>
  <c r="K61" i="69"/>
  <c r="J61" i="69"/>
  <c r="I61" i="69"/>
  <c r="H61" i="69"/>
  <c r="G61" i="69"/>
  <c r="F61" i="69"/>
  <c r="E61" i="69"/>
  <c r="D61" i="69"/>
  <c r="C61" i="69"/>
  <c r="B61" i="69"/>
  <c r="A61" i="69"/>
  <c r="K60" i="69"/>
  <c r="J60" i="69"/>
  <c r="I60" i="69"/>
  <c r="H60" i="69"/>
  <c r="G60" i="69"/>
  <c r="F60" i="69"/>
  <c r="E60" i="69"/>
  <c r="D60" i="69"/>
  <c r="C60" i="69"/>
  <c r="B60" i="69"/>
  <c r="A60" i="69"/>
  <c r="J59" i="69"/>
  <c r="I59" i="69"/>
  <c r="H59" i="69"/>
  <c r="G59" i="69"/>
  <c r="F59" i="69"/>
  <c r="E59" i="69"/>
  <c r="D59" i="69"/>
  <c r="C59" i="69"/>
  <c r="B59" i="69"/>
  <c r="A59" i="69"/>
  <c r="J58" i="69"/>
  <c r="I58" i="69"/>
  <c r="H58" i="69"/>
  <c r="G58" i="69"/>
  <c r="F58" i="69"/>
  <c r="E58" i="69"/>
  <c r="D58" i="69"/>
  <c r="C58" i="69"/>
  <c r="B58" i="69"/>
  <c r="A58" i="69"/>
  <c r="K57" i="69"/>
  <c r="J57" i="69"/>
  <c r="I57" i="69"/>
  <c r="H57" i="69"/>
  <c r="G57" i="69"/>
  <c r="F57" i="69"/>
  <c r="E57" i="69"/>
  <c r="D57" i="69"/>
  <c r="C57" i="69"/>
  <c r="B57" i="69"/>
  <c r="A57" i="69"/>
  <c r="K56" i="69"/>
  <c r="J56" i="69"/>
  <c r="I56" i="69"/>
  <c r="H56" i="69"/>
  <c r="G56" i="69"/>
  <c r="F56" i="69"/>
  <c r="E56" i="69"/>
  <c r="D56" i="69"/>
  <c r="C56" i="69"/>
  <c r="B56" i="69"/>
  <c r="A56" i="69"/>
  <c r="K55" i="69"/>
  <c r="J55" i="69"/>
  <c r="I55" i="69"/>
  <c r="H55" i="69"/>
  <c r="G55" i="69"/>
  <c r="F55" i="69"/>
  <c r="E55" i="69"/>
  <c r="D55" i="69"/>
  <c r="C55" i="69"/>
  <c r="B55" i="69"/>
  <c r="A55" i="69"/>
  <c r="K54" i="69"/>
  <c r="J54" i="69"/>
  <c r="I54" i="69"/>
  <c r="H54" i="69"/>
  <c r="G54" i="69"/>
  <c r="F54" i="69"/>
  <c r="E54" i="69"/>
  <c r="D54" i="69"/>
  <c r="C54" i="69"/>
  <c r="B54" i="69"/>
  <c r="A54" i="69"/>
  <c r="K53" i="69"/>
  <c r="J53" i="69"/>
  <c r="I53" i="69"/>
  <c r="H53" i="69"/>
  <c r="G53" i="69"/>
  <c r="F53" i="69"/>
  <c r="E53" i="69"/>
  <c r="D53" i="69"/>
  <c r="C53" i="69"/>
  <c r="B53" i="69"/>
  <c r="A53" i="69"/>
  <c r="K52" i="69"/>
  <c r="J52" i="69"/>
  <c r="I52" i="69"/>
  <c r="H52" i="69"/>
  <c r="G52" i="69"/>
  <c r="F52" i="69"/>
  <c r="E52" i="69"/>
  <c r="D52" i="69"/>
  <c r="C52" i="69"/>
  <c r="B52" i="69"/>
  <c r="A52" i="69"/>
  <c r="K51" i="69"/>
  <c r="J51" i="69"/>
  <c r="I51" i="69"/>
  <c r="H51" i="69"/>
  <c r="G51" i="69"/>
  <c r="F51" i="69"/>
  <c r="E51" i="69"/>
  <c r="D51" i="69"/>
  <c r="C51" i="69"/>
  <c r="B51" i="69"/>
  <c r="A51" i="69"/>
  <c r="K50" i="69"/>
  <c r="J50" i="69"/>
  <c r="I50" i="69"/>
  <c r="H50" i="69"/>
  <c r="G50" i="69"/>
  <c r="F50" i="69"/>
  <c r="E50" i="69"/>
  <c r="D50" i="69"/>
  <c r="C50" i="69"/>
  <c r="B50" i="69"/>
  <c r="A50" i="69"/>
  <c r="K49" i="69"/>
  <c r="J49" i="69"/>
  <c r="I49" i="69"/>
  <c r="H49" i="69"/>
  <c r="G49" i="69"/>
  <c r="F49" i="69"/>
  <c r="E49" i="69"/>
  <c r="D49" i="69"/>
  <c r="C49" i="69"/>
  <c r="B49" i="69"/>
  <c r="A49" i="69"/>
  <c r="K48" i="69"/>
  <c r="J48" i="69"/>
  <c r="I48" i="69"/>
  <c r="H48" i="69"/>
  <c r="G48" i="69"/>
  <c r="F48" i="69"/>
  <c r="E48" i="69"/>
  <c r="D48" i="69"/>
  <c r="C48" i="69"/>
  <c r="B48" i="69"/>
  <c r="A48" i="69"/>
  <c r="K47" i="69"/>
  <c r="J47" i="69"/>
  <c r="I47" i="69"/>
  <c r="H47" i="69"/>
  <c r="G47" i="69"/>
  <c r="F47" i="69"/>
  <c r="E47" i="69"/>
  <c r="D47" i="69"/>
  <c r="C47" i="69"/>
  <c r="B47" i="69"/>
  <c r="A47" i="69"/>
  <c r="K46" i="69"/>
  <c r="J46" i="69"/>
  <c r="I46" i="69"/>
  <c r="H46" i="69"/>
  <c r="G46" i="69"/>
  <c r="F46" i="69"/>
  <c r="E46" i="69"/>
  <c r="D46" i="69"/>
  <c r="C46" i="69"/>
  <c r="B46" i="69"/>
  <c r="A46" i="69"/>
  <c r="K45" i="69"/>
  <c r="J45" i="69"/>
  <c r="I45" i="69"/>
  <c r="H45" i="69"/>
  <c r="G45" i="69"/>
  <c r="F45" i="69"/>
  <c r="E45" i="69"/>
  <c r="D45" i="69"/>
  <c r="C45" i="69"/>
  <c r="B45" i="69"/>
  <c r="A45" i="69"/>
  <c r="J44" i="69"/>
  <c r="I44" i="69"/>
  <c r="H44" i="69"/>
  <c r="G44" i="69"/>
  <c r="F44" i="69"/>
  <c r="E44" i="69"/>
  <c r="D44" i="69"/>
  <c r="C44" i="69"/>
  <c r="B44" i="69"/>
  <c r="A44" i="69"/>
  <c r="K43" i="69"/>
  <c r="J43" i="69"/>
  <c r="I43" i="69"/>
  <c r="H43" i="69"/>
  <c r="G43" i="69"/>
  <c r="F43" i="69"/>
  <c r="E43" i="69"/>
  <c r="D43" i="69"/>
  <c r="C43" i="69"/>
  <c r="B43" i="69"/>
  <c r="A43" i="69"/>
  <c r="J42" i="69"/>
  <c r="I42" i="69"/>
  <c r="H42" i="69"/>
  <c r="G42" i="69"/>
  <c r="F42" i="69"/>
  <c r="E42" i="69"/>
  <c r="D42" i="69"/>
  <c r="C42" i="69"/>
  <c r="B42" i="69"/>
  <c r="A42" i="69"/>
  <c r="J41" i="69"/>
  <c r="I41" i="69"/>
  <c r="H41" i="69"/>
  <c r="G41" i="69"/>
  <c r="F41" i="69"/>
  <c r="E41" i="69"/>
  <c r="D41" i="69"/>
  <c r="C41" i="69"/>
  <c r="B41" i="69"/>
  <c r="A41" i="69"/>
  <c r="K40" i="69"/>
  <c r="J40" i="69"/>
  <c r="I40" i="69"/>
  <c r="H40" i="69"/>
  <c r="G40" i="69"/>
  <c r="F40" i="69"/>
  <c r="E40" i="69"/>
  <c r="D40" i="69"/>
  <c r="C40" i="69"/>
  <c r="B40" i="69"/>
  <c r="A40" i="69"/>
  <c r="K39" i="69"/>
  <c r="J39" i="69"/>
  <c r="I39" i="69"/>
  <c r="H39" i="69"/>
  <c r="G39" i="69"/>
  <c r="F39" i="69"/>
  <c r="E39" i="69"/>
  <c r="D39" i="69"/>
  <c r="C39" i="69"/>
  <c r="B39" i="69"/>
  <c r="A39" i="69"/>
  <c r="K38" i="69"/>
  <c r="J38" i="69"/>
  <c r="I38" i="69"/>
  <c r="H38" i="69"/>
  <c r="G38" i="69"/>
  <c r="F38" i="69"/>
  <c r="E38" i="69"/>
  <c r="D38" i="69"/>
  <c r="C38" i="69"/>
  <c r="B38" i="69"/>
  <c r="A38" i="69"/>
  <c r="J37" i="69"/>
  <c r="I37" i="69"/>
  <c r="H37" i="69"/>
  <c r="G37" i="69"/>
  <c r="F37" i="69"/>
  <c r="E37" i="69"/>
  <c r="D37" i="69"/>
  <c r="C37" i="69"/>
  <c r="B37" i="69"/>
  <c r="A37" i="69"/>
  <c r="J36" i="69"/>
  <c r="I36" i="69"/>
  <c r="H36" i="69"/>
  <c r="G36" i="69"/>
  <c r="F36" i="69"/>
  <c r="E36" i="69"/>
  <c r="D36" i="69"/>
  <c r="C36" i="69"/>
  <c r="B36" i="69"/>
  <c r="A36" i="69"/>
  <c r="J35" i="69"/>
  <c r="I35" i="69"/>
  <c r="H35" i="69"/>
  <c r="G35" i="69"/>
  <c r="F35" i="69"/>
  <c r="E35" i="69"/>
  <c r="D35" i="69"/>
  <c r="C35" i="69"/>
  <c r="B35" i="69"/>
  <c r="A35" i="69"/>
  <c r="J34" i="69"/>
  <c r="I34" i="69"/>
  <c r="H34" i="69"/>
  <c r="G34" i="69"/>
  <c r="F34" i="69"/>
  <c r="E34" i="69"/>
  <c r="D34" i="69"/>
  <c r="C34" i="69"/>
  <c r="B34" i="69"/>
  <c r="A34" i="69"/>
  <c r="K33" i="69"/>
  <c r="J33" i="69"/>
  <c r="I33" i="69"/>
  <c r="H33" i="69"/>
  <c r="G33" i="69"/>
  <c r="F33" i="69"/>
  <c r="E33" i="69"/>
  <c r="D33" i="69"/>
  <c r="C33" i="69"/>
  <c r="B33" i="69"/>
  <c r="A33" i="69"/>
  <c r="J32" i="69"/>
  <c r="I32" i="69"/>
  <c r="H32" i="69"/>
  <c r="G32" i="69"/>
  <c r="F32" i="69"/>
  <c r="E32" i="69"/>
  <c r="D32" i="69"/>
  <c r="C32" i="69"/>
  <c r="B32" i="69"/>
  <c r="A32" i="69"/>
  <c r="K31" i="69"/>
  <c r="J31" i="69"/>
  <c r="I31" i="69"/>
  <c r="H31" i="69"/>
  <c r="G31" i="69"/>
  <c r="F31" i="69"/>
  <c r="E31" i="69"/>
  <c r="D31" i="69"/>
  <c r="C31" i="69"/>
  <c r="B31" i="69"/>
  <c r="A31" i="69"/>
  <c r="J30" i="69"/>
  <c r="I30" i="69"/>
  <c r="H30" i="69"/>
  <c r="G30" i="69"/>
  <c r="F30" i="69"/>
  <c r="E30" i="69"/>
  <c r="D30" i="69"/>
  <c r="C30" i="69"/>
  <c r="B30" i="69"/>
  <c r="A30" i="69"/>
  <c r="J29" i="69"/>
  <c r="I29" i="69"/>
  <c r="H29" i="69"/>
  <c r="G29" i="69"/>
  <c r="F29" i="69"/>
  <c r="E29" i="69"/>
  <c r="D29" i="69"/>
  <c r="C29" i="69"/>
  <c r="B29" i="69"/>
  <c r="A29" i="69"/>
  <c r="K28" i="69"/>
  <c r="J28" i="69"/>
  <c r="I28" i="69"/>
  <c r="H28" i="69"/>
  <c r="G28" i="69"/>
  <c r="F28" i="69"/>
  <c r="E28" i="69"/>
  <c r="D28" i="69"/>
  <c r="C28" i="69"/>
  <c r="B28" i="69"/>
  <c r="A28" i="69"/>
  <c r="K27" i="69"/>
  <c r="J27" i="69"/>
  <c r="I27" i="69"/>
  <c r="H27" i="69"/>
  <c r="G27" i="69"/>
  <c r="F27" i="69"/>
  <c r="E27" i="69"/>
  <c r="D27" i="69"/>
  <c r="C27" i="69"/>
  <c r="B27" i="69"/>
  <c r="A27" i="69"/>
  <c r="K26" i="69"/>
  <c r="J26" i="69"/>
  <c r="I26" i="69"/>
  <c r="H26" i="69"/>
  <c r="G26" i="69"/>
  <c r="F26" i="69"/>
  <c r="E26" i="69"/>
  <c r="D26" i="69"/>
  <c r="C26" i="69"/>
  <c r="B26" i="69"/>
  <c r="A26" i="69"/>
  <c r="J25" i="69"/>
  <c r="I25" i="69"/>
  <c r="H25" i="69"/>
  <c r="G25" i="69"/>
  <c r="F25" i="69"/>
  <c r="E25" i="69"/>
  <c r="D25" i="69"/>
  <c r="C25" i="69"/>
  <c r="B25" i="69"/>
  <c r="A25" i="69"/>
  <c r="K24" i="69"/>
  <c r="J24" i="69"/>
  <c r="I24" i="69"/>
  <c r="H24" i="69"/>
  <c r="G24" i="69"/>
  <c r="F24" i="69"/>
  <c r="E24" i="69"/>
  <c r="D24" i="69"/>
  <c r="C24" i="69"/>
  <c r="B24" i="69"/>
  <c r="A24" i="69"/>
  <c r="K23" i="69"/>
  <c r="J23" i="69"/>
  <c r="I23" i="69"/>
  <c r="H23" i="69"/>
  <c r="G23" i="69"/>
  <c r="F23" i="69"/>
  <c r="E23" i="69"/>
  <c r="D23" i="69"/>
  <c r="C23" i="69"/>
  <c r="B23" i="69"/>
  <c r="A23" i="69"/>
  <c r="J22" i="69"/>
  <c r="I22" i="69"/>
  <c r="H22" i="69"/>
  <c r="G22" i="69"/>
  <c r="F22" i="69"/>
  <c r="E22" i="69"/>
  <c r="D22" i="69"/>
  <c r="C22" i="69"/>
  <c r="B22" i="69"/>
  <c r="A22" i="69"/>
  <c r="J21" i="69"/>
  <c r="I21" i="69"/>
  <c r="H21" i="69"/>
  <c r="G21" i="69"/>
  <c r="F21" i="69"/>
  <c r="E21" i="69"/>
  <c r="D21" i="69"/>
  <c r="C21" i="69"/>
  <c r="B21" i="69"/>
  <c r="A21" i="69"/>
  <c r="K20" i="69"/>
  <c r="J20" i="69"/>
  <c r="I20" i="69"/>
  <c r="H20" i="69"/>
  <c r="G20" i="69"/>
  <c r="F20" i="69"/>
  <c r="E20" i="69"/>
  <c r="D20" i="69"/>
  <c r="C20" i="69"/>
  <c r="B20" i="69"/>
  <c r="A20" i="69"/>
  <c r="K19" i="69"/>
  <c r="J19" i="69"/>
  <c r="I19" i="69"/>
  <c r="H19" i="69"/>
  <c r="G19" i="69"/>
  <c r="F19" i="69"/>
  <c r="E19" i="69"/>
  <c r="D19" i="69"/>
  <c r="C19" i="69"/>
  <c r="B19" i="69"/>
  <c r="A19" i="69"/>
  <c r="K18" i="69"/>
  <c r="J18" i="69"/>
  <c r="I18" i="69"/>
  <c r="H18" i="69"/>
  <c r="G18" i="69"/>
  <c r="F18" i="69"/>
  <c r="E18" i="69"/>
  <c r="D18" i="69"/>
  <c r="C18" i="69"/>
  <c r="B18" i="69"/>
  <c r="A18" i="69"/>
  <c r="J17" i="69"/>
  <c r="I17" i="69"/>
  <c r="H17" i="69"/>
  <c r="G17" i="69"/>
  <c r="F17" i="69"/>
  <c r="E17" i="69"/>
  <c r="D17" i="69"/>
  <c r="C17" i="69"/>
  <c r="B17" i="69"/>
  <c r="A17" i="69"/>
  <c r="K16" i="69"/>
  <c r="J16" i="69"/>
  <c r="I16" i="69"/>
  <c r="H16" i="69"/>
  <c r="G16" i="69"/>
  <c r="F16" i="69"/>
  <c r="E16" i="69"/>
  <c r="D16" i="69"/>
  <c r="C16" i="69"/>
  <c r="B16" i="69"/>
  <c r="A16" i="69"/>
  <c r="K15" i="69"/>
  <c r="J15" i="69"/>
  <c r="I15" i="69"/>
  <c r="H15" i="69"/>
  <c r="G15" i="69"/>
  <c r="F15" i="69"/>
  <c r="E15" i="69"/>
  <c r="D15" i="69"/>
  <c r="C15" i="69"/>
  <c r="B15" i="69"/>
  <c r="A15" i="69"/>
  <c r="K14" i="69"/>
  <c r="J14" i="69"/>
  <c r="I14" i="69"/>
  <c r="H14" i="69"/>
  <c r="G14" i="69"/>
  <c r="F14" i="69"/>
  <c r="E14" i="69"/>
  <c r="D14" i="69"/>
  <c r="C14" i="69"/>
  <c r="B14" i="69"/>
  <c r="A14" i="69"/>
  <c r="J13" i="69"/>
  <c r="I13" i="69"/>
  <c r="H13" i="69"/>
  <c r="G13" i="69"/>
  <c r="F13" i="69"/>
  <c r="E13" i="69"/>
  <c r="D13" i="69"/>
  <c r="C13" i="69"/>
  <c r="B13" i="69"/>
  <c r="A13" i="69"/>
  <c r="K12" i="69"/>
  <c r="J12" i="69"/>
  <c r="I12" i="69"/>
  <c r="H12" i="69"/>
  <c r="G12" i="69"/>
  <c r="F12" i="69"/>
  <c r="E12" i="69"/>
  <c r="D12" i="69"/>
  <c r="C12" i="69"/>
  <c r="B12" i="69"/>
  <c r="A12" i="69"/>
  <c r="K80" i="68"/>
  <c r="K79" i="68"/>
  <c r="K78" i="68"/>
  <c r="K77" i="68"/>
  <c r="K76" i="68"/>
  <c r="K75" i="68"/>
  <c r="K74" i="68"/>
  <c r="K73" i="68"/>
  <c r="K72" i="68"/>
  <c r="K71" i="68"/>
  <c r="K70" i="68"/>
  <c r="K69" i="68"/>
  <c r="K68" i="68"/>
  <c r="K67" i="68"/>
  <c r="K66" i="68"/>
  <c r="K65" i="68"/>
  <c r="K64" i="68"/>
  <c r="K63" i="68"/>
  <c r="K62" i="68"/>
  <c r="K61" i="68"/>
  <c r="K60" i="68"/>
  <c r="K59" i="68"/>
  <c r="K58" i="68"/>
  <c r="K57" i="68"/>
  <c r="K56" i="68"/>
  <c r="K55" i="68"/>
  <c r="K54" i="68"/>
  <c r="K53" i="68"/>
  <c r="K52" i="68"/>
  <c r="K51" i="68"/>
  <c r="K50" i="68"/>
  <c r="K49" i="68"/>
  <c r="K48" i="68"/>
  <c r="K47" i="68"/>
  <c r="K46" i="68"/>
  <c r="K45" i="68"/>
  <c r="K44" i="68"/>
  <c r="K43" i="68"/>
  <c r="K42" i="68"/>
  <c r="K41" i="68"/>
  <c r="K40" i="68"/>
  <c r="K39" i="68"/>
  <c r="K38" i="68"/>
  <c r="K37" i="68"/>
  <c r="K36" i="68"/>
  <c r="K35" i="68"/>
  <c r="K34" i="68"/>
  <c r="K33" i="68"/>
  <c r="K32" i="68"/>
  <c r="K31" i="68"/>
  <c r="K30" i="68"/>
  <c r="K29" i="68"/>
  <c r="K28" i="68"/>
  <c r="K27" i="68"/>
  <c r="K26" i="68"/>
  <c r="K25" i="68"/>
  <c r="K24" i="68"/>
  <c r="K23" i="68"/>
  <c r="K22" i="68"/>
  <c r="K21" i="68"/>
  <c r="K20" i="68"/>
  <c r="K19" i="68"/>
  <c r="K18" i="68"/>
  <c r="K17" i="68"/>
  <c r="K16" i="68"/>
  <c r="K15" i="68"/>
  <c r="K14" i="68"/>
  <c r="K13" i="68"/>
  <c r="J13" i="68"/>
  <c r="K12" i="68"/>
  <c r="J12" i="68"/>
  <c r="I12" i="68"/>
  <c r="G12" i="68"/>
  <c r="F12" i="68"/>
  <c r="E12" i="68"/>
  <c r="D12" i="68"/>
  <c r="A12" i="68"/>
  <c r="K80" i="67"/>
  <c r="K79" i="67"/>
  <c r="K78" i="67"/>
  <c r="K77" i="67"/>
  <c r="K76" i="67"/>
  <c r="K75" i="67"/>
  <c r="K74" i="67"/>
  <c r="K73" i="67"/>
  <c r="K72" i="67"/>
  <c r="K71" i="67"/>
  <c r="K70" i="67"/>
  <c r="K69" i="67"/>
  <c r="K68" i="67"/>
  <c r="K67" i="67"/>
  <c r="K66" i="67"/>
  <c r="K65" i="67"/>
  <c r="K64" i="67"/>
  <c r="K63" i="67"/>
  <c r="K62" i="67"/>
  <c r="K61" i="67"/>
  <c r="K60" i="67"/>
  <c r="K59" i="67"/>
  <c r="K58" i="67"/>
  <c r="K57" i="67"/>
  <c r="K56" i="67"/>
  <c r="K55" i="67"/>
  <c r="K54" i="67"/>
  <c r="K53" i="67"/>
  <c r="K52" i="67"/>
  <c r="K51" i="67"/>
  <c r="K50" i="67"/>
  <c r="K49" i="67"/>
  <c r="K48" i="67"/>
  <c r="K47" i="67"/>
  <c r="K46" i="67"/>
  <c r="K45" i="67"/>
  <c r="K44" i="67"/>
  <c r="K43" i="67"/>
  <c r="K42" i="67"/>
  <c r="K41" i="67"/>
  <c r="K40" i="67"/>
  <c r="K39" i="67"/>
  <c r="K38" i="67"/>
  <c r="K37" i="67"/>
  <c r="K36" i="67"/>
  <c r="K35" i="67"/>
  <c r="K34" i="67"/>
  <c r="K33" i="67"/>
  <c r="K32" i="67"/>
  <c r="K31" i="67"/>
  <c r="K30" i="67"/>
  <c r="K29" i="67"/>
  <c r="K28" i="67"/>
  <c r="K27" i="67"/>
  <c r="K26" i="67"/>
  <c r="K25" i="67"/>
  <c r="K24" i="67"/>
  <c r="K23" i="67"/>
  <c r="K22" i="67"/>
  <c r="K21" i="67"/>
  <c r="K20" i="67"/>
  <c r="K19" i="67"/>
  <c r="K18" i="67"/>
  <c r="K17" i="67"/>
  <c r="K16" i="67"/>
  <c r="K15" i="67"/>
  <c r="K14" i="67"/>
  <c r="K13" i="67"/>
  <c r="K12" i="67"/>
  <c r="J12" i="67"/>
  <c r="I12" i="67"/>
  <c r="G12" i="67"/>
  <c r="F12" i="67"/>
  <c r="E12" i="67"/>
  <c r="D12" i="67"/>
  <c r="A12" i="67"/>
  <c r="H111" i="66"/>
  <c r="G111" i="66"/>
  <c r="F111" i="66"/>
  <c r="E111" i="66"/>
  <c r="D111" i="66"/>
  <c r="C111" i="66"/>
  <c r="B111" i="66"/>
  <c r="A111" i="66"/>
  <c r="H110" i="66"/>
  <c r="G110" i="66"/>
  <c r="F110" i="66"/>
  <c r="E110" i="66"/>
  <c r="D110" i="66"/>
  <c r="C110" i="66"/>
  <c r="B110" i="66"/>
  <c r="A110" i="66"/>
  <c r="H109" i="66"/>
  <c r="G109" i="66"/>
  <c r="F109" i="66"/>
  <c r="E109" i="66"/>
  <c r="D109" i="66"/>
  <c r="C109" i="66"/>
  <c r="B109" i="66"/>
  <c r="A109" i="66"/>
  <c r="H108" i="66"/>
  <c r="G108" i="66"/>
  <c r="F108" i="66"/>
  <c r="E108" i="66"/>
  <c r="D108" i="66"/>
  <c r="C108" i="66"/>
  <c r="B108" i="66"/>
  <c r="A108" i="66"/>
  <c r="H107" i="66"/>
  <c r="G107" i="66"/>
  <c r="F107" i="66"/>
  <c r="E107" i="66"/>
  <c r="D107" i="66"/>
  <c r="C107" i="66"/>
  <c r="B107" i="66"/>
  <c r="A107" i="66"/>
  <c r="H106" i="66"/>
  <c r="G106" i="66"/>
  <c r="F106" i="66"/>
  <c r="E106" i="66"/>
  <c r="D106" i="66"/>
  <c r="C106" i="66"/>
  <c r="B106" i="66"/>
  <c r="A106" i="66"/>
  <c r="H105" i="66"/>
  <c r="G105" i="66"/>
  <c r="F105" i="66"/>
  <c r="E105" i="66"/>
  <c r="D105" i="66"/>
  <c r="C105" i="66"/>
  <c r="B105" i="66"/>
  <c r="A105" i="66"/>
  <c r="H104" i="66"/>
  <c r="G104" i="66"/>
  <c r="F104" i="66"/>
  <c r="E104" i="66"/>
  <c r="D104" i="66"/>
  <c r="C104" i="66"/>
  <c r="B104" i="66"/>
  <c r="A104" i="66"/>
  <c r="H103" i="66"/>
  <c r="G103" i="66"/>
  <c r="F103" i="66"/>
  <c r="E103" i="66"/>
  <c r="D103" i="66"/>
  <c r="C103" i="66"/>
  <c r="B103" i="66"/>
  <c r="A103" i="66"/>
  <c r="H102" i="66"/>
  <c r="G102" i="66"/>
  <c r="F102" i="66"/>
  <c r="E102" i="66"/>
  <c r="D102" i="66"/>
  <c r="C102" i="66"/>
  <c r="B102" i="66"/>
  <c r="A102" i="66"/>
  <c r="H101" i="66"/>
  <c r="G101" i="66"/>
  <c r="F101" i="66"/>
  <c r="E101" i="66"/>
  <c r="D101" i="66"/>
  <c r="C101" i="66"/>
  <c r="B101" i="66"/>
  <c r="A101" i="66"/>
  <c r="H100" i="66"/>
  <c r="G100" i="66"/>
  <c r="F100" i="66"/>
  <c r="E100" i="66"/>
  <c r="D100" i="66"/>
  <c r="C100" i="66"/>
  <c r="B100" i="66"/>
  <c r="A100" i="66"/>
  <c r="H99" i="66"/>
  <c r="G99" i="66"/>
  <c r="F99" i="66"/>
  <c r="E99" i="66"/>
  <c r="D99" i="66"/>
  <c r="C99" i="66"/>
  <c r="B99" i="66"/>
  <c r="A99" i="66"/>
  <c r="H98" i="66"/>
  <c r="G98" i="66"/>
  <c r="F98" i="66"/>
  <c r="E98" i="66"/>
  <c r="D98" i="66"/>
  <c r="C98" i="66"/>
  <c r="B98" i="66"/>
  <c r="A98" i="66"/>
  <c r="H97" i="66"/>
  <c r="G97" i="66"/>
  <c r="F97" i="66"/>
  <c r="E97" i="66"/>
  <c r="D97" i="66"/>
  <c r="C97" i="66"/>
  <c r="B97" i="66"/>
  <c r="A97" i="66"/>
  <c r="H96" i="66"/>
  <c r="G96" i="66"/>
  <c r="F96" i="66"/>
  <c r="E96" i="66"/>
  <c r="D96" i="66"/>
  <c r="C96" i="66"/>
  <c r="B96" i="66"/>
  <c r="A96" i="66"/>
  <c r="H95" i="66"/>
  <c r="G95" i="66"/>
  <c r="F95" i="66"/>
  <c r="E95" i="66"/>
  <c r="D95" i="66"/>
  <c r="C95" i="66"/>
  <c r="B95" i="66"/>
  <c r="A95" i="66"/>
  <c r="H94" i="66"/>
  <c r="G94" i="66"/>
  <c r="F94" i="66"/>
  <c r="E94" i="66"/>
  <c r="D94" i="66"/>
  <c r="C94" i="66"/>
  <c r="B94" i="66"/>
  <c r="A94" i="66"/>
  <c r="H93" i="66"/>
  <c r="G93" i="66"/>
  <c r="F93" i="66"/>
  <c r="E93" i="66"/>
  <c r="D93" i="66"/>
  <c r="C93" i="66"/>
  <c r="B93" i="66"/>
  <c r="A93" i="66"/>
  <c r="H92" i="66"/>
  <c r="G92" i="66"/>
  <c r="F92" i="66"/>
  <c r="E92" i="66"/>
  <c r="D92" i="66"/>
  <c r="C92" i="66"/>
  <c r="B92" i="66"/>
  <c r="A92" i="66"/>
  <c r="H91" i="66"/>
  <c r="G91" i="66"/>
  <c r="F91" i="66"/>
  <c r="E91" i="66"/>
  <c r="D91" i="66"/>
  <c r="C91" i="66"/>
  <c r="B91" i="66"/>
  <c r="A91" i="66"/>
  <c r="H90" i="66"/>
  <c r="G90" i="66"/>
  <c r="F90" i="66"/>
  <c r="E90" i="66"/>
  <c r="D90" i="66"/>
  <c r="C90" i="66"/>
  <c r="B90" i="66"/>
  <c r="A90" i="66"/>
  <c r="H89" i="66"/>
  <c r="G89" i="66"/>
  <c r="F89" i="66"/>
  <c r="E89" i="66"/>
  <c r="D89" i="66"/>
  <c r="C89" i="66"/>
  <c r="B89" i="66"/>
  <c r="A89" i="66"/>
  <c r="H88" i="66"/>
  <c r="G88" i="66"/>
  <c r="F88" i="66"/>
  <c r="E88" i="66"/>
  <c r="D88" i="66"/>
  <c r="C88" i="66"/>
  <c r="B88" i="66"/>
  <c r="A88" i="66"/>
  <c r="H87" i="66"/>
  <c r="G87" i="66"/>
  <c r="F87" i="66"/>
  <c r="E87" i="66"/>
  <c r="D87" i="66"/>
  <c r="C87" i="66"/>
  <c r="B87" i="66"/>
  <c r="A87" i="66"/>
  <c r="H86" i="66"/>
  <c r="G86" i="66"/>
  <c r="F86" i="66"/>
  <c r="E86" i="66"/>
  <c r="D86" i="66"/>
  <c r="C86" i="66"/>
  <c r="B86" i="66"/>
  <c r="A86" i="66"/>
  <c r="H85" i="66"/>
  <c r="G85" i="66"/>
  <c r="F85" i="66"/>
  <c r="E85" i="66"/>
  <c r="D85" i="66"/>
  <c r="C85" i="66"/>
  <c r="B85" i="66"/>
  <c r="A85" i="66"/>
  <c r="H84" i="66"/>
  <c r="G84" i="66"/>
  <c r="F84" i="66"/>
  <c r="E84" i="66"/>
  <c r="D84" i="66"/>
  <c r="C84" i="66"/>
  <c r="B84" i="66"/>
  <c r="A84" i="66"/>
  <c r="H83" i="66"/>
  <c r="G83" i="66"/>
  <c r="F83" i="66"/>
  <c r="E83" i="66"/>
  <c r="D83" i="66"/>
  <c r="C83" i="66"/>
  <c r="B83" i="66"/>
  <c r="A83" i="66"/>
  <c r="H82" i="66"/>
  <c r="G82" i="66"/>
  <c r="F82" i="66"/>
  <c r="E82" i="66"/>
  <c r="D82" i="66"/>
  <c r="C82" i="66"/>
  <c r="B82" i="66"/>
  <c r="A82" i="66"/>
  <c r="H81" i="66"/>
  <c r="G81" i="66"/>
  <c r="F81" i="66"/>
  <c r="E81" i="66"/>
  <c r="D81" i="66"/>
  <c r="C81" i="66"/>
  <c r="B81" i="66"/>
  <c r="A81" i="66"/>
  <c r="I80" i="66"/>
  <c r="H80" i="66"/>
  <c r="G80" i="66"/>
  <c r="F80" i="66"/>
  <c r="E80" i="66"/>
  <c r="D80" i="66"/>
  <c r="C80" i="66"/>
  <c r="B80" i="66"/>
  <c r="A80" i="66"/>
  <c r="I79" i="66"/>
  <c r="H79" i="66"/>
  <c r="G79" i="66"/>
  <c r="F79" i="66"/>
  <c r="E79" i="66"/>
  <c r="D79" i="66"/>
  <c r="C79" i="66"/>
  <c r="B79" i="66"/>
  <c r="A79" i="66"/>
  <c r="I78" i="66"/>
  <c r="H78" i="66"/>
  <c r="G78" i="66"/>
  <c r="F78" i="66"/>
  <c r="E78" i="66"/>
  <c r="D78" i="66"/>
  <c r="C78" i="66"/>
  <c r="B78" i="66"/>
  <c r="A78" i="66"/>
  <c r="I77" i="66"/>
  <c r="H77" i="66"/>
  <c r="G77" i="66"/>
  <c r="F77" i="66"/>
  <c r="E77" i="66"/>
  <c r="D77" i="66"/>
  <c r="C77" i="66"/>
  <c r="B77" i="66"/>
  <c r="A77" i="66"/>
  <c r="I76" i="66"/>
  <c r="H76" i="66"/>
  <c r="G76" i="66"/>
  <c r="F76" i="66"/>
  <c r="E76" i="66"/>
  <c r="D76" i="66"/>
  <c r="C76" i="66"/>
  <c r="B76" i="66"/>
  <c r="A76" i="66"/>
  <c r="I75" i="66"/>
  <c r="H75" i="66"/>
  <c r="G75" i="66"/>
  <c r="F75" i="66"/>
  <c r="E75" i="66"/>
  <c r="D75" i="66"/>
  <c r="C75" i="66"/>
  <c r="B75" i="66"/>
  <c r="A75" i="66"/>
  <c r="I74" i="66"/>
  <c r="H74" i="66"/>
  <c r="G74" i="66"/>
  <c r="F74" i="66"/>
  <c r="E74" i="66"/>
  <c r="D74" i="66"/>
  <c r="C74" i="66"/>
  <c r="B74" i="66"/>
  <c r="A74" i="66"/>
  <c r="I73" i="66"/>
  <c r="H73" i="66"/>
  <c r="G73" i="66"/>
  <c r="F73" i="66"/>
  <c r="E73" i="66"/>
  <c r="D73" i="66"/>
  <c r="C73" i="66"/>
  <c r="B73" i="66"/>
  <c r="A73" i="66"/>
  <c r="I72" i="66"/>
  <c r="H72" i="66"/>
  <c r="G72" i="66"/>
  <c r="F72" i="66"/>
  <c r="E72" i="66"/>
  <c r="D72" i="66"/>
  <c r="C72" i="66"/>
  <c r="B72" i="66"/>
  <c r="A72" i="66"/>
  <c r="I71" i="66"/>
  <c r="H71" i="66"/>
  <c r="G71" i="66"/>
  <c r="F71" i="66"/>
  <c r="E71" i="66"/>
  <c r="D71" i="66"/>
  <c r="C71" i="66"/>
  <c r="B71" i="66"/>
  <c r="A71" i="66"/>
  <c r="I70" i="66"/>
  <c r="H70" i="66"/>
  <c r="G70" i="66"/>
  <c r="F70" i="66"/>
  <c r="E70" i="66"/>
  <c r="D70" i="66"/>
  <c r="C70" i="66"/>
  <c r="B70" i="66"/>
  <c r="A70" i="66"/>
  <c r="I69" i="66"/>
  <c r="H69" i="66"/>
  <c r="G69" i="66"/>
  <c r="F69" i="66"/>
  <c r="E69" i="66"/>
  <c r="D69" i="66"/>
  <c r="C69" i="66"/>
  <c r="B69" i="66"/>
  <c r="A69" i="66"/>
  <c r="I68" i="66"/>
  <c r="H68" i="66"/>
  <c r="G68" i="66"/>
  <c r="F68" i="66"/>
  <c r="E68" i="66"/>
  <c r="D68" i="66"/>
  <c r="C68" i="66"/>
  <c r="B68" i="66"/>
  <c r="A68" i="66"/>
  <c r="I67" i="66"/>
  <c r="H67" i="66"/>
  <c r="G67" i="66"/>
  <c r="F67" i="66"/>
  <c r="E67" i="66"/>
  <c r="D67" i="66"/>
  <c r="C67" i="66"/>
  <c r="B67" i="66"/>
  <c r="A67" i="66"/>
  <c r="I66" i="66"/>
  <c r="H66" i="66"/>
  <c r="G66" i="66"/>
  <c r="F66" i="66"/>
  <c r="E66" i="66"/>
  <c r="D66" i="66"/>
  <c r="C66" i="66"/>
  <c r="B66" i="66"/>
  <c r="A66" i="66"/>
  <c r="K65" i="66"/>
  <c r="J65" i="66"/>
  <c r="I65" i="66"/>
  <c r="H65" i="66"/>
  <c r="G65" i="66"/>
  <c r="F65" i="66"/>
  <c r="E65" i="66"/>
  <c r="D65" i="66"/>
  <c r="C65" i="66"/>
  <c r="B65" i="66"/>
  <c r="A65" i="66"/>
  <c r="K64" i="66"/>
  <c r="J64" i="66"/>
  <c r="I64" i="66"/>
  <c r="H64" i="66"/>
  <c r="G64" i="66"/>
  <c r="F64" i="66"/>
  <c r="E64" i="66"/>
  <c r="D64" i="66"/>
  <c r="C64" i="66"/>
  <c r="B64" i="66"/>
  <c r="A64" i="66"/>
  <c r="K63" i="66"/>
  <c r="J63" i="66"/>
  <c r="I63" i="66"/>
  <c r="H63" i="66"/>
  <c r="G63" i="66"/>
  <c r="F63" i="66"/>
  <c r="E63" i="66"/>
  <c r="D63" i="66"/>
  <c r="C63" i="66"/>
  <c r="B63" i="66"/>
  <c r="A63" i="66"/>
  <c r="K62" i="66"/>
  <c r="I62" i="66"/>
  <c r="H62" i="66"/>
  <c r="G62" i="66"/>
  <c r="F62" i="66"/>
  <c r="E62" i="66"/>
  <c r="D62" i="66"/>
  <c r="C62" i="66"/>
  <c r="B62" i="66"/>
  <c r="A62" i="66"/>
  <c r="K61" i="66"/>
  <c r="J61" i="66"/>
  <c r="I61" i="66"/>
  <c r="H61" i="66"/>
  <c r="G61" i="66"/>
  <c r="F61" i="66"/>
  <c r="E61" i="66"/>
  <c r="D61" i="66"/>
  <c r="C61" i="66"/>
  <c r="B61" i="66"/>
  <c r="A61" i="66"/>
  <c r="K60" i="66"/>
  <c r="I60" i="66"/>
  <c r="H60" i="66"/>
  <c r="G60" i="66"/>
  <c r="F60" i="66"/>
  <c r="E60" i="66"/>
  <c r="D60" i="66"/>
  <c r="C60" i="66"/>
  <c r="B60" i="66"/>
  <c r="A60" i="66"/>
  <c r="K59" i="66"/>
  <c r="I59" i="66"/>
  <c r="H59" i="66"/>
  <c r="G59" i="66"/>
  <c r="F59" i="66"/>
  <c r="E59" i="66"/>
  <c r="D59" i="66"/>
  <c r="C59" i="66"/>
  <c r="B59" i="66"/>
  <c r="A59" i="66"/>
  <c r="K58" i="66"/>
  <c r="J58" i="66"/>
  <c r="I58" i="66"/>
  <c r="H58" i="66"/>
  <c r="G58" i="66"/>
  <c r="F58" i="66"/>
  <c r="E58" i="66"/>
  <c r="D58" i="66"/>
  <c r="C58" i="66"/>
  <c r="B58" i="66"/>
  <c r="A58" i="66"/>
  <c r="K57" i="66"/>
  <c r="J57" i="66"/>
  <c r="I57" i="66"/>
  <c r="H57" i="66"/>
  <c r="G57" i="66"/>
  <c r="F57" i="66"/>
  <c r="E57" i="66"/>
  <c r="D57" i="66"/>
  <c r="C57" i="66"/>
  <c r="B57" i="66"/>
  <c r="A57" i="66"/>
  <c r="K56" i="66"/>
  <c r="J56" i="66"/>
  <c r="I56" i="66"/>
  <c r="H56" i="66"/>
  <c r="G56" i="66"/>
  <c r="F56" i="66"/>
  <c r="E56" i="66"/>
  <c r="D56" i="66"/>
  <c r="C56" i="66"/>
  <c r="B56" i="66"/>
  <c r="A56" i="66"/>
  <c r="K55" i="66"/>
  <c r="I55" i="66"/>
  <c r="H55" i="66"/>
  <c r="G55" i="66"/>
  <c r="F55" i="66"/>
  <c r="E55" i="66"/>
  <c r="D55" i="66"/>
  <c r="C55" i="66"/>
  <c r="B55" i="66"/>
  <c r="A55" i="66"/>
  <c r="K54" i="66"/>
  <c r="I54" i="66"/>
  <c r="H54" i="66"/>
  <c r="G54" i="66"/>
  <c r="F54" i="66"/>
  <c r="E54" i="66"/>
  <c r="D54" i="66"/>
  <c r="C54" i="66"/>
  <c r="B54" i="66"/>
  <c r="A54" i="66"/>
  <c r="K53" i="66"/>
  <c r="I53" i="66"/>
  <c r="H53" i="66"/>
  <c r="G53" i="66"/>
  <c r="F53" i="66"/>
  <c r="E53" i="66"/>
  <c r="D53" i="66"/>
  <c r="C53" i="66"/>
  <c r="B53" i="66"/>
  <c r="A53" i="66"/>
  <c r="K52" i="66"/>
  <c r="I52" i="66"/>
  <c r="H52" i="66"/>
  <c r="G52" i="66"/>
  <c r="F52" i="66"/>
  <c r="E52" i="66"/>
  <c r="D52" i="66"/>
  <c r="C52" i="66"/>
  <c r="B52" i="66"/>
  <c r="A52" i="66"/>
  <c r="K51" i="66"/>
  <c r="J51" i="66"/>
  <c r="I51" i="66"/>
  <c r="H51" i="66"/>
  <c r="G51" i="66"/>
  <c r="F51" i="66"/>
  <c r="E51" i="66"/>
  <c r="D51" i="66"/>
  <c r="C51" i="66"/>
  <c r="B51" i="66"/>
  <c r="A51" i="66"/>
  <c r="K50" i="66"/>
  <c r="I50" i="66"/>
  <c r="H50" i="66"/>
  <c r="G50" i="66"/>
  <c r="F50" i="66"/>
  <c r="E50" i="66"/>
  <c r="D50" i="66"/>
  <c r="C50" i="66"/>
  <c r="B50" i="66"/>
  <c r="A50" i="66"/>
  <c r="K49" i="66"/>
  <c r="I49" i="66"/>
  <c r="H49" i="66"/>
  <c r="G49" i="66"/>
  <c r="F49" i="66"/>
  <c r="E49" i="66"/>
  <c r="D49" i="66"/>
  <c r="C49" i="66"/>
  <c r="B49" i="66"/>
  <c r="A49" i="66"/>
  <c r="K48" i="66"/>
  <c r="J48" i="66"/>
  <c r="I48" i="66"/>
  <c r="H48" i="66"/>
  <c r="G48" i="66"/>
  <c r="F48" i="66"/>
  <c r="E48" i="66"/>
  <c r="D48" i="66"/>
  <c r="C48" i="66"/>
  <c r="B48" i="66"/>
  <c r="A48" i="66"/>
  <c r="K47" i="66"/>
  <c r="I47" i="66"/>
  <c r="H47" i="66"/>
  <c r="G47" i="66"/>
  <c r="F47" i="66"/>
  <c r="E47" i="66"/>
  <c r="D47" i="66"/>
  <c r="C47" i="66"/>
  <c r="B47" i="66"/>
  <c r="A47" i="66"/>
  <c r="K46" i="66"/>
  <c r="I46" i="66"/>
  <c r="H46" i="66"/>
  <c r="G46" i="66"/>
  <c r="F46" i="66"/>
  <c r="E46" i="66"/>
  <c r="D46" i="66"/>
  <c r="C46" i="66"/>
  <c r="B46" i="66"/>
  <c r="A46" i="66"/>
  <c r="K45" i="66"/>
  <c r="I45" i="66"/>
  <c r="H45" i="66"/>
  <c r="G45" i="66"/>
  <c r="F45" i="66"/>
  <c r="E45" i="66"/>
  <c r="D45" i="66"/>
  <c r="C45" i="66"/>
  <c r="B45" i="66"/>
  <c r="A45" i="66"/>
  <c r="K44" i="66"/>
  <c r="I44" i="66"/>
  <c r="H44" i="66"/>
  <c r="G44" i="66"/>
  <c r="F44" i="66"/>
  <c r="E44" i="66"/>
  <c r="D44" i="66"/>
  <c r="C44" i="66"/>
  <c r="B44" i="66"/>
  <c r="A44" i="66"/>
  <c r="K43" i="66"/>
  <c r="I43" i="66"/>
  <c r="H43" i="66"/>
  <c r="G43" i="66"/>
  <c r="F43" i="66"/>
  <c r="E43" i="66"/>
  <c r="D43" i="66"/>
  <c r="C43" i="66"/>
  <c r="B43" i="66"/>
  <c r="A43" i="66"/>
  <c r="K42" i="66"/>
  <c r="J42" i="66"/>
  <c r="I42" i="66"/>
  <c r="H42" i="66"/>
  <c r="G42" i="66"/>
  <c r="F42" i="66"/>
  <c r="E42" i="66"/>
  <c r="D42" i="66"/>
  <c r="C42" i="66"/>
  <c r="B42" i="66"/>
  <c r="A42" i="66"/>
  <c r="K41" i="66"/>
  <c r="J41" i="66"/>
  <c r="I41" i="66"/>
  <c r="H41" i="66"/>
  <c r="G41" i="66"/>
  <c r="F41" i="66"/>
  <c r="E41" i="66"/>
  <c r="D41" i="66"/>
  <c r="C41" i="66"/>
  <c r="B41" i="66"/>
  <c r="A41" i="66"/>
  <c r="K40" i="66"/>
  <c r="J40" i="66"/>
  <c r="I40" i="66"/>
  <c r="H40" i="66"/>
  <c r="G40" i="66"/>
  <c r="F40" i="66"/>
  <c r="E40" i="66"/>
  <c r="D40" i="66"/>
  <c r="C40" i="66"/>
  <c r="B40" i="66"/>
  <c r="A40" i="66"/>
  <c r="K39" i="66"/>
  <c r="J39" i="66"/>
  <c r="I39" i="66"/>
  <c r="H39" i="66"/>
  <c r="G39" i="66"/>
  <c r="F39" i="66"/>
  <c r="E39" i="66"/>
  <c r="D39" i="66"/>
  <c r="C39" i="66"/>
  <c r="B39" i="66"/>
  <c r="A39" i="66"/>
  <c r="K38" i="66"/>
  <c r="J38" i="66"/>
  <c r="I38" i="66"/>
  <c r="H38" i="66"/>
  <c r="G38" i="66"/>
  <c r="F38" i="66"/>
  <c r="E38" i="66"/>
  <c r="D38" i="66"/>
  <c r="C38" i="66"/>
  <c r="B38" i="66"/>
  <c r="A38" i="66"/>
  <c r="K37" i="66"/>
  <c r="J37" i="66"/>
  <c r="I37" i="66"/>
  <c r="H37" i="66"/>
  <c r="G37" i="66"/>
  <c r="F37" i="66"/>
  <c r="E37" i="66"/>
  <c r="D37" i="66"/>
  <c r="C37" i="66"/>
  <c r="B37" i="66"/>
  <c r="A37" i="66"/>
  <c r="K36" i="66"/>
  <c r="J36" i="66"/>
  <c r="I36" i="66"/>
  <c r="H36" i="66"/>
  <c r="G36" i="66"/>
  <c r="F36" i="66"/>
  <c r="E36" i="66"/>
  <c r="D36" i="66"/>
  <c r="C36" i="66"/>
  <c r="B36" i="66"/>
  <c r="A36" i="66"/>
  <c r="K35" i="66"/>
  <c r="J35" i="66"/>
  <c r="I35" i="66"/>
  <c r="H35" i="66"/>
  <c r="G35" i="66"/>
  <c r="F35" i="66"/>
  <c r="E35" i="66"/>
  <c r="D35" i="66"/>
  <c r="C35" i="66"/>
  <c r="B35" i="66"/>
  <c r="A35" i="66"/>
  <c r="K34" i="66"/>
  <c r="J34" i="66"/>
  <c r="I34" i="66"/>
  <c r="H34" i="66"/>
  <c r="G34" i="66"/>
  <c r="F34" i="66"/>
  <c r="E34" i="66"/>
  <c r="D34" i="66"/>
  <c r="C34" i="66"/>
  <c r="B34" i="66"/>
  <c r="A34" i="66"/>
  <c r="K33" i="66"/>
  <c r="J33" i="66"/>
  <c r="I33" i="66"/>
  <c r="H33" i="66"/>
  <c r="G33" i="66"/>
  <c r="F33" i="66"/>
  <c r="E33" i="66"/>
  <c r="D33" i="66"/>
  <c r="C33" i="66"/>
  <c r="B33" i="66"/>
  <c r="A33" i="66"/>
  <c r="K32" i="66"/>
  <c r="J32" i="66"/>
  <c r="I32" i="66"/>
  <c r="H32" i="66"/>
  <c r="G32" i="66"/>
  <c r="F32" i="66"/>
  <c r="E32" i="66"/>
  <c r="D32" i="66"/>
  <c r="C32" i="66"/>
  <c r="B32" i="66"/>
  <c r="A32" i="66"/>
  <c r="K31" i="66"/>
  <c r="J31" i="66"/>
  <c r="I31" i="66"/>
  <c r="H31" i="66"/>
  <c r="G31" i="66"/>
  <c r="F31" i="66"/>
  <c r="E31" i="66"/>
  <c r="D31" i="66"/>
  <c r="C31" i="66"/>
  <c r="B31" i="66"/>
  <c r="A31" i="66"/>
  <c r="K30" i="66"/>
  <c r="J30" i="66"/>
  <c r="I30" i="66"/>
  <c r="H30" i="66"/>
  <c r="G30" i="66"/>
  <c r="F30" i="66"/>
  <c r="E30" i="66"/>
  <c r="D30" i="66"/>
  <c r="C30" i="66"/>
  <c r="B30" i="66"/>
  <c r="A30" i="66"/>
  <c r="K29" i="66"/>
  <c r="J29" i="66"/>
  <c r="I29" i="66"/>
  <c r="H29" i="66"/>
  <c r="G29" i="66"/>
  <c r="F29" i="66"/>
  <c r="E29" i="66"/>
  <c r="D29" i="66"/>
  <c r="C29" i="66"/>
  <c r="B29" i="66"/>
  <c r="A29" i="66"/>
  <c r="K28" i="66"/>
  <c r="J28" i="66"/>
  <c r="I28" i="66"/>
  <c r="H28" i="66"/>
  <c r="G28" i="66"/>
  <c r="F28" i="66"/>
  <c r="E28" i="66"/>
  <c r="D28" i="66"/>
  <c r="C28" i="66"/>
  <c r="B28" i="66"/>
  <c r="A28" i="66"/>
  <c r="K27" i="66"/>
  <c r="J27" i="66"/>
  <c r="I27" i="66"/>
  <c r="H27" i="66"/>
  <c r="G27" i="66"/>
  <c r="F27" i="66"/>
  <c r="E27" i="66"/>
  <c r="D27" i="66"/>
  <c r="C27" i="66"/>
  <c r="B27" i="66"/>
  <c r="A27" i="66"/>
  <c r="K26" i="66"/>
  <c r="J26" i="66"/>
  <c r="I26" i="66"/>
  <c r="H26" i="66"/>
  <c r="G26" i="66"/>
  <c r="F26" i="66"/>
  <c r="E26" i="66"/>
  <c r="D26" i="66"/>
  <c r="C26" i="66"/>
  <c r="B26" i="66"/>
  <c r="A26" i="66"/>
  <c r="K25" i="66"/>
  <c r="J25" i="66"/>
  <c r="I25" i="66"/>
  <c r="H25" i="66"/>
  <c r="G25" i="66"/>
  <c r="F25" i="66"/>
  <c r="E25" i="66"/>
  <c r="D25" i="66"/>
  <c r="C25" i="66"/>
  <c r="B25" i="66"/>
  <c r="A25" i="66"/>
  <c r="K24" i="66"/>
  <c r="J24" i="66"/>
  <c r="I24" i="66"/>
  <c r="H24" i="66"/>
  <c r="G24" i="66"/>
  <c r="F24" i="66"/>
  <c r="E24" i="66"/>
  <c r="D24" i="66"/>
  <c r="C24" i="66"/>
  <c r="B24" i="66"/>
  <c r="A24" i="66"/>
  <c r="K23" i="66"/>
  <c r="J23" i="66"/>
  <c r="I23" i="66"/>
  <c r="H23" i="66"/>
  <c r="G23" i="66"/>
  <c r="F23" i="66"/>
  <c r="E23" i="66"/>
  <c r="D23" i="66"/>
  <c r="C23" i="66"/>
  <c r="B23" i="66"/>
  <c r="A23" i="66"/>
  <c r="K22" i="66"/>
  <c r="J22" i="66"/>
  <c r="I22" i="66"/>
  <c r="H22" i="66"/>
  <c r="G22" i="66"/>
  <c r="F22" i="66"/>
  <c r="E22" i="66"/>
  <c r="D22" i="66"/>
  <c r="C22" i="66"/>
  <c r="B22" i="66"/>
  <c r="A22" i="66"/>
  <c r="K21" i="66"/>
  <c r="J21" i="66"/>
  <c r="I21" i="66"/>
  <c r="H21" i="66"/>
  <c r="G21" i="66"/>
  <c r="F21" i="66"/>
  <c r="E21" i="66"/>
  <c r="D21" i="66"/>
  <c r="C21" i="66"/>
  <c r="B21" i="66"/>
  <c r="A21" i="66"/>
  <c r="K20" i="66"/>
  <c r="J20" i="66"/>
  <c r="I20" i="66"/>
  <c r="H20" i="66"/>
  <c r="G20" i="66"/>
  <c r="F20" i="66"/>
  <c r="E20" i="66"/>
  <c r="D20" i="66"/>
  <c r="C20" i="66"/>
  <c r="B20" i="66"/>
  <c r="A20" i="66"/>
  <c r="K19" i="66"/>
  <c r="J19" i="66"/>
  <c r="I19" i="66"/>
  <c r="H19" i="66"/>
  <c r="G19" i="66"/>
  <c r="F19" i="66"/>
  <c r="E19" i="66"/>
  <c r="D19" i="66"/>
  <c r="C19" i="66"/>
  <c r="B19" i="66"/>
  <c r="A19" i="66"/>
  <c r="K18" i="66"/>
  <c r="J18" i="66"/>
  <c r="I18" i="66"/>
  <c r="H18" i="66"/>
  <c r="G18" i="66"/>
  <c r="F18" i="66"/>
  <c r="E18" i="66"/>
  <c r="D18" i="66"/>
  <c r="C18" i="66"/>
  <c r="B18" i="66"/>
  <c r="A18" i="66"/>
  <c r="K17" i="66"/>
  <c r="J17" i="66"/>
  <c r="I17" i="66"/>
  <c r="H17" i="66"/>
  <c r="G17" i="66"/>
  <c r="F17" i="66"/>
  <c r="E17" i="66"/>
  <c r="D17" i="66"/>
  <c r="C17" i="66"/>
  <c r="B17" i="66"/>
  <c r="A17" i="66"/>
  <c r="K16" i="66"/>
  <c r="J16" i="66"/>
  <c r="I16" i="66"/>
  <c r="H16" i="66"/>
  <c r="G16" i="66"/>
  <c r="F16" i="66"/>
  <c r="E16" i="66"/>
  <c r="D16" i="66"/>
  <c r="C16" i="66"/>
  <c r="B16" i="66"/>
  <c r="A16" i="66"/>
  <c r="K15" i="66"/>
  <c r="J15" i="66"/>
  <c r="I15" i="66"/>
  <c r="H15" i="66"/>
  <c r="G15" i="66"/>
  <c r="F15" i="66"/>
  <c r="E15" i="66"/>
  <c r="D15" i="66"/>
  <c r="C15" i="66"/>
  <c r="B15" i="66"/>
  <c r="A15" i="66"/>
  <c r="K14" i="66"/>
  <c r="J14" i="66"/>
  <c r="I14" i="66"/>
  <c r="H14" i="66"/>
  <c r="G14" i="66"/>
  <c r="F14" i="66"/>
  <c r="E14" i="66"/>
  <c r="D14" i="66"/>
  <c r="C14" i="66"/>
  <c r="B14" i="66"/>
  <c r="A14" i="66"/>
  <c r="K13" i="66"/>
  <c r="J13" i="66"/>
  <c r="I13" i="66"/>
  <c r="H13" i="66"/>
  <c r="G13" i="66"/>
  <c r="F13" i="66"/>
  <c r="E13" i="66"/>
  <c r="D13" i="66"/>
  <c r="C13" i="66"/>
  <c r="B13" i="66"/>
  <c r="A13" i="66"/>
  <c r="K12" i="66"/>
  <c r="J12" i="66"/>
  <c r="I12" i="66"/>
  <c r="H12" i="66"/>
  <c r="G12" i="66"/>
  <c r="F12" i="66"/>
  <c r="E12" i="66"/>
  <c r="D12" i="66"/>
  <c r="C12" i="66"/>
  <c r="B12" i="66"/>
  <c r="A12" i="66"/>
  <c r="K80" i="65"/>
  <c r="K79" i="65"/>
  <c r="K78" i="65"/>
  <c r="K77" i="65"/>
  <c r="K76" i="65"/>
  <c r="K75" i="65"/>
  <c r="K74" i="65"/>
  <c r="K73" i="65"/>
  <c r="K72" i="65"/>
  <c r="K71" i="65"/>
  <c r="K70" i="65"/>
  <c r="K69" i="65"/>
  <c r="K68" i="65"/>
  <c r="K67" i="65"/>
  <c r="K66" i="65"/>
  <c r="K65" i="65"/>
  <c r="K64" i="65"/>
  <c r="K63" i="65"/>
  <c r="K62" i="65"/>
  <c r="K61" i="65"/>
  <c r="K60" i="65"/>
  <c r="K59" i="65"/>
  <c r="K58" i="65"/>
  <c r="K57" i="65"/>
  <c r="K56" i="65"/>
  <c r="K55" i="65"/>
  <c r="K54" i="65"/>
  <c r="K53" i="65"/>
  <c r="K52" i="65"/>
  <c r="K51" i="65"/>
  <c r="K50" i="65"/>
  <c r="K49" i="65"/>
  <c r="K48" i="65"/>
  <c r="K47" i="65"/>
  <c r="K46" i="65"/>
  <c r="K45" i="65"/>
  <c r="K44" i="65"/>
  <c r="K43" i="65"/>
  <c r="K42" i="65"/>
  <c r="K41" i="65"/>
  <c r="K40" i="65"/>
  <c r="K39" i="65"/>
  <c r="K38" i="65"/>
  <c r="K37" i="65"/>
  <c r="K36" i="65"/>
  <c r="K35" i="65"/>
  <c r="K34" i="65"/>
  <c r="K33" i="65"/>
  <c r="K32" i="65"/>
  <c r="K31" i="65"/>
  <c r="K30" i="65"/>
  <c r="K29" i="65"/>
  <c r="K28" i="65"/>
  <c r="K27" i="65"/>
  <c r="K26" i="65"/>
  <c r="K25" i="65"/>
  <c r="K24" i="65"/>
  <c r="K23" i="65"/>
  <c r="K22" i="65"/>
  <c r="K21" i="65"/>
  <c r="K20" i="65"/>
  <c r="K19" i="65"/>
  <c r="K18" i="65"/>
  <c r="K17" i="65"/>
  <c r="K16" i="65"/>
  <c r="K15" i="65"/>
  <c r="K14" i="65"/>
  <c r="K13" i="65"/>
  <c r="K12" i="65"/>
  <c r="I12" i="65"/>
  <c r="G12" i="65"/>
  <c r="F12" i="65"/>
  <c r="E12" i="65"/>
  <c r="D12" i="65"/>
  <c r="A12" i="65"/>
  <c r="K80" i="64"/>
  <c r="K79" i="64"/>
  <c r="K78" i="64"/>
  <c r="K77" i="64"/>
  <c r="K76" i="64"/>
  <c r="K75" i="64"/>
  <c r="K74" i="64"/>
  <c r="K73" i="64"/>
  <c r="K72" i="64"/>
  <c r="K71" i="64"/>
  <c r="K70" i="64"/>
  <c r="K69" i="64"/>
  <c r="K68" i="64"/>
  <c r="K67" i="64"/>
  <c r="K66" i="64"/>
  <c r="K65" i="64"/>
  <c r="K64" i="64"/>
  <c r="K63" i="64"/>
  <c r="K62" i="64"/>
  <c r="K61" i="64"/>
  <c r="K60" i="64"/>
  <c r="K59" i="64"/>
  <c r="K58" i="64"/>
  <c r="K57" i="64"/>
  <c r="K56" i="64"/>
  <c r="K55" i="64"/>
  <c r="K54" i="64"/>
  <c r="K53" i="64"/>
  <c r="K52" i="64"/>
  <c r="K51" i="64"/>
  <c r="K50" i="64"/>
  <c r="K49" i="64"/>
  <c r="K48" i="64"/>
  <c r="K47" i="64"/>
  <c r="K46" i="64"/>
  <c r="K45" i="64"/>
  <c r="K44" i="64"/>
  <c r="K43" i="64"/>
  <c r="K42" i="64"/>
  <c r="K41" i="64"/>
  <c r="K40" i="64"/>
  <c r="K39" i="64"/>
  <c r="K38" i="64"/>
  <c r="K37" i="64"/>
  <c r="K36" i="64"/>
  <c r="K35" i="64"/>
  <c r="K34" i="64"/>
  <c r="I33" i="64"/>
  <c r="I32" i="64"/>
  <c r="K31" i="64"/>
  <c r="J31" i="64"/>
  <c r="I31" i="64"/>
  <c r="K30" i="64"/>
  <c r="J30" i="64"/>
  <c r="I30" i="64"/>
  <c r="K29" i="64"/>
  <c r="J29" i="64"/>
  <c r="I29" i="64"/>
  <c r="K28" i="64"/>
  <c r="J28" i="64"/>
  <c r="I28" i="64"/>
  <c r="K27" i="64"/>
  <c r="J27" i="64"/>
  <c r="I27" i="64"/>
  <c r="K26" i="64"/>
  <c r="J26" i="64"/>
  <c r="I26" i="64"/>
  <c r="K25" i="64"/>
  <c r="J25" i="64"/>
  <c r="I25" i="64"/>
  <c r="K24" i="64"/>
  <c r="J24" i="64"/>
  <c r="I24" i="64"/>
  <c r="K23" i="64"/>
  <c r="J23" i="64"/>
  <c r="I23" i="64"/>
  <c r="K22" i="64"/>
  <c r="J22" i="64"/>
  <c r="I22" i="64"/>
  <c r="K21" i="64"/>
  <c r="J21" i="64"/>
  <c r="I21" i="64"/>
  <c r="K20" i="64"/>
  <c r="J20" i="64"/>
  <c r="I20" i="64"/>
  <c r="K19" i="64"/>
  <c r="J19" i="64"/>
  <c r="I19" i="64"/>
  <c r="K18" i="64"/>
  <c r="J18" i="64"/>
  <c r="I18" i="64"/>
  <c r="K17" i="64"/>
  <c r="J17" i="64"/>
  <c r="I17" i="64"/>
  <c r="K16" i="64"/>
  <c r="J16" i="64"/>
  <c r="I16" i="64"/>
  <c r="K15" i="64"/>
  <c r="J15" i="64"/>
  <c r="I15" i="64"/>
  <c r="K14" i="64"/>
  <c r="J14" i="64"/>
  <c r="I14" i="64"/>
  <c r="K13" i="64"/>
  <c r="J13" i="64"/>
  <c r="I13" i="64"/>
  <c r="K12" i="64"/>
  <c r="J12" i="64"/>
  <c r="I12" i="64"/>
  <c r="G12" i="64"/>
  <c r="F12" i="64"/>
  <c r="E12" i="64"/>
  <c r="D12" i="64"/>
  <c r="D33" i="64" s="1"/>
  <c r="A12" i="64"/>
  <c r="K80" i="63"/>
  <c r="K79" i="63"/>
  <c r="K78" i="63"/>
  <c r="K77" i="63"/>
  <c r="K76" i="63"/>
  <c r="K75" i="63"/>
  <c r="K74" i="63"/>
  <c r="K73" i="63"/>
  <c r="K72" i="63"/>
  <c r="K71" i="63"/>
  <c r="K70" i="63"/>
  <c r="K69" i="63"/>
  <c r="K68" i="63"/>
  <c r="K67" i="63"/>
  <c r="K66" i="63"/>
  <c r="K65" i="63"/>
  <c r="K64" i="63"/>
  <c r="K63" i="63"/>
  <c r="K62" i="63"/>
  <c r="K61" i="63"/>
  <c r="K60" i="63"/>
  <c r="K59" i="63"/>
  <c r="K58" i="63"/>
  <c r="K57" i="63"/>
  <c r="K56" i="63"/>
  <c r="K55" i="63"/>
  <c r="K54" i="63"/>
  <c r="K53" i="63"/>
  <c r="K52" i="63"/>
  <c r="K51" i="63"/>
  <c r="K50" i="63"/>
  <c r="K49" i="63"/>
  <c r="K48" i="63"/>
  <c r="K47" i="63"/>
  <c r="K46" i="63"/>
  <c r="K45" i="63"/>
  <c r="K44" i="63"/>
  <c r="K43" i="63"/>
  <c r="K42" i="63"/>
  <c r="K41" i="63"/>
  <c r="K40" i="63"/>
  <c r="K39" i="63"/>
  <c r="K38" i="63"/>
  <c r="K37" i="63"/>
  <c r="K36" i="63"/>
  <c r="K35" i="63"/>
  <c r="K34" i="63"/>
  <c r="K33" i="63"/>
  <c r="K32" i="63"/>
  <c r="K31" i="63"/>
  <c r="K30" i="63"/>
  <c r="K29" i="63"/>
  <c r="K28" i="63"/>
  <c r="K18" i="63"/>
  <c r="J18" i="63"/>
  <c r="I18" i="63"/>
  <c r="K17" i="63"/>
  <c r="J17" i="63"/>
  <c r="I17" i="63"/>
  <c r="K16" i="63"/>
  <c r="J16" i="63"/>
  <c r="I16" i="63"/>
  <c r="K15" i="63"/>
  <c r="J15" i="63"/>
  <c r="I15" i="63"/>
  <c r="K14" i="63"/>
  <c r="J14" i="63"/>
  <c r="I14" i="63"/>
  <c r="K13" i="63"/>
  <c r="J13" i="63"/>
  <c r="I13" i="63"/>
  <c r="K12" i="63"/>
  <c r="J12" i="63"/>
  <c r="I12" i="63"/>
  <c r="G12" i="63"/>
  <c r="F12" i="63"/>
  <c r="E12" i="63"/>
  <c r="D12" i="63"/>
  <c r="A12" i="63"/>
  <c r="K76" i="62"/>
  <c r="K75" i="62"/>
  <c r="K74" i="62"/>
  <c r="K73" i="62"/>
  <c r="K72" i="62"/>
  <c r="K71" i="62"/>
  <c r="K70" i="62"/>
  <c r="K69" i="62"/>
  <c r="K68" i="62"/>
  <c r="K67" i="62"/>
  <c r="K66" i="62"/>
  <c r="K65" i="62"/>
  <c r="K64" i="62"/>
  <c r="K63" i="62"/>
  <c r="K62" i="62"/>
  <c r="K58" i="62"/>
  <c r="J58" i="62"/>
  <c r="I58" i="62"/>
  <c r="H58" i="62"/>
  <c r="G58" i="62"/>
  <c r="F58" i="62"/>
  <c r="E58" i="62"/>
  <c r="D58" i="62"/>
  <c r="C58" i="62"/>
  <c r="B58" i="62"/>
  <c r="A58" i="62"/>
  <c r="K57" i="62"/>
  <c r="J57" i="62"/>
  <c r="I57" i="62"/>
  <c r="H57" i="62"/>
  <c r="G57" i="62"/>
  <c r="F57" i="62"/>
  <c r="E57" i="62"/>
  <c r="D57" i="62"/>
  <c r="C57" i="62"/>
  <c r="B57" i="62"/>
  <c r="A57" i="62"/>
  <c r="K56" i="62"/>
  <c r="J56" i="62"/>
  <c r="I56" i="62"/>
  <c r="H56" i="62"/>
  <c r="G56" i="62"/>
  <c r="F56" i="62"/>
  <c r="E56" i="62"/>
  <c r="D56" i="62"/>
  <c r="C56" i="62"/>
  <c r="B56" i="62"/>
  <c r="A56" i="62"/>
  <c r="K55" i="62"/>
  <c r="J55" i="62"/>
  <c r="I55" i="62"/>
  <c r="H55" i="62"/>
  <c r="G55" i="62"/>
  <c r="F55" i="62"/>
  <c r="E55" i="62"/>
  <c r="D55" i="62"/>
  <c r="C55" i="62"/>
  <c r="B55" i="62"/>
  <c r="A55" i="62"/>
  <c r="K54" i="62"/>
  <c r="J54" i="62"/>
  <c r="I54" i="62"/>
  <c r="H54" i="62"/>
  <c r="G54" i="62"/>
  <c r="F54" i="62"/>
  <c r="E54" i="62"/>
  <c r="D54" i="62"/>
  <c r="C54" i="62"/>
  <c r="B54" i="62"/>
  <c r="A54" i="62"/>
  <c r="K53" i="62"/>
  <c r="J53" i="62"/>
  <c r="I53" i="62"/>
  <c r="H53" i="62"/>
  <c r="G53" i="62"/>
  <c r="F53" i="62"/>
  <c r="E53" i="62"/>
  <c r="D53" i="62"/>
  <c r="C53" i="62"/>
  <c r="B53" i="62"/>
  <c r="A53" i="62"/>
  <c r="K52" i="62"/>
  <c r="J52" i="62"/>
  <c r="I52" i="62"/>
  <c r="H52" i="62"/>
  <c r="G52" i="62"/>
  <c r="F52" i="62"/>
  <c r="E52" i="62"/>
  <c r="D52" i="62"/>
  <c r="C52" i="62"/>
  <c r="B52" i="62"/>
  <c r="A52" i="62"/>
  <c r="K51" i="62"/>
  <c r="J51" i="62"/>
  <c r="I51" i="62"/>
  <c r="H51" i="62"/>
  <c r="G51" i="62"/>
  <c r="F51" i="62"/>
  <c r="E51" i="62"/>
  <c r="D51" i="62"/>
  <c r="C51" i="62"/>
  <c r="B51" i="62"/>
  <c r="A51" i="62"/>
  <c r="K50" i="62"/>
  <c r="J50" i="62"/>
  <c r="I50" i="62"/>
  <c r="H50" i="62"/>
  <c r="G50" i="62"/>
  <c r="F50" i="62"/>
  <c r="E50" i="62"/>
  <c r="D50" i="62"/>
  <c r="C50" i="62"/>
  <c r="B50" i="62"/>
  <c r="A50" i="62"/>
  <c r="K49" i="62"/>
  <c r="J49" i="62"/>
  <c r="I49" i="62"/>
  <c r="H49" i="62"/>
  <c r="G49" i="62"/>
  <c r="F49" i="62"/>
  <c r="E49" i="62"/>
  <c r="D49" i="62"/>
  <c r="C49" i="62"/>
  <c r="B49" i="62"/>
  <c r="A49" i="62"/>
  <c r="K48" i="62"/>
  <c r="J48" i="62"/>
  <c r="I48" i="62"/>
  <c r="H48" i="62"/>
  <c r="G48" i="62"/>
  <c r="F48" i="62"/>
  <c r="E48" i="62"/>
  <c r="D48" i="62"/>
  <c r="C48" i="62"/>
  <c r="B48" i="62"/>
  <c r="A48" i="62"/>
  <c r="K47" i="62"/>
  <c r="J47" i="62"/>
  <c r="I47" i="62"/>
  <c r="H47" i="62"/>
  <c r="G47" i="62"/>
  <c r="F47" i="62"/>
  <c r="E47" i="62"/>
  <c r="D47" i="62"/>
  <c r="C47" i="62"/>
  <c r="B47" i="62"/>
  <c r="A47" i="62"/>
  <c r="K46" i="62"/>
  <c r="J46" i="62"/>
  <c r="I46" i="62"/>
  <c r="H46" i="62"/>
  <c r="G46" i="62"/>
  <c r="F46" i="62"/>
  <c r="E46" i="62"/>
  <c r="D46" i="62"/>
  <c r="C46" i="62"/>
  <c r="B46" i="62"/>
  <c r="A46" i="62"/>
  <c r="K45" i="62"/>
  <c r="J45" i="62"/>
  <c r="I45" i="62"/>
  <c r="H45" i="62"/>
  <c r="G45" i="62"/>
  <c r="F45" i="62"/>
  <c r="E45" i="62"/>
  <c r="D45" i="62"/>
  <c r="C45" i="62"/>
  <c r="B45" i="62"/>
  <c r="A45" i="62"/>
  <c r="K44" i="62"/>
  <c r="J44" i="62"/>
  <c r="I44" i="62"/>
  <c r="H44" i="62"/>
  <c r="G44" i="62"/>
  <c r="F44" i="62"/>
  <c r="E44" i="62"/>
  <c r="D44" i="62"/>
  <c r="C44" i="62"/>
  <c r="B44" i="62"/>
  <c r="A44" i="62"/>
  <c r="K43" i="62"/>
  <c r="J43" i="62"/>
  <c r="I43" i="62"/>
  <c r="H43" i="62"/>
  <c r="G43" i="62"/>
  <c r="F43" i="62"/>
  <c r="E43" i="62"/>
  <c r="D43" i="62"/>
  <c r="C43" i="62"/>
  <c r="B43" i="62"/>
  <c r="A43" i="62"/>
  <c r="K42" i="62"/>
  <c r="J42" i="62"/>
  <c r="I42" i="62"/>
  <c r="H42" i="62"/>
  <c r="G42" i="62"/>
  <c r="F42" i="62"/>
  <c r="E42" i="62"/>
  <c r="D42" i="62"/>
  <c r="C42" i="62"/>
  <c r="B42" i="62"/>
  <c r="A42" i="62"/>
  <c r="K41" i="62"/>
  <c r="J41" i="62"/>
  <c r="I41" i="62"/>
  <c r="H41" i="62"/>
  <c r="G41" i="62"/>
  <c r="F41" i="62"/>
  <c r="E41" i="62"/>
  <c r="D41" i="62"/>
  <c r="C41" i="62"/>
  <c r="B41" i="62"/>
  <c r="A41" i="62"/>
  <c r="K40" i="62"/>
  <c r="J40" i="62"/>
  <c r="I40" i="62"/>
  <c r="H40" i="62"/>
  <c r="G40" i="62"/>
  <c r="F40" i="62"/>
  <c r="E40" i="62"/>
  <c r="D40" i="62"/>
  <c r="C40" i="62"/>
  <c r="B40" i="62"/>
  <c r="A40" i="62"/>
  <c r="K39" i="62"/>
  <c r="J39" i="62"/>
  <c r="I39" i="62"/>
  <c r="H39" i="62"/>
  <c r="G39" i="62"/>
  <c r="F39" i="62"/>
  <c r="E39" i="62"/>
  <c r="D39" i="62"/>
  <c r="C39" i="62"/>
  <c r="B39" i="62"/>
  <c r="A39" i="62"/>
  <c r="K38" i="62"/>
  <c r="J38" i="62"/>
  <c r="I38" i="62"/>
  <c r="H38" i="62"/>
  <c r="G38" i="62"/>
  <c r="F38" i="62"/>
  <c r="E38" i="62"/>
  <c r="D38" i="62"/>
  <c r="C38" i="62"/>
  <c r="B38" i="62"/>
  <c r="A38" i="62"/>
  <c r="K37" i="62"/>
  <c r="J37" i="62"/>
  <c r="I37" i="62"/>
  <c r="H37" i="62"/>
  <c r="G37" i="62"/>
  <c r="F37" i="62"/>
  <c r="E37" i="62"/>
  <c r="D37" i="62"/>
  <c r="C37" i="62"/>
  <c r="B37" i="62"/>
  <c r="A37" i="62"/>
  <c r="K36" i="62"/>
  <c r="J36" i="62"/>
  <c r="I36" i="62"/>
  <c r="H36" i="62"/>
  <c r="G36" i="62"/>
  <c r="F36" i="62"/>
  <c r="E36" i="62"/>
  <c r="D36" i="62"/>
  <c r="C36" i="62"/>
  <c r="B36" i="62"/>
  <c r="A36" i="62"/>
  <c r="K35" i="62"/>
  <c r="J35" i="62"/>
  <c r="I35" i="62"/>
  <c r="H35" i="62"/>
  <c r="G35" i="62"/>
  <c r="F35" i="62"/>
  <c r="E35" i="62"/>
  <c r="D35" i="62"/>
  <c r="C35" i="62"/>
  <c r="B35" i="62"/>
  <c r="A35" i="62"/>
  <c r="K34" i="62"/>
  <c r="J34" i="62"/>
  <c r="I34" i="62"/>
  <c r="H34" i="62"/>
  <c r="G34" i="62"/>
  <c r="F34" i="62"/>
  <c r="E34" i="62"/>
  <c r="D34" i="62"/>
  <c r="C34" i="62"/>
  <c r="B34" i="62"/>
  <c r="A34" i="62"/>
  <c r="K33" i="62"/>
  <c r="J33" i="62"/>
  <c r="I33" i="62"/>
  <c r="H33" i="62"/>
  <c r="G33" i="62"/>
  <c r="F33" i="62"/>
  <c r="E33" i="62"/>
  <c r="D33" i="62"/>
  <c r="C33" i="62"/>
  <c r="B33" i="62"/>
  <c r="A33" i="62"/>
  <c r="K32" i="62"/>
  <c r="J32" i="62"/>
  <c r="I32" i="62"/>
  <c r="H32" i="62"/>
  <c r="G32" i="62"/>
  <c r="F32" i="62"/>
  <c r="E32" i="62"/>
  <c r="D32" i="62"/>
  <c r="C32" i="62"/>
  <c r="B32" i="62"/>
  <c r="A32" i="62"/>
  <c r="K31" i="62"/>
  <c r="J31" i="62"/>
  <c r="I31" i="62"/>
  <c r="H31" i="62"/>
  <c r="G31" i="62"/>
  <c r="F31" i="62"/>
  <c r="E31" i="62"/>
  <c r="D31" i="62"/>
  <c r="C31" i="62"/>
  <c r="B31" i="62"/>
  <c r="A31" i="62"/>
  <c r="K30" i="62"/>
  <c r="J30" i="62"/>
  <c r="I30" i="62"/>
  <c r="H30" i="62"/>
  <c r="G30" i="62"/>
  <c r="F30" i="62"/>
  <c r="E30" i="62"/>
  <c r="D30" i="62"/>
  <c r="C30" i="62"/>
  <c r="B30" i="62"/>
  <c r="A30" i="62"/>
  <c r="K29" i="62"/>
  <c r="J29" i="62"/>
  <c r="I29" i="62"/>
  <c r="H29" i="62"/>
  <c r="G29" i="62"/>
  <c r="F29" i="62"/>
  <c r="E29" i="62"/>
  <c r="D29" i="62"/>
  <c r="C29" i="62"/>
  <c r="B29" i="62"/>
  <c r="A29" i="62"/>
  <c r="K28" i="62"/>
  <c r="J28" i="62"/>
  <c r="I28" i="62"/>
  <c r="H28" i="62"/>
  <c r="G28" i="62"/>
  <c r="F28" i="62"/>
  <c r="E28" i="62"/>
  <c r="D28" i="62"/>
  <c r="C28" i="62"/>
  <c r="B28" i="62"/>
  <c r="A28" i="62"/>
  <c r="K27" i="62"/>
  <c r="J27" i="62"/>
  <c r="I27" i="62"/>
  <c r="H27" i="62"/>
  <c r="G27" i="62"/>
  <c r="F27" i="62"/>
  <c r="E27" i="62"/>
  <c r="D27" i="62"/>
  <c r="C27" i="62"/>
  <c r="B27" i="62"/>
  <c r="A27" i="62"/>
  <c r="K26" i="62"/>
  <c r="J26" i="62"/>
  <c r="I26" i="62"/>
  <c r="H26" i="62"/>
  <c r="G26" i="62"/>
  <c r="F26" i="62"/>
  <c r="E26" i="62"/>
  <c r="D26" i="62"/>
  <c r="C26" i="62"/>
  <c r="B26" i="62"/>
  <c r="A26" i="62"/>
  <c r="K25" i="62"/>
  <c r="J25" i="62"/>
  <c r="I25" i="62"/>
  <c r="H25" i="62"/>
  <c r="G25" i="62"/>
  <c r="F25" i="62"/>
  <c r="E25" i="62"/>
  <c r="D25" i="62"/>
  <c r="C25" i="62"/>
  <c r="B25" i="62"/>
  <c r="A25" i="62"/>
  <c r="K24" i="62"/>
  <c r="J24" i="62"/>
  <c r="I24" i="62"/>
  <c r="H24" i="62"/>
  <c r="G24" i="62"/>
  <c r="F24" i="62"/>
  <c r="E24" i="62"/>
  <c r="D24" i="62"/>
  <c r="C24" i="62"/>
  <c r="B24" i="62"/>
  <c r="A24" i="62"/>
  <c r="K23" i="62"/>
  <c r="J23" i="62"/>
  <c r="I23" i="62"/>
  <c r="H23" i="62"/>
  <c r="G23" i="62"/>
  <c r="F23" i="62"/>
  <c r="E23" i="62"/>
  <c r="D23" i="62"/>
  <c r="C23" i="62"/>
  <c r="B23" i="62"/>
  <c r="A23" i="62"/>
  <c r="K22" i="62"/>
  <c r="J22" i="62"/>
  <c r="I22" i="62"/>
  <c r="H22" i="62"/>
  <c r="G22" i="62"/>
  <c r="F22" i="62"/>
  <c r="E22" i="62"/>
  <c r="D22" i="62"/>
  <c r="C22" i="62"/>
  <c r="B22" i="62"/>
  <c r="A22" i="62"/>
  <c r="K21" i="62"/>
  <c r="J21" i="62"/>
  <c r="I21" i="62"/>
  <c r="H21" i="62"/>
  <c r="G21" i="62"/>
  <c r="F21" i="62"/>
  <c r="E21" i="62"/>
  <c r="D21" i="62"/>
  <c r="C21" i="62"/>
  <c r="B21" i="62"/>
  <c r="A21" i="62"/>
  <c r="K20" i="62"/>
  <c r="J20" i="62"/>
  <c r="I20" i="62"/>
  <c r="H20" i="62"/>
  <c r="G20" i="62"/>
  <c r="F20" i="62"/>
  <c r="E20" i="62"/>
  <c r="D20" i="62"/>
  <c r="C20" i="62"/>
  <c r="B20" i="62"/>
  <c r="A20" i="62"/>
  <c r="K19" i="62"/>
  <c r="J19" i="62"/>
  <c r="I19" i="62"/>
  <c r="H19" i="62"/>
  <c r="G19" i="62"/>
  <c r="F19" i="62"/>
  <c r="E19" i="62"/>
  <c r="D19" i="62"/>
  <c r="C19" i="62"/>
  <c r="B19" i="62"/>
  <c r="A19" i="62"/>
  <c r="K18" i="62"/>
  <c r="J18" i="62"/>
  <c r="I18" i="62"/>
  <c r="H18" i="62"/>
  <c r="G18" i="62"/>
  <c r="F18" i="62"/>
  <c r="E18" i="62"/>
  <c r="D18" i="62"/>
  <c r="C18" i="62"/>
  <c r="B18" i="62"/>
  <c r="A18" i="62"/>
  <c r="K17" i="62"/>
  <c r="J17" i="62"/>
  <c r="I17" i="62"/>
  <c r="H17" i="62"/>
  <c r="G17" i="62"/>
  <c r="F17" i="62"/>
  <c r="E17" i="62"/>
  <c r="D17" i="62"/>
  <c r="C17" i="62"/>
  <c r="B17" i="62"/>
  <c r="A17" i="62"/>
  <c r="K16" i="62"/>
  <c r="J16" i="62"/>
  <c r="I16" i="62"/>
  <c r="H16" i="62"/>
  <c r="G16" i="62"/>
  <c r="F16" i="62"/>
  <c r="E16" i="62"/>
  <c r="D16" i="62"/>
  <c r="C16" i="62"/>
  <c r="B16" i="62"/>
  <c r="A16" i="62"/>
  <c r="K15" i="62"/>
  <c r="J15" i="62"/>
  <c r="I15" i="62"/>
  <c r="H15" i="62"/>
  <c r="G15" i="62"/>
  <c r="F15" i="62"/>
  <c r="E15" i="62"/>
  <c r="D15" i="62"/>
  <c r="C15" i="62"/>
  <c r="B15" i="62"/>
  <c r="A15" i="62"/>
  <c r="K14" i="62"/>
  <c r="J14" i="62"/>
  <c r="I14" i="62"/>
  <c r="H14" i="62"/>
  <c r="G14" i="62"/>
  <c r="F14" i="62"/>
  <c r="E14" i="62"/>
  <c r="D14" i="62"/>
  <c r="C14" i="62"/>
  <c r="B14" i="62"/>
  <c r="A14" i="62"/>
  <c r="K13" i="62"/>
  <c r="J13" i="62"/>
  <c r="I13" i="62"/>
  <c r="H13" i="62"/>
  <c r="G13" i="62"/>
  <c r="F13" i="62"/>
  <c r="E13" i="62"/>
  <c r="D13" i="62"/>
  <c r="C13" i="62"/>
  <c r="B13" i="62"/>
  <c r="A13" i="62"/>
  <c r="K12" i="62"/>
  <c r="J12" i="62"/>
  <c r="I12" i="62"/>
  <c r="H12" i="62"/>
  <c r="G12" i="62"/>
  <c r="F12" i="62"/>
  <c r="E12" i="62"/>
  <c r="D12" i="62"/>
  <c r="C12" i="62"/>
  <c r="B12" i="62"/>
  <c r="A12" i="62"/>
  <c r="K80" i="61"/>
  <c r="K79" i="61"/>
  <c r="K78" i="61"/>
  <c r="K77" i="61"/>
  <c r="K76" i="61"/>
  <c r="K75" i="61"/>
  <c r="K74" i="61"/>
  <c r="K73" i="61"/>
  <c r="K72" i="61"/>
  <c r="K71" i="61"/>
  <c r="K70" i="61"/>
  <c r="K69" i="61"/>
  <c r="K68" i="61"/>
  <c r="K67" i="61"/>
  <c r="K66" i="61"/>
  <c r="K65" i="61"/>
  <c r="K64" i="61"/>
  <c r="K63" i="61"/>
  <c r="K62" i="61"/>
  <c r="K61" i="61"/>
  <c r="K60" i="61"/>
  <c r="K59" i="61"/>
  <c r="K58" i="61"/>
  <c r="K57" i="61"/>
  <c r="K56" i="61"/>
  <c r="K55" i="61"/>
  <c r="K54" i="61"/>
  <c r="K53" i="61"/>
  <c r="K52" i="61"/>
  <c r="K51" i="61"/>
  <c r="K50" i="61"/>
  <c r="K49" i="61"/>
  <c r="K48" i="61"/>
  <c r="K47" i="61"/>
  <c r="K46" i="61"/>
  <c r="K45" i="61"/>
  <c r="K44" i="61"/>
  <c r="K43" i="61"/>
  <c r="K42" i="61"/>
  <c r="K41" i="61"/>
  <c r="K40" i="61"/>
  <c r="K39" i="61"/>
  <c r="K38" i="61"/>
  <c r="K37" i="61"/>
  <c r="K36" i="61"/>
  <c r="K35" i="61"/>
  <c r="K34" i="61"/>
  <c r="K33" i="61"/>
  <c r="K32" i="61"/>
  <c r="K31" i="61"/>
  <c r="K30" i="61"/>
  <c r="K29" i="61"/>
  <c r="K28" i="61"/>
  <c r="K27" i="61"/>
  <c r="K26" i="61"/>
  <c r="K25" i="61"/>
  <c r="K24" i="61"/>
  <c r="K23" i="61"/>
  <c r="K22" i="61"/>
  <c r="K21" i="61"/>
  <c r="K20" i="61"/>
  <c r="I20" i="61"/>
  <c r="K19" i="61"/>
  <c r="J19" i="61"/>
  <c r="I19" i="61"/>
  <c r="K18" i="61"/>
  <c r="J18" i="61"/>
  <c r="I18" i="61"/>
  <c r="K17" i="61"/>
  <c r="J17" i="61"/>
  <c r="I17" i="61"/>
  <c r="K16" i="61"/>
  <c r="J16" i="61"/>
  <c r="I16" i="61"/>
  <c r="K15" i="61"/>
  <c r="J15" i="61"/>
  <c r="I15" i="61"/>
  <c r="K14" i="61"/>
  <c r="J14" i="61"/>
  <c r="I14" i="61"/>
  <c r="K13" i="61"/>
  <c r="J13" i="61"/>
  <c r="I13" i="61"/>
  <c r="K12" i="61"/>
  <c r="J12" i="61"/>
  <c r="I12" i="61"/>
  <c r="G12" i="61"/>
  <c r="F12" i="61"/>
  <c r="E12" i="61"/>
  <c r="D12" i="61"/>
  <c r="A12" i="61"/>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K41" i="60"/>
  <c r="K40" i="60"/>
  <c r="K39" i="60"/>
  <c r="K38" i="60"/>
  <c r="I38" i="60"/>
  <c r="K37" i="60"/>
  <c r="I37" i="60"/>
  <c r="K36" i="60"/>
  <c r="I36" i="60"/>
  <c r="K35" i="60"/>
  <c r="I35" i="60"/>
  <c r="K34" i="60"/>
  <c r="I34" i="60"/>
  <c r="K33" i="60"/>
  <c r="I33" i="60"/>
  <c r="K32" i="60"/>
  <c r="I32" i="60"/>
  <c r="K31" i="60"/>
  <c r="I31" i="60"/>
  <c r="K30" i="60"/>
  <c r="I30" i="60"/>
  <c r="K29" i="60"/>
  <c r="I29" i="60"/>
  <c r="I28" i="60"/>
  <c r="I27" i="60"/>
  <c r="I26" i="60"/>
  <c r="I25" i="60"/>
  <c r="I24" i="60"/>
  <c r="I23" i="60"/>
  <c r="I22" i="60"/>
  <c r="I21" i="60"/>
  <c r="I20" i="60"/>
  <c r="I19" i="60"/>
  <c r="I18" i="60"/>
  <c r="I17" i="60"/>
  <c r="I16" i="60"/>
  <c r="I15" i="60"/>
  <c r="I14" i="60"/>
  <c r="J13" i="60"/>
  <c r="I13" i="60"/>
  <c r="J12" i="60"/>
  <c r="I12" i="60"/>
  <c r="G12" i="60"/>
  <c r="F12" i="60"/>
  <c r="E12" i="60"/>
  <c r="D12" i="60"/>
  <c r="A12" i="60"/>
  <c r="J64" i="59"/>
  <c r="I64" i="59"/>
  <c r="H64" i="59"/>
  <c r="G64" i="59"/>
  <c r="F64" i="59"/>
  <c r="E64" i="59"/>
  <c r="D64" i="59"/>
  <c r="C64" i="59"/>
  <c r="B64" i="59"/>
  <c r="A64" i="59"/>
  <c r="J63" i="59"/>
  <c r="I63" i="59"/>
  <c r="H63" i="59"/>
  <c r="G63" i="59"/>
  <c r="F63" i="59"/>
  <c r="E63" i="59"/>
  <c r="D63" i="59"/>
  <c r="C63" i="59"/>
  <c r="B63" i="59"/>
  <c r="A63" i="59"/>
  <c r="J62" i="59"/>
  <c r="I62" i="59"/>
  <c r="H62" i="59"/>
  <c r="G62" i="59"/>
  <c r="F62" i="59"/>
  <c r="E62" i="59"/>
  <c r="D62" i="59"/>
  <c r="C62" i="59"/>
  <c r="B62" i="59"/>
  <c r="A62" i="59"/>
  <c r="J61" i="59"/>
  <c r="I61" i="59"/>
  <c r="H61" i="59"/>
  <c r="G61" i="59"/>
  <c r="F61" i="59"/>
  <c r="E61" i="59"/>
  <c r="D61" i="59"/>
  <c r="C61" i="59"/>
  <c r="B61" i="59"/>
  <c r="A61" i="59"/>
  <c r="J60" i="59"/>
  <c r="I60" i="59"/>
  <c r="H60" i="59"/>
  <c r="G60" i="59"/>
  <c r="F60" i="59"/>
  <c r="E60" i="59"/>
  <c r="D60" i="59"/>
  <c r="C60" i="59"/>
  <c r="B60" i="59"/>
  <c r="A60" i="59"/>
  <c r="J59" i="59"/>
  <c r="I59" i="59"/>
  <c r="H59" i="59"/>
  <c r="G59" i="59"/>
  <c r="F59" i="59"/>
  <c r="E59" i="59"/>
  <c r="D59" i="59"/>
  <c r="C59" i="59"/>
  <c r="B59" i="59"/>
  <c r="A59" i="59"/>
  <c r="J58" i="59"/>
  <c r="I58" i="59"/>
  <c r="H58" i="59"/>
  <c r="G58" i="59"/>
  <c r="F58" i="59"/>
  <c r="E58" i="59"/>
  <c r="D58" i="59"/>
  <c r="C58" i="59"/>
  <c r="B58" i="59"/>
  <c r="A58" i="59"/>
  <c r="J57" i="59"/>
  <c r="I57" i="59"/>
  <c r="H57" i="59"/>
  <c r="G57" i="59"/>
  <c r="F57" i="59"/>
  <c r="E57" i="59"/>
  <c r="D57" i="59"/>
  <c r="C57" i="59"/>
  <c r="B57" i="59"/>
  <c r="A57" i="59"/>
  <c r="J56" i="59"/>
  <c r="I56" i="59"/>
  <c r="H56" i="59"/>
  <c r="G56" i="59"/>
  <c r="F56" i="59"/>
  <c r="E56" i="59"/>
  <c r="D56" i="59"/>
  <c r="C56" i="59"/>
  <c r="B56" i="59"/>
  <c r="A56" i="59"/>
  <c r="J55" i="59"/>
  <c r="I55" i="59"/>
  <c r="H55" i="59"/>
  <c r="G55" i="59"/>
  <c r="F55" i="59"/>
  <c r="E55" i="59"/>
  <c r="D55" i="59"/>
  <c r="C55" i="59"/>
  <c r="B55" i="59"/>
  <c r="A55" i="59"/>
  <c r="J54" i="59"/>
  <c r="I54" i="59"/>
  <c r="H54" i="59"/>
  <c r="G54" i="59"/>
  <c r="F54" i="59"/>
  <c r="E54" i="59"/>
  <c r="D54" i="59"/>
  <c r="C54" i="59"/>
  <c r="B54" i="59"/>
  <c r="A54" i="59"/>
  <c r="J53" i="59"/>
  <c r="I53" i="59"/>
  <c r="H53" i="59"/>
  <c r="G53" i="59"/>
  <c r="F53" i="59"/>
  <c r="E53" i="59"/>
  <c r="D53" i="59"/>
  <c r="C53" i="59"/>
  <c r="B53" i="59"/>
  <c r="A53" i="59"/>
  <c r="J52" i="59"/>
  <c r="I52" i="59"/>
  <c r="H52" i="59"/>
  <c r="G52" i="59"/>
  <c r="F52" i="59"/>
  <c r="E52" i="59"/>
  <c r="D52" i="59"/>
  <c r="C52" i="59"/>
  <c r="B52" i="59"/>
  <c r="A52" i="59"/>
  <c r="J51" i="59"/>
  <c r="I51" i="59"/>
  <c r="H51" i="59"/>
  <c r="G51" i="59"/>
  <c r="F51" i="59"/>
  <c r="E51" i="59"/>
  <c r="D51" i="59"/>
  <c r="C51" i="59"/>
  <c r="B51" i="59"/>
  <c r="A51" i="59"/>
  <c r="J50" i="59"/>
  <c r="I50" i="59"/>
  <c r="H50" i="59"/>
  <c r="G50" i="59"/>
  <c r="F50" i="59"/>
  <c r="E50" i="59"/>
  <c r="D50" i="59"/>
  <c r="C50" i="59"/>
  <c r="B50" i="59"/>
  <c r="A50" i="59"/>
  <c r="J49" i="59"/>
  <c r="I49" i="59"/>
  <c r="H49" i="59"/>
  <c r="G49" i="59"/>
  <c r="F49" i="59"/>
  <c r="E49" i="59"/>
  <c r="D49" i="59"/>
  <c r="C49" i="59"/>
  <c r="B49" i="59"/>
  <c r="A49" i="59"/>
  <c r="J48" i="59"/>
  <c r="I48" i="59"/>
  <c r="H48" i="59"/>
  <c r="G48" i="59"/>
  <c r="F48" i="59"/>
  <c r="E48" i="59"/>
  <c r="D48" i="59"/>
  <c r="C48" i="59"/>
  <c r="B48" i="59"/>
  <c r="A48" i="59"/>
  <c r="J47" i="59"/>
  <c r="I47" i="59"/>
  <c r="H47" i="59"/>
  <c r="G47" i="59"/>
  <c r="F47" i="59"/>
  <c r="E47" i="59"/>
  <c r="D47" i="59"/>
  <c r="C47" i="59"/>
  <c r="B47" i="59"/>
  <c r="A47" i="59"/>
  <c r="J46" i="59"/>
  <c r="I46" i="59"/>
  <c r="H46" i="59"/>
  <c r="G46" i="59"/>
  <c r="F46" i="59"/>
  <c r="E46" i="59"/>
  <c r="D46" i="59"/>
  <c r="C46" i="59"/>
  <c r="B46" i="59"/>
  <c r="A46" i="59"/>
  <c r="J45" i="59"/>
  <c r="I45" i="59"/>
  <c r="H45" i="59"/>
  <c r="G45" i="59"/>
  <c r="F45" i="59"/>
  <c r="E45" i="59"/>
  <c r="D45" i="59"/>
  <c r="C45" i="59"/>
  <c r="B45" i="59"/>
  <c r="A45" i="59"/>
  <c r="J44" i="59"/>
  <c r="I44" i="59"/>
  <c r="H44" i="59"/>
  <c r="G44" i="59"/>
  <c r="F44" i="59"/>
  <c r="E44" i="59"/>
  <c r="D44" i="59"/>
  <c r="C44" i="59"/>
  <c r="B44" i="59"/>
  <c r="A44" i="59"/>
  <c r="J43" i="59"/>
  <c r="I43" i="59"/>
  <c r="H43" i="59"/>
  <c r="G43" i="59"/>
  <c r="F43" i="59"/>
  <c r="E43" i="59"/>
  <c r="D43" i="59"/>
  <c r="C43" i="59"/>
  <c r="B43" i="59"/>
  <c r="A43" i="59"/>
  <c r="J42" i="59"/>
  <c r="I42" i="59"/>
  <c r="H42" i="59"/>
  <c r="G42" i="59"/>
  <c r="F42" i="59"/>
  <c r="E42" i="59"/>
  <c r="D42" i="59"/>
  <c r="C42" i="59"/>
  <c r="B42" i="59"/>
  <c r="A42" i="59"/>
  <c r="J41" i="59"/>
  <c r="I41" i="59"/>
  <c r="H41" i="59"/>
  <c r="G41" i="59"/>
  <c r="F41" i="59"/>
  <c r="E41" i="59"/>
  <c r="D41" i="59"/>
  <c r="C41" i="59"/>
  <c r="B41" i="59"/>
  <c r="A41" i="59"/>
  <c r="J40" i="59"/>
  <c r="I40" i="59"/>
  <c r="H40" i="59"/>
  <c r="G40" i="59"/>
  <c r="F40" i="59"/>
  <c r="E40" i="59"/>
  <c r="D40" i="59"/>
  <c r="C40" i="59"/>
  <c r="B40" i="59"/>
  <c r="A40" i="59"/>
  <c r="J39" i="59"/>
  <c r="I39" i="59"/>
  <c r="H39" i="59"/>
  <c r="G39" i="59"/>
  <c r="F39" i="59"/>
  <c r="E39" i="59"/>
  <c r="D39" i="59"/>
  <c r="C39" i="59"/>
  <c r="B39" i="59"/>
  <c r="A39" i="59"/>
  <c r="J38" i="59"/>
  <c r="I38" i="59"/>
  <c r="H38" i="59"/>
  <c r="G38" i="59"/>
  <c r="F38" i="59"/>
  <c r="E38" i="59"/>
  <c r="D38" i="59"/>
  <c r="C38" i="59"/>
  <c r="B38" i="59"/>
  <c r="A38" i="59"/>
  <c r="J37" i="59"/>
  <c r="I37" i="59"/>
  <c r="H37" i="59"/>
  <c r="G37" i="59"/>
  <c r="F37" i="59"/>
  <c r="E37" i="59"/>
  <c r="D37" i="59"/>
  <c r="C37" i="59"/>
  <c r="B37" i="59"/>
  <c r="A37" i="59"/>
  <c r="J36" i="59"/>
  <c r="I36" i="59"/>
  <c r="H36" i="59"/>
  <c r="G36" i="59"/>
  <c r="F36" i="59"/>
  <c r="E36" i="59"/>
  <c r="D36" i="59"/>
  <c r="C36" i="59"/>
  <c r="B36" i="59"/>
  <c r="A36" i="59"/>
  <c r="J35" i="59"/>
  <c r="I35" i="59"/>
  <c r="H35" i="59"/>
  <c r="G35" i="59"/>
  <c r="F35" i="59"/>
  <c r="E35" i="59"/>
  <c r="D35" i="59"/>
  <c r="C35" i="59"/>
  <c r="B35" i="59"/>
  <c r="A35" i="59"/>
  <c r="J34" i="59"/>
  <c r="I34" i="59"/>
  <c r="H34" i="59"/>
  <c r="G34" i="59"/>
  <c r="F34" i="59"/>
  <c r="E34" i="59"/>
  <c r="D34" i="59"/>
  <c r="C34" i="59"/>
  <c r="B34" i="59"/>
  <c r="A34" i="59"/>
  <c r="J33" i="59"/>
  <c r="I33" i="59"/>
  <c r="H33" i="59"/>
  <c r="G33" i="59"/>
  <c r="F33" i="59"/>
  <c r="E33" i="59"/>
  <c r="D33" i="59"/>
  <c r="C33" i="59"/>
  <c r="B33" i="59"/>
  <c r="A33" i="59"/>
  <c r="J32" i="59"/>
  <c r="I32" i="59"/>
  <c r="H32" i="59"/>
  <c r="G32" i="59"/>
  <c r="F32" i="59"/>
  <c r="E32" i="59"/>
  <c r="D32" i="59"/>
  <c r="C32" i="59"/>
  <c r="B32" i="59"/>
  <c r="A32" i="59"/>
  <c r="J31" i="59"/>
  <c r="I31" i="59"/>
  <c r="H31" i="59"/>
  <c r="G31" i="59"/>
  <c r="F31" i="59"/>
  <c r="E31" i="59"/>
  <c r="D31" i="59"/>
  <c r="C31" i="59"/>
  <c r="B31" i="59"/>
  <c r="A31" i="59"/>
  <c r="J30" i="59"/>
  <c r="I30" i="59"/>
  <c r="H30" i="59"/>
  <c r="G30" i="59"/>
  <c r="F30" i="59"/>
  <c r="E30" i="59"/>
  <c r="D30" i="59"/>
  <c r="C30" i="59"/>
  <c r="B30" i="59"/>
  <c r="A30" i="59"/>
  <c r="J29" i="59"/>
  <c r="I29" i="59"/>
  <c r="H29" i="59"/>
  <c r="G29" i="59"/>
  <c r="F29" i="59"/>
  <c r="E29" i="59"/>
  <c r="D29" i="59"/>
  <c r="C29" i="59"/>
  <c r="B29" i="59"/>
  <c r="A29" i="59"/>
  <c r="J28" i="59"/>
  <c r="I28" i="59"/>
  <c r="H28" i="59"/>
  <c r="G28" i="59"/>
  <c r="F28" i="59"/>
  <c r="E28" i="59"/>
  <c r="D28" i="59"/>
  <c r="C28" i="59"/>
  <c r="B28" i="59"/>
  <c r="A28" i="59"/>
  <c r="J27" i="59"/>
  <c r="I27" i="59"/>
  <c r="H27" i="59"/>
  <c r="G27" i="59"/>
  <c r="F27" i="59"/>
  <c r="E27" i="59"/>
  <c r="D27" i="59"/>
  <c r="C27" i="59"/>
  <c r="B27" i="59"/>
  <c r="A27" i="59"/>
  <c r="J26" i="59"/>
  <c r="I26" i="59"/>
  <c r="H26" i="59"/>
  <c r="G26" i="59"/>
  <c r="F26" i="59"/>
  <c r="E26" i="59"/>
  <c r="D26" i="59"/>
  <c r="C26" i="59"/>
  <c r="B26" i="59"/>
  <c r="A26" i="59"/>
  <c r="J25" i="59"/>
  <c r="I25" i="59"/>
  <c r="H25" i="59"/>
  <c r="G25" i="59"/>
  <c r="F25" i="59"/>
  <c r="E25" i="59"/>
  <c r="D25" i="59"/>
  <c r="C25" i="59"/>
  <c r="B25" i="59"/>
  <c r="A25" i="59"/>
  <c r="J24" i="59"/>
  <c r="I24" i="59"/>
  <c r="H24" i="59"/>
  <c r="G24" i="59"/>
  <c r="F24" i="59"/>
  <c r="E24" i="59"/>
  <c r="D24" i="59"/>
  <c r="C24" i="59"/>
  <c r="B24" i="59"/>
  <c r="A24" i="59"/>
  <c r="J23" i="59"/>
  <c r="I23" i="59"/>
  <c r="H23" i="59"/>
  <c r="G23" i="59"/>
  <c r="F23" i="59"/>
  <c r="E23" i="59"/>
  <c r="D23" i="59"/>
  <c r="C23" i="59"/>
  <c r="B23" i="59"/>
  <c r="A23" i="59"/>
  <c r="J22" i="59"/>
  <c r="I22" i="59"/>
  <c r="H22" i="59"/>
  <c r="G22" i="59"/>
  <c r="F22" i="59"/>
  <c r="E22" i="59"/>
  <c r="D22" i="59"/>
  <c r="C22" i="59"/>
  <c r="B22" i="59"/>
  <c r="A22" i="59"/>
  <c r="J21" i="59"/>
  <c r="I21" i="59"/>
  <c r="H21" i="59"/>
  <c r="G21" i="59"/>
  <c r="F21" i="59"/>
  <c r="E21" i="59"/>
  <c r="D21" i="59"/>
  <c r="C21" i="59"/>
  <c r="B21" i="59"/>
  <c r="A21" i="59"/>
  <c r="J20" i="59"/>
  <c r="I20" i="59"/>
  <c r="H20" i="59"/>
  <c r="G20" i="59"/>
  <c r="F20" i="59"/>
  <c r="E20" i="59"/>
  <c r="D20" i="59"/>
  <c r="C20" i="59"/>
  <c r="B20" i="59"/>
  <c r="A20" i="59"/>
  <c r="J19" i="59"/>
  <c r="I19" i="59"/>
  <c r="H19" i="59"/>
  <c r="G19" i="59"/>
  <c r="F19" i="59"/>
  <c r="E19" i="59"/>
  <c r="D19" i="59"/>
  <c r="C19" i="59"/>
  <c r="B19" i="59"/>
  <c r="A19" i="59"/>
  <c r="J18" i="59"/>
  <c r="I18" i="59"/>
  <c r="H18" i="59"/>
  <c r="G18" i="59"/>
  <c r="F18" i="59"/>
  <c r="E18" i="59"/>
  <c r="D18" i="59"/>
  <c r="C18" i="59"/>
  <c r="B18" i="59"/>
  <c r="A18" i="59"/>
  <c r="J17" i="59"/>
  <c r="I17" i="59"/>
  <c r="H17" i="59"/>
  <c r="G17" i="59"/>
  <c r="F17" i="59"/>
  <c r="E17" i="59"/>
  <c r="D17" i="59"/>
  <c r="C17" i="59"/>
  <c r="B17" i="59"/>
  <c r="A17" i="59"/>
  <c r="J16" i="59"/>
  <c r="I16" i="59"/>
  <c r="H16" i="59"/>
  <c r="G16" i="59"/>
  <c r="F16" i="59"/>
  <c r="E16" i="59"/>
  <c r="D16" i="59"/>
  <c r="C16" i="59"/>
  <c r="B16" i="59"/>
  <c r="A16" i="59"/>
  <c r="J15" i="59"/>
  <c r="I15" i="59"/>
  <c r="H15" i="59"/>
  <c r="G15" i="59"/>
  <c r="F15" i="59"/>
  <c r="E15" i="59"/>
  <c r="D15" i="59"/>
  <c r="C15" i="59"/>
  <c r="B15" i="59"/>
  <c r="A15" i="59"/>
  <c r="J14" i="59"/>
  <c r="I14" i="59"/>
  <c r="H14" i="59"/>
  <c r="G14" i="59"/>
  <c r="F14" i="59"/>
  <c r="E14" i="59"/>
  <c r="D14" i="59"/>
  <c r="C14" i="59"/>
  <c r="B14" i="59"/>
  <c r="A14" i="59"/>
  <c r="J13" i="59"/>
  <c r="I13" i="59"/>
  <c r="H13" i="59"/>
  <c r="G13" i="59"/>
  <c r="F13" i="59"/>
  <c r="E13" i="59"/>
  <c r="D13" i="59"/>
  <c r="C13" i="59"/>
  <c r="B13" i="59"/>
  <c r="A13" i="59"/>
  <c r="J12" i="59"/>
  <c r="I12" i="59"/>
  <c r="H12" i="59"/>
  <c r="G12" i="59"/>
  <c r="F12" i="59"/>
  <c r="E12" i="59"/>
  <c r="D12" i="59"/>
  <c r="C12" i="59"/>
  <c r="B12" i="59"/>
  <c r="A12" i="59"/>
  <c r="K80" i="58"/>
  <c r="K79" i="58"/>
  <c r="K78" i="58"/>
  <c r="K77" i="58"/>
  <c r="K76" i="58"/>
  <c r="K75" i="58"/>
  <c r="K74" i="58"/>
  <c r="K73" i="58"/>
  <c r="K72" i="58"/>
  <c r="K71" i="58"/>
  <c r="K70" i="58"/>
  <c r="K69" i="58"/>
  <c r="K68" i="58"/>
  <c r="K67" i="58"/>
  <c r="K66" i="58"/>
  <c r="K65" i="58"/>
  <c r="K64" i="58"/>
  <c r="K63" i="58"/>
  <c r="K62" i="58"/>
  <c r="I62" i="58"/>
  <c r="K61" i="58"/>
  <c r="I61" i="58"/>
  <c r="K60" i="58"/>
  <c r="I60" i="58"/>
  <c r="K59" i="58"/>
  <c r="I59" i="58"/>
  <c r="K58" i="58"/>
  <c r="I58" i="58"/>
  <c r="K57" i="58"/>
  <c r="I57" i="58"/>
  <c r="K56" i="58"/>
  <c r="I56" i="58"/>
  <c r="K55" i="58"/>
  <c r="I55" i="58"/>
  <c r="K54" i="58"/>
  <c r="I54" i="58"/>
  <c r="K53" i="58"/>
  <c r="I53" i="58"/>
  <c r="K52" i="58"/>
  <c r="I52" i="58"/>
  <c r="K51" i="58"/>
  <c r="I51" i="58"/>
  <c r="K50" i="58"/>
  <c r="I50" i="58"/>
  <c r="K49" i="58"/>
  <c r="I49" i="58"/>
  <c r="K48" i="58"/>
  <c r="I48" i="58"/>
  <c r="K47" i="58"/>
  <c r="I47" i="58"/>
  <c r="K46" i="58"/>
  <c r="I46" i="58"/>
  <c r="K45" i="58"/>
  <c r="I45" i="58"/>
  <c r="K44" i="58"/>
  <c r="I44" i="58"/>
  <c r="K43" i="58"/>
  <c r="I43" i="58"/>
  <c r="K42" i="58"/>
  <c r="I42" i="58"/>
  <c r="K41" i="58"/>
  <c r="I41" i="58"/>
  <c r="K40" i="58"/>
  <c r="I40" i="58"/>
  <c r="K39" i="58"/>
  <c r="I39" i="58"/>
  <c r="I38" i="58"/>
  <c r="I37" i="58"/>
  <c r="I36" i="58"/>
  <c r="I35" i="58"/>
  <c r="I34" i="58"/>
  <c r="I33" i="58"/>
  <c r="I32" i="58"/>
  <c r="I31" i="58"/>
  <c r="H31" i="58"/>
  <c r="G31" i="58"/>
  <c r="F31" i="58"/>
  <c r="E31" i="58"/>
  <c r="D31" i="58"/>
  <c r="C31" i="58"/>
  <c r="B31" i="58"/>
  <c r="A31" i="58"/>
  <c r="I30" i="58"/>
  <c r="H30" i="58"/>
  <c r="G30" i="58"/>
  <c r="F30" i="58"/>
  <c r="E30" i="58"/>
  <c r="D30" i="58"/>
  <c r="C30" i="58"/>
  <c r="B30" i="58"/>
  <c r="A30" i="58"/>
  <c r="I29" i="58"/>
  <c r="H29" i="58"/>
  <c r="G29" i="58"/>
  <c r="F29" i="58"/>
  <c r="E29" i="58"/>
  <c r="D29" i="58"/>
  <c r="C29" i="58"/>
  <c r="B29" i="58"/>
  <c r="A29" i="58"/>
  <c r="I28" i="58"/>
  <c r="H28" i="58"/>
  <c r="G28" i="58"/>
  <c r="F28" i="58"/>
  <c r="E28" i="58"/>
  <c r="D28" i="58"/>
  <c r="C28" i="58"/>
  <c r="B28" i="58"/>
  <c r="A28" i="58"/>
  <c r="I27" i="58"/>
  <c r="H27" i="58"/>
  <c r="G27" i="58"/>
  <c r="F27" i="58"/>
  <c r="E27" i="58"/>
  <c r="D27" i="58"/>
  <c r="C27" i="58"/>
  <c r="B27" i="58"/>
  <c r="A27" i="58"/>
  <c r="I26" i="58"/>
  <c r="H26" i="58"/>
  <c r="G26" i="58"/>
  <c r="F26" i="58"/>
  <c r="E26" i="58"/>
  <c r="D26" i="58"/>
  <c r="C26" i="58"/>
  <c r="B26" i="58"/>
  <c r="A26" i="58"/>
  <c r="I25" i="58"/>
  <c r="H25" i="58"/>
  <c r="G25" i="58"/>
  <c r="F25" i="58"/>
  <c r="E25" i="58"/>
  <c r="D25" i="58"/>
  <c r="C25" i="58"/>
  <c r="B25" i="58"/>
  <c r="A25" i="58"/>
  <c r="I24" i="58"/>
  <c r="H24" i="58"/>
  <c r="G24" i="58"/>
  <c r="F24" i="58"/>
  <c r="E24" i="58"/>
  <c r="D24" i="58"/>
  <c r="C24" i="58"/>
  <c r="B24" i="58"/>
  <c r="A24" i="58"/>
  <c r="I23" i="58"/>
  <c r="H23" i="58"/>
  <c r="G23" i="58"/>
  <c r="F23" i="58"/>
  <c r="E23" i="58"/>
  <c r="D23" i="58"/>
  <c r="C23" i="58"/>
  <c r="B23" i="58"/>
  <c r="A23" i="58"/>
  <c r="I22" i="58"/>
  <c r="H22" i="58"/>
  <c r="G22" i="58"/>
  <c r="F22" i="58"/>
  <c r="E22" i="58"/>
  <c r="D22" i="58"/>
  <c r="C22" i="58"/>
  <c r="B22" i="58"/>
  <c r="A22" i="58"/>
  <c r="I21" i="58"/>
  <c r="H21" i="58"/>
  <c r="G21" i="58"/>
  <c r="F21" i="58"/>
  <c r="E21" i="58"/>
  <c r="D21" i="58"/>
  <c r="C21" i="58"/>
  <c r="B21" i="58"/>
  <c r="A21" i="58"/>
  <c r="I20" i="58"/>
  <c r="H20" i="58"/>
  <c r="G20" i="58"/>
  <c r="F20" i="58"/>
  <c r="E20" i="58"/>
  <c r="D20" i="58"/>
  <c r="C20" i="58"/>
  <c r="B20" i="58"/>
  <c r="A20" i="58"/>
  <c r="I19" i="58"/>
  <c r="H19" i="58"/>
  <c r="G19" i="58"/>
  <c r="F19" i="58"/>
  <c r="E19" i="58"/>
  <c r="D19" i="58"/>
  <c r="C19" i="58"/>
  <c r="B19" i="58"/>
  <c r="A19" i="58"/>
  <c r="I18" i="58"/>
  <c r="H18" i="58"/>
  <c r="G18" i="58"/>
  <c r="F18" i="58"/>
  <c r="E18" i="58"/>
  <c r="D18" i="58"/>
  <c r="C18" i="58"/>
  <c r="B18" i="58"/>
  <c r="A18" i="58"/>
  <c r="I17" i="58"/>
  <c r="H17" i="58"/>
  <c r="G17" i="58"/>
  <c r="F17" i="58"/>
  <c r="E17" i="58"/>
  <c r="D17" i="58"/>
  <c r="C17" i="58"/>
  <c r="B17" i="58"/>
  <c r="A17" i="58"/>
  <c r="I16" i="58"/>
  <c r="H16" i="58"/>
  <c r="G16" i="58"/>
  <c r="F16" i="58"/>
  <c r="E16" i="58"/>
  <c r="D16" i="58"/>
  <c r="C16" i="58"/>
  <c r="B16" i="58"/>
  <c r="A16" i="58"/>
  <c r="I15" i="58"/>
  <c r="H15" i="58"/>
  <c r="G15" i="58"/>
  <c r="F15" i="58"/>
  <c r="E15" i="58"/>
  <c r="D15" i="58"/>
  <c r="C15" i="58"/>
  <c r="B15" i="58"/>
  <c r="A15" i="58"/>
  <c r="I14" i="58"/>
  <c r="H14" i="58"/>
  <c r="G14" i="58"/>
  <c r="F14" i="58"/>
  <c r="E14" i="58"/>
  <c r="D14" i="58"/>
  <c r="C14" i="58"/>
  <c r="B14" i="58"/>
  <c r="A14" i="58"/>
  <c r="I13" i="58"/>
  <c r="H13" i="58"/>
  <c r="G13" i="58"/>
  <c r="F13" i="58"/>
  <c r="E13" i="58"/>
  <c r="D13" i="58"/>
  <c r="C13" i="58"/>
  <c r="B13" i="58"/>
  <c r="A13" i="58"/>
  <c r="I12" i="58"/>
  <c r="H12" i="58"/>
  <c r="G12" i="58"/>
  <c r="F12" i="58"/>
  <c r="E12" i="58"/>
  <c r="D12" i="58"/>
  <c r="C12" i="58"/>
  <c r="B12" i="58"/>
  <c r="A12" i="58"/>
  <c r="K80" i="57"/>
  <c r="K79" i="57"/>
  <c r="K78" i="57"/>
  <c r="K77" i="57"/>
  <c r="K76" i="57"/>
  <c r="K75" i="57"/>
  <c r="K74" i="57"/>
  <c r="K73" i="57"/>
  <c r="K72" i="57"/>
  <c r="K71" i="57"/>
  <c r="K70" i="57"/>
  <c r="K69" i="57"/>
  <c r="K68" i="57"/>
  <c r="K67" i="57"/>
  <c r="K66" i="57"/>
  <c r="K65" i="57"/>
  <c r="K64" i="57"/>
  <c r="K63" i="57"/>
  <c r="K62" i="57"/>
  <c r="K61" i="57"/>
  <c r="K60" i="57"/>
  <c r="K59" i="57"/>
  <c r="K58" i="57"/>
  <c r="K57" i="57"/>
  <c r="K56" i="57"/>
  <c r="K55" i="57"/>
  <c r="K54" i="57"/>
  <c r="K53" i="57"/>
  <c r="K52" i="57"/>
  <c r="K51" i="57"/>
  <c r="K50" i="57"/>
  <c r="K49" i="57"/>
  <c r="K48" i="57"/>
  <c r="K47" i="57"/>
  <c r="K46" i="57"/>
  <c r="K45" i="57"/>
  <c r="K44" i="57"/>
  <c r="K43" i="57"/>
  <c r="K42" i="57"/>
  <c r="K41" i="57"/>
  <c r="K40" i="57"/>
  <c r="K39" i="57"/>
  <c r="K38" i="57"/>
  <c r="K37" i="57"/>
  <c r="K36" i="57"/>
  <c r="K35" i="57"/>
  <c r="K34" i="57"/>
  <c r="K33" i="57"/>
  <c r="K32" i="57"/>
  <c r="K31" i="57"/>
  <c r="K30" i="57"/>
  <c r="K29" i="57"/>
  <c r="K28" i="57"/>
  <c r="K27" i="57"/>
  <c r="K26" i="57"/>
  <c r="K25" i="57"/>
  <c r="K24" i="57"/>
  <c r="K23" i="57"/>
  <c r="K22" i="57"/>
  <c r="K21" i="57"/>
  <c r="K20" i="57"/>
  <c r="K19" i="57"/>
  <c r="K18" i="57"/>
  <c r="K17" i="57"/>
  <c r="K16" i="57"/>
  <c r="J16" i="57"/>
  <c r="I16" i="57"/>
  <c r="K15" i="57"/>
  <c r="J15" i="57"/>
  <c r="I15" i="57"/>
  <c r="K14" i="57"/>
  <c r="J14" i="57"/>
  <c r="I14" i="57"/>
  <c r="K13" i="57"/>
  <c r="J13" i="57"/>
  <c r="I13" i="57"/>
  <c r="K12" i="57"/>
  <c r="J12" i="57"/>
  <c r="I12" i="57"/>
  <c r="H12" i="57"/>
  <c r="G12" i="57"/>
  <c r="F12" i="57"/>
  <c r="E12" i="57"/>
  <c r="D12" i="57"/>
  <c r="C12" i="57"/>
  <c r="B12" i="57"/>
  <c r="A12" i="57"/>
  <c r="K80" i="56"/>
  <c r="K79" i="56"/>
  <c r="K78" i="56"/>
  <c r="K77" i="56"/>
  <c r="K76" i="56"/>
  <c r="K75" i="56"/>
  <c r="K74" i="56"/>
  <c r="K73" i="56"/>
  <c r="K72" i="56"/>
  <c r="K71" i="56"/>
  <c r="K70" i="56"/>
  <c r="K69" i="56"/>
  <c r="K68" i="56"/>
  <c r="K67" i="56"/>
  <c r="K66" i="56"/>
  <c r="K65" i="56"/>
  <c r="K64" i="56"/>
  <c r="K63" i="56"/>
  <c r="K62" i="56"/>
  <c r="K61" i="56"/>
  <c r="K60" i="56"/>
  <c r="K59" i="56"/>
  <c r="K58" i="56"/>
  <c r="K57" i="56"/>
  <c r="K56" i="56"/>
  <c r="K55" i="56"/>
  <c r="K54" i="56"/>
  <c r="K53" i="56"/>
  <c r="K52" i="56"/>
  <c r="K51" i="56"/>
  <c r="K50" i="56"/>
  <c r="K49" i="56"/>
  <c r="K48" i="56"/>
  <c r="K47" i="56"/>
  <c r="K46" i="56"/>
  <c r="K45" i="56"/>
  <c r="K44" i="56"/>
  <c r="K43" i="56"/>
  <c r="K42" i="56"/>
  <c r="K41" i="56"/>
  <c r="K40" i="56"/>
  <c r="K39" i="56"/>
  <c r="K38" i="56"/>
  <c r="K37" i="56"/>
  <c r="K36" i="56"/>
  <c r="K35" i="56"/>
  <c r="K34" i="56"/>
  <c r="K33" i="56"/>
  <c r="K32" i="56"/>
  <c r="K31" i="56"/>
  <c r="K30" i="56"/>
  <c r="K29" i="56"/>
  <c r="K28" i="56"/>
  <c r="K27" i="56"/>
  <c r="K26" i="56"/>
  <c r="K25" i="56"/>
  <c r="K24" i="56"/>
  <c r="K23" i="56"/>
  <c r="K22" i="56"/>
  <c r="K21" i="56"/>
  <c r="K20" i="56"/>
  <c r="K19" i="56"/>
  <c r="K18" i="56"/>
  <c r="K17" i="56"/>
  <c r="K16" i="56"/>
  <c r="K15" i="56"/>
  <c r="K14" i="56"/>
  <c r="K13" i="56"/>
  <c r="K12" i="56"/>
  <c r="J12" i="56"/>
  <c r="I12" i="56"/>
  <c r="G12" i="56"/>
  <c r="F12" i="56"/>
  <c r="E12" i="56"/>
  <c r="D12" i="56"/>
  <c r="A12" i="56"/>
  <c r="K80" i="55"/>
  <c r="K79" i="55"/>
  <c r="K78" i="55"/>
  <c r="K77" i="55"/>
  <c r="K76" i="55"/>
  <c r="K75" i="55"/>
  <c r="K74" i="55"/>
  <c r="K73" i="55"/>
  <c r="K72" i="55"/>
  <c r="K71" i="55"/>
  <c r="K70" i="55"/>
  <c r="K69" i="55"/>
  <c r="K68" i="55"/>
  <c r="K67" i="55"/>
  <c r="K66" i="55"/>
  <c r="K65" i="55"/>
  <c r="K64" i="55"/>
  <c r="K63" i="55"/>
  <c r="K62" i="55"/>
  <c r="K61" i="55"/>
  <c r="K60" i="55"/>
  <c r="K59" i="55"/>
  <c r="K58" i="55"/>
  <c r="K57" i="55"/>
  <c r="K56" i="55"/>
  <c r="K55" i="55"/>
  <c r="K54" i="55"/>
  <c r="K53" i="55"/>
  <c r="K52" i="55"/>
  <c r="K51" i="55"/>
  <c r="K50" i="55"/>
  <c r="K49" i="55"/>
  <c r="K48" i="55"/>
  <c r="K47" i="55"/>
  <c r="K46" i="55"/>
  <c r="K45" i="55"/>
  <c r="K44" i="55"/>
  <c r="K43" i="55"/>
  <c r="K42" i="55"/>
  <c r="K41" i="55"/>
  <c r="K40" i="55"/>
  <c r="K39" i="55"/>
  <c r="K38" i="55"/>
  <c r="I38" i="55"/>
  <c r="K37" i="55"/>
  <c r="J37" i="55"/>
  <c r="I37" i="55"/>
  <c r="K36" i="55"/>
  <c r="J36" i="55"/>
  <c r="I36" i="55"/>
  <c r="K35" i="55"/>
  <c r="J35" i="55"/>
  <c r="I35" i="55"/>
  <c r="K34" i="55"/>
  <c r="I34" i="55"/>
  <c r="K33" i="55"/>
  <c r="I33" i="55"/>
  <c r="K32" i="55"/>
  <c r="J32" i="55"/>
  <c r="I32" i="55"/>
  <c r="K31" i="55"/>
  <c r="I31" i="55"/>
  <c r="K30" i="55"/>
  <c r="I30" i="55"/>
  <c r="K29" i="55"/>
  <c r="J29" i="55"/>
  <c r="I29" i="55"/>
  <c r="K28" i="55"/>
  <c r="J28" i="55"/>
  <c r="I28" i="55"/>
  <c r="K27" i="55"/>
  <c r="J27" i="55"/>
  <c r="I27" i="55"/>
  <c r="K26" i="55"/>
  <c r="I26" i="55"/>
  <c r="K25" i="55"/>
  <c r="I25" i="55"/>
  <c r="K24" i="55"/>
  <c r="J24" i="55"/>
  <c r="I24" i="55"/>
  <c r="K23" i="55"/>
  <c r="I23" i="55"/>
  <c r="K22" i="55"/>
  <c r="J22" i="55"/>
  <c r="I22" i="55"/>
  <c r="K21" i="55"/>
  <c r="J21" i="55"/>
  <c r="I21" i="55"/>
  <c r="K20" i="55"/>
  <c r="I20" i="55"/>
  <c r="K19" i="55"/>
  <c r="J19" i="55"/>
  <c r="I19" i="55"/>
  <c r="K18" i="55"/>
  <c r="J18" i="55"/>
  <c r="I18" i="55"/>
  <c r="K17" i="55"/>
  <c r="J17" i="55"/>
  <c r="I17" i="55"/>
  <c r="K16" i="55"/>
  <c r="J16" i="55"/>
  <c r="I16" i="55"/>
  <c r="K15" i="55"/>
  <c r="J15" i="55"/>
  <c r="I15" i="55"/>
  <c r="K14" i="55"/>
  <c r="J14" i="55"/>
  <c r="I14" i="55"/>
  <c r="K13" i="55"/>
  <c r="J13" i="55"/>
  <c r="I13" i="55"/>
  <c r="K12" i="55"/>
  <c r="J12" i="55"/>
  <c r="I12" i="55"/>
  <c r="G12" i="55"/>
  <c r="F12" i="55"/>
  <c r="E12" i="55"/>
  <c r="D12" i="55"/>
  <c r="A12" i="55"/>
  <c r="I51" i="54"/>
  <c r="I50" i="54"/>
  <c r="I49" i="54"/>
  <c r="I48" i="54"/>
  <c r="I47" i="54"/>
  <c r="I46" i="54"/>
  <c r="I45" i="54"/>
  <c r="I44" i="54"/>
  <c r="I43" i="54"/>
  <c r="I42" i="54"/>
  <c r="I41" i="54"/>
  <c r="I40" i="54"/>
  <c r="I39" i="54"/>
  <c r="I38" i="54"/>
  <c r="I37" i="54"/>
  <c r="I36" i="54"/>
  <c r="J35" i="54"/>
  <c r="I35" i="54"/>
  <c r="J34" i="54"/>
  <c r="I34" i="54"/>
  <c r="J33" i="54"/>
  <c r="I33" i="54"/>
  <c r="J32" i="54"/>
  <c r="I32" i="54"/>
  <c r="J31" i="54"/>
  <c r="I31" i="54"/>
  <c r="J30" i="54"/>
  <c r="I30" i="54"/>
  <c r="J29" i="54"/>
  <c r="I29" i="54"/>
  <c r="J28" i="54"/>
  <c r="I28" i="54"/>
  <c r="J27" i="54"/>
  <c r="I27" i="54"/>
  <c r="J26" i="54"/>
  <c r="I26" i="54"/>
  <c r="J25" i="54"/>
  <c r="I25" i="54"/>
  <c r="J24" i="54"/>
  <c r="I24" i="54"/>
  <c r="J23" i="54"/>
  <c r="I23" i="54"/>
  <c r="J22" i="54"/>
  <c r="I22" i="54"/>
  <c r="J21" i="54"/>
  <c r="I21" i="54"/>
  <c r="K20" i="54"/>
  <c r="J20" i="54"/>
  <c r="I20" i="54"/>
  <c r="J19" i="54"/>
  <c r="I19" i="54"/>
  <c r="J18" i="54"/>
  <c r="I18" i="54"/>
  <c r="J17" i="54"/>
  <c r="I17" i="54"/>
  <c r="K16" i="54"/>
  <c r="J16" i="54"/>
  <c r="I16" i="54"/>
  <c r="J15" i="54"/>
  <c r="I15" i="54"/>
  <c r="J14" i="54"/>
  <c r="I14" i="54"/>
  <c r="J13" i="54"/>
  <c r="I13" i="54"/>
  <c r="J12" i="54"/>
  <c r="I12" i="54"/>
  <c r="G12" i="54"/>
  <c r="F12" i="54"/>
  <c r="E12" i="54"/>
  <c r="D12" i="54"/>
  <c r="A12" i="54"/>
  <c r="K80" i="53"/>
  <c r="I80" i="53"/>
  <c r="K79" i="53"/>
  <c r="I79" i="53"/>
  <c r="K78" i="53"/>
  <c r="I78" i="53"/>
  <c r="K77" i="53"/>
  <c r="I77" i="53"/>
  <c r="K76" i="53"/>
  <c r="I76" i="53"/>
  <c r="K75" i="53"/>
  <c r="I75" i="53"/>
  <c r="K74" i="53"/>
  <c r="I74" i="53"/>
  <c r="K73" i="53"/>
  <c r="I73" i="53"/>
  <c r="K72" i="53"/>
  <c r="I72" i="53"/>
  <c r="K71" i="53"/>
  <c r="I71" i="53"/>
  <c r="K70" i="53"/>
  <c r="I70" i="53"/>
  <c r="K69" i="53"/>
  <c r="I69" i="53"/>
  <c r="K68" i="53"/>
  <c r="I68" i="53"/>
  <c r="K67" i="53"/>
  <c r="I67" i="53"/>
  <c r="K66" i="53"/>
  <c r="I66" i="53"/>
  <c r="K65" i="53"/>
  <c r="I65" i="53"/>
  <c r="K64" i="53"/>
  <c r="I64" i="53"/>
  <c r="K63" i="53"/>
  <c r="I63" i="53"/>
  <c r="K62" i="53"/>
  <c r="I62" i="53"/>
  <c r="K61" i="53"/>
  <c r="I61" i="53"/>
  <c r="K60" i="53"/>
  <c r="I60" i="53"/>
  <c r="K59" i="53"/>
  <c r="I59" i="53"/>
  <c r="J58" i="53"/>
  <c r="I58" i="53"/>
  <c r="J57" i="53"/>
  <c r="I57" i="53"/>
  <c r="J56" i="53"/>
  <c r="I56" i="53"/>
  <c r="I55" i="53"/>
  <c r="I54" i="53"/>
  <c r="I53" i="53"/>
  <c r="I52" i="53"/>
  <c r="I51" i="53"/>
  <c r="I50" i="53"/>
  <c r="I49" i="53"/>
  <c r="K48" i="53"/>
  <c r="J48" i="53"/>
  <c r="I48" i="53"/>
  <c r="H48" i="53"/>
  <c r="G48" i="53"/>
  <c r="F48" i="53"/>
  <c r="E48" i="53"/>
  <c r="D48" i="53"/>
  <c r="C48" i="53"/>
  <c r="B48" i="53"/>
  <c r="A48" i="53"/>
  <c r="K47" i="53"/>
  <c r="J47" i="53"/>
  <c r="I47" i="53"/>
  <c r="H47" i="53"/>
  <c r="G47" i="53"/>
  <c r="F47" i="53"/>
  <c r="E47" i="53"/>
  <c r="D47" i="53"/>
  <c r="C47" i="53"/>
  <c r="B47" i="53"/>
  <c r="A47" i="53"/>
  <c r="K46" i="53"/>
  <c r="J46" i="53"/>
  <c r="I46" i="53"/>
  <c r="H46" i="53"/>
  <c r="G46" i="53"/>
  <c r="F46" i="53"/>
  <c r="E46" i="53"/>
  <c r="D46" i="53"/>
  <c r="C46" i="53"/>
  <c r="B46" i="53"/>
  <c r="A46" i="53"/>
  <c r="K45" i="53"/>
  <c r="J45" i="53"/>
  <c r="I45" i="53"/>
  <c r="H45" i="53"/>
  <c r="G45" i="53"/>
  <c r="F45" i="53"/>
  <c r="E45" i="53"/>
  <c r="D45" i="53"/>
  <c r="C45" i="53"/>
  <c r="B45" i="53"/>
  <c r="A45" i="53"/>
  <c r="K44" i="53"/>
  <c r="J44" i="53"/>
  <c r="I44" i="53"/>
  <c r="H44" i="53"/>
  <c r="G44" i="53"/>
  <c r="F44" i="53"/>
  <c r="E44" i="53"/>
  <c r="D44" i="53"/>
  <c r="C44" i="53"/>
  <c r="B44" i="53"/>
  <c r="A44" i="53"/>
  <c r="K43" i="53"/>
  <c r="J43" i="53"/>
  <c r="I43" i="53"/>
  <c r="H43" i="53"/>
  <c r="G43" i="53"/>
  <c r="F43" i="53"/>
  <c r="E43" i="53"/>
  <c r="D43" i="53"/>
  <c r="C43" i="53"/>
  <c r="B43" i="53"/>
  <c r="A43" i="53"/>
  <c r="K42" i="53"/>
  <c r="J42" i="53"/>
  <c r="I42" i="53"/>
  <c r="H42" i="53"/>
  <c r="G42" i="53"/>
  <c r="F42" i="53"/>
  <c r="E42" i="53"/>
  <c r="D42" i="53"/>
  <c r="C42" i="53"/>
  <c r="B42" i="53"/>
  <c r="A42" i="53"/>
  <c r="K41" i="53"/>
  <c r="J41" i="53"/>
  <c r="I41" i="53"/>
  <c r="H41" i="53"/>
  <c r="G41" i="53"/>
  <c r="F41" i="53"/>
  <c r="E41" i="53"/>
  <c r="D41" i="53"/>
  <c r="C41" i="53"/>
  <c r="B41" i="53"/>
  <c r="A41" i="53"/>
  <c r="K40" i="53"/>
  <c r="J40" i="53"/>
  <c r="I40" i="53"/>
  <c r="H40" i="53"/>
  <c r="G40" i="53"/>
  <c r="F40" i="53"/>
  <c r="E40" i="53"/>
  <c r="D40" i="53"/>
  <c r="C40" i="53"/>
  <c r="B40" i="53"/>
  <c r="A40" i="53"/>
  <c r="K39" i="53"/>
  <c r="J39" i="53"/>
  <c r="I39" i="53"/>
  <c r="H39" i="53"/>
  <c r="G39" i="53"/>
  <c r="F39" i="53"/>
  <c r="E39" i="53"/>
  <c r="D39" i="53"/>
  <c r="C39" i="53"/>
  <c r="B39" i="53"/>
  <c r="A39" i="53"/>
  <c r="K38" i="53"/>
  <c r="J38" i="53"/>
  <c r="I38" i="53"/>
  <c r="H38" i="53"/>
  <c r="G38" i="53"/>
  <c r="F38" i="53"/>
  <c r="E38" i="53"/>
  <c r="D38" i="53"/>
  <c r="C38" i="53"/>
  <c r="B38" i="53"/>
  <c r="A38" i="53"/>
  <c r="K37" i="53"/>
  <c r="J37" i="53"/>
  <c r="I37" i="53"/>
  <c r="H37" i="53"/>
  <c r="G37" i="53"/>
  <c r="F37" i="53"/>
  <c r="E37" i="53"/>
  <c r="D37" i="53"/>
  <c r="C37" i="53"/>
  <c r="B37" i="53"/>
  <c r="A37" i="53"/>
  <c r="K36" i="53"/>
  <c r="J36" i="53"/>
  <c r="I36" i="53"/>
  <c r="H36" i="53"/>
  <c r="G36" i="53"/>
  <c r="F36" i="53"/>
  <c r="E36" i="53"/>
  <c r="D36" i="53"/>
  <c r="C36" i="53"/>
  <c r="B36" i="53"/>
  <c r="A36" i="53"/>
  <c r="J35" i="53"/>
  <c r="I35" i="53"/>
  <c r="H35" i="53"/>
  <c r="G35" i="53"/>
  <c r="F35" i="53"/>
  <c r="E35" i="53"/>
  <c r="D35" i="53"/>
  <c r="C35" i="53"/>
  <c r="B35" i="53"/>
  <c r="A35" i="53"/>
  <c r="J34" i="53"/>
  <c r="I34" i="53"/>
  <c r="H34" i="53"/>
  <c r="G34" i="53"/>
  <c r="F34" i="53"/>
  <c r="E34" i="53"/>
  <c r="D34" i="53"/>
  <c r="C34" i="53"/>
  <c r="B34" i="53"/>
  <c r="A34" i="53"/>
  <c r="K33" i="53"/>
  <c r="J33" i="53"/>
  <c r="I33" i="53"/>
  <c r="H33" i="53"/>
  <c r="G33" i="53"/>
  <c r="F33" i="53"/>
  <c r="E33" i="53"/>
  <c r="D33" i="53"/>
  <c r="C33" i="53"/>
  <c r="B33" i="53"/>
  <c r="A33" i="53"/>
  <c r="K32" i="53"/>
  <c r="J32" i="53"/>
  <c r="I32" i="53"/>
  <c r="H32" i="53"/>
  <c r="G32" i="53"/>
  <c r="F32" i="53"/>
  <c r="E32" i="53"/>
  <c r="D32" i="53"/>
  <c r="C32" i="53"/>
  <c r="B32" i="53"/>
  <c r="A32" i="53"/>
  <c r="J31" i="53"/>
  <c r="I31" i="53"/>
  <c r="H31" i="53"/>
  <c r="G31" i="53"/>
  <c r="F31" i="53"/>
  <c r="E31" i="53"/>
  <c r="D31" i="53"/>
  <c r="C31" i="53"/>
  <c r="B31" i="53"/>
  <c r="A31" i="53"/>
  <c r="K30" i="53"/>
  <c r="J30" i="53"/>
  <c r="I30" i="53"/>
  <c r="H30" i="53"/>
  <c r="G30" i="53"/>
  <c r="F30" i="53"/>
  <c r="E30" i="53"/>
  <c r="D30" i="53"/>
  <c r="C30" i="53"/>
  <c r="B30" i="53"/>
  <c r="A30" i="53"/>
  <c r="K29" i="53"/>
  <c r="J29" i="53"/>
  <c r="I29" i="53"/>
  <c r="H29" i="53"/>
  <c r="G29" i="53"/>
  <c r="F29" i="53"/>
  <c r="E29" i="53"/>
  <c r="D29" i="53"/>
  <c r="C29" i="53"/>
  <c r="B29" i="53"/>
  <c r="A29" i="53"/>
  <c r="K28" i="53"/>
  <c r="J28" i="53"/>
  <c r="I28" i="53"/>
  <c r="H28" i="53"/>
  <c r="G28" i="53"/>
  <c r="F28" i="53"/>
  <c r="E28" i="53"/>
  <c r="D28" i="53"/>
  <c r="C28" i="53"/>
  <c r="B28" i="53"/>
  <c r="A28" i="53"/>
  <c r="K27" i="53"/>
  <c r="J27" i="53"/>
  <c r="I27" i="53"/>
  <c r="H27" i="53"/>
  <c r="G27" i="53"/>
  <c r="F27" i="53"/>
  <c r="E27" i="53"/>
  <c r="D27" i="53"/>
  <c r="C27" i="53"/>
  <c r="B27" i="53"/>
  <c r="A27" i="53"/>
  <c r="K26" i="53"/>
  <c r="J26" i="53"/>
  <c r="I26" i="53"/>
  <c r="H26" i="53"/>
  <c r="G26" i="53"/>
  <c r="F26" i="53"/>
  <c r="E26" i="53"/>
  <c r="D26" i="53"/>
  <c r="C26" i="53"/>
  <c r="B26" i="53"/>
  <c r="A26" i="53"/>
  <c r="K25" i="53"/>
  <c r="J25" i="53"/>
  <c r="I25" i="53"/>
  <c r="H25" i="53"/>
  <c r="G25" i="53"/>
  <c r="F25" i="53"/>
  <c r="E25" i="53"/>
  <c r="D25" i="53"/>
  <c r="C25" i="53"/>
  <c r="B25" i="53"/>
  <c r="A25" i="53"/>
  <c r="K24" i="53"/>
  <c r="J24" i="53"/>
  <c r="I24" i="53"/>
  <c r="H24" i="53"/>
  <c r="G24" i="53"/>
  <c r="F24" i="53"/>
  <c r="E24" i="53"/>
  <c r="D24" i="53"/>
  <c r="C24" i="53"/>
  <c r="B24" i="53"/>
  <c r="A24" i="53"/>
  <c r="J23" i="53"/>
  <c r="I23" i="53"/>
  <c r="H23" i="53"/>
  <c r="G23" i="53"/>
  <c r="F23" i="53"/>
  <c r="E23" i="53"/>
  <c r="D23" i="53"/>
  <c r="C23" i="53"/>
  <c r="B23" i="53"/>
  <c r="A23" i="53"/>
  <c r="J22" i="53"/>
  <c r="I22" i="53"/>
  <c r="H22" i="53"/>
  <c r="G22" i="53"/>
  <c r="F22" i="53"/>
  <c r="E22" i="53"/>
  <c r="D22" i="53"/>
  <c r="C22" i="53"/>
  <c r="B22" i="53"/>
  <c r="A22" i="53"/>
  <c r="K21" i="53"/>
  <c r="J21" i="53"/>
  <c r="I21" i="53"/>
  <c r="H21" i="53"/>
  <c r="G21" i="53"/>
  <c r="F21" i="53"/>
  <c r="E21" i="53"/>
  <c r="D21" i="53"/>
  <c r="C21" i="53"/>
  <c r="B21" i="53"/>
  <c r="A21" i="53"/>
  <c r="K20" i="53"/>
  <c r="J20" i="53"/>
  <c r="I20" i="53"/>
  <c r="H20" i="53"/>
  <c r="G20" i="53"/>
  <c r="F20" i="53"/>
  <c r="E20" i="53"/>
  <c r="D20" i="53"/>
  <c r="C20" i="53"/>
  <c r="B20" i="53"/>
  <c r="A20" i="53"/>
  <c r="K19" i="53"/>
  <c r="J19" i="53"/>
  <c r="I19" i="53"/>
  <c r="H19" i="53"/>
  <c r="G19" i="53"/>
  <c r="F19" i="53"/>
  <c r="E19" i="53"/>
  <c r="D19" i="53"/>
  <c r="C19" i="53"/>
  <c r="B19" i="53"/>
  <c r="A19" i="53"/>
  <c r="K18" i="53"/>
  <c r="J18" i="53"/>
  <c r="I18" i="53"/>
  <c r="H18" i="53"/>
  <c r="G18" i="53"/>
  <c r="F18" i="53"/>
  <c r="E18" i="53"/>
  <c r="D18" i="53"/>
  <c r="C18" i="53"/>
  <c r="B18" i="53"/>
  <c r="A18" i="53"/>
  <c r="K17" i="53"/>
  <c r="J17" i="53"/>
  <c r="I17" i="53"/>
  <c r="H17" i="53"/>
  <c r="G17" i="53"/>
  <c r="F17" i="53"/>
  <c r="E17" i="53"/>
  <c r="D17" i="53"/>
  <c r="C17" i="53"/>
  <c r="B17" i="53"/>
  <c r="A17" i="53"/>
  <c r="K16" i="53"/>
  <c r="J16" i="53"/>
  <c r="I16" i="53"/>
  <c r="H16" i="53"/>
  <c r="G16" i="53"/>
  <c r="F16" i="53"/>
  <c r="E16" i="53"/>
  <c r="D16" i="53"/>
  <c r="C16" i="53"/>
  <c r="B16" i="53"/>
  <c r="A16" i="53"/>
  <c r="K15" i="53"/>
  <c r="J15" i="53"/>
  <c r="I15" i="53"/>
  <c r="H15" i="53"/>
  <c r="G15" i="53"/>
  <c r="F15" i="53"/>
  <c r="E15" i="53"/>
  <c r="D15" i="53"/>
  <c r="C15" i="53"/>
  <c r="B15" i="53"/>
  <c r="A15" i="53"/>
  <c r="K14" i="53"/>
  <c r="J14" i="53"/>
  <c r="I14" i="53"/>
  <c r="H14" i="53"/>
  <c r="G14" i="53"/>
  <c r="F14" i="53"/>
  <c r="E14" i="53"/>
  <c r="D14" i="53"/>
  <c r="C14" i="53"/>
  <c r="B14" i="53"/>
  <c r="A14" i="53"/>
  <c r="K13" i="53"/>
  <c r="J13" i="53"/>
  <c r="I13" i="53"/>
  <c r="H13" i="53"/>
  <c r="G13" i="53"/>
  <c r="F13" i="53"/>
  <c r="E13" i="53"/>
  <c r="D13" i="53"/>
  <c r="C13" i="53"/>
  <c r="B13" i="53"/>
  <c r="A13" i="53"/>
  <c r="K12" i="53"/>
  <c r="J12" i="53"/>
  <c r="I12" i="53"/>
  <c r="H12" i="53"/>
  <c r="G12" i="53"/>
  <c r="F12" i="53"/>
  <c r="E12" i="53"/>
  <c r="D12" i="53"/>
  <c r="C12" i="53"/>
  <c r="B12" i="53"/>
  <c r="A12" i="53"/>
  <c r="I80" i="52"/>
  <c r="I79" i="52"/>
  <c r="I78" i="52"/>
  <c r="I77" i="52"/>
  <c r="I76" i="52"/>
  <c r="I75" i="52"/>
  <c r="I74" i="52"/>
  <c r="I73" i="52"/>
  <c r="I72" i="52"/>
  <c r="I71" i="52"/>
  <c r="I70" i="52"/>
  <c r="I69" i="52"/>
  <c r="I68" i="52"/>
  <c r="I67" i="52"/>
  <c r="I66" i="52"/>
  <c r="I65" i="52"/>
  <c r="I64" i="52"/>
  <c r="I63" i="52"/>
  <c r="I62" i="52"/>
  <c r="I61" i="52"/>
  <c r="I60" i="52"/>
  <c r="I59" i="52"/>
  <c r="I58" i="52"/>
  <c r="I57" i="52"/>
  <c r="I56" i="52"/>
  <c r="I55" i="52"/>
  <c r="I54" i="52"/>
  <c r="I53" i="52"/>
  <c r="I52" i="52"/>
  <c r="I51" i="52"/>
  <c r="I50" i="52"/>
  <c r="I49" i="52"/>
  <c r="I48" i="52"/>
  <c r="I47" i="52"/>
  <c r="I46" i="52"/>
  <c r="I45" i="52"/>
  <c r="I44" i="52"/>
  <c r="I43" i="52"/>
  <c r="I42" i="52"/>
  <c r="I41" i="52"/>
  <c r="I40" i="52"/>
  <c r="I39" i="52"/>
  <c r="I38" i="52"/>
  <c r="I37" i="52"/>
  <c r="I36" i="52"/>
  <c r="I35" i="52"/>
  <c r="I34" i="52"/>
  <c r="I33" i="52"/>
  <c r="I32" i="52"/>
  <c r="I31" i="52"/>
  <c r="I30" i="52"/>
  <c r="I29" i="52"/>
  <c r="I28" i="52"/>
  <c r="I27" i="52"/>
  <c r="I26" i="52"/>
  <c r="I25" i="52"/>
  <c r="I24" i="52"/>
  <c r="I23" i="52"/>
  <c r="I22" i="52"/>
  <c r="J21" i="52"/>
  <c r="I21" i="52"/>
  <c r="H21" i="52"/>
  <c r="G21" i="52"/>
  <c r="F21" i="52"/>
  <c r="E21" i="52"/>
  <c r="D21" i="52"/>
  <c r="C21" i="52"/>
  <c r="B21" i="52"/>
  <c r="A21" i="52"/>
  <c r="K20" i="52"/>
  <c r="J20" i="52"/>
  <c r="I20" i="52"/>
  <c r="H20" i="52"/>
  <c r="G20" i="52"/>
  <c r="F20" i="52"/>
  <c r="E20" i="52"/>
  <c r="D20" i="52"/>
  <c r="C20" i="52"/>
  <c r="B20" i="52"/>
  <c r="A20" i="52"/>
  <c r="J19" i="52"/>
  <c r="I19" i="52"/>
  <c r="H19" i="52"/>
  <c r="G19" i="52"/>
  <c r="F19" i="52"/>
  <c r="E19" i="52"/>
  <c r="D19" i="52"/>
  <c r="C19" i="52"/>
  <c r="B19" i="52"/>
  <c r="A19" i="52"/>
  <c r="K18" i="52"/>
  <c r="J18" i="52"/>
  <c r="I18" i="52"/>
  <c r="H18" i="52"/>
  <c r="G18" i="52"/>
  <c r="F18" i="52"/>
  <c r="E18" i="52"/>
  <c r="D18" i="52"/>
  <c r="C18" i="52"/>
  <c r="B18" i="52"/>
  <c r="A18" i="52"/>
  <c r="J17" i="52"/>
  <c r="I17" i="52"/>
  <c r="H17" i="52"/>
  <c r="G17" i="52"/>
  <c r="F17" i="52"/>
  <c r="E17" i="52"/>
  <c r="D17" i="52"/>
  <c r="C17" i="52"/>
  <c r="B17" i="52"/>
  <c r="A17" i="52"/>
  <c r="K16" i="52"/>
  <c r="J16" i="52"/>
  <c r="I16" i="52"/>
  <c r="H16" i="52"/>
  <c r="G16" i="52"/>
  <c r="F16" i="52"/>
  <c r="E16" i="52"/>
  <c r="D16" i="52"/>
  <c r="C16" i="52"/>
  <c r="B16" i="52"/>
  <c r="A16" i="52"/>
  <c r="K15" i="52"/>
  <c r="J15" i="52"/>
  <c r="I15" i="52"/>
  <c r="H15" i="52"/>
  <c r="G15" i="52"/>
  <c r="F15" i="52"/>
  <c r="E15" i="52"/>
  <c r="D15" i="52"/>
  <c r="C15" i="52"/>
  <c r="B15" i="52"/>
  <c r="A15" i="52"/>
  <c r="K14" i="52"/>
  <c r="J14" i="52"/>
  <c r="I14" i="52"/>
  <c r="H14" i="52"/>
  <c r="G14" i="52"/>
  <c r="F14" i="52"/>
  <c r="E14" i="52"/>
  <c r="D14" i="52"/>
  <c r="C14" i="52"/>
  <c r="B14" i="52"/>
  <c r="A14" i="52"/>
  <c r="K13" i="52"/>
  <c r="J13" i="52"/>
  <c r="I13" i="52"/>
  <c r="H13" i="52"/>
  <c r="G13" i="52"/>
  <c r="F13" i="52"/>
  <c r="E13" i="52"/>
  <c r="D13" i="52"/>
  <c r="O13" i="52" s="1"/>
  <c r="C13" i="52"/>
  <c r="B13" i="52"/>
  <c r="A13" i="52"/>
  <c r="K12" i="52"/>
  <c r="J12" i="52"/>
  <c r="I12" i="52"/>
  <c r="H12" i="52"/>
  <c r="G12" i="52"/>
  <c r="F12" i="52"/>
  <c r="E12" i="52"/>
  <c r="D12" i="52"/>
  <c r="O12" i="52" s="1"/>
  <c r="C12" i="52"/>
  <c r="B12" i="52"/>
  <c r="A12" i="52"/>
  <c r="K80" i="51"/>
  <c r="K79" i="51"/>
  <c r="K78" i="51"/>
  <c r="K77" i="51"/>
  <c r="K76" i="51"/>
  <c r="K75" i="51"/>
  <c r="K74" i="51"/>
  <c r="K73" i="51"/>
  <c r="K72" i="51"/>
  <c r="K71" i="51"/>
  <c r="K70" i="51"/>
  <c r="K69" i="51"/>
  <c r="K68" i="51"/>
  <c r="K67" i="51"/>
  <c r="K66" i="51"/>
  <c r="K65" i="51"/>
  <c r="K64" i="51"/>
  <c r="K63" i="51"/>
  <c r="K62" i="51"/>
  <c r="K61" i="51"/>
  <c r="K60" i="51"/>
  <c r="K59" i="51"/>
  <c r="K58" i="51"/>
  <c r="K57" i="51"/>
  <c r="K56" i="51"/>
  <c r="K55" i="51"/>
  <c r="K54" i="51"/>
  <c r="K53" i="51"/>
  <c r="K52" i="51"/>
  <c r="K51" i="51"/>
  <c r="K50" i="51"/>
  <c r="K49" i="51"/>
  <c r="K48" i="51"/>
  <c r="K47" i="51"/>
  <c r="K46" i="51"/>
  <c r="K45" i="51"/>
  <c r="K44" i="51"/>
  <c r="K43" i="51"/>
  <c r="K42" i="51"/>
  <c r="K41" i="51"/>
  <c r="K40" i="51"/>
  <c r="K39" i="51"/>
  <c r="K38" i="51"/>
  <c r="K37" i="51"/>
  <c r="K36" i="51"/>
  <c r="K35" i="51"/>
  <c r="K34" i="51"/>
  <c r="K33" i="51"/>
  <c r="K32" i="51"/>
  <c r="K31" i="51"/>
  <c r="K12" i="51"/>
  <c r="J12" i="51"/>
  <c r="I12" i="51"/>
  <c r="G12" i="51"/>
  <c r="F12" i="51"/>
  <c r="E12" i="51"/>
  <c r="D12" i="51"/>
  <c r="A12" i="51"/>
  <c r="K80" i="50"/>
  <c r="K79" i="50"/>
  <c r="K78" i="50"/>
  <c r="K77" i="50"/>
  <c r="K76" i="50"/>
  <c r="K75" i="50"/>
  <c r="K74" i="50"/>
  <c r="K73" i="50"/>
  <c r="K72" i="50"/>
  <c r="K71" i="50"/>
  <c r="K70" i="50"/>
  <c r="K69" i="50"/>
  <c r="K68" i="50"/>
  <c r="K67" i="50"/>
  <c r="K66" i="50"/>
  <c r="K65" i="50"/>
  <c r="K64" i="50"/>
  <c r="K63" i="50"/>
  <c r="K62" i="50"/>
  <c r="K61" i="50"/>
  <c r="K60" i="50"/>
  <c r="K59" i="50"/>
  <c r="K58" i="50"/>
  <c r="K57" i="50"/>
  <c r="K56" i="50"/>
  <c r="K55" i="50"/>
  <c r="K54" i="50"/>
  <c r="K53" i="50"/>
  <c r="K52" i="50"/>
  <c r="K51" i="50"/>
  <c r="K50" i="50"/>
  <c r="K49" i="50"/>
  <c r="K48" i="50"/>
  <c r="K47" i="50"/>
  <c r="K46" i="50"/>
  <c r="K45" i="50"/>
  <c r="K44" i="50"/>
  <c r="K43" i="50"/>
  <c r="K42" i="50"/>
  <c r="K41" i="50"/>
  <c r="K40" i="50"/>
  <c r="K39" i="50"/>
  <c r="K38" i="50"/>
  <c r="K37" i="50"/>
  <c r="K36" i="50"/>
  <c r="K35" i="50"/>
  <c r="K34" i="50"/>
  <c r="K33" i="50"/>
  <c r="K32" i="50"/>
  <c r="K31" i="50"/>
  <c r="K30" i="50"/>
  <c r="K29" i="50"/>
  <c r="K28" i="50"/>
  <c r="I28" i="50"/>
  <c r="K27" i="50"/>
  <c r="I27" i="50"/>
  <c r="K26" i="50"/>
  <c r="I26" i="50"/>
  <c r="K25" i="50"/>
  <c r="I25" i="50"/>
  <c r="K24" i="50"/>
  <c r="I24" i="50"/>
  <c r="K23" i="50"/>
  <c r="I23" i="50"/>
  <c r="K22" i="50"/>
  <c r="I22" i="50"/>
  <c r="K21" i="50"/>
  <c r="I21" i="50"/>
  <c r="K20" i="50"/>
  <c r="I20" i="50"/>
  <c r="K19" i="50"/>
  <c r="I19" i="50"/>
  <c r="K18" i="50"/>
  <c r="I18" i="50"/>
  <c r="K17" i="50"/>
  <c r="I17" i="50"/>
  <c r="K16" i="50"/>
  <c r="I16" i="50"/>
  <c r="K15" i="50"/>
  <c r="I15" i="50"/>
  <c r="K14" i="50"/>
  <c r="J14" i="50"/>
  <c r="I14" i="50"/>
  <c r="K13" i="50"/>
  <c r="J13" i="50"/>
  <c r="I13" i="50"/>
  <c r="K12" i="50"/>
  <c r="J12" i="50"/>
  <c r="I12" i="50"/>
  <c r="G12" i="50"/>
  <c r="F12" i="50"/>
  <c r="E12" i="50"/>
  <c r="D12" i="50"/>
  <c r="M22" i="50" s="1"/>
  <c r="A12" i="50"/>
  <c r="K80" i="49"/>
  <c r="K79" i="49"/>
  <c r="K78" i="49"/>
  <c r="K77" i="49"/>
  <c r="K76" i="49"/>
  <c r="K75" i="49"/>
  <c r="K74" i="49"/>
  <c r="K73" i="49"/>
  <c r="K72" i="49"/>
  <c r="K71" i="49"/>
  <c r="K70" i="49"/>
  <c r="K69" i="49"/>
  <c r="K68" i="49"/>
  <c r="K67" i="49"/>
  <c r="K66" i="49"/>
  <c r="K65" i="49"/>
  <c r="K64" i="49"/>
  <c r="K63" i="49"/>
  <c r="K62" i="49"/>
  <c r="K61" i="49"/>
  <c r="K60" i="49"/>
  <c r="K59" i="49"/>
  <c r="K58" i="49"/>
  <c r="K57" i="49"/>
  <c r="K56" i="49"/>
  <c r="K55" i="49"/>
  <c r="K54" i="49"/>
  <c r="K53" i="49"/>
  <c r="K52" i="49"/>
  <c r="K51" i="49"/>
  <c r="K50" i="49"/>
  <c r="K49" i="49"/>
  <c r="K48" i="49"/>
  <c r="K47" i="49"/>
  <c r="K46" i="49"/>
  <c r="K45" i="49"/>
  <c r="K44" i="49"/>
  <c r="K43" i="49"/>
  <c r="K42" i="49"/>
  <c r="J22" i="49"/>
  <c r="I22" i="49"/>
  <c r="K21" i="49"/>
  <c r="J21" i="49"/>
  <c r="I21" i="49"/>
  <c r="K20" i="49"/>
  <c r="J20" i="49"/>
  <c r="I20" i="49"/>
  <c r="K19" i="49"/>
  <c r="J19" i="49"/>
  <c r="I19" i="49"/>
  <c r="K18" i="49"/>
  <c r="J18" i="49"/>
  <c r="I18" i="49"/>
  <c r="K17" i="49"/>
  <c r="J17" i="49"/>
  <c r="I17" i="49"/>
  <c r="N16" i="49"/>
  <c r="K16" i="49"/>
  <c r="J16" i="49"/>
  <c r="I16" i="49"/>
  <c r="N15" i="49"/>
  <c r="K15" i="49"/>
  <c r="J15" i="49"/>
  <c r="I15" i="49"/>
  <c r="N14" i="49"/>
  <c r="K14" i="49"/>
  <c r="J14" i="49"/>
  <c r="I14" i="49"/>
  <c r="N13" i="49"/>
  <c r="K13" i="49"/>
  <c r="J13" i="49"/>
  <c r="I13" i="49"/>
  <c r="K12" i="49"/>
  <c r="J12" i="49"/>
  <c r="I12" i="49"/>
  <c r="G12" i="49"/>
  <c r="F12" i="49"/>
  <c r="E12" i="49"/>
  <c r="D12" i="49"/>
  <c r="N12" i="49" s="1"/>
  <c r="N18" i="49" s="1"/>
  <c r="A12" i="49"/>
  <c r="K80" i="48"/>
  <c r="K79" i="48"/>
  <c r="K78" i="48"/>
  <c r="K77" i="48"/>
  <c r="K76" i="48"/>
  <c r="K75" i="48"/>
  <c r="K74" i="48"/>
  <c r="K73" i="48"/>
  <c r="K72" i="48"/>
  <c r="K71" i="48"/>
  <c r="K70" i="48"/>
  <c r="K69" i="48"/>
  <c r="K68" i="48"/>
  <c r="K67" i="48"/>
  <c r="K66" i="48"/>
  <c r="K65" i="48"/>
  <c r="K64" i="48"/>
  <c r="K63" i="48"/>
  <c r="K62" i="48"/>
  <c r="K61" i="48"/>
  <c r="K60" i="48"/>
  <c r="K59" i="48"/>
  <c r="K58" i="48"/>
  <c r="K57" i="48"/>
  <c r="K56" i="48"/>
  <c r="K55" i="48"/>
  <c r="K54" i="48"/>
  <c r="K53" i="48"/>
  <c r="K52" i="48"/>
  <c r="K51" i="48"/>
  <c r="K50" i="48"/>
  <c r="K49" i="48"/>
  <c r="K48" i="48"/>
  <c r="K47" i="48"/>
  <c r="K46" i="48"/>
  <c r="K45" i="48"/>
  <c r="K44" i="48"/>
  <c r="K43" i="48"/>
  <c r="K42" i="48"/>
  <c r="K41" i="48"/>
  <c r="K40" i="48"/>
  <c r="K39" i="48"/>
  <c r="K38" i="48"/>
  <c r="K37" i="48"/>
  <c r="K36" i="48"/>
  <c r="K35" i="48"/>
  <c r="K34" i="48"/>
  <c r="K33" i="48"/>
  <c r="K32" i="48"/>
  <c r="K31" i="48"/>
  <c r="K30" i="48"/>
  <c r="K29" i="48"/>
  <c r="K28" i="48"/>
  <c r="K27" i="48"/>
  <c r="K26" i="48"/>
  <c r="K25" i="48"/>
  <c r="K24" i="48"/>
  <c r="K23" i="48"/>
  <c r="K22" i="48"/>
  <c r="K21" i="48"/>
  <c r="K20" i="48"/>
  <c r="K19" i="48"/>
  <c r="N18" i="48"/>
  <c r="K18" i="48"/>
  <c r="K17" i="48"/>
  <c r="K16" i="48"/>
  <c r="N15" i="48"/>
  <c r="K15" i="48"/>
  <c r="N14" i="48"/>
  <c r="K14" i="48"/>
  <c r="K13" i="48"/>
  <c r="K12" i="48"/>
  <c r="J12" i="48"/>
  <c r="I12" i="48"/>
  <c r="H12" i="48"/>
  <c r="G12" i="48"/>
  <c r="F12" i="48"/>
  <c r="E12" i="48"/>
  <c r="D12" i="48"/>
  <c r="N11" i="48" s="1"/>
  <c r="N12" i="48" s="1"/>
  <c r="C12" i="48"/>
  <c r="B12" i="48"/>
  <c r="A12" i="48"/>
  <c r="K80" i="47"/>
  <c r="K79" i="47"/>
  <c r="K78" i="47"/>
  <c r="K77" i="47"/>
  <c r="K76" i="47"/>
  <c r="K75" i="47"/>
  <c r="K74" i="47"/>
  <c r="K73" i="47"/>
  <c r="K72" i="47"/>
  <c r="K71" i="47"/>
  <c r="K70" i="47"/>
  <c r="K69" i="47"/>
  <c r="K68" i="47"/>
  <c r="K67" i="47"/>
  <c r="K66" i="47"/>
  <c r="K65" i="47"/>
  <c r="K64" i="47"/>
  <c r="K63" i="47"/>
  <c r="K62" i="47"/>
  <c r="K61" i="47"/>
  <c r="K60" i="47"/>
  <c r="K59" i="47"/>
  <c r="K58" i="47"/>
  <c r="K57" i="47"/>
  <c r="K56" i="47"/>
  <c r="K55" i="47"/>
  <c r="K54" i="47"/>
  <c r="K53" i="47"/>
  <c r="K52" i="47"/>
  <c r="K51" i="47"/>
  <c r="K50" i="47"/>
  <c r="K49" i="47"/>
  <c r="K48" i="47"/>
  <c r="K47" i="47"/>
  <c r="K46" i="47"/>
  <c r="K45" i="47"/>
  <c r="K44" i="47"/>
  <c r="K43" i="47"/>
  <c r="K42" i="47"/>
  <c r="K41" i="47"/>
  <c r="K40" i="47"/>
  <c r="K39" i="47"/>
  <c r="K38" i="47"/>
  <c r="K37" i="47"/>
  <c r="K36" i="47"/>
  <c r="K35" i="47"/>
  <c r="K34" i="47"/>
  <c r="K33" i="47"/>
  <c r="K32" i="47"/>
  <c r="K31" i="47"/>
  <c r="K30" i="47"/>
  <c r="K29" i="47"/>
  <c r="K28" i="47"/>
  <c r="K27" i="47"/>
  <c r="K26" i="47"/>
  <c r="K25" i="47"/>
  <c r="K24" i="47"/>
  <c r="K23" i="47"/>
  <c r="K22" i="47"/>
  <c r="K21" i="47"/>
  <c r="K20" i="47"/>
  <c r="K19" i="47"/>
  <c r="K18" i="47"/>
  <c r="K17" i="47"/>
  <c r="K16" i="47"/>
  <c r="K15" i="47"/>
  <c r="K14" i="47"/>
  <c r="K13" i="47"/>
  <c r="K12" i="47"/>
  <c r="I12" i="47"/>
  <c r="G12" i="47"/>
  <c r="F12" i="47"/>
  <c r="E12" i="47"/>
  <c r="D12" i="47"/>
  <c r="A12" i="47"/>
  <c r="K80" i="46"/>
  <c r="K79" i="46"/>
  <c r="K78" i="46"/>
  <c r="K77" i="46"/>
  <c r="K76" i="46"/>
  <c r="K75" i="46"/>
  <c r="K74" i="46"/>
  <c r="K73" i="46"/>
  <c r="K72" i="46"/>
  <c r="K71" i="46"/>
  <c r="K70" i="46"/>
  <c r="K69" i="46"/>
  <c r="K68" i="46"/>
  <c r="K67" i="46"/>
  <c r="K66" i="46"/>
  <c r="K65" i="46"/>
  <c r="K64" i="46"/>
  <c r="K63" i="46"/>
  <c r="K62" i="46"/>
  <c r="K61" i="46"/>
  <c r="K60" i="46"/>
  <c r="K59" i="46"/>
  <c r="K58" i="46"/>
  <c r="K57" i="46"/>
  <c r="K56" i="46"/>
  <c r="K55" i="46"/>
  <c r="K54" i="46"/>
  <c r="J54" i="46"/>
  <c r="K53" i="46"/>
  <c r="J53" i="46"/>
  <c r="I53" i="46"/>
  <c r="K52" i="46"/>
  <c r="J52" i="46"/>
  <c r="I52" i="46"/>
  <c r="K51" i="46"/>
  <c r="J51" i="46"/>
  <c r="I51" i="46"/>
  <c r="K50" i="46"/>
  <c r="J50" i="46"/>
  <c r="I50" i="46"/>
  <c r="K49" i="46"/>
  <c r="J49" i="46"/>
  <c r="I49" i="46"/>
  <c r="K48" i="46"/>
  <c r="J48" i="46"/>
  <c r="I48" i="46"/>
  <c r="K47" i="46"/>
  <c r="J47" i="46"/>
  <c r="I47" i="46"/>
  <c r="K46" i="46"/>
  <c r="J46" i="46"/>
  <c r="I46" i="46"/>
  <c r="K45" i="46"/>
  <c r="J45" i="46"/>
  <c r="I45" i="46"/>
  <c r="K44" i="46"/>
  <c r="J44" i="46"/>
  <c r="I44" i="46"/>
  <c r="K43" i="46"/>
  <c r="J43" i="46"/>
  <c r="I43" i="46"/>
  <c r="K42" i="46"/>
  <c r="J42" i="46"/>
  <c r="I42" i="46"/>
  <c r="K41" i="46"/>
  <c r="J41" i="46"/>
  <c r="I41" i="46"/>
  <c r="K40" i="46"/>
  <c r="J40" i="46"/>
  <c r="I40" i="46"/>
  <c r="K39" i="46"/>
  <c r="J39" i="46"/>
  <c r="I39" i="46"/>
  <c r="K38" i="46"/>
  <c r="J38" i="46"/>
  <c r="I38" i="46"/>
  <c r="K37" i="46"/>
  <c r="J37" i="46"/>
  <c r="I37" i="46"/>
  <c r="K36" i="46"/>
  <c r="J36" i="46"/>
  <c r="I36" i="46"/>
  <c r="K35" i="46"/>
  <c r="J35" i="46"/>
  <c r="I35" i="46"/>
  <c r="K34" i="46"/>
  <c r="J34" i="46"/>
  <c r="I34" i="46"/>
  <c r="H34" i="46"/>
  <c r="G34" i="46"/>
  <c r="F34" i="46"/>
  <c r="E34" i="46"/>
  <c r="D34" i="46"/>
  <c r="C34" i="46"/>
  <c r="B34" i="46"/>
  <c r="A34" i="46"/>
  <c r="K33" i="46"/>
  <c r="J33" i="46"/>
  <c r="I33" i="46"/>
  <c r="H33" i="46"/>
  <c r="G33" i="46"/>
  <c r="F33" i="46"/>
  <c r="E33" i="46"/>
  <c r="D33" i="46"/>
  <c r="C33" i="46"/>
  <c r="B33" i="46"/>
  <c r="A33" i="46"/>
  <c r="K32" i="46"/>
  <c r="J32" i="46"/>
  <c r="I32" i="46"/>
  <c r="H32" i="46"/>
  <c r="G32" i="46"/>
  <c r="F32" i="46"/>
  <c r="E32" i="46"/>
  <c r="D32" i="46"/>
  <c r="C32" i="46"/>
  <c r="B32" i="46"/>
  <c r="A32" i="46"/>
  <c r="K31" i="46"/>
  <c r="J31" i="46"/>
  <c r="I31" i="46"/>
  <c r="H31" i="46"/>
  <c r="G31" i="46"/>
  <c r="F31" i="46"/>
  <c r="E31" i="46"/>
  <c r="D31" i="46"/>
  <c r="C31" i="46"/>
  <c r="B31" i="46"/>
  <c r="A31" i="46"/>
  <c r="K30" i="46"/>
  <c r="J30" i="46"/>
  <c r="I30" i="46"/>
  <c r="H30" i="46"/>
  <c r="G30" i="46"/>
  <c r="F30" i="46"/>
  <c r="E30" i="46"/>
  <c r="D30" i="46"/>
  <c r="C30" i="46"/>
  <c r="B30" i="46"/>
  <c r="A30" i="46"/>
  <c r="K29" i="46"/>
  <c r="J29" i="46"/>
  <c r="I29" i="46"/>
  <c r="H29" i="46"/>
  <c r="G29" i="46"/>
  <c r="F29" i="46"/>
  <c r="E29" i="46"/>
  <c r="D29" i="46"/>
  <c r="C29" i="46"/>
  <c r="B29" i="46"/>
  <c r="A29" i="46"/>
  <c r="K28" i="46"/>
  <c r="J28" i="46"/>
  <c r="I28" i="46"/>
  <c r="H28" i="46"/>
  <c r="G28" i="46"/>
  <c r="F28" i="46"/>
  <c r="E28" i="46"/>
  <c r="D28" i="46"/>
  <c r="C28" i="46"/>
  <c r="B28" i="46"/>
  <c r="A28" i="46"/>
  <c r="K27" i="46"/>
  <c r="J27" i="46"/>
  <c r="I27" i="46"/>
  <c r="H27" i="46"/>
  <c r="G27" i="46"/>
  <c r="F27" i="46"/>
  <c r="E27" i="46"/>
  <c r="D27" i="46"/>
  <c r="C27" i="46"/>
  <c r="B27" i="46"/>
  <c r="A27" i="46"/>
  <c r="K26" i="46"/>
  <c r="J26" i="46"/>
  <c r="I26" i="46"/>
  <c r="H26" i="46"/>
  <c r="G26" i="46"/>
  <c r="F26" i="46"/>
  <c r="E26" i="46"/>
  <c r="D26" i="46"/>
  <c r="C26" i="46"/>
  <c r="B26" i="46"/>
  <c r="A26" i="46"/>
  <c r="K25" i="46"/>
  <c r="J25" i="46"/>
  <c r="I25" i="46"/>
  <c r="H25" i="46"/>
  <c r="G25" i="46"/>
  <c r="F25" i="46"/>
  <c r="E25" i="46"/>
  <c r="D25" i="46"/>
  <c r="C25" i="46"/>
  <c r="B25" i="46"/>
  <c r="A25" i="46"/>
  <c r="K24" i="46"/>
  <c r="J24" i="46"/>
  <c r="I24" i="46"/>
  <c r="H24" i="46"/>
  <c r="G24" i="46"/>
  <c r="F24" i="46"/>
  <c r="E24" i="46"/>
  <c r="D24" i="46"/>
  <c r="C24" i="46"/>
  <c r="B24" i="46"/>
  <c r="A24" i="46"/>
  <c r="K23" i="46"/>
  <c r="J23" i="46"/>
  <c r="I23" i="46"/>
  <c r="H23" i="46"/>
  <c r="G23" i="46"/>
  <c r="F23" i="46"/>
  <c r="E23" i="46"/>
  <c r="D23" i="46"/>
  <c r="C23" i="46"/>
  <c r="B23" i="46"/>
  <c r="A23" i="46"/>
  <c r="K22" i="46"/>
  <c r="J22" i="46"/>
  <c r="I22" i="46"/>
  <c r="H22" i="46"/>
  <c r="G22" i="46"/>
  <c r="F22" i="46"/>
  <c r="E22" i="46"/>
  <c r="D22" i="46"/>
  <c r="C22" i="46"/>
  <c r="B22" i="46"/>
  <c r="A22" i="46"/>
  <c r="K21" i="46"/>
  <c r="J21" i="46"/>
  <c r="I21" i="46"/>
  <c r="H21" i="46"/>
  <c r="G21" i="46"/>
  <c r="F21" i="46"/>
  <c r="E21" i="46"/>
  <c r="D21" i="46"/>
  <c r="C21" i="46"/>
  <c r="B21" i="46"/>
  <c r="A21" i="46"/>
  <c r="K20" i="46"/>
  <c r="J20" i="46"/>
  <c r="I20" i="46"/>
  <c r="H20" i="46"/>
  <c r="G20" i="46"/>
  <c r="F20" i="46"/>
  <c r="E20" i="46"/>
  <c r="D20" i="46"/>
  <c r="C20" i="46"/>
  <c r="B20" i="46"/>
  <c r="A20" i="46"/>
  <c r="K19" i="46"/>
  <c r="J19" i="46"/>
  <c r="I19" i="46"/>
  <c r="H19" i="46"/>
  <c r="G19" i="46"/>
  <c r="F19" i="46"/>
  <c r="E19" i="46"/>
  <c r="D19" i="46"/>
  <c r="C19" i="46"/>
  <c r="B19" i="46"/>
  <c r="A19" i="46"/>
  <c r="K18" i="46"/>
  <c r="J18" i="46"/>
  <c r="I18" i="46"/>
  <c r="H18" i="46"/>
  <c r="G18" i="46"/>
  <c r="F18" i="46"/>
  <c r="E18" i="46"/>
  <c r="D18" i="46"/>
  <c r="C18" i="46"/>
  <c r="B18" i="46"/>
  <c r="A18" i="46"/>
  <c r="K17" i="46"/>
  <c r="J17" i="46"/>
  <c r="I17" i="46"/>
  <c r="H17" i="46"/>
  <c r="G17" i="46"/>
  <c r="F17" i="46"/>
  <c r="E17" i="46"/>
  <c r="D17" i="46"/>
  <c r="C17" i="46"/>
  <c r="B17" i="46"/>
  <c r="A17" i="46"/>
  <c r="K16" i="46"/>
  <c r="J16" i="46"/>
  <c r="I16" i="46"/>
  <c r="H16" i="46"/>
  <c r="G16" i="46"/>
  <c r="F16" i="46"/>
  <c r="E16" i="46"/>
  <c r="D16" i="46"/>
  <c r="C16" i="46"/>
  <c r="B16" i="46"/>
  <c r="A16" i="46"/>
  <c r="K15" i="46"/>
  <c r="J15" i="46"/>
  <c r="I15" i="46"/>
  <c r="H15" i="46"/>
  <c r="G15" i="46"/>
  <c r="F15" i="46"/>
  <c r="E15" i="46"/>
  <c r="D15" i="46"/>
  <c r="C15" i="46"/>
  <c r="B15" i="46"/>
  <c r="A15" i="46"/>
  <c r="K14" i="46"/>
  <c r="J14" i="46"/>
  <c r="I14" i="46"/>
  <c r="H14" i="46"/>
  <c r="G14" i="46"/>
  <c r="F14" i="46"/>
  <c r="E14" i="46"/>
  <c r="D14" i="46"/>
  <c r="C14" i="46"/>
  <c r="B14" i="46"/>
  <c r="A14" i="46"/>
  <c r="K13" i="46"/>
  <c r="J13" i="46"/>
  <c r="I13" i="46"/>
  <c r="H13" i="46"/>
  <c r="G13" i="46"/>
  <c r="F13" i="46"/>
  <c r="E13" i="46"/>
  <c r="D13" i="46"/>
  <c r="C13" i="46"/>
  <c r="B13" i="46"/>
  <c r="A13" i="46"/>
  <c r="K12" i="46"/>
  <c r="J12" i="46"/>
  <c r="I12" i="46"/>
  <c r="H12" i="46"/>
  <c r="G12" i="46"/>
  <c r="F12" i="46"/>
  <c r="E12" i="46"/>
  <c r="D12" i="46"/>
  <c r="C12" i="46"/>
  <c r="B12" i="46"/>
  <c r="A12" i="46"/>
  <c r="K80" i="45"/>
  <c r="K79" i="45"/>
  <c r="K78" i="45"/>
  <c r="K77" i="45"/>
  <c r="K76" i="45"/>
  <c r="K75" i="45"/>
  <c r="K74" i="45"/>
  <c r="K73" i="45"/>
  <c r="K72" i="45"/>
  <c r="K71" i="45"/>
  <c r="K70" i="45"/>
  <c r="K69" i="45"/>
  <c r="K68" i="45"/>
  <c r="K67" i="45"/>
  <c r="K66" i="45"/>
  <c r="K65" i="45"/>
  <c r="K64" i="45"/>
  <c r="K63" i="45"/>
  <c r="K62" i="45"/>
  <c r="K61" i="45"/>
  <c r="K60" i="45"/>
  <c r="K59" i="45"/>
  <c r="K58" i="45"/>
  <c r="K57" i="45"/>
  <c r="K56" i="45"/>
  <c r="K55" i="45"/>
  <c r="K54" i="45"/>
  <c r="K53" i="45"/>
  <c r="K52" i="45"/>
  <c r="K51" i="45"/>
  <c r="K50" i="45"/>
  <c r="K49" i="45"/>
  <c r="K48" i="45"/>
  <c r="K47" i="45"/>
  <c r="K46" i="45"/>
  <c r="K45" i="45"/>
  <c r="K44" i="45"/>
  <c r="K43" i="45"/>
  <c r="K42" i="45"/>
  <c r="K41" i="45"/>
  <c r="K40" i="45"/>
  <c r="K39" i="45"/>
  <c r="K38" i="45"/>
  <c r="K37" i="45"/>
  <c r="K36" i="45"/>
  <c r="K35" i="45"/>
  <c r="K34" i="45"/>
  <c r="K33" i="45"/>
  <c r="K32" i="45"/>
  <c r="K31" i="45"/>
  <c r="K30" i="45"/>
  <c r="K29" i="45"/>
  <c r="K28" i="45"/>
  <c r="K27" i="45"/>
  <c r="K26" i="45"/>
  <c r="K25" i="45"/>
  <c r="K24" i="45"/>
  <c r="K23" i="45"/>
  <c r="K22" i="45"/>
  <c r="K21" i="45"/>
  <c r="K20" i="45"/>
  <c r="K19" i="45"/>
  <c r="J19" i="45"/>
  <c r="I19" i="45"/>
  <c r="K18" i="45"/>
  <c r="J18" i="45"/>
  <c r="I18" i="45"/>
  <c r="K17" i="45"/>
  <c r="J17" i="45"/>
  <c r="I17" i="45"/>
  <c r="K16" i="45"/>
  <c r="J16" i="45"/>
  <c r="I16" i="45"/>
  <c r="K15" i="45"/>
  <c r="J15" i="45"/>
  <c r="I15" i="45"/>
  <c r="N14" i="45"/>
  <c r="K14" i="45"/>
  <c r="J14" i="45"/>
  <c r="I14" i="45"/>
  <c r="K13" i="45"/>
  <c r="J13" i="45"/>
  <c r="I13" i="45"/>
  <c r="K12" i="45"/>
  <c r="J12" i="45"/>
  <c r="I12" i="45"/>
  <c r="G12" i="45"/>
  <c r="F12" i="45"/>
  <c r="E12" i="45"/>
  <c r="D12" i="45"/>
  <c r="N12" i="45" s="1"/>
  <c r="A12" i="45"/>
  <c r="K80" i="44"/>
  <c r="K79" i="44"/>
  <c r="K78" i="44"/>
  <c r="K77" i="44"/>
  <c r="K76" i="44"/>
  <c r="K75" i="44"/>
  <c r="K74" i="44"/>
  <c r="K73" i="44"/>
  <c r="K72" i="44"/>
  <c r="K71" i="44"/>
  <c r="K70" i="44"/>
  <c r="K69" i="44"/>
  <c r="K68" i="44"/>
  <c r="K67" i="44"/>
  <c r="K66" i="44"/>
  <c r="K65" i="44"/>
  <c r="K64" i="44"/>
  <c r="K63" i="44"/>
  <c r="K62" i="44"/>
  <c r="K61" i="44"/>
  <c r="K60" i="44"/>
  <c r="K59" i="44"/>
  <c r="K58" i="44"/>
  <c r="K57" i="44"/>
  <c r="K56" i="44"/>
  <c r="K55" i="44"/>
  <c r="K54" i="44"/>
  <c r="K53" i="44"/>
  <c r="K52" i="44"/>
  <c r="K51" i="44"/>
  <c r="K50" i="44"/>
  <c r="K49" i="44"/>
  <c r="K48" i="44"/>
  <c r="K47" i="44"/>
  <c r="K46" i="44"/>
  <c r="K45" i="44"/>
  <c r="K44" i="44"/>
  <c r="K42" i="44"/>
  <c r="J42" i="44"/>
  <c r="I42" i="44"/>
  <c r="K41" i="44"/>
  <c r="I41" i="44"/>
  <c r="K40" i="44"/>
  <c r="J40" i="44"/>
  <c r="I40" i="44"/>
  <c r="K39" i="44"/>
  <c r="J39" i="44"/>
  <c r="I39" i="44"/>
  <c r="K38" i="44"/>
  <c r="J38" i="44"/>
  <c r="I38" i="44"/>
  <c r="K37" i="44"/>
  <c r="J37" i="44"/>
  <c r="I37" i="44"/>
  <c r="K36" i="44"/>
  <c r="J36" i="44"/>
  <c r="I36" i="44"/>
  <c r="K35" i="44"/>
  <c r="J35" i="44"/>
  <c r="I35" i="44"/>
  <c r="K34" i="44"/>
  <c r="J34" i="44"/>
  <c r="I34" i="44"/>
  <c r="K33" i="44"/>
  <c r="J33" i="44"/>
  <c r="I33" i="44"/>
  <c r="K32" i="44"/>
  <c r="J32" i="44"/>
  <c r="I32" i="44"/>
  <c r="K31" i="44"/>
  <c r="J31" i="44"/>
  <c r="I31" i="44"/>
  <c r="K30" i="44"/>
  <c r="J30" i="44"/>
  <c r="I30" i="44"/>
  <c r="K29" i="44"/>
  <c r="J29" i="44"/>
  <c r="I29" i="44"/>
  <c r="K28" i="44"/>
  <c r="J28" i="44"/>
  <c r="I28" i="44"/>
  <c r="K27" i="44"/>
  <c r="J27" i="44"/>
  <c r="I27" i="44"/>
  <c r="K26" i="44"/>
  <c r="J26" i="44"/>
  <c r="I26" i="44"/>
  <c r="K25" i="44"/>
  <c r="J25" i="44"/>
  <c r="I25" i="44"/>
  <c r="K24" i="44"/>
  <c r="J24" i="44"/>
  <c r="I24" i="44"/>
  <c r="K23" i="44"/>
  <c r="I23" i="44"/>
  <c r="K22" i="44"/>
  <c r="J22" i="44"/>
  <c r="I22" i="44"/>
  <c r="K21" i="44"/>
  <c r="J21" i="44"/>
  <c r="I21" i="44"/>
  <c r="K20" i="44"/>
  <c r="J20" i="44"/>
  <c r="I20" i="44"/>
  <c r="J19" i="44"/>
  <c r="I19" i="44"/>
  <c r="K18" i="44"/>
  <c r="J18" i="44"/>
  <c r="I18" i="44"/>
  <c r="K17" i="44"/>
  <c r="J17" i="44"/>
  <c r="I17" i="44"/>
  <c r="K16" i="44"/>
  <c r="J16" i="44"/>
  <c r="I16" i="44"/>
  <c r="K15" i="44"/>
  <c r="J15" i="44"/>
  <c r="I15" i="44"/>
  <c r="K14" i="44"/>
  <c r="J14" i="44"/>
  <c r="I14" i="44"/>
  <c r="K13" i="44"/>
  <c r="J13" i="44"/>
  <c r="I13" i="44"/>
  <c r="K12" i="44"/>
  <c r="J12" i="44"/>
  <c r="I12" i="44"/>
  <c r="G12" i="44"/>
  <c r="F12" i="44"/>
  <c r="E12" i="44"/>
  <c r="D12" i="44"/>
  <c r="A12" i="44"/>
  <c r="K51" i="43"/>
  <c r="J51" i="43"/>
  <c r="K50" i="43"/>
  <c r="J50" i="43"/>
  <c r="K49" i="43"/>
  <c r="J49" i="43"/>
  <c r="K48" i="43"/>
  <c r="J48" i="43"/>
  <c r="K47" i="43"/>
  <c r="J47" i="43"/>
  <c r="K46" i="43"/>
  <c r="J46" i="43"/>
  <c r="K45" i="43"/>
  <c r="J45" i="43"/>
  <c r="K44" i="43"/>
  <c r="J44" i="43"/>
  <c r="K43" i="43"/>
  <c r="J43" i="43"/>
  <c r="K42" i="43"/>
  <c r="J42" i="43"/>
  <c r="K41" i="43"/>
  <c r="J41" i="43"/>
  <c r="K40" i="43"/>
  <c r="J40" i="43"/>
  <c r="K39" i="43"/>
  <c r="J39" i="43"/>
  <c r="K38" i="43"/>
  <c r="J38" i="43"/>
  <c r="K37" i="43"/>
  <c r="J37" i="43"/>
  <c r="K36" i="43"/>
  <c r="J36" i="43"/>
  <c r="K35" i="43"/>
  <c r="J35" i="43"/>
  <c r="K34" i="43"/>
  <c r="J34" i="43"/>
  <c r="K33" i="43"/>
  <c r="J33" i="43"/>
  <c r="K32" i="43"/>
  <c r="J32" i="43"/>
  <c r="K31" i="43"/>
  <c r="J31" i="43"/>
  <c r="K30" i="43"/>
  <c r="J30" i="43"/>
  <c r="K29" i="43"/>
  <c r="J29" i="43"/>
  <c r="K28" i="43"/>
  <c r="J28" i="43"/>
  <c r="K27" i="43"/>
  <c r="J27" i="43"/>
  <c r="K26" i="43"/>
  <c r="J26" i="43"/>
  <c r="K25" i="43"/>
  <c r="J25" i="43"/>
  <c r="K24" i="43"/>
  <c r="J24" i="43"/>
  <c r="K23" i="43"/>
  <c r="J23" i="43"/>
  <c r="K22" i="43"/>
  <c r="J22" i="43"/>
  <c r="K21" i="43"/>
  <c r="J21" i="43"/>
  <c r="K20" i="43"/>
  <c r="J20" i="43"/>
  <c r="K19" i="43"/>
  <c r="J19" i="43"/>
  <c r="K18" i="43"/>
  <c r="J18" i="43"/>
  <c r="K17" i="43"/>
  <c r="J17" i="43"/>
  <c r="K16" i="43"/>
  <c r="J16" i="43"/>
  <c r="K15" i="43"/>
  <c r="J15" i="43"/>
  <c r="K14" i="43"/>
  <c r="J14" i="43"/>
  <c r="K13" i="43"/>
  <c r="J13" i="43"/>
  <c r="K12" i="43"/>
  <c r="J12" i="43"/>
  <c r="I12" i="43"/>
  <c r="G12" i="43"/>
  <c r="F12" i="43"/>
  <c r="E12" i="43"/>
  <c r="D12" i="43"/>
  <c r="A12" i="43"/>
  <c r="K80" i="42"/>
  <c r="K79" i="42"/>
  <c r="K78" i="42"/>
  <c r="K77" i="42"/>
  <c r="K76" i="42"/>
  <c r="K75" i="42"/>
  <c r="K74" i="42"/>
  <c r="K73" i="42"/>
  <c r="K72" i="42"/>
  <c r="K71" i="42"/>
  <c r="K70" i="42"/>
  <c r="K69" i="42"/>
  <c r="K68" i="42"/>
  <c r="K67" i="42"/>
  <c r="K66" i="42"/>
  <c r="K65" i="42"/>
  <c r="K64" i="42"/>
  <c r="K63" i="42"/>
  <c r="K62" i="42"/>
  <c r="K61" i="42"/>
  <c r="K60" i="42"/>
  <c r="K59" i="42"/>
  <c r="K58" i="42"/>
  <c r="K57" i="42"/>
  <c r="K56" i="42"/>
  <c r="K55" i="42"/>
  <c r="K54" i="42"/>
  <c r="K53" i="42"/>
  <c r="K52" i="42"/>
  <c r="K51" i="42"/>
  <c r="K50" i="42"/>
  <c r="K49" i="42"/>
  <c r="K48" i="42"/>
  <c r="K47" i="42"/>
  <c r="K46" i="42"/>
  <c r="K45" i="42"/>
  <c r="K44" i="42"/>
  <c r="K43" i="42"/>
  <c r="K42" i="42"/>
  <c r="K41" i="42"/>
  <c r="K40" i="42"/>
  <c r="K39" i="42"/>
  <c r="K38" i="42"/>
  <c r="K37" i="42"/>
  <c r="K36" i="42"/>
  <c r="K35" i="42"/>
  <c r="K34" i="42"/>
  <c r="K33" i="42"/>
  <c r="K32" i="42"/>
  <c r="K31" i="42"/>
  <c r="K30" i="42"/>
  <c r="K29" i="42"/>
  <c r="K28" i="42"/>
  <c r="K27" i="42"/>
  <c r="K26" i="42"/>
  <c r="K25" i="42"/>
  <c r="J25" i="42"/>
  <c r="I25" i="42"/>
  <c r="K24" i="42"/>
  <c r="J24" i="42"/>
  <c r="I24" i="42"/>
  <c r="K23" i="42"/>
  <c r="J23" i="42"/>
  <c r="I23" i="42"/>
  <c r="K22" i="42"/>
  <c r="J22" i="42"/>
  <c r="I22" i="42"/>
  <c r="K21" i="42"/>
  <c r="J21" i="42"/>
  <c r="I21" i="42"/>
  <c r="K20" i="42"/>
  <c r="J20" i="42"/>
  <c r="I20" i="42"/>
  <c r="K19" i="42"/>
  <c r="J19" i="42"/>
  <c r="I19" i="42"/>
  <c r="K18" i="42"/>
  <c r="J18" i="42"/>
  <c r="I18" i="42"/>
  <c r="K17" i="42"/>
  <c r="J17" i="42"/>
  <c r="I17" i="42"/>
  <c r="K16" i="42"/>
  <c r="J16" i="42"/>
  <c r="I16" i="42"/>
  <c r="K15" i="42"/>
  <c r="J15" i="42"/>
  <c r="I15" i="42"/>
  <c r="K14" i="42"/>
  <c r="J14" i="42"/>
  <c r="I14" i="42"/>
  <c r="K13" i="42"/>
  <c r="J13" i="42"/>
  <c r="I13" i="42"/>
  <c r="K12" i="42"/>
  <c r="J12" i="42"/>
  <c r="I12" i="42"/>
  <c r="G12" i="42"/>
  <c r="F12" i="42"/>
  <c r="E12" i="42"/>
  <c r="D12" i="42"/>
  <c r="A12" i="42"/>
  <c r="K80" i="41"/>
  <c r="K79" i="41"/>
  <c r="K78" i="41"/>
  <c r="K77" i="41"/>
  <c r="K76" i="41"/>
  <c r="K75" i="41"/>
  <c r="K74" i="41"/>
  <c r="K73" i="41"/>
  <c r="K72" i="41"/>
  <c r="K71" i="41"/>
  <c r="K70" i="41"/>
  <c r="K69" i="41"/>
  <c r="K68" i="41"/>
  <c r="K67" i="41"/>
  <c r="K66" i="41"/>
  <c r="K65" i="41"/>
  <c r="K64" i="41"/>
  <c r="K63" i="41"/>
  <c r="J19" i="41"/>
  <c r="I19" i="41"/>
  <c r="J18" i="41"/>
  <c r="I18" i="41"/>
  <c r="J17" i="41"/>
  <c r="I17" i="41"/>
  <c r="J16" i="41"/>
  <c r="I16" i="41"/>
  <c r="J15" i="41"/>
  <c r="I15" i="41"/>
  <c r="J14" i="41"/>
  <c r="I14" i="41"/>
  <c r="J13" i="41"/>
  <c r="I13" i="41"/>
  <c r="J12" i="41"/>
  <c r="I12" i="41"/>
  <c r="G12" i="41"/>
  <c r="F12" i="41"/>
  <c r="E12" i="41"/>
  <c r="D12" i="41"/>
  <c r="A12" i="41"/>
  <c r="K80" i="40"/>
  <c r="K79" i="40"/>
  <c r="K78" i="40"/>
  <c r="K77" i="40"/>
  <c r="K76" i="40"/>
  <c r="K75" i="40"/>
  <c r="K74" i="40"/>
  <c r="K73" i="40"/>
  <c r="K72" i="40"/>
  <c r="K71" i="40"/>
  <c r="K70" i="40"/>
  <c r="K69" i="40"/>
  <c r="K68" i="40"/>
  <c r="K67" i="40"/>
  <c r="K66" i="40"/>
  <c r="K65" i="40"/>
  <c r="K64" i="40"/>
  <c r="K63" i="40"/>
  <c r="K62" i="40"/>
  <c r="K61" i="40"/>
  <c r="K60" i="40"/>
  <c r="K59" i="40"/>
  <c r="K58" i="40"/>
  <c r="K57" i="40"/>
  <c r="K56" i="40"/>
  <c r="K55" i="40"/>
  <c r="K54" i="40"/>
  <c r="K53" i="40"/>
  <c r="K52" i="40"/>
  <c r="K51" i="40"/>
  <c r="K50" i="40"/>
  <c r="K49" i="40"/>
  <c r="K48" i="40"/>
  <c r="K47" i="40"/>
  <c r="K46" i="40"/>
  <c r="K45" i="40"/>
  <c r="K44" i="40"/>
  <c r="K43" i="40"/>
  <c r="K42" i="40"/>
  <c r="K41" i="40"/>
  <c r="K40" i="40"/>
  <c r="K39" i="40"/>
  <c r="K38" i="40"/>
  <c r="K37" i="40"/>
  <c r="K36" i="40"/>
  <c r="K35" i="40"/>
  <c r="K34" i="40"/>
  <c r="K33" i="40"/>
  <c r="K32" i="40"/>
  <c r="K31" i="40"/>
  <c r="K30" i="40"/>
  <c r="K29" i="40"/>
  <c r="K28" i="40"/>
  <c r="K27" i="40"/>
  <c r="K26" i="40"/>
  <c r="K25" i="40"/>
  <c r="K24" i="40"/>
  <c r="K23" i="40"/>
  <c r="K22" i="40"/>
  <c r="K21" i="40"/>
  <c r="K20" i="40"/>
  <c r="K19" i="40"/>
  <c r="K18" i="40"/>
  <c r="K17" i="40"/>
  <c r="K16" i="40"/>
  <c r="K15" i="40"/>
  <c r="K14" i="40"/>
  <c r="K13" i="40"/>
  <c r="J13" i="40"/>
  <c r="I13" i="40"/>
  <c r="K12" i="40"/>
  <c r="J12" i="40"/>
  <c r="I12" i="40"/>
  <c r="G12" i="40"/>
  <c r="F12" i="40"/>
  <c r="E12" i="40"/>
  <c r="D12" i="40"/>
  <c r="A12" i="40"/>
  <c r="K80" i="39"/>
  <c r="K79" i="39"/>
  <c r="K78" i="39"/>
  <c r="K77" i="39"/>
  <c r="K76" i="39"/>
  <c r="K75" i="39"/>
  <c r="K74" i="39"/>
  <c r="K73" i="39"/>
  <c r="K72" i="39"/>
  <c r="K71" i="39"/>
  <c r="K70" i="39"/>
  <c r="K69" i="39"/>
  <c r="K68" i="39"/>
  <c r="K67" i="39"/>
  <c r="K66" i="39"/>
  <c r="K65" i="39"/>
  <c r="K64" i="39"/>
  <c r="K63" i="39"/>
  <c r="K62" i="39"/>
  <c r="K61" i="39"/>
  <c r="K60" i="39"/>
  <c r="K59" i="39"/>
  <c r="K58" i="39"/>
  <c r="K57" i="39"/>
  <c r="K56" i="39"/>
  <c r="K55" i="39"/>
  <c r="K54" i="39"/>
  <c r="K53" i="39"/>
  <c r="K52" i="39"/>
  <c r="K51" i="39"/>
  <c r="K50" i="39"/>
  <c r="K49" i="39"/>
  <c r="K48" i="39"/>
  <c r="K47" i="39"/>
  <c r="K46" i="39"/>
  <c r="K45" i="39"/>
  <c r="K44" i="39"/>
  <c r="K43" i="39"/>
  <c r="K42" i="39"/>
  <c r="K41" i="39"/>
  <c r="K40" i="39"/>
  <c r="K39" i="39"/>
  <c r="K38" i="39"/>
  <c r="K37" i="39"/>
  <c r="K36" i="39"/>
  <c r="K35" i="39"/>
  <c r="K34" i="39"/>
  <c r="K33" i="39"/>
  <c r="K32" i="39"/>
  <c r="K31" i="39"/>
  <c r="K30" i="39"/>
  <c r="K29" i="39"/>
  <c r="K28" i="39"/>
  <c r="K27" i="39"/>
  <c r="K26" i="39"/>
  <c r="K25" i="39"/>
  <c r="K24" i="39"/>
  <c r="K23" i="39"/>
  <c r="K22" i="39"/>
  <c r="K21" i="39"/>
  <c r="K20" i="39"/>
  <c r="K19" i="39"/>
  <c r="K18" i="39"/>
  <c r="K17" i="39"/>
  <c r="K16" i="39"/>
  <c r="K15" i="39"/>
  <c r="K14" i="39"/>
  <c r="J14" i="39"/>
  <c r="I14" i="39"/>
  <c r="K13" i="39"/>
  <c r="J13" i="39"/>
  <c r="I13" i="39"/>
  <c r="K12" i="39"/>
  <c r="J12" i="39"/>
  <c r="I12" i="39"/>
  <c r="G12" i="39"/>
  <c r="F12" i="39"/>
  <c r="E12" i="39"/>
  <c r="D12" i="39"/>
  <c r="A12" i="39"/>
  <c r="K80" i="38"/>
  <c r="K79" i="38"/>
  <c r="K78" i="38"/>
  <c r="K77" i="38"/>
  <c r="K76" i="38"/>
  <c r="K75" i="38"/>
  <c r="K74" i="38"/>
  <c r="K73" i="38"/>
  <c r="K72" i="38"/>
  <c r="K71" i="38"/>
  <c r="K70" i="38"/>
  <c r="K69" i="38"/>
  <c r="K68" i="38"/>
  <c r="K67" i="38"/>
  <c r="K66" i="38"/>
  <c r="K65" i="38"/>
  <c r="K64" i="38"/>
  <c r="K63" i="38"/>
  <c r="K62" i="38"/>
  <c r="K61" i="38"/>
  <c r="K60" i="38"/>
  <c r="K59" i="38"/>
  <c r="K58" i="38"/>
  <c r="K57" i="38"/>
  <c r="K56" i="38"/>
  <c r="K55" i="38"/>
  <c r="K54" i="38"/>
  <c r="K53" i="38"/>
  <c r="K52" i="38"/>
  <c r="K51" i="38"/>
  <c r="K50" i="38"/>
  <c r="K49" i="38"/>
  <c r="K48" i="38"/>
  <c r="K47" i="38"/>
  <c r="K46" i="38"/>
  <c r="K45" i="38"/>
  <c r="K44" i="38"/>
  <c r="K43" i="38"/>
  <c r="K42" i="38"/>
  <c r="K41" i="38"/>
  <c r="K40" i="38"/>
  <c r="K39" i="38"/>
  <c r="K38" i="38"/>
  <c r="K37" i="38"/>
  <c r="K36" i="38"/>
  <c r="K35" i="38"/>
  <c r="K34" i="38"/>
  <c r="K33" i="38"/>
  <c r="K32" i="38"/>
  <c r="K31" i="38"/>
  <c r="K30" i="38"/>
  <c r="K29" i="38"/>
  <c r="K28" i="38"/>
  <c r="K27" i="38"/>
  <c r="K26" i="38"/>
  <c r="K25" i="38"/>
  <c r="K24" i="38"/>
  <c r="K23" i="38"/>
  <c r="K22" i="38"/>
  <c r="K21" i="38"/>
  <c r="K20" i="38"/>
  <c r="K19" i="38"/>
  <c r="K18" i="38"/>
  <c r="K17" i="38"/>
  <c r="K16" i="38"/>
  <c r="K15" i="38"/>
  <c r="J15" i="38"/>
  <c r="I15" i="38"/>
  <c r="K14" i="38"/>
  <c r="K13" i="38"/>
  <c r="K12" i="38"/>
  <c r="I12" i="38"/>
  <c r="G12" i="38"/>
  <c r="F12" i="38"/>
  <c r="E12" i="38"/>
  <c r="D12" i="38"/>
  <c r="A12" i="38"/>
  <c r="K80" i="37"/>
  <c r="K79" i="37"/>
  <c r="K78" i="37"/>
  <c r="K77" i="37"/>
  <c r="K76" i="37"/>
  <c r="K75" i="37"/>
  <c r="K74" i="37"/>
  <c r="K73" i="37"/>
  <c r="K72" i="37"/>
  <c r="K71" i="37"/>
  <c r="K70" i="37"/>
  <c r="K69" i="37"/>
  <c r="K68" i="37"/>
  <c r="K67" i="37"/>
  <c r="K66" i="37"/>
  <c r="K65" i="37"/>
  <c r="K64" i="37"/>
  <c r="K63" i="37"/>
  <c r="K62" i="37"/>
  <c r="K61" i="37"/>
  <c r="K60" i="37"/>
  <c r="K59" i="37"/>
  <c r="K58" i="37"/>
  <c r="K57" i="37"/>
  <c r="K56" i="37"/>
  <c r="K55" i="37"/>
  <c r="K54" i="37"/>
  <c r="K53" i="37"/>
  <c r="K52" i="37"/>
  <c r="K51" i="37"/>
  <c r="K50" i="37"/>
  <c r="K49" i="37"/>
  <c r="K48" i="37"/>
  <c r="K47" i="37"/>
  <c r="K46" i="37"/>
  <c r="K45" i="37"/>
  <c r="K44" i="37"/>
  <c r="K43" i="37"/>
  <c r="K42" i="37"/>
  <c r="K41" i="37"/>
  <c r="K40" i="37"/>
  <c r="K39" i="37"/>
  <c r="K38" i="37"/>
  <c r="K37" i="37"/>
  <c r="K36" i="37"/>
  <c r="K35" i="37"/>
  <c r="K34" i="37"/>
  <c r="K33" i="37"/>
  <c r="K32" i="37"/>
  <c r="K31" i="37"/>
  <c r="K30" i="37"/>
  <c r="K29" i="37"/>
  <c r="K28" i="37"/>
  <c r="K27" i="37"/>
  <c r="K26" i="37"/>
  <c r="K25" i="37"/>
  <c r="K24" i="37"/>
  <c r="K23" i="37"/>
  <c r="K22" i="37"/>
  <c r="J22" i="37"/>
  <c r="I22" i="37"/>
  <c r="H22" i="37"/>
  <c r="G22" i="37"/>
  <c r="F22" i="37"/>
  <c r="E22" i="37"/>
  <c r="D22" i="37"/>
  <c r="C22" i="37"/>
  <c r="B22" i="37"/>
  <c r="A22" i="37"/>
  <c r="K21" i="37"/>
  <c r="J21" i="37"/>
  <c r="I21" i="37"/>
  <c r="H21" i="37"/>
  <c r="G21" i="37"/>
  <c r="F21" i="37"/>
  <c r="E21" i="37"/>
  <c r="D21" i="37"/>
  <c r="C21" i="37"/>
  <c r="B21" i="37"/>
  <c r="A21" i="37"/>
  <c r="K20" i="37"/>
  <c r="J20" i="37"/>
  <c r="I20" i="37"/>
  <c r="H20" i="37"/>
  <c r="G20" i="37"/>
  <c r="F20" i="37"/>
  <c r="E20" i="37"/>
  <c r="D20" i="37"/>
  <c r="C20" i="37"/>
  <c r="B20" i="37"/>
  <c r="A20" i="37"/>
  <c r="K19" i="37"/>
  <c r="J19" i="37"/>
  <c r="I19" i="37"/>
  <c r="H19" i="37"/>
  <c r="G19" i="37"/>
  <c r="F19" i="37"/>
  <c r="E19" i="37"/>
  <c r="D19" i="37"/>
  <c r="C19" i="37"/>
  <c r="B19" i="37"/>
  <c r="A19" i="37"/>
  <c r="K18" i="37"/>
  <c r="J18" i="37"/>
  <c r="I18" i="37"/>
  <c r="H18" i="37"/>
  <c r="G18" i="37"/>
  <c r="F18" i="37"/>
  <c r="E18" i="37"/>
  <c r="D18" i="37"/>
  <c r="C18" i="37"/>
  <c r="B18" i="37"/>
  <c r="A18" i="37"/>
  <c r="K17" i="37"/>
  <c r="J17" i="37"/>
  <c r="I17" i="37"/>
  <c r="H17" i="37"/>
  <c r="G17" i="37"/>
  <c r="F17" i="37"/>
  <c r="E17" i="37"/>
  <c r="D17" i="37"/>
  <c r="C17" i="37"/>
  <c r="B17" i="37"/>
  <c r="A17" i="37"/>
  <c r="K16" i="37"/>
  <c r="J16" i="37"/>
  <c r="I16" i="37"/>
  <c r="H16" i="37"/>
  <c r="G16" i="37"/>
  <c r="F16" i="37"/>
  <c r="E16" i="37"/>
  <c r="D16" i="37"/>
  <c r="C16" i="37"/>
  <c r="B16" i="37"/>
  <c r="A16" i="37"/>
  <c r="K15" i="37"/>
  <c r="J15" i="37"/>
  <c r="I15" i="37"/>
  <c r="H15" i="37"/>
  <c r="G15" i="37"/>
  <c r="F15" i="37"/>
  <c r="E15" i="37"/>
  <c r="D15" i="37"/>
  <c r="C15" i="37"/>
  <c r="B15" i="37"/>
  <c r="A15" i="37"/>
  <c r="K14" i="37"/>
  <c r="J14" i="37"/>
  <c r="I14" i="37"/>
  <c r="H14" i="37"/>
  <c r="G14" i="37"/>
  <c r="F14" i="37"/>
  <c r="E14" i="37"/>
  <c r="D14" i="37"/>
  <c r="C14" i="37"/>
  <c r="B14" i="37"/>
  <c r="A14" i="37"/>
  <c r="K13" i="37"/>
  <c r="J13" i="37"/>
  <c r="I13" i="37"/>
  <c r="H13" i="37"/>
  <c r="G13" i="37"/>
  <c r="F13" i="37"/>
  <c r="E13" i="37"/>
  <c r="D13" i="37"/>
  <c r="C13" i="37"/>
  <c r="B13" i="37"/>
  <c r="A13" i="37"/>
  <c r="K12" i="37"/>
  <c r="J12" i="37"/>
  <c r="I12" i="37"/>
  <c r="H12" i="37"/>
  <c r="G12" i="37"/>
  <c r="F12" i="37"/>
  <c r="E12" i="37"/>
  <c r="D12" i="37"/>
  <c r="C12" i="37"/>
  <c r="B12" i="37"/>
  <c r="A12" i="37"/>
  <c r="K80" i="36"/>
  <c r="K79" i="36"/>
  <c r="K78" i="36"/>
  <c r="K77" i="36"/>
  <c r="K76" i="36"/>
  <c r="K75" i="36"/>
  <c r="K74" i="36"/>
  <c r="K73" i="36"/>
  <c r="K72" i="36"/>
  <c r="K71" i="36"/>
  <c r="K70" i="36"/>
  <c r="K69" i="36"/>
  <c r="K68" i="36"/>
  <c r="K67" i="36"/>
  <c r="K66" i="36"/>
  <c r="K65" i="36"/>
  <c r="K64" i="36"/>
  <c r="K63" i="36"/>
  <c r="K62" i="36"/>
  <c r="K61" i="36"/>
  <c r="K60" i="36"/>
  <c r="K59" i="36"/>
  <c r="K58" i="36"/>
  <c r="K57" i="36"/>
  <c r="K56" i="36"/>
  <c r="K55" i="36"/>
  <c r="K54" i="36"/>
  <c r="K53" i="36"/>
  <c r="K52" i="36"/>
  <c r="K51" i="36"/>
  <c r="K50" i="36"/>
  <c r="K49" i="36"/>
  <c r="K48" i="36"/>
  <c r="K47" i="36"/>
  <c r="K46" i="36"/>
  <c r="K45" i="36"/>
  <c r="K44" i="36"/>
  <c r="K43" i="36"/>
  <c r="K42" i="36"/>
  <c r="K41" i="36"/>
  <c r="K40" i="36"/>
  <c r="K39" i="36"/>
  <c r="K38" i="36"/>
  <c r="K37" i="36"/>
  <c r="K36" i="36"/>
  <c r="K35" i="36"/>
  <c r="K34" i="36"/>
  <c r="K33" i="36"/>
  <c r="K32" i="36"/>
  <c r="K31" i="36"/>
  <c r="K30" i="36"/>
  <c r="K29" i="36"/>
  <c r="K28" i="36"/>
  <c r="K27" i="36"/>
  <c r="K26" i="36"/>
  <c r="K25" i="36"/>
  <c r="K24" i="36"/>
  <c r="K23" i="36"/>
  <c r="K22" i="36"/>
  <c r="H22" i="36"/>
  <c r="G22" i="36"/>
  <c r="F22" i="36"/>
  <c r="E22" i="36"/>
  <c r="D22" i="36"/>
  <c r="C22" i="36"/>
  <c r="B22" i="36"/>
  <c r="A22" i="36"/>
  <c r="K21" i="36"/>
  <c r="H21" i="36"/>
  <c r="G21" i="36"/>
  <c r="F21" i="36"/>
  <c r="E21" i="36"/>
  <c r="D21" i="36"/>
  <c r="C21" i="36"/>
  <c r="B21" i="36"/>
  <c r="A21" i="36"/>
  <c r="K20" i="36"/>
  <c r="H20" i="36"/>
  <c r="G20" i="36"/>
  <c r="F20" i="36"/>
  <c r="E20" i="36"/>
  <c r="D20" i="36"/>
  <c r="C20" i="36"/>
  <c r="B20" i="36"/>
  <c r="A20" i="36"/>
  <c r="K19" i="36"/>
  <c r="H19" i="36"/>
  <c r="G19" i="36"/>
  <c r="F19" i="36"/>
  <c r="E19" i="36"/>
  <c r="D19" i="36"/>
  <c r="C19" i="36"/>
  <c r="B19" i="36"/>
  <c r="A19" i="36"/>
  <c r="K18" i="36"/>
  <c r="H18" i="36"/>
  <c r="G18" i="36"/>
  <c r="F18" i="36"/>
  <c r="E18" i="36"/>
  <c r="D18" i="36"/>
  <c r="C18" i="36"/>
  <c r="B18" i="36"/>
  <c r="A18" i="36"/>
  <c r="K17" i="36"/>
  <c r="H17" i="36"/>
  <c r="G17" i="36"/>
  <c r="F17" i="36"/>
  <c r="E17" i="36"/>
  <c r="D17" i="36"/>
  <c r="C17" i="36"/>
  <c r="B17" i="36"/>
  <c r="A17" i="36"/>
  <c r="K16" i="36"/>
  <c r="I16" i="36"/>
  <c r="H16" i="36"/>
  <c r="G16" i="36"/>
  <c r="F16" i="36"/>
  <c r="E16" i="36"/>
  <c r="D16" i="36"/>
  <c r="C16" i="36"/>
  <c r="B16" i="36"/>
  <c r="A16" i="36"/>
  <c r="K15" i="36"/>
  <c r="I15" i="36"/>
  <c r="H15" i="36"/>
  <c r="G15" i="36"/>
  <c r="F15" i="36"/>
  <c r="E15" i="36"/>
  <c r="D15" i="36"/>
  <c r="C15" i="36"/>
  <c r="B15" i="36"/>
  <c r="A15" i="36"/>
  <c r="K14" i="36"/>
  <c r="J14" i="36"/>
  <c r="I14" i="36"/>
  <c r="H14" i="36"/>
  <c r="G14" i="36"/>
  <c r="F14" i="36"/>
  <c r="E14" i="36"/>
  <c r="D14" i="36"/>
  <c r="C14" i="36"/>
  <c r="B14" i="36"/>
  <c r="A14" i="36"/>
  <c r="K13" i="36"/>
  <c r="J13" i="36"/>
  <c r="I13" i="36"/>
  <c r="H13" i="36"/>
  <c r="G13" i="36"/>
  <c r="F13" i="36"/>
  <c r="E13" i="36"/>
  <c r="D13" i="36"/>
  <c r="C13" i="36"/>
  <c r="B13" i="36"/>
  <c r="A13" i="36"/>
  <c r="K12" i="36"/>
  <c r="I12" i="36"/>
  <c r="H12" i="36"/>
  <c r="G12" i="36"/>
  <c r="F12" i="36"/>
  <c r="E12" i="36"/>
  <c r="D12" i="36"/>
  <c r="C12" i="36"/>
  <c r="B12" i="36"/>
  <c r="A12" i="36"/>
  <c r="K80" i="35"/>
  <c r="K79" i="35"/>
  <c r="K78" i="35"/>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45" i="35"/>
  <c r="K44" i="35"/>
  <c r="K43" i="35"/>
  <c r="K42" i="35"/>
  <c r="K41" i="35"/>
  <c r="K40" i="35"/>
  <c r="K39" i="35"/>
  <c r="K38" i="35"/>
  <c r="K37" i="35"/>
  <c r="K36" i="35"/>
  <c r="K35" i="35"/>
  <c r="K34" i="35"/>
  <c r="K33" i="35"/>
  <c r="K32" i="35"/>
  <c r="K31" i="35"/>
  <c r="J21" i="35"/>
  <c r="I21" i="35"/>
  <c r="K20" i="35"/>
  <c r="J20" i="35"/>
  <c r="I20" i="35"/>
  <c r="H20" i="35"/>
  <c r="G20" i="35"/>
  <c r="F20" i="35"/>
  <c r="E20" i="35"/>
  <c r="D20" i="35"/>
  <c r="C20" i="35"/>
  <c r="B20" i="35"/>
  <c r="A20" i="35"/>
  <c r="J19" i="35"/>
  <c r="I19" i="35"/>
  <c r="H19" i="35"/>
  <c r="G19" i="35"/>
  <c r="F19" i="35"/>
  <c r="E19" i="35"/>
  <c r="D19" i="35"/>
  <c r="C19" i="35"/>
  <c r="B19" i="35"/>
  <c r="A19" i="35"/>
  <c r="J18" i="35"/>
  <c r="I18" i="35"/>
  <c r="H18" i="35"/>
  <c r="G18" i="35"/>
  <c r="F18" i="35"/>
  <c r="E18" i="35"/>
  <c r="D18" i="35"/>
  <c r="C18" i="35"/>
  <c r="B18" i="35"/>
  <c r="A18" i="35"/>
  <c r="K17" i="35"/>
  <c r="J17" i="35"/>
  <c r="I17" i="35"/>
  <c r="H17" i="35"/>
  <c r="G17" i="35"/>
  <c r="F17" i="35"/>
  <c r="E17" i="35"/>
  <c r="D17" i="35"/>
  <c r="C17" i="35"/>
  <c r="B17" i="35"/>
  <c r="A17" i="35"/>
  <c r="J16" i="35"/>
  <c r="H16" i="35"/>
  <c r="G16" i="35"/>
  <c r="F16" i="35"/>
  <c r="E16" i="35"/>
  <c r="D16" i="35"/>
  <c r="C16" i="35"/>
  <c r="B16" i="35"/>
  <c r="A16" i="35"/>
  <c r="J15" i="35"/>
  <c r="I15" i="35"/>
  <c r="H15" i="35"/>
  <c r="G15" i="35"/>
  <c r="F15" i="35"/>
  <c r="E15" i="35"/>
  <c r="D15" i="35"/>
  <c r="C15" i="35"/>
  <c r="B15" i="35"/>
  <c r="A15" i="35"/>
  <c r="J14" i="35"/>
  <c r="I14" i="35"/>
  <c r="H14" i="35"/>
  <c r="G14" i="35"/>
  <c r="F14" i="35"/>
  <c r="E14" i="35"/>
  <c r="D14" i="35"/>
  <c r="C14" i="35"/>
  <c r="B14" i="35"/>
  <c r="A14" i="35"/>
  <c r="J13" i="35"/>
  <c r="I13" i="35"/>
  <c r="H13" i="35"/>
  <c r="G13" i="35"/>
  <c r="F13" i="35"/>
  <c r="E13" i="35"/>
  <c r="D13" i="35"/>
  <c r="C13" i="35"/>
  <c r="B13" i="35"/>
  <c r="A13" i="35"/>
  <c r="J12" i="35"/>
  <c r="I12" i="35"/>
  <c r="H12" i="35"/>
  <c r="G12" i="35"/>
  <c r="F12" i="35"/>
  <c r="E12" i="35"/>
  <c r="D12" i="35"/>
  <c r="C12" i="35"/>
  <c r="B12" i="35"/>
  <c r="A12" i="35"/>
  <c r="K80" i="34"/>
  <c r="K79" i="34"/>
  <c r="K78" i="34"/>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45" i="34"/>
  <c r="K44" i="34"/>
  <c r="K43" i="34"/>
  <c r="K42" i="34"/>
  <c r="K41" i="34"/>
  <c r="K40" i="34"/>
  <c r="K39" i="34"/>
  <c r="K38" i="34"/>
  <c r="K37" i="34"/>
  <c r="K36" i="34"/>
  <c r="K35" i="34"/>
  <c r="K34" i="34"/>
  <c r="K33" i="34"/>
  <c r="K32" i="34"/>
  <c r="K31" i="34"/>
  <c r="K30" i="34"/>
  <c r="K29" i="34"/>
  <c r="K28" i="34"/>
  <c r="K27" i="34"/>
  <c r="K26" i="34"/>
  <c r="K25" i="34"/>
  <c r="K24" i="34"/>
  <c r="K23" i="34"/>
  <c r="K22" i="34"/>
  <c r="K21" i="34"/>
  <c r="K20" i="34"/>
  <c r="K19" i="34"/>
  <c r="K18" i="34"/>
  <c r="K17" i="34"/>
  <c r="H17" i="34"/>
  <c r="G17" i="34"/>
  <c r="F17" i="34"/>
  <c r="E17" i="34"/>
  <c r="D17" i="34"/>
  <c r="C17" i="34"/>
  <c r="B17" i="34"/>
  <c r="A17" i="34"/>
  <c r="K16" i="34"/>
  <c r="H16" i="34"/>
  <c r="G16" i="34"/>
  <c r="F16" i="34"/>
  <c r="E16" i="34"/>
  <c r="D16" i="34"/>
  <c r="C16" i="34"/>
  <c r="B16" i="34"/>
  <c r="A16" i="34"/>
  <c r="K15" i="34"/>
  <c r="H15" i="34"/>
  <c r="G15" i="34"/>
  <c r="F15" i="34"/>
  <c r="E15" i="34"/>
  <c r="D15" i="34"/>
  <c r="C15" i="34"/>
  <c r="B15" i="34"/>
  <c r="A15" i="34"/>
  <c r="K14" i="34"/>
  <c r="H14" i="34"/>
  <c r="G14" i="34"/>
  <c r="F14" i="34"/>
  <c r="E14" i="34"/>
  <c r="D14" i="34"/>
  <c r="C14" i="34"/>
  <c r="B14" i="34"/>
  <c r="A14" i="34"/>
  <c r="K13" i="34"/>
  <c r="H13" i="34"/>
  <c r="G13" i="34"/>
  <c r="F13" i="34"/>
  <c r="E13" i="34"/>
  <c r="D13" i="34"/>
  <c r="C13" i="34"/>
  <c r="B13" i="34"/>
  <c r="A13" i="34"/>
  <c r="K12" i="34"/>
  <c r="I12" i="34"/>
  <c r="H12" i="34"/>
  <c r="G12" i="34"/>
  <c r="F12" i="34"/>
  <c r="E12" i="34"/>
  <c r="D12" i="34"/>
  <c r="C12" i="34"/>
  <c r="B12" i="34"/>
  <c r="A12" i="34"/>
  <c r="K80" i="33"/>
  <c r="K79" i="33"/>
  <c r="K78" i="33"/>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45" i="33"/>
  <c r="K44" i="33"/>
  <c r="I44" i="33"/>
  <c r="K43" i="33"/>
  <c r="I43" i="33"/>
  <c r="K42" i="33"/>
  <c r="I42" i="33"/>
  <c r="K41" i="33"/>
  <c r="I41" i="33"/>
  <c r="K40" i="33"/>
  <c r="I40" i="33"/>
  <c r="K39" i="33"/>
  <c r="I39" i="33"/>
  <c r="K38" i="33"/>
  <c r="I38" i="33"/>
  <c r="K37" i="33"/>
  <c r="I37" i="33"/>
  <c r="K36" i="33"/>
  <c r="I36" i="33"/>
  <c r="K35" i="33"/>
  <c r="I35" i="33"/>
  <c r="K34" i="33"/>
  <c r="I34" i="33"/>
  <c r="K33" i="33"/>
  <c r="I33" i="33"/>
  <c r="K32" i="33"/>
  <c r="I32" i="33"/>
  <c r="K31" i="33"/>
  <c r="I31" i="33"/>
  <c r="K30" i="33"/>
  <c r="I30" i="33"/>
  <c r="K29" i="33"/>
  <c r="I29" i="33"/>
  <c r="K28" i="33"/>
  <c r="I28" i="33"/>
  <c r="K27" i="33"/>
  <c r="I27" i="33"/>
  <c r="K26" i="33"/>
  <c r="I26" i="33"/>
  <c r="K25" i="33"/>
  <c r="J25" i="33"/>
  <c r="I25" i="33"/>
  <c r="K24" i="33"/>
  <c r="J24" i="33"/>
  <c r="I24" i="33"/>
  <c r="K23" i="33"/>
  <c r="J23" i="33"/>
  <c r="I23" i="33"/>
  <c r="K22" i="33"/>
  <c r="J22" i="33"/>
  <c r="I22" i="33"/>
  <c r="K21" i="33"/>
  <c r="J21" i="33"/>
  <c r="I21" i="33"/>
  <c r="J20" i="33"/>
  <c r="I20" i="33"/>
  <c r="J19" i="33"/>
  <c r="I19" i="33"/>
  <c r="J18" i="33"/>
  <c r="I18" i="33"/>
  <c r="J17" i="33"/>
  <c r="I17" i="33"/>
  <c r="J16" i="33"/>
  <c r="I16" i="33"/>
  <c r="J15" i="33"/>
  <c r="I15" i="33"/>
  <c r="H15" i="33"/>
  <c r="G15" i="33"/>
  <c r="F15" i="33"/>
  <c r="E15" i="33"/>
  <c r="D15" i="33"/>
  <c r="C15" i="33"/>
  <c r="B15" i="33"/>
  <c r="A15" i="33"/>
  <c r="J14" i="33"/>
  <c r="I14" i="33"/>
  <c r="H14" i="33"/>
  <c r="G14" i="33"/>
  <c r="F14" i="33"/>
  <c r="E14" i="33"/>
  <c r="D14" i="33"/>
  <c r="C14" i="33"/>
  <c r="B14" i="33"/>
  <c r="A14" i="33"/>
  <c r="J13" i="33"/>
  <c r="I13" i="33"/>
  <c r="H13" i="33"/>
  <c r="G13" i="33"/>
  <c r="F13" i="33"/>
  <c r="E13" i="33"/>
  <c r="D13" i="33"/>
  <c r="C13" i="33"/>
  <c r="B13" i="33"/>
  <c r="A13" i="33"/>
  <c r="J12" i="33"/>
  <c r="I12" i="33"/>
  <c r="H12" i="33"/>
  <c r="G12" i="33"/>
  <c r="F12" i="33"/>
  <c r="E12" i="33"/>
  <c r="D12" i="33"/>
  <c r="C12" i="33"/>
  <c r="B12" i="33"/>
  <c r="A12" i="33"/>
  <c r="K80" i="32"/>
  <c r="K79" i="32"/>
  <c r="K78" i="32"/>
  <c r="K77" i="32"/>
  <c r="K76" i="32"/>
  <c r="K75" i="32"/>
  <c r="K74" i="32"/>
  <c r="K73" i="32"/>
  <c r="K72" i="32"/>
  <c r="K71" i="32"/>
  <c r="K70" i="32"/>
  <c r="K69" i="32"/>
  <c r="K68" i="32"/>
  <c r="K67" i="32"/>
  <c r="K66" i="32"/>
  <c r="K65" i="32"/>
  <c r="K64" i="32"/>
  <c r="K63" i="32"/>
  <c r="J19" i="32"/>
  <c r="I19" i="32"/>
  <c r="H19" i="32"/>
  <c r="G19" i="32"/>
  <c r="F19" i="32"/>
  <c r="E19" i="32"/>
  <c r="D19" i="32"/>
  <c r="L19" i="32" s="1"/>
  <c r="M19" i="32" s="1"/>
  <c r="C19" i="32"/>
  <c r="B19" i="32"/>
  <c r="A19" i="32"/>
  <c r="J18" i="32"/>
  <c r="I18" i="32"/>
  <c r="H18" i="32"/>
  <c r="G18" i="32"/>
  <c r="F18" i="32"/>
  <c r="E18" i="32"/>
  <c r="D18" i="32"/>
  <c r="L18" i="32" s="1"/>
  <c r="C18" i="32"/>
  <c r="B18" i="32"/>
  <c r="A18" i="32"/>
  <c r="J17" i="32"/>
  <c r="I17" i="32"/>
  <c r="H17" i="32"/>
  <c r="G17" i="32"/>
  <c r="F17" i="32"/>
  <c r="E17" i="32"/>
  <c r="D17" i="32"/>
  <c r="C17" i="32"/>
  <c r="B17" i="32"/>
  <c r="A17" i="32"/>
  <c r="J16" i="32"/>
  <c r="I16" i="32"/>
  <c r="H16" i="32"/>
  <c r="G16" i="32"/>
  <c r="F16" i="32"/>
  <c r="E16" i="32"/>
  <c r="D16" i="32"/>
  <c r="C16" i="32"/>
  <c r="B16" i="32"/>
  <c r="A16" i="32"/>
  <c r="J15" i="32"/>
  <c r="I15" i="32"/>
  <c r="H15" i="32"/>
  <c r="G15" i="32"/>
  <c r="F15" i="32"/>
  <c r="E15" i="32"/>
  <c r="D15" i="32"/>
  <c r="C15" i="32"/>
  <c r="B15" i="32"/>
  <c r="A15" i="32"/>
  <c r="J14" i="32"/>
  <c r="I14" i="32"/>
  <c r="H14" i="32"/>
  <c r="G14" i="32"/>
  <c r="F14" i="32"/>
  <c r="E14" i="32"/>
  <c r="D14" i="32"/>
  <c r="C14" i="32"/>
  <c r="B14" i="32"/>
  <c r="A14" i="32"/>
  <c r="J13" i="32"/>
  <c r="I13" i="32"/>
  <c r="H13" i="32"/>
  <c r="G13" i="32"/>
  <c r="F13" i="32"/>
  <c r="E13" i="32"/>
  <c r="D13" i="32"/>
  <c r="C13" i="32"/>
  <c r="B13" i="32"/>
  <c r="A13" i="32"/>
  <c r="J12" i="32"/>
  <c r="I12" i="32"/>
  <c r="H12" i="32"/>
  <c r="G12" i="32"/>
  <c r="F12" i="32"/>
  <c r="E12" i="32"/>
  <c r="D12" i="32"/>
  <c r="C12" i="32"/>
  <c r="B12" i="32"/>
  <c r="A12" i="32"/>
  <c r="K80" i="31"/>
  <c r="J80" i="31"/>
  <c r="I80" i="31"/>
  <c r="K79" i="31"/>
  <c r="J79" i="31"/>
  <c r="I79" i="31"/>
  <c r="K78" i="31"/>
  <c r="J78" i="31"/>
  <c r="I78" i="31"/>
  <c r="K77" i="31"/>
  <c r="K76" i="31"/>
  <c r="K75" i="31"/>
  <c r="K74" i="31"/>
  <c r="K73" i="31"/>
  <c r="K72" i="31"/>
  <c r="K71" i="31"/>
  <c r="K70" i="31"/>
  <c r="K69" i="31"/>
  <c r="K68" i="31"/>
  <c r="K67" i="31"/>
  <c r="K66" i="31"/>
  <c r="K65" i="31"/>
  <c r="K64" i="31"/>
  <c r="K63" i="31"/>
  <c r="K62" i="31"/>
  <c r="K61" i="31"/>
  <c r="K60" i="31"/>
  <c r="K59" i="31"/>
  <c r="K58" i="31"/>
  <c r="K57" i="31"/>
  <c r="K56" i="31"/>
  <c r="J16" i="31"/>
  <c r="I16" i="31"/>
  <c r="H16" i="31"/>
  <c r="G16" i="31"/>
  <c r="F16" i="31"/>
  <c r="E16" i="31"/>
  <c r="D16" i="31"/>
  <c r="C16" i="31"/>
  <c r="B16" i="31"/>
  <c r="A16" i="31"/>
  <c r="K15" i="31"/>
  <c r="J15" i="31"/>
  <c r="I15" i="31"/>
  <c r="H15" i="31"/>
  <c r="G15" i="31"/>
  <c r="F15" i="31"/>
  <c r="E15" i="31"/>
  <c r="D15" i="31"/>
  <c r="C15" i="31"/>
  <c r="B15" i="31"/>
  <c r="A15" i="31"/>
  <c r="J14" i="31"/>
  <c r="I14" i="31"/>
  <c r="H14" i="31"/>
  <c r="G14" i="31"/>
  <c r="F14" i="31"/>
  <c r="E14" i="31"/>
  <c r="D14" i="31"/>
  <c r="C14" i="31"/>
  <c r="B14" i="31"/>
  <c r="A14" i="31"/>
  <c r="J13" i="31"/>
  <c r="I13" i="31"/>
  <c r="H13" i="31"/>
  <c r="G13" i="31"/>
  <c r="F13" i="31"/>
  <c r="E13" i="31"/>
  <c r="D13" i="31"/>
  <c r="C13" i="31"/>
  <c r="B13" i="31"/>
  <c r="A13" i="31"/>
  <c r="J12" i="31"/>
  <c r="I12" i="31"/>
  <c r="H12" i="31"/>
  <c r="G12" i="31"/>
  <c r="F12" i="31"/>
  <c r="E12" i="31"/>
  <c r="D12" i="31"/>
  <c r="C12" i="31"/>
  <c r="B12" i="31"/>
  <c r="A12" i="31"/>
  <c r="H151" i="30"/>
  <c r="G151" i="30"/>
  <c r="F151" i="30"/>
  <c r="E151" i="30"/>
  <c r="D151" i="30"/>
  <c r="C151" i="30"/>
  <c r="B151" i="30"/>
  <c r="A151" i="30"/>
  <c r="H150" i="30"/>
  <c r="G150" i="30"/>
  <c r="F150" i="30"/>
  <c r="E150" i="30"/>
  <c r="D150" i="30"/>
  <c r="C150" i="30"/>
  <c r="B150" i="30"/>
  <c r="A150" i="30"/>
  <c r="H149" i="30"/>
  <c r="G149" i="30"/>
  <c r="F149" i="30"/>
  <c r="E149" i="30"/>
  <c r="D149" i="30"/>
  <c r="C149" i="30"/>
  <c r="B149" i="30"/>
  <c r="A149" i="30"/>
  <c r="H148" i="30"/>
  <c r="G148" i="30"/>
  <c r="F148" i="30"/>
  <c r="E148" i="30"/>
  <c r="D148" i="30"/>
  <c r="C148" i="30"/>
  <c r="B148" i="30"/>
  <c r="A148" i="30"/>
  <c r="H147" i="30"/>
  <c r="G147" i="30"/>
  <c r="F147" i="30"/>
  <c r="E147" i="30"/>
  <c r="D147" i="30"/>
  <c r="C147" i="30"/>
  <c r="B147" i="30"/>
  <c r="A147" i="30"/>
  <c r="H146" i="30"/>
  <c r="G146" i="30"/>
  <c r="F146" i="30"/>
  <c r="E146" i="30"/>
  <c r="D146" i="30"/>
  <c r="C146" i="30"/>
  <c r="B146" i="30"/>
  <c r="A146" i="30"/>
  <c r="H145" i="30"/>
  <c r="G145" i="30"/>
  <c r="F145" i="30"/>
  <c r="E145" i="30"/>
  <c r="D145" i="30"/>
  <c r="C145" i="30"/>
  <c r="B145" i="30"/>
  <c r="A145" i="30"/>
  <c r="H144" i="30"/>
  <c r="G144" i="30"/>
  <c r="F144" i="30"/>
  <c r="E144" i="30"/>
  <c r="D144" i="30"/>
  <c r="C144" i="30"/>
  <c r="B144" i="30"/>
  <c r="A144" i="30"/>
  <c r="H143" i="30"/>
  <c r="G143" i="30"/>
  <c r="F143" i="30"/>
  <c r="E143" i="30"/>
  <c r="D143" i="30"/>
  <c r="C143" i="30"/>
  <c r="B143" i="30"/>
  <c r="A143" i="30"/>
  <c r="H142" i="30"/>
  <c r="G142" i="30"/>
  <c r="F142" i="30"/>
  <c r="E142" i="30"/>
  <c r="D142" i="30"/>
  <c r="C142" i="30"/>
  <c r="B142" i="30"/>
  <c r="A142" i="30"/>
  <c r="H141" i="30"/>
  <c r="G141" i="30"/>
  <c r="F141" i="30"/>
  <c r="E141" i="30"/>
  <c r="D141" i="30"/>
  <c r="C141" i="30"/>
  <c r="B141" i="30"/>
  <c r="A141" i="30"/>
  <c r="H140" i="30"/>
  <c r="G140" i="30"/>
  <c r="F140" i="30"/>
  <c r="E140" i="30"/>
  <c r="D140" i="30"/>
  <c r="C140" i="30"/>
  <c r="B140" i="30"/>
  <c r="A140" i="30"/>
  <c r="H139" i="30"/>
  <c r="G139" i="30"/>
  <c r="F139" i="30"/>
  <c r="E139" i="30"/>
  <c r="D139" i="30"/>
  <c r="C139" i="30"/>
  <c r="B139" i="30"/>
  <c r="A139" i="30"/>
  <c r="H138" i="30"/>
  <c r="G138" i="30"/>
  <c r="F138" i="30"/>
  <c r="E138" i="30"/>
  <c r="D138" i="30"/>
  <c r="C138" i="30"/>
  <c r="B138" i="30"/>
  <c r="A138" i="30"/>
  <c r="H137" i="30"/>
  <c r="G137" i="30"/>
  <c r="F137" i="30"/>
  <c r="E137" i="30"/>
  <c r="D137" i="30"/>
  <c r="C137" i="30"/>
  <c r="B137" i="30"/>
  <c r="A137" i="30"/>
  <c r="H136" i="30"/>
  <c r="G136" i="30"/>
  <c r="F136" i="30"/>
  <c r="E136" i="30"/>
  <c r="D136" i="30"/>
  <c r="C136" i="30"/>
  <c r="B136" i="30"/>
  <c r="A136" i="30"/>
  <c r="H135" i="30"/>
  <c r="G135" i="30"/>
  <c r="F135" i="30"/>
  <c r="E135" i="30"/>
  <c r="D135" i="30"/>
  <c r="C135" i="30"/>
  <c r="B135" i="30"/>
  <c r="A135" i="30"/>
  <c r="H134" i="30"/>
  <c r="G134" i="30"/>
  <c r="F134" i="30"/>
  <c r="E134" i="30"/>
  <c r="D134" i="30"/>
  <c r="C134" i="30"/>
  <c r="B134" i="30"/>
  <c r="A134" i="30"/>
  <c r="H133" i="30"/>
  <c r="G133" i="30"/>
  <c r="F133" i="30"/>
  <c r="E133" i="30"/>
  <c r="D133" i="30"/>
  <c r="C133" i="30"/>
  <c r="B133" i="30"/>
  <c r="A133" i="30"/>
  <c r="H132" i="30"/>
  <c r="G132" i="30"/>
  <c r="F132" i="30"/>
  <c r="E132" i="30"/>
  <c r="D132" i="30"/>
  <c r="C132" i="30"/>
  <c r="B132" i="30"/>
  <c r="A132" i="30"/>
  <c r="H131" i="30"/>
  <c r="G131" i="30"/>
  <c r="F131" i="30"/>
  <c r="E131" i="30"/>
  <c r="D131" i="30"/>
  <c r="C131" i="30"/>
  <c r="B131" i="30"/>
  <c r="A131" i="30"/>
  <c r="H130" i="30"/>
  <c r="G130" i="30"/>
  <c r="F130" i="30"/>
  <c r="E130" i="30"/>
  <c r="D130" i="30"/>
  <c r="C130" i="30"/>
  <c r="B130" i="30"/>
  <c r="A130" i="30"/>
  <c r="H129" i="30"/>
  <c r="G129" i="30"/>
  <c r="F129" i="30"/>
  <c r="E129" i="30"/>
  <c r="D129" i="30"/>
  <c r="C129" i="30"/>
  <c r="B129" i="30"/>
  <c r="A129" i="30"/>
  <c r="H128" i="30"/>
  <c r="G128" i="30"/>
  <c r="F128" i="30"/>
  <c r="E128" i="30"/>
  <c r="D128" i="30"/>
  <c r="C128" i="30"/>
  <c r="B128" i="30"/>
  <c r="A128" i="30"/>
  <c r="H127" i="30"/>
  <c r="G127" i="30"/>
  <c r="F127" i="30"/>
  <c r="E127" i="30"/>
  <c r="D127" i="30"/>
  <c r="C127" i="30"/>
  <c r="B127" i="30"/>
  <c r="A127" i="30"/>
  <c r="H126" i="30"/>
  <c r="G126" i="30"/>
  <c r="F126" i="30"/>
  <c r="E126" i="30"/>
  <c r="D126" i="30"/>
  <c r="C126" i="30"/>
  <c r="B126" i="30"/>
  <c r="A126" i="30"/>
  <c r="H125" i="30"/>
  <c r="G125" i="30"/>
  <c r="F125" i="30"/>
  <c r="E125" i="30"/>
  <c r="D125" i="30"/>
  <c r="C125" i="30"/>
  <c r="B125" i="30"/>
  <c r="A125" i="30"/>
  <c r="H124" i="30"/>
  <c r="G124" i="30"/>
  <c r="F124" i="30"/>
  <c r="E124" i="30"/>
  <c r="D124" i="30"/>
  <c r="C124" i="30"/>
  <c r="B124" i="30"/>
  <c r="A124" i="30"/>
  <c r="H123" i="30"/>
  <c r="G123" i="30"/>
  <c r="F123" i="30"/>
  <c r="E123" i="30"/>
  <c r="D123" i="30"/>
  <c r="C123" i="30"/>
  <c r="B123" i="30"/>
  <c r="A123" i="30"/>
  <c r="H122" i="30"/>
  <c r="G122" i="30"/>
  <c r="F122" i="30"/>
  <c r="E122" i="30"/>
  <c r="D122" i="30"/>
  <c r="C122" i="30"/>
  <c r="B122" i="30"/>
  <c r="A122" i="30"/>
  <c r="H121" i="30"/>
  <c r="G121" i="30"/>
  <c r="F121" i="30"/>
  <c r="E121" i="30"/>
  <c r="D121" i="30"/>
  <c r="C121" i="30"/>
  <c r="B121" i="30"/>
  <c r="A121" i="30"/>
  <c r="H120" i="30"/>
  <c r="G120" i="30"/>
  <c r="F120" i="30"/>
  <c r="E120" i="30"/>
  <c r="D120" i="30"/>
  <c r="C120" i="30"/>
  <c r="B120" i="30"/>
  <c r="A120" i="30"/>
  <c r="H119" i="30"/>
  <c r="G119" i="30"/>
  <c r="F119" i="30"/>
  <c r="E119" i="30"/>
  <c r="D119" i="30"/>
  <c r="C119" i="30"/>
  <c r="B119" i="30"/>
  <c r="A119" i="30"/>
  <c r="H118" i="30"/>
  <c r="G118" i="30"/>
  <c r="F118" i="30"/>
  <c r="E118" i="30"/>
  <c r="D118" i="30"/>
  <c r="C118" i="30"/>
  <c r="B118" i="30"/>
  <c r="A118" i="30"/>
  <c r="H117" i="30"/>
  <c r="G117" i="30"/>
  <c r="F117" i="30"/>
  <c r="E117" i="30"/>
  <c r="D117" i="30"/>
  <c r="C117" i="30"/>
  <c r="B117" i="30"/>
  <c r="A117" i="30"/>
  <c r="H116" i="30"/>
  <c r="G116" i="30"/>
  <c r="F116" i="30"/>
  <c r="E116" i="30"/>
  <c r="D116" i="30"/>
  <c r="C116" i="30"/>
  <c r="B116" i="30"/>
  <c r="A116" i="30"/>
  <c r="H115" i="30"/>
  <c r="G115" i="30"/>
  <c r="F115" i="30"/>
  <c r="E115" i="30"/>
  <c r="D115" i="30"/>
  <c r="C115" i="30"/>
  <c r="B115" i="30"/>
  <c r="A115" i="30"/>
  <c r="H114" i="30"/>
  <c r="G114" i="30"/>
  <c r="F114" i="30"/>
  <c r="E114" i="30"/>
  <c r="D114" i="30"/>
  <c r="C114" i="30"/>
  <c r="B114" i="30"/>
  <c r="A114" i="30"/>
  <c r="H113" i="30"/>
  <c r="G113" i="30"/>
  <c r="F113" i="30"/>
  <c r="E113" i="30"/>
  <c r="D113" i="30"/>
  <c r="C113" i="30"/>
  <c r="B113" i="30"/>
  <c r="A113" i="30"/>
  <c r="H112" i="30"/>
  <c r="G112" i="30"/>
  <c r="F112" i="30"/>
  <c r="E112" i="30"/>
  <c r="D112" i="30"/>
  <c r="C112" i="30"/>
  <c r="B112" i="30"/>
  <c r="A112" i="30"/>
  <c r="H111" i="30"/>
  <c r="G111" i="30"/>
  <c r="F111" i="30"/>
  <c r="E111" i="30"/>
  <c r="D111" i="30"/>
  <c r="C111" i="30"/>
  <c r="B111" i="30"/>
  <c r="A111" i="30"/>
  <c r="H110" i="30"/>
  <c r="G110" i="30"/>
  <c r="F110" i="30"/>
  <c r="E110" i="30"/>
  <c r="D110" i="30"/>
  <c r="C110" i="30"/>
  <c r="B110" i="30"/>
  <c r="A110" i="30"/>
  <c r="H109" i="30"/>
  <c r="G109" i="30"/>
  <c r="F109" i="30"/>
  <c r="E109" i="30"/>
  <c r="D109" i="30"/>
  <c r="C109" i="30"/>
  <c r="B109" i="30"/>
  <c r="A109" i="30"/>
  <c r="H108" i="30"/>
  <c r="G108" i="30"/>
  <c r="F108" i="30"/>
  <c r="E108" i="30"/>
  <c r="D108" i="30"/>
  <c r="C108" i="30"/>
  <c r="B108" i="30"/>
  <c r="A108" i="30"/>
  <c r="H107" i="30"/>
  <c r="G107" i="30"/>
  <c r="F107" i="30"/>
  <c r="E107" i="30"/>
  <c r="D107" i="30"/>
  <c r="C107" i="30"/>
  <c r="B107" i="30"/>
  <c r="A107" i="30"/>
  <c r="H106" i="30"/>
  <c r="G106" i="30"/>
  <c r="F106" i="30"/>
  <c r="E106" i="30"/>
  <c r="D106" i="30"/>
  <c r="C106" i="30"/>
  <c r="B106" i="30"/>
  <c r="A106" i="30"/>
  <c r="H105" i="30"/>
  <c r="G105" i="30"/>
  <c r="F105" i="30"/>
  <c r="E105" i="30"/>
  <c r="D105" i="30"/>
  <c r="C105" i="30"/>
  <c r="B105" i="30"/>
  <c r="A105" i="30"/>
  <c r="H104" i="30"/>
  <c r="G104" i="30"/>
  <c r="F104" i="30"/>
  <c r="E104" i="30"/>
  <c r="D104" i="30"/>
  <c r="C104" i="30"/>
  <c r="B104" i="30"/>
  <c r="A104" i="30"/>
  <c r="H103" i="30"/>
  <c r="G103" i="30"/>
  <c r="F103" i="30"/>
  <c r="E103" i="30"/>
  <c r="D103" i="30"/>
  <c r="C103" i="30"/>
  <c r="B103" i="30"/>
  <c r="A103" i="30"/>
  <c r="H102" i="30"/>
  <c r="G102" i="30"/>
  <c r="F102" i="30"/>
  <c r="E102" i="30"/>
  <c r="D102" i="30"/>
  <c r="C102" i="30"/>
  <c r="B102" i="30"/>
  <c r="A102" i="30"/>
  <c r="H101" i="30"/>
  <c r="G101" i="30"/>
  <c r="F101" i="30"/>
  <c r="E101" i="30"/>
  <c r="D101" i="30"/>
  <c r="C101" i="30"/>
  <c r="B101" i="30"/>
  <c r="A101" i="30"/>
  <c r="H100" i="30"/>
  <c r="G100" i="30"/>
  <c r="F100" i="30"/>
  <c r="E100" i="30"/>
  <c r="D100" i="30"/>
  <c r="C100" i="30"/>
  <c r="B100" i="30"/>
  <c r="A100" i="30"/>
  <c r="H99" i="30"/>
  <c r="G99" i="30"/>
  <c r="F99" i="30"/>
  <c r="E99" i="30"/>
  <c r="D99" i="30"/>
  <c r="C99" i="30"/>
  <c r="B99" i="30"/>
  <c r="A99" i="30"/>
  <c r="H98" i="30"/>
  <c r="G98" i="30"/>
  <c r="F98" i="30"/>
  <c r="E98" i="30"/>
  <c r="D98" i="30"/>
  <c r="C98" i="30"/>
  <c r="B98" i="30"/>
  <c r="A98" i="30"/>
  <c r="H97" i="30"/>
  <c r="G97" i="30"/>
  <c r="F97" i="30"/>
  <c r="E97" i="30"/>
  <c r="D97" i="30"/>
  <c r="C97" i="30"/>
  <c r="B97" i="30"/>
  <c r="A97" i="30"/>
  <c r="H96" i="30"/>
  <c r="G96" i="30"/>
  <c r="F96" i="30"/>
  <c r="E96" i="30"/>
  <c r="D96" i="30"/>
  <c r="C96" i="30"/>
  <c r="B96" i="30"/>
  <c r="A96" i="30"/>
  <c r="H95" i="30"/>
  <c r="G95" i="30"/>
  <c r="F95" i="30"/>
  <c r="E95" i="30"/>
  <c r="D95" i="30"/>
  <c r="C95" i="30"/>
  <c r="B95" i="30"/>
  <c r="A95" i="30"/>
  <c r="H94" i="30"/>
  <c r="G94" i="30"/>
  <c r="F94" i="30"/>
  <c r="E94" i="30"/>
  <c r="D94" i="30"/>
  <c r="C94" i="30"/>
  <c r="B94" i="30"/>
  <c r="A94" i="30"/>
  <c r="H93" i="30"/>
  <c r="G93" i="30"/>
  <c r="F93" i="30"/>
  <c r="E93" i="30"/>
  <c r="D93" i="30"/>
  <c r="C93" i="30"/>
  <c r="B93" i="30"/>
  <c r="A93" i="30"/>
  <c r="H92" i="30"/>
  <c r="G92" i="30"/>
  <c r="F92" i="30"/>
  <c r="E92" i="30"/>
  <c r="D92" i="30"/>
  <c r="C92" i="30"/>
  <c r="B92" i="30"/>
  <c r="A92" i="30"/>
  <c r="H91" i="30"/>
  <c r="G91" i="30"/>
  <c r="F91" i="30"/>
  <c r="E91" i="30"/>
  <c r="D91" i="30"/>
  <c r="C91" i="30"/>
  <c r="B91" i="30"/>
  <c r="A91" i="30"/>
  <c r="H90" i="30"/>
  <c r="G90" i="30"/>
  <c r="F90" i="30"/>
  <c r="E90" i="30"/>
  <c r="D90" i="30"/>
  <c r="C90" i="30"/>
  <c r="B90" i="30"/>
  <c r="A90" i="30"/>
  <c r="H89" i="30"/>
  <c r="G89" i="30"/>
  <c r="F89" i="30"/>
  <c r="E89" i="30"/>
  <c r="D89" i="30"/>
  <c r="C89" i="30"/>
  <c r="B89" i="30"/>
  <c r="A89" i="30"/>
  <c r="H88" i="30"/>
  <c r="G88" i="30"/>
  <c r="F88" i="30"/>
  <c r="E88" i="30"/>
  <c r="D88" i="30"/>
  <c r="C88" i="30"/>
  <c r="B88" i="30"/>
  <c r="A88" i="30"/>
  <c r="H87" i="30"/>
  <c r="G87" i="30"/>
  <c r="F87" i="30"/>
  <c r="E87" i="30"/>
  <c r="D87" i="30"/>
  <c r="C87" i="30"/>
  <c r="B87" i="30"/>
  <c r="A87" i="30"/>
  <c r="H86" i="30"/>
  <c r="G86" i="30"/>
  <c r="F86" i="30"/>
  <c r="E86" i="30"/>
  <c r="D86" i="30"/>
  <c r="C86" i="30"/>
  <c r="B86" i="30"/>
  <c r="A86" i="30"/>
  <c r="H85" i="30"/>
  <c r="G85" i="30"/>
  <c r="F85" i="30"/>
  <c r="E85" i="30"/>
  <c r="D85" i="30"/>
  <c r="C85" i="30"/>
  <c r="B85" i="30"/>
  <c r="A85" i="30"/>
  <c r="H84" i="30"/>
  <c r="G84" i="30"/>
  <c r="F84" i="30"/>
  <c r="E84" i="30"/>
  <c r="D84" i="30"/>
  <c r="C84" i="30"/>
  <c r="B84" i="30"/>
  <c r="A84" i="30"/>
  <c r="H83" i="30"/>
  <c r="G83" i="30"/>
  <c r="F83" i="30"/>
  <c r="E83" i="30"/>
  <c r="D83" i="30"/>
  <c r="C83" i="30"/>
  <c r="B83" i="30"/>
  <c r="A83" i="30"/>
  <c r="H82" i="30"/>
  <c r="G82" i="30"/>
  <c r="F82" i="30"/>
  <c r="E82" i="30"/>
  <c r="D82" i="30"/>
  <c r="C82" i="30"/>
  <c r="B82" i="30"/>
  <c r="A82" i="30"/>
  <c r="H81" i="30"/>
  <c r="G81" i="30"/>
  <c r="F81" i="30"/>
  <c r="E81" i="30"/>
  <c r="D81" i="30"/>
  <c r="C81" i="30"/>
  <c r="B81" i="30"/>
  <c r="A81" i="30"/>
  <c r="K80" i="30"/>
  <c r="J80" i="30"/>
  <c r="I80" i="30"/>
  <c r="H80" i="30"/>
  <c r="G80" i="30"/>
  <c r="F80" i="30"/>
  <c r="E80" i="30"/>
  <c r="D80" i="30"/>
  <c r="C80" i="30"/>
  <c r="B80" i="30"/>
  <c r="A80" i="30"/>
  <c r="K79" i="30"/>
  <c r="J79" i="30"/>
  <c r="I79" i="30"/>
  <c r="H79" i="30"/>
  <c r="G79" i="30"/>
  <c r="F79" i="30"/>
  <c r="E79" i="30"/>
  <c r="D79" i="30"/>
  <c r="C79" i="30"/>
  <c r="B79" i="30"/>
  <c r="A79" i="30"/>
  <c r="K78" i="30"/>
  <c r="J78" i="30"/>
  <c r="I78" i="30"/>
  <c r="H78" i="30"/>
  <c r="G78" i="30"/>
  <c r="F78" i="30"/>
  <c r="E78" i="30"/>
  <c r="D78" i="30"/>
  <c r="C78" i="30"/>
  <c r="B78" i="30"/>
  <c r="A78" i="30"/>
  <c r="K77" i="30"/>
  <c r="J77" i="30"/>
  <c r="I77" i="30"/>
  <c r="H77" i="30"/>
  <c r="G77" i="30"/>
  <c r="F77" i="30"/>
  <c r="E77" i="30"/>
  <c r="D77" i="30"/>
  <c r="C77" i="30"/>
  <c r="B77" i="30"/>
  <c r="A77" i="30"/>
  <c r="K76" i="30"/>
  <c r="I76" i="30"/>
  <c r="H76" i="30"/>
  <c r="G76" i="30"/>
  <c r="F76" i="30"/>
  <c r="E76" i="30"/>
  <c r="D76" i="30"/>
  <c r="C76" i="30"/>
  <c r="B76" i="30"/>
  <c r="A76" i="30"/>
  <c r="K75" i="30"/>
  <c r="J75" i="30"/>
  <c r="I75" i="30"/>
  <c r="H75" i="30"/>
  <c r="G75" i="30"/>
  <c r="F75" i="30"/>
  <c r="E75" i="30"/>
  <c r="D75" i="30"/>
  <c r="C75" i="30"/>
  <c r="B75" i="30"/>
  <c r="A75" i="30"/>
  <c r="K74" i="30"/>
  <c r="J74" i="30"/>
  <c r="I74" i="30"/>
  <c r="H74" i="30"/>
  <c r="G74" i="30"/>
  <c r="F74" i="30"/>
  <c r="E74" i="30"/>
  <c r="D74" i="30"/>
  <c r="C74" i="30"/>
  <c r="B74" i="30"/>
  <c r="A74" i="30"/>
  <c r="K73" i="30"/>
  <c r="J73" i="30"/>
  <c r="I73" i="30"/>
  <c r="H73" i="30"/>
  <c r="G73" i="30"/>
  <c r="F73" i="30"/>
  <c r="E73" i="30"/>
  <c r="D73" i="30"/>
  <c r="C73" i="30"/>
  <c r="B73" i="30"/>
  <c r="A73" i="30"/>
  <c r="K72" i="30"/>
  <c r="J72" i="30"/>
  <c r="I72" i="30"/>
  <c r="H72" i="30"/>
  <c r="G72" i="30"/>
  <c r="F72" i="30"/>
  <c r="E72" i="30"/>
  <c r="D72" i="30"/>
  <c r="C72" i="30"/>
  <c r="B72" i="30"/>
  <c r="A72" i="30"/>
  <c r="K71" i="30"/>
  <c r="J71" i="30"/>
  <c r="I71" i="30"/>
  <c r="H71" i="30"/>
  <c r="G71" i="30"/>
  <c r="F71" i="30"/>
  <c r="E71" i="30"/>
  <c r="D71" i="30"/>
  <c r="C71" i="30"/>
  <c r="B71" i="30"/>
  <c r="A71" i="30"/>
  <c r="K70" i="30"/>
  <c r="J70" i="30"/>
  <c r="I70" i="30"/>
  <c r="H70" i="30"/>
  <c r="G70" i="30"/>
  <c r="F70" i="30"/>
  <c r="E70" i="30"/>
  <c r="D70" i="30"/>
  <c r="C70" i="30"/>
  <c r="B70" i="30"/>
  <c r="A70" i="30"/>
  <c r="K69" i="30"/>
  <c r="J69" i="30"/>
  <c r="I69" i="30"/>
  <c r="H69" i="30"/>
  <c r="G69" i="30"/>
  <c r="F69" i="30"/>
  <c r="E69" i="30"/>
  <c r="D69" i="30"/>
  <c r="C69" i="30"/>
  <c r="B69" i="30"/>
  <c r="A69" i="30"/>
  <c r="K68" i="30"/>
  <c r="J68" i="30"/>
  <c r="I68" i="30"/>
  <c r="H68" i="30"/>
  <c r="G68" i="30"/>
  <c r="F68" i="30"/>
  <c r="E68" i="30"/>
  <c r="D68" i="30"/>
  <c r="C68" i="30"/>
  <c r="B68" i="30"/>
  <c r="A68" i="30"/>
  <c r="J67" i="30"/>
  <c r="I67" i="30"/>
  <c r="H67" i="30"/>
  <c r="G67" i="30"/>
  <c r="F67" i="30"/>
  <c r="E67" i="30"/>
  <c r="D67" i="30"/>
  <c r="C67" i="30"/>
  <c r="B67" i="30"/>
  <c r="A67" i="30"/>
  <c r="K66" i="30"/>
  <c r="J66" i="30"/>
  <c r="I66" i="30"/>
  <c r="H66" i="30"/>
  <c r="G66" i="30"/>
  <c r="F66" i="30"/>
  <c r="E66" i="30"/>
  <c r="D66" i="30"/>
  <c r="C66" i="30"/>
  <c r="B66" i="30"/>
  <c r="A66" i="30"/>
  <c r="K65" i="30"/>
  <c r="J65" i="30"/>
  <c r="I65" i="30"/>
  <c r="H65" i="30"/>
  <c r="G65" i="30"/>
  <c r="F65" i="30"/>
  <c r="E65" i="30"/>
  <c r="D65" i="30"/>
  <c r="C65" i="30"/>
  <c r="B65" i="30"/>
  <c r="A65" i="30"/>
  <c r="K64" i="30"/>
  <c r="J64" i="30"/>
  <c r="I64" i="30"/>
  <c r="H64" i="30"/>
  <c r="G64" i="30"/>
  <c r="F64" i="30"/>
  <c r="E64" i="30"/>
  <c r="D64" i="30"/>
  <c r="C64" i="30"/>
  <c r="B64" i="30"/>
  <c r="A64" i="30"/>
  <c r="J63" i="30"/>
  <c r="I63" i="30"/>
  <c r="H63" i="30"/>
  <c r="G63" i="30"/>
  <c r="F63" i="30"/>
  <c r="E63" i="30"/>
  <c r="D63" i="30"/>
  <c r="C63" i="30"/>
  <c r="B63" i="30"/>
  <c r="A63" i="30"/>
  <c r="J62" i="30"/>
  <c r="I62" i="30"/>
  <c r="H62" i="30"/>
  <c r="G62" i="30"/>
  <c r="F62" i="30"/>
  <c r="E62" i="30"/>
  <c r="D62" i="30"/>
  <c r="C62" i="30"/>
  <c r="B62" i="30"/>
  <c r="A62" i="30"/>
  <c r="J61" i="30"/>
  <c r="I61" i="30"/>
  <c r="H61" i="30"/>
  <c r="G61" i="30"/>
  <c r="F61" i="30"/>
  <c r="E61" i="30"/>
  <c r="D61" i="30"/>
  <c r="C61" i="30"/>
  <c r="B61" i="30"/>
  <c r="A61" i="30"/>
  <c r="K60" i="30"/>
  <c r="J60" i="30"/>
  <c r="I60" i="30"/>
  <c r="H60" i="30"/>
  <c r="G60" i="30"/>
  <c r="F60" i="30"/>
  <c r="E60" i="30"/>
  <c r="D60" i="30"/>
  <c r="C60" i="30"/>
  <c r="B60" i="30"/>
  <c r="A60" i="30"/>
  <c r="K59" i="30"/>
  <c r="J59" i="30"/>
  <c r="I59" i="30"/>
  <c r="H59" i="30"/>
  <c r="G59" i="30"/>
  <c r="F59" i="30"/>
  <c r="E59" i="30"/>
  <c r="D59" i="30"/>
  <c r="C59" i="30"/>
  <c r="B59" i="30"/>
  <c r="A59" i="30"/>
  <c r="J58" i="30"/>
  <c r="I58" i="30"/>
  <c r="H58" i="30"/>
  <c r="G58" i="30"/>
  <c r="F58" i="30"/>
  <c r="E58" i="30"/>
  <c r="D58" i="30"/>
  <c r="C58" i="30"/>
  <c r="B58" i="30"/>
  <c r="A58" i="30"/>
  <c r="J57" i="30"/>
  <c r="I57" i="30"/>
  <c r="H57" i="30"/>
  <c r="G57" i="30"/>
  <c r="F57" i="30"/>
  <c r="E57" i="30"/>
  <c r="D57" i="30"/>
  <c r="C57" i="30"/>
  <c r="B57" i="30"/>
  <c r="A57" i="30"/>
  <c r="K56" i="30"/>
  <c r="J56" i="30"/>
  <c r="I56" i="30"/>
  <c r="H56" i="30"/>
  <c r="G56" i="30"/>
  <c r="F56" i="30"/>
  <c r="E56" i="30"/>
  <c r="D56" i="30"/>
  <c r="C56" i="30"/>
  <c r="B56" i="30"/>
  <c r="A56" i="30"/>
  <c r="K55" i="30"/>
  <c r="J55" i="30"/>
  <c r="I55" i="30"/>
  <c r="H55" i="30"/>
  <c r="G55" i="30"/>
  <c r="F55" i="30"/>
  <c r="E55" i="30"/>
  <c r="D55" i="30"/>
  <c r="C55" i="30"/>
  <c r="B55" i="30"/>
  <c r="A55" i="30"/>
  <c r="K54" i="30"/>
  <c r="J54" i="30"/>
  <c r="I54" i="30"/>
  <c r="H54" i="30"/>
  <c r="G54" i="30"/>
  <c r="F54" i="30"/>
  <c r="E54" i="30"/>
  <c r="D54" i="30"/>
  <c r="C54" i="30"/>
  <c r="B54" i="30"/>
  <c r="A54" i="30"/>
  <c r="J53" i="30"/>
  <c r="I53" i="30"/>
  <c r="H53" i="30"/>
  <c r="G53" i="30"/>
  <c r="F53" i="30"/>
  <c r="E53" i="30"/>
  <c r="D53" i="30"/>
  <c r="C53" i="30"/>
  <c r="B53" i="30"/>
  <c r="A53" i="30"/>
  <c r="J52" i="30"/>
  <c r="I52" i="30"/>
  <c r="H52" i="30"/>
  <c r="G52" i="30"/>
  <c r="F52" i="30"/>
  <c r="E52" i="30"/>
  <c r="D52" i="30"/>
  <c r="C52" i="30"/>
  <c r="B52" i="30"/>
  <c r="A52" i="30"/>
  <c r="J51" i="30"/>
  <c r="I51" i="30"/>
  <c r="H51" i="30"/>
  <c r="G51" i="30"/>
  <c r="F51" i="30"/>
  <c r="E51" i="30"/>
  <c r="D51" i="30"/>
  <c r="C51" i="30"/>
  <c r="B51" i="30"/>
  <c r="A51" i="30"/>
  <c r="J50" i="30"/>
  <c r="I50" i="30"/>
  <c r="H50" i="30"/>
  <c r="G50" i="30"/>
  <c r="F50" i="30"/>
  <c r="E50" i="30"/>
  <c r="D50" i="30"/>
  <c r="C50" i="30"/>
  <c r="B50" i="30"/>
  <c r="A50" i="30"/>
  <c r="I49" i="30"/>
  <c r="H49" i="30"/>
  <c r="G49" i="30"/>
  <c r="F49" i="30"/>
  <c r="E49" i="30"/>
  <c r="D49" i="30"/>
  <c r="C49" i="30"/>
  <c r="B49" i="30"/>
  <c r="A49" i="30"/>
  <c r="J48" i="30"/>
  <c r="I48" i="30"/>
  <c r="H48" i="30"/>
  <c r="G48" i="30"/>
  <c r="F48" i="30"/>
  <c r="E48" i="30"/>
  <c r="D48" i="30"/>
  <c r="C48" i="30"/>
  <c r="B48" i="30"/>
  <c r="A48" i="30"/>
  <c r="I47" i="30"/>
  <c r="H47" i="30"/>
  <c r="G47" i="30"/>
  <c r="F47" i="30"/>
  <c r="E47" i="30"/>
  <c r="D47" i="30"/>
  <c r="C47" i="30"/>
  <c r="B47" i="30"/>
  <c r="A47" i="30"/>
  <c r="J46" i="30"/>
  <c r="I46" i="30"/>
  <c r="H46" i="30"/>
  <c r="G46" i="30"/>
  <c r="F46" i="30"/>
  <c r="E46" i="30"/>
  <c r="D46" i="30"/>
  <c r="C46" i="30"/>
  <c r="B46" i="30"/>
  <c r="A46" i="30"/>
  <c r="J45" i="30"/>
  <c r="I45" i="30"/>
  <c r="H45" i="30"/>
  <c r="G45" i="30"/>
  <c r="F45" i="30"/>
  <c r="E45" i="30"/>
  <c r="D45" i="30"/>
  <c r="C45" i="30"/>
  <c r="B45" i="30"/>
  <c r="A45" i="30"/>
  <c r="J44" i="30"/>
  <c r="I44" i="30"/>
  <c r="H44" i="30"/>
  <c r="G44" i="30"/>
  <c r="F44" i="30"/>
  <c r="E44" i="30"/>
  <c r="D44" i="30"/>
  <c r="C44" i="30"/>
  <c r="B44" i="30"/>
  <c r="A44" i="30"/>
  <c r="I43" i="30"/>
  <c r="H43" i="30"/>
  <c r="G43" i="30"/>
  <c r="F43" i="30"/>
  <c r="E43" i="30"/>
  <c r="D43" i="30"/>
  <c r="C43" i="30"/>
  <c r="B43" i="30"/>
  <c r="A43" i="30"/>
  <c r="I42" i="30"/>
  <c r="H42" i="30"/>
  <c r="G42" i="30"/>
  <c r="F42" i="30"/>
  <c r="E42" i="30"/>
  <c r="D42" i="30"/>
  <c r="C42" i="30"/>
  <c r="B42" i="30"/>
  <c r="A42" i="30"/>
  <c r="J41" i="30"/>
  <c r="I41" i="30"/>
  <c r="H41" i="30"/>
  <c r="G41" i="30"/>
  <c r="F41" i="30"/>
  <c r="E41" i="30"/>
  <c r="D41" i="30"/>
  <c r="C41" i="30"/>
  <c r="B41" i="30"/>
  <c r="A41" i="30"/>
  <c r="K40" i="30"/>
  <c r="J40" i="30"/>
  <c r="I40" i="30"/>
  <c r="H40" i="30"/>
  <c r="G40" i="30"/>
  <c r="F40" i="30"/>
  <c r="E40" i="30"/>
  <c r="D40" i="30"/>
  <c r="C40" i="30"/>
  <c r="B40" i="30"/>
  <c r="A40" i="30"/>
  <c r="J39" i="30"/>
  <c r="I39" i="30"/>
  <c r="H39" i="30"/>
  <c r="G39" i="30"/>
  <c r="F39" i="30"/>
  <c r="E39" i="30"/>
  <c r="D39" i="30"/>
  <c r="C39" i="30"/>
  <c r="B39" i="30"/>
  <c r="A39" i="30"/>
  <c r="K38" i="30"/>
  <c r="J38" i="30"/>
  <c r="I38" i="30"/>
  <c r="H38" i="30"/>
  <c r="G38" i="30"/>
  <c r="F38" i="30"/>
  <c r="E38" i="30"/>
  <c r="D38" i="30"/>
  <c r="C38" i="30"/>
  <c r="B38" i="30"/>
  <c r="A38" i="30"/>
  <c r="K37" i="30"/>
  <c r="J37" i="30"/>
  <c r="I37" i="30"/>
  <c r="H37" i="30"/>
  <c r="G37" i="30"/>
  <c r="F37" i="30"/>
  <c r="E37" i="30"/>
  <c r="D37" i="30"/>
  <c r="C37" i="30"/>
  <c r="B37" i="30"/>
  <c r="A37" i="30"/>
  <c r="J36" i="30"/>
  <c r="I36" i="30"/>
  <c r="H36" i="30"/>
  <c r="G36" i="30"/>
  <c r="F36" i="30"/>
  <c r="E36" i="30"/>
  <c r="D36" i="30"/>
  <c r="C36" i="30"/>
  <c r="B36" i="30"/>
  <c r="A36" i="30"/>
  <c r="K35" i="30"/>
  <c r="J35" i="30"/>
  <c r="I35" i="30"/>
  <c r="H35" i="30"/>
  <c r="G35" i="30"/>
  <c r="F35" i="30"/>
  <c r="E35" i="30"/>
  <c r="D35" i="30"/>
  <c r="C35" i="30"/>
  <c r="B35" i="30"/>
  <c r="A35" i="30"/>
  <c r="J34" i="30"/>
  <c r="I34" i="30"/>
  <c r="H34" i="30"/>
  <c r="G34" i="30"/>
  <c r="F34" i="30"/>
  <c r="E34" i="30"/>
  <c r="D34" i="30"/>
  <c r="C34" i="30"/>
  <c r="B34" i="30"/>
  <c r="A34" i="30"/>
  <c r="K33" i="30"/>
  <c r="J33" i="30"/>
  <c r="I33" i="30"/>
  <c r="H33" i="30"/>
  <c r="G33" i="30"/>
  <c r="F33" i="30"/>
  <c r="E33" i="30"/>
  <c r="D33" i="30"/>
  <c r="C33" i="30"/>
  <c r="B33" i="30"/>
  <c r="A33" i="30"/>
  <c r="J32" i="30"/>
  <c r="I32" i="30"/>
  <c r="H32" i="30"/>
  <c r="G32" i="30"/>
  <c r="F32" i="30"/>
  <c r="E32" i="30"/>
  <c r="D32" i="30"/>
  <c r="C32" i="30"/>
  <c r="B32" i="30"/>
  <c r="A32" i="30"/>
  <c r="J31" i="30"/>
  <c r="I31" i="30"/>
  <c r="H31" i="30"/>
  <c r="G31" i="30"/>
  <c r="F31" i="30"/>
  <c r="E31" i="30"/>
  <c r="D31" i="30"/>
  <c r="C31" i="30"/>
  <c r="B31" i="30"/>
  <c r="A31" i="30"/>
  <c r="J30" i="30"/>
  <c r="I30" i="30"/>
  <c r="H30" i="30"/>
  <c r="G30" i="30"/>
  <c r="F30" i="30"/>
  <c r="E30" i="30"/>
  <c r="D30" i="30"/>
  <c r="C30" i="30"/>
  <c r="B30" i="30"/>
  <c r="A30" i="30"/>
  <c r="K29" i="30"/>
  <c r="J29" i="30"/>
  <c r="I29" i="30"/>
  <c r="H29" i="30"/>
  <c r="G29" i="30"/>
  <c r="F29" i="30"/>
  <c r="E29" i="30"/>
  <c r="D29" i="30"/>
  <c r="C29" i="30"/>
  <c r="B29" i="30"/>
  <c r="A29" i="30"/>
  <c r="J28" i="30"/>
  <c r="I28" i="30"/>
  <c r="H28" i="30"/>
  <c r="G28" i="30"/>
  <c r="F28" i="30"/>
  <c r="E28" i="30"/>
  <c r="D28" i="30"/>
  <c r="C28" i="30"/>
  <c r="B28" i="30"/>
  <c r="A28" i="30"/>
  <c r="K27" i="30"/>
  <c r="J27" i="30"/>
  <c r="I27" i="30"/>
  <c r="H27" i="30"/>
  <c r="G27" i="30"/>
  <c r="F27" i="30"/>
  <c r="E27" i="30"/>
  <c r="D27" i="30"/>
  <c r="C27" i="30"/>
  <c r="B27" i="30"/>
  <c r="A27" i="30"/>
  <c r="J26" i="30"/>
  <c r="I26" i="30"/>
  <c r="H26" i="30"/>
  <c r="G26" i="30"/>
  <c r="F26" i="30"/>
  <c r="E26" i="30"/>
  <c r="D26" i="30"/>
  <c r="C26" i="30"/>
  <c r="B26" i="30"/>
  <c r="A26" i="30"/>
  <c r="J25" i="30"/>
  <c r="I25" i="30"/>
  <c r="H25" i="30"/>
  <c r="G25" i="30"/>
  <c r="F25" i="30"/>
  <c r="E25" i="30"/>
  <c r="D25" i="30"/>
  <c r="C25" i="30"/>
  <c r="B25" i="30"/>
  <c r="A25" i="30"/>
  <c r="K24" i="30"/>
  <c r="J24" i="30"/>
  <c r="I24" i="30"/>
  <c r="H24" i="30"/>
  <c r="G24" i="30"/>
  <c r="F24" i="30"/>
  <c r="E24" i="30"/>
  <c r="D24" i="30"/>
  <c r="C24" i="30"/>
  <c r="B24" i="30"/>
  <c r="A24" i="30"/>
  <c r="J23" i="30"/>
  <c r="I23" i="30"/>
  <c r="H23" i="30"/>
  <c r="G23" i="30"/>
  <c r="F23" i="30"/>
  <c r="E23" i="30"/>
  <c r="D23" i="30"/>
  <c r="C23" i="30"/>
  <c r="B23" i="30"/>
  <c r="A23" i="30"/>
  <c r="J22" i="30"/>
  <c r="I22" i="30"/>
  <c r="H22" i="30"/>
  <c r="G22" i="30"/>
  <c r="F22" i="30"/>
  <c r="E22" i="30"/>
  <c r="D22" i="30"/>
  <c r="C22" i="30"/>
  <c r="B22" i="30"/>
  <c r="A22" i="30"/>
  <c r="K21" i="30"/>
  <c r="J21" i="30"/>
  <c r="I21" i="30"/>
  <c r="H21" i="30"/>
  <c r="G21" i="30"/>
  <c r="F21" i="30"/>
  <c r="E21" i="30"/>
  <c r="D21" i="30"/>
  <c r="C21" i="30"/>
  <c r="B21" i="30"/>
  <c r="A21" i="30"/>
  <c r="K20" i="30"/>
  <c r="J20" i="30"/>
  <c r="I20" i="30"/>
  <c r="H20" i="30"/>
  <c r="G20" i="30"/>
  <c r="F20" i="30"/>
  <c r="E20" i="30"/>
  <c r="D20" i="30"/>
  <c r="C20" i="30"/>
  <c r="B20" i="30"/>
  <c r="A20" i="30"/>
  <c r="J19" i="30"/>
  <c r="I19" i="30"/>
  <c r="H19" i="30"/>
  <c r="G19" i="30"/>
  <c r="F19" i="30"/>
  <c r="E19" i="30"/>
  <c r="D19" i="30"/>
  <c r="C19" i="30"/>
  <c r="B19" i="30"/>
  <c r="A19" i="30"/>
  <c r="J18" i="30"/>
  <c r="I18" i="30"/>
  <c r="H18" i="30"/>
  <c r="G18" i="30"/>
  <c r="F18" i="30"/>
  <c r="E18" i="30"/>
  <c r="D18" i="30"/>
  <c r="C18" i="30"/>
  <c r="B18" i="30"/>
  <c r="A18" i="30"/>
  <c r="J17" i="30"/>
  <c r="I17" i="30"/>
  <c r="H17" i="30"/>
  <c r="G17" i="30"/>
  <c r="F17" i="30"/>
  <c r="E17" i="30"/>
  <c r="D17" i="30"/>
  <c r="C17" i="30"/>
  <c r="B17" i="30"/>
  <c r="A17" i="30"/>
  <c r="K16" i="30"/>
  <c r="J16" i="30"/>
  <c r="I16" i="30"/>
  <c r="H16" i="30"/>
  <c r="G16" i="30"/>
  <c r="F16" i="30"/>
  <c r="E16" i="30"/>
  <c r="D16" i="30"/>
  <c r="C16" i="30"/>
  <c r="B16" i="30"/>
  <c r="A16" i="30"/>
  <c r="K15" i="30"/>
  <c r="J15" i="30"/>
  <c r="I15" i="30"/>
  <c r="H15" i="30"/>
  <c r="G15" i="30"/>
  <c r="F15" i="30"/>
  <c r="E15" i="30"/>
  <c r="D15" i="30"/>
  <c r="C15" i="30"/>
  <c r="B15" i="30"/>
  <c r="A15" i="30"/>
  <c r="J14" i="30"/>
  <c r="I14" i="30"/>
  <c r="H14" i="30"/>
  <c r="G14" i="30"/>
  <c r="F14" i="30"/>
  <c r="E14" i="30"/>
  <c r="D14" i="30"/>
  <c r="C14" i="30"/>
  <c r="B14" i="30"/>
  <c r="A14" i="30"/>
  <c r="K13" i="30"/>
  <c r="J13" i="30"/>
  <c r="I13" i="30"/>
  <c r="H13" i="30"/>
  <c r="G13" i="30"/>
  <c r="F13" i="30"/>
  <c r="E13" i="30"/>
  <c r="D13" i="30"/>
  <c r="C13" i="30"/>
  <c r="B13" i="30"/>
  <c r="A13" i="30"/>
  <c r="J12" i="30"/>
  <c r="I12" i="30"/>
  <c r="H12" i="30"/>
  <c r="G12" i="30"/>
  <c r="F12" i="30"/>
  <c r="E12" i="30"/>
  <c r="D12" i="30"/>
  <c r="C12" i="30"/>
  <c r="B12" i="30"/>
  <c r="A12" i="30"/>
  <c r="K80" i="29"/>
  <c r="K79" i="29"/>
  <c r="K78" i="29"/>
  <c r="K77" i="29"/>
  <c r="K76" i="29"/>
  <c r="K75" i="29"/>
  <c r="K74" i="29"/>
  <c r="K73" i="29"/>
  <c r="K72" i="29"/>
  <c r="K71" i="29"/>
  <c r="K70" i="29"/>
  <c r="K69" i="29"/>
  <c r="K68" i="29"/>
  <c r="K67" i="29"/>
  <c r="K66" i="29"/>
  <c r="K65" i="29"/>
  <c r="K64" i="29"/>
  <c r="K63" i="29"/>
  <c r="K62" i="29"/>
  <c r="K61" i="29"/>
  <c r="K60" i="29"/>
  <c r="K59" i="29"/>
  <c r="K58" i="29"/>
  <c r="K57" i="29"/>
  <c r="K56" i="29"/>
  <c r="K55" i="29"/>
  <c r="K54" i="29"/>
  <c r="K53" i="29"/>
  <c r="K52" i="29"/>
  <c r="K51" i="29"/>
  <c r="K50" i="29"/>
  <c r="K49" i="29"/>
  <c r="K48" i="29"/>
  <c r="K47" i="29"/>
  <c r="K46" i="29"/>
  <c r="K45" i="29"/>
  <c r="K44" i="29"/>
  <c r="K43" i="29"/>
  <c r="K42" i="29"/>
  <c r="K41" i="29"/>
  <c r="K40" i="29"/>
  <c r="K39" i="29"/>
  <c r="K38" i="29"/>
  <c r="K37" i="29"/>
  <c r="K36" i="29"/>
  <c r="K35" i="29"/>
  <c r="K34" i="29"/>
  <c r="K33" i="29"/>
  <c r="K32" i="29"/>
  <c r="K31" i="29"/>
  <c r="K30" i="29"/>
  <c r="K29" i="29"/>
  <c r="K28" i="29"/>
  <c r="K27" i="29"/>
  <c r="K26" i="29"/>
  <c r="K25" i="29"/>
  <c r="K24" i="29"/>
  <c r="K23" i="29"/>
  <c r="K22" i="29"/>
  <c r="K21" i="29"/>
  <c r="K20" i="29"/>
  <c r="I20" i="29"/>
  <c r="K19" i="29"/>
  <c r="I19" i="29"/>
  <c r="K18" i="29"/>
  <c r="I18" i="29"/>
  <c r="K17" i="29"/>
  <c r="I17" i="29"/>
  <c r="K16" i="29"/>
  <c r="I16" i="29"/>
  <c r="K15" i="29"/>
  <c r="I15" i="29"/>
  <c r="K14" i="29"/>
  <c r="I14" i="29"/>
  <c r="K13" i="29"/>
  <c r="I13" i="29"/>
  <c r="K12" i="29"/>
  <c r="I12" i="29"/>
  <c r="G12" i="29"/>
  <c r="F12" i="29"/>
  <c r="E12" i="29"/>
  <c r="D12" i="29"/>
  <c r="A12" i="29"/>
  <c r="K12" i="28"/>
  <c r="J12" i="28"/>
  <c r="I12" i="28"/>
  <c r="H12" i="28"/>
  <c r="G12" i="28"/>
  <c r="F12" i="28"/>
  <c r="E12" i="28"/>
  <c r="D12" i="28"/>
  <c r="C12" i="28"/>
  <c r="B12" i="28"/>
  <c r="A12" i="28"/>
  <c r="K80" i="27"/>
  <c r="K79" i="27"/>
  <c r="K78" i="27"/>
  <c r="K77" i="27"/>
  <c r="K76" i="27"/>
  <c r="K75" i="27"/>
  <c r="K74" i="27"/>
  <c r="K73" i="27"/>
  <c r="K72" i="27"/>
  <c r="K71" i="27"/>
  <c r="K70" i="27"/>
  <c r="K69" i="27"/>
  <c r="K68" i="27"/>
  <c r="K67" i="27"/>
  <c r="K66" i="27"/>
  <c r="K65" i="27"/>
  <c r="K64" i="27"/>
  <c r="K63" i="27"/>
  <c r="K62" i="27"/>
  <c r="K61" i="27"/>
  <c r="K60" i="27"/>
  <c r="K59" i="27"/>
  <c r="K58" i="27"/>
  <c r="K57" i="27"/>
  <c r="K56" i="27"/>
  <c r="K55" i="27"/>
  <c r="K54" i="27"/>
  <c r="K53" i="27"/>
  <c r="K52" i="27"/>
  <c r="K51" i="27"/>
  <c r="K50" i="27"/>
  <c r="K49" i="27"/>
  <c r="K48" i="27"/>
  <c r="K47" i="27"/>
  <c r="K46" i="27"/>
  <c r="K45" i="27"/>
  <c r="K44" i="27"/>
  <c r="K43" i="27"/>
  <c r="K42" i="27"/>
  <c r="K41" i="27"/>
  <c r="K40" i="27"/>
  <c r="K39" i="27"/>
  <c r="K38" i="27"/>
  <c r="K36" i="27"/>
  <c r="K35" i="27"/>
  <c r="K34" i="27"/>
  <c r="K33" i="27"/>
  <c r="K32" i="27"/>
  <c r="K31" i="27"/>
  <c r="K30" i="27"/>
  <c r="K29" i="27"/>
  <c r="K28" i="27"/>
  <c r="K27" i="27"/>
  <c r="K26" i="27"/>
  <c r="K25" i="27"/>
  <c r="K24" i="27"/>
  <c r="K23" i="27"/>
  <c r="I23" i="27"/>
  <c r="K22" i="27"/>
  <c r="I22" i="27"/>
  <c r="K21" i="27"/>
  <c r="I21" i="27"/>
  <c r="K20" i="27"/>
  <c r="I20" i="27"/>
  <c r="I19" i="27"/>
  <c r="I18" i="27"/>
  <c r="I17" i="27"/>
  <c r="I16" i="27"/>
  <c r="I15" i="27"/>
  <c r="I14" i="27"/>
  <c r="K13" i="27"/>
  <c r="I13" i="27"/>
  <c r="K12" i="27"/>
  <c r="I12" i="27"/>
  <c r="G12" i="27"/>
  <c r="F12" i="27"/>
  <c r="E12" i="27"/>
  <c r="D12" i="27"/>
  <c r="A12" i="27"/>
  <c r="K80" i="26"/>
  <c r="K79" i="26"/>
  <c r="K78" i="26"/>
  <c r="K77" i="26"/>
  <c r="K76" i="26"/>
  <c r="K75" i="26"/>
  <c r="K74" i="26"/>
  <c r="K73" i="26"/>
  <c r="K72" i="26"/>
  <c r="K71" i="26"/>
  <c r="K70" i="26"/>
  <c r="K69" i="26"/>
  <c r="K68" i="26"/>
  <c r="K67" i="26"/>
  <c r="K66" i="26"/>
  <c r="K65" i="26"/>
  <c r="K64" i="26"/>
  <c r="K63" i="26"/>
  <c r="K62" i="26"/>
  <c r="K61" i="26"/>
  <c r="K60" i="26"/>
  <c r="K59" i="26"/>
  <c r="K58" i="26"/>
  <c r="K57" i="26"/>
  <c r="K56" i="26"/>
  <c r="K55" i="26"/>
  <c r="K54" i="26"/>
  <c r="K53" i="26"/>
  <c r="K52" i="26"/>
  <c r="K51" i="26"/>
  <c r="K50" i="26"/>
  <c r="K49" i="26"/>
  <c r="K48" i="26"/>
  <c r="K47" i="26"/>
  <c r="K46" i="26"/>
  <c r="K45" i="26"/>
  <c r="K44" i="26"/>
  <c r="K43" i="26"/>
  <c r="K42" i="26"/>
  <c r="K41" i="26"/>
  <c r="K40" i="26"/>
  <c r="K39" i="26"/>
  <c r="K38" i="26"/>
  <c r="K37" i="26"/>
  <c r="K36" i="26"/>
  <c r="K35" i="26"/>
  <c r="K34" i="26"/>
  <c r="K33" i="26"/>
  <c r="K32" i="26"/>
  <c r="K31" i="26"/>
  <c r="K30" i="26"/>
  <c r="K29" i="26"/>
  <c r="K28" i="26"/>
  <c r="K27" i="26"/>
  <c r="K26" i="26"/>
  <c r="K25" i="26"/>
  <c r="K24" i="26"/>
  <c r="K23" i="26"/>
  <c r="K22" i="26"/>
  <c r="K21" i="26"/>
  <c r="K20" i="26"/>
  <c r="K19" i="26"/>
  <c r="K18" i="26"/>
  <c r="K17" i="26"/>
  <c r="K16" i="26"/>
  <c r="K15" i="26"/>
  <c r="K14" i="26"/>
  <c r="K13" i="26"/>
  <c r="J13" i="26"/>
  <c r="K12" i="26"/>
  <c r="J12" i="26"/>
  <c r="I12" i="26"/>
  <c r="G12" i="26"/>
  <c r="F12" i="26"/>
  <c r="E12" i="26"/>
  <c r="D12" i="26"/>
  <c r="A12" i="26"/>
  <c r="K80" i="25"/>
  <c r="K79" i="25"/>
  <c r="K78" i="25"/>
  <c r="K77" i="25"/>
  <c r="K76" i="25"/>
  <c r="K75" i="25"/>
  <c r="K74" i="25"/>
  <c r="K73" i="25"/>
  <c r="K72" i="25"/>
  <c r="K71" i="25"/>
  <c r="K70" i="25"/>
  <c r="K69" i="25"/>
  <c r="K68" i="25"/>
  <c r="K67" i="25"/>
  <c r="K66" i="25"/>
  <c r="K65" i="25"/>
  <c r="K64" i="25"/>
  <c r="K63" i="25"/>
  <c r="K62" i="25"/>
  <c r="K61" i="25"/>
  <c r="K60" i="25"/>
  <c r="K59" i="25"/>
  <c r="K58" i="25"/>
  <c r="K57" i="25"/>
  <c r="K56" i="25"/>
  <c r="K55" i="25"/>
  <c r="K54" i="25"/>
  <c r="K53" i="25"/>
  <c r="K52" i="25"/>
  <c r="K51" i="25"/>
  <c r="K50" i="25"/>
  <c r="K49" i="25"/>
  <c r="K48" i="25"/>
  <c r="K23" i="25"/>
  <c r="J23" i="25"/>
  <c r="I23" i="25"/>
  <c r="K22" i="25"/>
  <c r="J22" i="25"/>
  <c r="I22" i="25"/>
  <c r="K21" i="25"/>
  <c r="J21" i="25"/>
  <c r="I21" i="25"/>
  <c r="K20" i="25"/>
  <c r="J20" i="25"/>
  <c r="I20" i="25"/>
  <c r="K19" i="25"/>
  <c r="J19" i="25"/>
  <c r="I19" i="25"/>
  <c r="K18" i="25"/>
  <c r="J18" i="25"/>
  <c r="I18" i="25"/>
  <c r="K17" i="25"/>
  <c r="J17" i="25"/>
  <c r="I17" i="25"/>
  <c r="K16" i="25"/>
  <c r="J16" i="25"/>
  <c r="I16" i="25"/>
  <c r="K15" i="25"/>
  <c r="J15" i="25"/>
  <c r="I15" i="25"/>
  <c r="K14" i="25"/>
  <c r="J14" i="25"/>
  <c r="I14" i="25"/>
  <c r="K13" i="25"/>
  <c r="J13" i="25"/>
  <c r="I13" i="25"/>
  <c r="K12" i="25"/>
  <c r="J12" i="25"/>
  <c r="I12" i="25"/>
  <c r="G12" i="25"/>
  <c r="F12" i="25"/>
  <c r="E12" i="25"/>
  <c r="D12" i="25"/>
  <c r="A12" i="25"/>
  <c r="K80" i="24"/>
  <c r="K79" i="24"/>
  <c r="K78" i="24"/>
  <c r="K77" i="24"/>
  <c r="K76" i="24"/>
  <c r="K75" i="24"/>
  <c r="K74" i="24"/>
  <c r="K73" i="24"/>
  <c r="K72" i="24"/>
  <c r="K71" i="24"/>
  <c r="K70" i="24"/>
  <c r="K69" i="24"/>
  <c r="K68" i="24"/>
  <c r="K67" i="24"/>
  <c r="K66" i="24"/>
  <c r="K65" i="24"/>
  <c r="K64" i="24"/>
  <c r="K63" i="24"/>
  <c r="K62" i="24"/>
  <c r="K61" i="24"/>
  <c r="K60" i="24"/>
  <c r="K59" i="24"/>
  <c r="K58" i="24"/>
  <c r="K57" i="24"/>
  <c r="K56" i="24"/>
  <c r="K55" i="24"/>
  <c r="K54" i="24"/>
  <c r="K53" i="24"/>
  <c r="K52" i="24"/>
  <c r="K51" i="24"/>
  <c r="K50" i="24"/>
  <c r="K49" i="24"/>
  <c r="K48" i="24"/>
  <c r="K47" i="24"/>
  <c r="K46" i="24"/>
  <c r="K45" i="24"/>
  <c r="K44" i="24"/>
  <c r="K43" i="24"/>
  <c r="K42" i="24"/>
  <c r="K41" i="24"/>
  <c r="K40" i="24"/>
  <c r="K39" i="24"/>
  <c r="K38" i="24"/>
  <c r="K37" i="24"/>
  <c r="K36" i="24"/>
  <c r="K34" i="24"/>
  <c r="K33" i="24"/>
  <c r="K32" i="24"/>
  <c r="K31" i="24"/>
  <c r="K30" i="24"/>
  <c r="K29" i="24"/>
  <c r="K28" i="24"/>
  <c r="I27" i="24"/>
  <c r="I26" i="24"/>
  <c r="I25" i="24"/>
  <c r="I24" i="24"/>
  <c r="I23" i="24"/>
  <c r="I22" i="24"/>
  <c r="I21" i="24"/>
  <c r="I20" i="24"/>
  <c r="I19" i="24"/>
  <c r="I18" i="24"/>
  <c r="I17" i="24"/>
  <c r="K16" i="24"/>
  <c r="J16" i="24"/>
  <c r="I16" i="24"/>
  <c r="H16" i="24"/>
  <c r="G16" i="24"/>
  <c r="F16" i="24"/>
  <c r="E16" i="24"/>
  <c r="D16" i="24"/>
  <c r="C16" i="24"/>
  <c r="B16" i="24"/>
  <c r="A16" i="24"/>
  <c r="K15" i="24"/>
  <c r="J15" i="24"/>
  <c r="I15" i="24"/>
  <c r="H15" i="24"/>
  <c r="G15" i="24"/>
  <c r="F15" i="24"/>
  <c r="E15" i="24"/>
  <c r="D15" i="24"/>
  <c r="C15" i="24"/>
  <c r="B15" i="24"/>
  <c r="A15" i="24"/>
  <c r="K14" i="24"/>
  <c r="J14" i="24"/>
  <c r="I14" i="24"/>
  <c r="H14" i="24"/>
  <c r="G14" i="24"/>
  <c r="F14" i="24"/>
  <c r="E14" i="24"/>
  <c r="D14" i="24"/>
  <c r="C14" i="24"/>
  <c r="B14" i="24"/>
  <c r="A14" i="24"/>
  <c r="K13" i="24"/>
  <c r="J13" i="24"/>
  <c r="I13" i="24"/>
  <c r="H13" i="24"/>
  <c r="G13" i="24"/>
  <c r="F13" i="24"/>
  <c r="E13" i="24"/>
  <c r="D13" i="24"/>
  <c r="C13" i="24"/>
  <c r="B13" i="24"/>
  <c r="A13" i="24"/>
  <c r="K12" i="24"/>
  <c r="J12" i="24"/>
  <c r="I12" i="24"/>
  <c r="H12" i="24"/>
  <c r="G12" i="24"/>
  <c r="F12" i="24"/>
  <c r="E12" i="24"/>
  <c r="D12" i="24"/>
  <c r="C12" i="24"/>
  <c r="B12" i="24"/>
  <c r="A12" i="24"/>
  <c r="I80" i="23"/>
  <c r="I79" i="23"/>
  <c r="I78" i="23"/>
  <c r="I77" i="23"/>
  <c r="I76" i="23"/>
  <c r="I75" i="23"/>
  <c r="I74" i="23"/>
  <c r="I73" i="23"/>
  <c r="I72" i="23"/>
  <c r="I71" i="23"/>
  <c r="I70" i="23"/>
  <c r="I69" i="23"/>
  <c r="I68" i="23"/>
  <c r="I67" i="23"/>
  <c r="I66" i="23"/>
  <c r="I65" i="23"/>
  <c r="I64" i="23"/>
  <c r="I63" i="23"/>
  <c r="I62" i="23"/>
  <c r="I61" i="23"/>
  <c r="I60" i="23"/>
  <c r="I59" i="23"/>
  <c r="I58" i="23"/>
  <c r="I57" i="23"/>
  <c r="I56" i="23"/>
  <c r="I55" i="23"/>
  <c r="I54" i="23"/>
  <c r="I53" i="23"/>
  <c r="I52" i="23"/>
  <c r="I51" i="23"/>
  <c r="I50" i="23"/>
  <c r="I49" i="23"/>
  <c r="I48" i="23"/>
  <c r="I47" i="23"/>
  <c r="I46" i="23"/>
  <c r="I45" i="23"/>
  <c r="I44" i="23"/>
  <c r="I43" i="23"/>
  <c r="I42" i="23"/>
  <c r="I41" i="23"/>
  <c r="I40" i="23"/>
  <c r="K39" i="23"/>
  <c r="J39" i="23"/>
  <c r="I39" i="23"/>
  <c r="H39" i="23"/>
  <c r="G39" i="23"/>
  <c r="F39" i="23"/>
  <c r="E39" i="23"/>
  <c r="D39" i="23"/>
  <c r="C39" i="23"/>
  <c r="B39" i="23"/>
  <c r="A39" i="23"/>
  <c r="K38" i="23"/>
  <c r="J38" i="23"/>
  <c r="I38" i="23"/>
  <c r="H38" i="23"/>
  <c r="G38" i="23"/>
  <c r="F38" i="23"/>
  <c r="E38" i="23"/>
  <c r="D38" i="23"/>
  <c r="C38" i="23"/>
  <c r="B38" i="23"/>
  <c r="A38" i="23"/>
  <c r="K37" i="23"/>
  <c r="J37" i="23"/>
  <c r="I37" i="23"/>
  <c r="H37" i="23"/>
  <c r="G37" i="23"/>
  <c r="F37" i="23"/>
  <c r="E37" i="23"/>
  <c r="D37" i="23"/>
  <c r="C37" i="23"/>
  <c r="B37" i="23"/>
  <c r="A37" i="23"/>
  <c r="K36" i="23"/>
  <c r="J36" i="23"/>
  <c r="I36" i="23"/>
  <c r="H36" i="23"/>
  <c r="G36" i="23"/>
  <c r="F36" i="23"/>
  <c r="E36" i="23"/>
  <c r="D36" i="23"/>
  <c r="C36" i="23"/>
  <c r="B36" i="23"/>
  <c r="A36" i="23"/>
  <c r="K35" i="23"/>
  <c r="J35" i="23"/>
  <c r="I35" i="23"/>
  <c r="H35" i="23"/>
  <c r="G35" i="23"/>
  <c r="F35" i="23"/>
  <c r="E35" i="23"/>
  <c r="D35" i="23"/>
  <c r="C35" i="23"/>
  <c r="B35" i="23"/>
  <c r="A35" i="23"/>
  <c r="K34" i="23"/>
  <c r="J34" i="23"/>
  <c r="I34" i="23"/>
  <c r="H34" i="23"/>
  <c r="G34" i="23"/>
  <c r="F34" i="23"/>
  <c r="E34" i="23"/>
  <c r="D34" i="23"/>
  <c r="C34" i="23"/>
  <c r="B34" i="23"/>
  <c r="A34" i="23"/>
  <c r="K33" i="23"/>
  <c r="J33" i="23"/>
  <c r="I33" i="23"/>
  <c r="H33" i="23"/>
  <c r="G33" i="23"/>
  <c r="F33" i="23"/>
  <c r="E33" i="23"/>
  <c r="D33" i="23"/>
  <c r="C33" i="23"/>
  <c r="B33" i="23"/>
  <c r="A33" i="23"/>
  <c r="K32" i="23"/>
  <c r="J32" i="23"/>
  <c r="I32" i="23"/>
  <c r="H32" i="23"/>
  <c r="G32" i="23"/>
  <c r="F32" i="23"/>
  <c r="E32" i="23"/>
  <c r="D32" i="23"/>
  <c r="C32" i="23"/>
  <c r="B32" i="23"/>
  <c r="A32" i="23"/>
  <c r="K31" i="23"/>
  <c r="J31" i="23"/>
  <c r="I31" i="23"/>
  <c r="H31" i="23"/>
  <c r="G31" i="23"/>
  <c r="F31" i="23"/>
  <c r="E31" i="23"/>
  <c r="D31" i="23"/>
  <c r="C31" i="23"/>
  <c r="B31" i="23"/>
  <c r="A31" i="23"/>
  <c r="K30" i="23"/>
  <c r="J30" i="23"/>
  <c r="I30" i="23"/>
  <c r="H30" i="23"/>
  <c r="G30" i="23"/>
  <c r="F30" i="23"/>
  <c r="E30" i="23"/>
  <c r="D30" i="23"/>
  <c r="C30" i="23"/>
  <c r="B30" i="23"/>
  <c r="A30" i="23"/>
  <c r="K29" i="23"/>
  <c r="J29" i="23"/>
  <c r="I29" i="23"/>
  <c r="H29" i="23"/>
  <c r="G29" i="23"/>
  <c r="F29" i="23"/>
  <c r="E29" i="23"/>
  <c r="D29" i="23"/>
  <c r="C29" i="23"/>
  <c r="B29" i="23"/>
  <c r="A29" i="23"/>
  <c r="K28" i="23"/>
  <c r="J28" i="23"/>
  <c r="I28" i="23"/>
  <c r="H28" i="23"/>
  <c r="G28" i="23"/>
  <c r="F28" i="23"/>
  <c r="E28" i="23"/>
  <c r="D28" i="23"/>
  <c r="C28" i="23"/>
  <c r="B28" i="23"/>
  <c r="A28" i="23"/>
  <c r="K27" i="23"/>
  <c r="J27" i="23"/>
  <c r="I27" i="23"/>
  <c r="H27" i="23"/>
  <c r="G27" i="23"/>
  <c r="F27" i="23"/>
  <c r="E27" i="23"/>
  <c r="D27" i="23"/>
  <c r="C27" i="23"/>
  <c r="B27" i="23"/>
  <c r="A27" i="23"/>
  <c r="K26" i="23"/>
  <c r="J26" i="23"/>
  <c r="I26" i="23"/>
  <c r="H26" i="23"/>
  <c r="G26" i="23"/>
  <c r="F26" i="23"/>
  <c r="E26" i="23"/>
  <c r="D26" i="23"/>
  <c r="C26" i="23"/>
  <c r="B26" i="23"/>
  <c r="A26" i="23"/>
  <c r="K25" i="23"/>
  <c r="J25" i="23"/>
  <c r="I25" i="23"/>
  <c r="H25" i="23"/>
  <c r="G25" i="23"/>
  <c r="F25" i="23"/>
  <c r="E25" i="23"/>
  <c r="D25" i="23"/>
  <c r="C25" i="23"/>
  <c r="B25" i="23"/>
  <c r="A25" i="23"/>
  <c r="K24" i="23"/>
  <c r="J24" i="23"/>
  <c r="I24" i="23"/>
  <c r="H24" i="23"/>
  <c r="G24" i="23"/>
  <c r="F24" i="23"/>
  <c r="E24" i="23"/>
  <c r="D24" i="23"/>
  <c r="C24" i="23"/>
  <c r="B24" i="23"/>
  <c r="A24" i="23"/>
  <c r="K23" i="23"/>
  <c r="J23" i="23"/>
  <c r="I23" i="23"/>
  <c r="H23" i="23"/>
  <c r="G23" i="23"/>
  <c r="F23" i="23"/>
  <c r="E23" i="23"/>
  <c r="D23" i="23"/>
  <c r="C23" i="23"/>
  <c r="B23" i="23"/>
  <c r="A23" i="23"/>
  <c r="K22" i="23"/>
  <c r="J22" i="23"/>
  <c r="I22" i="23"/>
  <c r="H22" i="23"/>
  <c r="G22" i="23"/>
  <c r="F22" i="23"/>
  <c r="E22" i="23"/>
  <c r="D22" i="23"/>
  <c r="C22" i="23"/>
  <c r="B22" i="23"/>
  <c r="A22" i="23"/>
  <c r="K21" i="23"/>
  <c r="J21" i="23"/>
  <c r="I21" i="23"/>
  <c r="H21" i="23"/>
  <c r="G21" i="23"/>
  <c r="F21" i="23"/>
  <c r="E21" i="23"/>
  <c r="D21" i="23"/>
  <c r="C21" i="23"/>
  <c r="B21" i="23"/>
  <c r="A21" i="23"/>
  <c r="K20" i="23"/>
  <c r="J20" i="23"/>
  <c r="I20" i="23"/>
  <c r="H20" i="23"/>
  <c r="G20" i="23"/>
  <c r="F20" i="23"/>
  <c r="E20" i="23"/>
  <c r="D20" i="23"/>
  <c r="C20" i="23"/>
  <c r="B20" i="23"/>
  <c r="A20" i="23"/>
  <c r="K19" i="23"/>
  <c r="J19" i="23"/>
  <c r="I19" i="23"/>
  <c r="H19" i="23"/>
  <c r="G19" i="23"/>
  <c r="F19" i="23"/>
  <c r="E19" i="23"/>
  <c r="D19" i="23"/>
  <c r="C19" i="23"/>
  <c r="B19" i="23"/>
  <c r="A19" i="23"/>
  <c r="K18" i="23"/>
  <c r="J18" i="23"/>
  <c r="I18" i="23"/>
  <c r="H18" i="23"/>
  <c r="G18" i="23"/>
  <c r="F18" i="23"/>
  <c r="E18" i="23"/>
  <c r="D18" i="23"/>
  <c r="C18" i="23"/>
  <c r="B18" i="23"/>
  <c r="A18" i="23"/>
  <c r="K17" i="23"/>
  <c r="J17" i="23"/>
  <c r="I17" i="23"/>
  <c r="H17" i="23"/>
  <c r="G17" i="23"/>
  <c r="F17" i="23"/>
  <c r="E17" i="23"/>
  <c r="D17" i="23"/>
  <c r="C17" i="23"/>
  <c r="B17" i="23"/>
  <c r="A17" i="23"/>
  <c r="K16" i="23"/>
  <c r="J16" i="23"/>
  <c r="I16" i="23"/>
  <c r="H16" i="23"/>
  <c r="G16" i="23"/>
  <c r="F16" i="23"/>
  <c r="E16" i="23"/>
  <c r="D16" i="23"/>
  <c r="C16" i="23"/>
  <c r="B16" i="23"/>
  <c r="A16" i="23"/>
  <c r="K15" i="23"/>
  <c r="J15" i="23"/>
  <c r="I15" i="23"/>
  <c r="H15" i="23"/>
  <c r="G15" i="23"/>
  <c r="F15" i="23"/>
  <c r="E15" i="23"/>
  <c r="D15" i="23"/>
  <c r="C15" i="23"/>
  <c r="B15" i="23"/>
  <c r="A15" i="23"/>
  <c r="K14" i="23"/>
  <c r="J14" i="23"/>
  <c r="I14" i="23"/>
  <c r="H14" i="23"/>
  <c r="G14" i="23"/>
  <c r="F14" i="23"/>
  <c r="E14" i="23"/>
  <c r="D14" i="23"/>
  <c r="C14" i="23"/>
  <c r="B14" i="23"/>
  <c r="A14" i="23"/>
  <c r="K13" i="23"/>
  <c r="J13" i="23"/>
  <c r="I13" i="23"/>
  <c r="H13" i="23"/>
  <c r="G13" i="23"/>
  <c r="F13" i="23"/>
  <c r="E13" i="23"/>
  <c r="D13" i="23"/>
  <c r="C13" i="23"/>
  <c r="B13" i="23"/>
  <c r="A13" i="23"/>
  <c r="K12" i="23"/>
  <c r="J12" i="23"/>
  <c r="I12" i="23"/>
  <c r="H12" i="23"/>
  <c r="G12" i="23"/>
  <c r="F12" i="23"/>
  <c r="E12" i="23"/>
  <c r="D12" i="23"/>
  <c r="C12" i="23"/>
  <c r="B12" i="23"/>
  <c r="A12" i="23"/>
  <c r="K80" i="22"/>
  <c r="K79" i="22"/>
  <c r="K78" i="22"/>
  <c r="K77" i="22"/>
  <c r="K76" i="22"/>
  <c r="K75" i="22"/>
  <c r="K74" i="22"/>
  <c r="K73" i="22"/>
  <c r="K72" i="22"/>
  <c r="K71" i="22"/>
  <c r="K70" i="22"/>
  <c r="K69" i="22"/>
  <c r="K68" i="22"/>
  <c r="K67" i="22"/>
  <c r="K66" i="22"/>
  <c r="K65" i="22"/>
  <c r="K64" i="22"/>
  <c r="K63" i="22"/>
  <c r="K62" i="22"/>
  <c r="K61" i="22"/>
  <c r="K60" i="22"/>
  <c r="K59" i="22"/>
  <c r="K58" i="22"/>
  <c r="K57" i="22"/>
  <c r="K56" i="22"/>
  <c r="K55" i="22"/>
  <c r="K54" i="22"/>
  <c r="K53" i="22"/>
  <c r="K52" i="22"/>
  <c r="K51" i="22"/>
  <c r="K50" i="22"/>
  <c r="K49" i="22"/>
  <c r="K48" i="22"/>
  <c r="K47" i="22"/>
  <c r="K46" i="22"/>
  <c r="K45" i="22"/>
  <c r="K44" i="22"/>
  <c r="K43" i="22"/>
  <c r="K42" i="22"/>
  <c r="K41" i="22"/>
  <c r="K40" i="22"/>
  <c r="K39" i="22"/>
  <c r="K38" i="22"/>
  <c r="K37" i="22"/>
  <c r="K36" i="22"/>
  <c r="K35" i="22"/>
  <c r="K34" i="22"/>
  <c r="K33" i="22"/>
  <c r="J32" i="22"/>
  <c r="I32" i="22"/>
  <c r="K31" i="22"/>
  <c r="J31" i="22"/>
  <c r="I31" i="22"/>
  <c r="K30" i="22"/>
  <c r="J30" i="22"/>
  <c r="I30" i="22"/>
  <c r="K29" i="22"/>
  <c r="J29" i="22"/>
  <c r="I29" i="22"/>
  <c r="K28" i="22"/>
  <c r="J28" i="22"/>
  <c r="I28" i="22"/>
  <c r="K27" i="22"/>
  <c r="J27" i="22"/>
  <c r="I27" i="22"/>
  <c r="K26" i="22"/>
  <c r="J26" i="22"/>
  <c r="I26" i="22"/>
  <c r="K25" i="22"/>
  <c r="J25" i="22"/>
  <c r="I25" i="22"/>
  <c r="K24" i="22"/>
  <c r="J24" i="22"/>
  <c r="I24" i="22"/>
  <c r="K23" i="22"/>
  <c r="J23" i="22"/>
  <c r="I23" i="22"/>
  <c r="K22" i="22"/>
  <c r="J22" i="22"/>
  <c r="I22" i="22"/>
  <c r="K21" i="22"/>
  <c r="J21" i="22"/>
  <c r="I21" i="22"/>
  <c r="K20" i="22"/>
  <c r="J20" i="22"/>
  <c r="I20" i="22"/>
  <c r="K19" i="22"/>
  <c r="J19" i="22"/>
  <c r="I19" i="22"/>
  <c r="K18" i="22"/>
  <c r="J18" i="22"/>
  <c r="I18" i="22"/>
  <c r="K17" i="22"/>
  <c r="J17" i="22"/>
  <c r="I17" i="22"/>
  <c r="K16" i="22"/>
  <c r="J16" i="22"/>
  <c r="I16" i="22"/>
  <c r="K15" i="22"/>
  <c r="J15" i="22"/>
  <c r="I15" i="22"/>
  <c r="K14" i="22"/>
  <c r="J14" i="22"/>
  <c r="I14" i="22"/>
  <c r="K13" i="22"/>
  <c r="J13" i="22"/>
  <c r="I13" i="22"/>
  <c r="K12" i="22"/>
  <c r="J12" i="22"/>
  <c r="I12" i="22"/>
  <c r="G12" i="22"/>
  <c r="F12" i="22"/>
  <c r="E12" i="22"/>
  <c r="D12" i="22"/>
  <c r="A12" i="22"/>
  <c r="I29" i="21"/>
  <c r="I28" i="21"/>
  <c r="I27" i="21"/>
  <c r="I26" i="21"/>
  <c r="I25" i="21"/>
  <c r="K24" i="21"/>
  <c r="J24" i="21"/>
  <c r="I24" i="21"/>
  <c r="I23" i="21"/>
  <c r="I22" i="21"/>
  <c r="I21" i="21"/>
  <c r="K20" i="21"/>
  <c r="J20" i="21"/>
  <c r="I20" i="21"/>
  <c r="K19" i="21"/>
  <c r="J19" i="21"/>
  <c r="I19" i="21"/>
  <c r="K18" i="21"/>
  <c r="J18" i="21"/>
  <c r="I18" i="21"/>
  <c r="K17" i="21"/>
  <c r="J17" i="21"/>
  <c r="I17" i="21"/>
  <c r="K16" i="21"/>
  <c r="J16" i="21"/>
  <c r="I16" i="21"/>
  <c r="K15" i="21"/>
  <c r="J15" i="21"/>
  <c r="I15" i="21"/>
  <c r="K14" i="21"/>
  <c r="J14" i="21"/>
  <c r="I14" i="21"/>
  <c r="K13" i="21"/>
  <c r="J13" i="21"/>
  <c r="I13" i="21"/>
  <c r="K12" i="21"/>
  <c r="J12" i="21"/>
  <c r="I12" i="21"/>
  <c r="G12" i="21"/>
  <c r="F12" i="21"/>
  <c r="E12" i="21"/>
  <c r="D12" i="21"/>
  <c r="A12" i="21"/>
  <c r="K80" i="20"/>
  <c r="K79" i="20"/>
  <c r="K78" i="20"/>
  <c r="K77" i="20"/>
  <c r="K76" i="20"/>
  <c r="K75" i="20"/>
  <c r="K74" i="20"/>
  <c r="K73" i="20"/>
  <c r="K72" i="20"/>
  <c r="K71" i="20"/>
  <c r="K70" i="20"/>
  <c r="K69" i="20"/>
  <c r="K68" i="20"/>
  <c r="K67" i="20"/>
  <c r="K66" i="20"/>
  <c r="K65" i="20"/>
  <c r="K64" i="20"/>
  <c r="K63" i="20"/>
  <c r="K62" i="20"/>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I12" i="20"/>
  <c r="G12" i="20"/>
  <c r="F12" i="20"/>
  <c r="E12" i="20"/>
  <c r="D12" i="20"/>
  <c r="A12" i="20"/>
  <c r="K80" i="19"/>
  <c r="K79" i="19"/>
  <c r="K78" i="19"/>
  <c r="K77" i="19"/>
  <c r="K76" i="19"/>
  <c r="K75" i="19"/>
  <c r="K74" i="19"/>
  <c r="K73" i="19"/>
  <c r="K72" i="19"/>
  <c r="K71" i="19"/>
  <c r="K70" i="19"/>
  <c r="K69" i="19"/>
  <c r="K68" i="19"/>
  <c r="K67" i="19"/>
  <c r="K66" i="19"/>
  <c r="K65" i="19"/>
  <c r="K64" i="19"/>
  <c r="K63" i="19"/>
  <c r="K62" i="19"/>
  <c r="K61" i="19"/>
  <c r="K60" i="19"/>
  <c r="K59" i="19"/>
  <c r="K58" i="19"/>
  <c r="K57" i="19"/>
  <c r="K56" i="19"/>
  <c r="K55" i="19"/>
  <c r="K54" i="19"/>
  <c r="K53" i="19"/>
  <c r="K52" i="19"/>
  <c r="K51" i="19"/>
  <c r="K50" i="19"/>
  <c r="K49" i="19"/>
  <c r="K48" i="19"/>
  <c r="K47" i="19"/>
  <c r="K46" i="19"/>
  <c r="K45" i="19"/>
  <c r="K44" i="19"/>
  <c r="K43" i="19"/>
  <c r="K42" i="19"/>
  <c r="K41" i="19"/>
  <c r="K40" i="19"/>
  <c r="K39" i="19"/>
  <c r="K38" i="19"/>
  <c r="K37" i="19"/>
  <c r="K36" i="19"/>
  <c r="K35" i="19"/>
  <c r="K34" i="19"/>
  <c r="K33" i="19"/>
  <c r="K32" i="19"/>
  <c r="K31" i="19"/>
  <c r="K30" i="19"/>
  <c r="K29" i="19"/>
  <c r="K28" i="19"/>
  <c r="K27" i="19"/>
  <c r="K26" i="19"/>
  <c r="K25" i="19"/>
  <c r="K24" i="19"/>
  <c r="K23" i="19"/>
  <c r="K22" i="19"/>
  <c r="K21" i="19"/>
  <c r="K20" i="19"/>
  <c r="K19" i="19"/>
  <c r="K18" i="19"/>
  <c r="K17" i="19"/>
  <c r="K16" i="19"/>
  <c r="K15" i="19"/>
  <c r="K14" i="19"/>
  <c r="K13" i="19"/>
  <c r="H13" i="19"/>
  <c r="G13" i="19"/>
  <c r="F13" i="19"/>
  <c r="E13" i="19"/>
  <c r="D13" i="19"/>
  <c r="C13" i="19"/>
  <c r="B13" i="19"/>
  <c r="A13" i="19"/>
  <c r="K12" i="19"/>
  <c r="I12" i="19"/>
  <c r="H12" i="19"/>
  <c r="G12" i="19"/>
  <c r="F12" i="19"/>
  <c r="E12" i="19"/>
  <c r="D12" i="19"/>
  <c r="C12" i="19"/>
  <c r="B12" i="19"/>
  <c r="A12" i="19"/>
  <c r="K80" i="18"/>
  <c r="K79" i="18"/>
  <c r="K78" i="18"/>
  <c r="K77" i="18"/>
  <c r="K76" i="18"/>
  <c r="K75" i="18"/>
  <c r="K74" i="18"/>
  <c r="K73" i="18"/>
  <c r="K72" i="18"/>
  <c r="K71" i="18"/>
  <c r="K70" i="18"/>
  <c r="K69" i="18"/>
  <c r="K68" i="18"/>
  <c r="K67" i="18"/>
  <c r="K66" i="18"/>
  <c r="K65" i="18"/>
  <c r="K64" i="18"/>
  <c r="K63" i="18"/>
  <c r="K62" i="18"/>
  <c r="I62" i="18"/>
  <c r="K61" i="18"/>
  <c r="I61" i="18"/>
  <c r="K60" i="18"/>
  <c r="I60" i="18"/>
  <c r="K59" i="18"/>
  <c r="I59" i="18"/>
  <c r="K58" i="18"/>
  <c r="I58" i="18"/>
  <c r="K57" i="18"/>
  <c r="I57" i="18"/>
  <c r="K56" i="18"/>
  <c r="I56" i="18"/>
  <c r="K55" i="18"/>
  <c r="I55" i="18"/>
  <c r="K54" i="18"/>
  <c r="I54" i="18"/>
  <c r="K53" i="18"/>
  <c r="I53" i="18"/>
  <c r="K52" i="18"/>
  <c r="I52" i="18"/>
  <c r="K51" i="18"/>
  <c r="I51" i="18"/>
  <c r="K50" i="18"/>
  <c r="I50" i="18"/>
  <c r="K49" i="18"/>
  <c r="I49" i="18"/>
  <c r="K48" i="18"/>
  <c r="I48" i="18"/>
  <c r="K47" i="18"/>
  <c r="I47" i="18"/>
  <c r="K46" i="18"/>
  <c r="I46" i="18"/>
  <c r="K45" i="18"/>
  <c r="I45" i="18"/>
  <c r="K44" i="18"/>
  <c r="I44" i="18"/>
  <c r="K43" i="18"/>
  <c r="I43" i="18"/>
  <c r="K42" i="18"/>
  <c r="I42" i="18"/>
  <c r="K41" i="18"/>
  <c r="I41" i="18"/>
  <c r="K40" i="18"/>
  <c r="I40" i="18"/>
  <c r="K39" i="18"/>
  <c r="I39" i="18"/>
  <c r="K38" i="18"/>
  <c r="I38" i="18"/>
  <c r="I37" i="18"/>
  <c r="I36" i="18"/>
  <c r="I35" i="18"/>
  <c r="I34" i="18"/>
  <c r="I33" i="18"/>
  <c r="I32" i="18"/>
  <c r="I31" i="18"/>
  <c r="I30" i="18"/>
  <c r="I29" i="18"/>
  <c r="I28" i="18"/>
  <c r="I27" i="18"/>
  <c r="I26" i="18"/>
  <c r="I25" i="18"/>
  <c r="I24" i="18"/>
  <c r="I23" i="18"/>
  <c r="I22" i="18"/>
  <c r="I21" i="18"/>
  <c r="I20" i="18"/>
  <c r="I19" i="18"/>
  <c r="J18" i="18"/>
  <c r="I18" i="18"/>
  <c r="J17" i="18"/>
  <c r="I17" i="18"/>
  <c r="J16" i="18"/>
  <c r="I16" i="18"/>
  <c r="J15" i="18"/>
  <c r="I15" i="18"/>
  <c r="K14" i="18"/>
  <c r="J14" i="18"/>
  <c r="I14" i="18"/>
  <c r="J13" i="18"/>
  <c r="I13" i="18"/>
  <c r="J12" i="18"/>
  <c r="I12" i="18"/>
  <c r="G12" i="18"/>
  <c r="F12" i="18"/>
  <c r="E12" i="18"/>
  <c r="D12" i="18"/>
  <c r="A12" i="18"/>
  <c r="K80" i="17"/>
  <c r="K79" i="17"/>
  <c r="K78" i="17"/>
  <c r="K77" i="17"/>
  <c r="K76" i="17"/>
  <c r="K75" i="17"/>
  <c r="K74" i="17"/>
  <c r="K73" i="17"/>
  <c r="K72" i="17"/>
  <c r="K71" i="17"/>
  <c r="K70" i="17"/>
  <c r="K69" i="17"/>
  <c r="K68" i="17"/>
  <c r="K67" i="17"/>
  <c r="K66" i="17"/>
  <c r="K65" i="17"/>
  <c r="K64" i="17"/>
  <c r="K63" i="17"/>
  <c r="K62" i="17"/>
  <c r="K61" i="17"/>
  <c r="K60" i="17"/>
  <c r="K59" i="17"/>
  <c r="K58" i="17"/>
  <c r="K57" i="17"/>
  <c r="K56" i="17"/>
  <c r="K55" i="17"/>
  <c r="K54" i="17"/>
  <c r="K53" i="17"/>
  <c r="K52" i="17"/>
  <c r="K51" i="17"/>
  <c r="K50" i="17"/>
  <c r="K49" i="17"/>
  <c r="K48" i="17"/>
  <c r="K47" i="17"/>
  <c r="K46" i="17"/>
  <c r="K45" i="17"/>
  <c r="K44" i="17"/>
  <c r="K43" i="17"/>
  <c r="K42" i="17"/>
  <c r="K41" i="17"/>
  <c r="K40" i="17"/>
  <c r="K39" i="17"/>
  <c r="K38" i="17"/>
  <c r="K37" i="17"/>
  <c r="K36" i="17"/>
  <c r="K35" i="17"/>
  <c r="K34" i="17"/>
  <c r="K33" i="17"/>
  <c r="K32" i="17"/>
  <c r="K31" i="17"/>
  <c r="K30" i="17"/>
  <c r="K29" i="17"/>
  <c r="K28" i="17"/>
  <c r="K27" i="17"/>
  <c r="K26" i="17"/>
  <c r="K25" i="17"/>
  <c r="K24" i="17"/>
  <c r="K23" i="17"/>
  <c r="K22" i="17"/>
  <c r="K21" i="17"/>
  <c r="K20" i="17"/>
  <c r="K19" i="17"/>
  <c r="K18" i="17"/>
  <c r="K17" i="17"/>
  <c r="K16" i="17"/>
  <c r="K15" i="17"/>
  <c r="K14" i="17"/>
  <c r="K13" i="17"/>
  <c r="K12" i="17"/>
  <c r="I12" i="17"/>
  <c r="G12" i="17"/>
  <c r="F12" i="17"/>
  <c r="E12" i="17"/>
  <c r="D12" i="17"/>
  <c r="A12" i="17"/>
  <c r="G12" i="16"/>
  <c r="F12" i="16"/>
  <c r="E12" i="16"/>
  <c r="D12" i="16"/>
  <c r="A12" i="16"/>
  <c r="K80" i="15"/>
  <c r="K79" i="15"/>
  <c r="K78" i="15"/>
  <c r="K77" i="15"/>
  <c r="K76" i="15"/>
  <c r="K75" i="15"/>
  <c r="K74" i="15"/>
  <c r="K73" i="15"/>
  <c r="K72" i="15"/>
  <c r="K71" i="15"/>
  <c r="K70" i="15"/>
  <c r="K69" i="15"/>
  <c r="K68" i="15"/>
  <c r="K66" i="15"/>
  <c r="K65" i="15"/>
  <c r="K64" i="15"/>
  <c r="K63" i="15"/>
  <c r="K62" i="15"/>
  <c r="K61" i="15"/>
  <c r="K60" i="15"/>
  <c r="K59" i="15"/>
  <c r="K58" i="15"/>
  <c r="K57" i="15"/>
  <c r="K56" i="15"/>
  <c r="K55" i="15"/>
  <c r="K54" i="15"/>
  <c r="K53" i="15"/>
  <c r="K52" i="15"/>
  <c r="K51" i="15"/>
  <c r="K50" i="15"/>
  <c r="K49" i="15"/>
  <c r="K48" i="15"/>
  <c r="K47" i="15"/>
  <c r="K46" i="15"/>
  <c r="K45" i="15"/>
  <c r="K44" i="15"/>
  <c r="K43" i="15"/>
  <c r="K42" i="15"/>
  <c r="K41" i="15"/>
  <c r="K40" i="15"/>
  <c r="K39" i="15"/>
  <c r="K38" i="15"/>
  <c r="K37" i="15"/>
  <c r="K36" i="15"/>
  <c r="K35" i="15"/>
  <c r="K34" i="15"/>
  <c r="K16" i="15"/>
  <c r="J16" i="15"/>
  <c r="I16" i="15"/>
  <c r="H16" i="15"/>
  <c r="G16" i="15"/>
  <c r="F16" i="15"/>
  <c r="E16" i="15"/>
  <c r="D16" i="15"/>
  <c r="C16" i="15"/>
  <c r="B16" i="15"/>
  <c r="A16" i="15"/>
  <c r="K15" i="15"/>
  <c r="J15" i="15"/>
  <c r="I15" i="15"/>
  <c r="H15" i="15"/>
  <c r="G15" i="15"/>
  <c r="F15" i="15"/>
  <c r="E15" i="15"/>
  <c r="D15" i="15"/>
  <c r="C15" i="15"/>
  <c r="B15" i="15"/>
  <c r="A15" i="15"/>
  <c r="K14" i="15"/>
  <c r="J14" i="15"/>
  <c r="I14" i="15"/>
  <c r="H14" i="15"/>
  <c r="G14" i="15"/>
  <c r="F14" i="15"/>
  <c r="E14" i="15"/>
  <c r="D14" i="15"/>
  <c r="C14" i="15"/>
  <c r="B14" i="15"/>
  <c r="A14" i="15"/>
  <c r="K13" i="15"/>
  <c r="J13" i="15"/>
  <c r="I13" i="15"/>
  <c r="H13" i="15"/>
  <c r="G13" i="15"/>
  <c r="F13" i="15"/>
  <c r="E13" i="15"/>
  <c r="D13" i="15"/>
  <c r="C13" i="15"/>
  <c r="B13" i="15"/>
  <c r="A13" i="15"/>
  <c r="K12" i="15"/>
  <c r="J12" i="15"/>
  <c r="I12" i="15"/>
  <c r="H12" i="15"/>
  <c r="G12" i="15"/>
  <c r="F12" i="15"/>
  <c r="E12" i="15"/>
  <c r="D12" i="15"/>
  <c r="C12" i="15"/>
  <c r="B12" i="15"/>
  <c r="A12" i="15"/>
  <c r="K80" i="14"/>
  <c r="K79" i="14"/>
  <c r="K78" i="14"/>
  <c r="K77" i="14"/>
  <c r="K76" i="14"/>
  <c r="K75" i="14"/>
  <c r="K74" i="14"/>
  <c r="K73" i="14"/>
  <c r="K72" i="14"/>
  <c r="K71" i="14"/>
  <c r="K70" i="14"/>
  <c r="K69" i="14"/>
  <c r="K68" i="14"/>
  <c r="K67" i="14"/>
  <c r="K66" i="14"/>
  <c r="I66" i="14"/>
  <c r="K65" i="14"/>
  <c r="I65" i="14"/>
  <c r="K64" i="14"/>
  <c r="I64" i="14"/>
  <c r="K63" i="14"/>
  <c r="I63" i="14"/>
  <c r="K62" i="14"/>
  <c r="I62" i="14"/>
  <c r="K61" i="14"/>
  <c r="I61" i="14"/>
  <c r="K60" i="14"/>
  <c r="I60" i="14"/>
  <c r="K59" i="14"/>
  <c r="I59" i="14"/>
  <c r="K58" i="14"/>
  <c r="I58" i="14"/>
  <c r="K57" i="14"/>
  <c r="I57" i="14"/>
  <c r="K56" i="14"/>
  <c r="I56" i="14"/>
  <c r="K55" i="14"/>
  <c r="I55" i="14"/>
  <c r="K54" i="14"/>
  <c r="I54" i="14"/>
  <c r="K53" i="14"/>
  <c r="I53" i="14"/>
  <c r="K52" i="14"/>
  <c r="I52" i="14"/>
  <c r="K51" i="14"/>
  <c r="I51" i="14"/>
  <c r="K50" i="14"/>
  <c r="I50" i="14"/>
  <c r="K49" i="14"/>
  <c r="I49" i="14"/>
  <c r="K48" i="14"/>
  <c r="I48" i="14"/>
  <c r="K47" i="14"/>
  <c r="I47" i="14"/>
  <c r="K46" i="14"/>
  <c r="I46" i="14"/>
  <c r="K45" i="14"/>
  <c r="J45" i="14"/>
  <c r="I45" i="14"/>
  <c r="K44" i="14"/>
  <c r="J44" i="14"/>
  <c r="I44" i="14"/>
  <c r="K43" i="14"/>
  <c r="J43" i="14"/>
  <c r="I43" i="14"/>
  <c r="K42" i="14"/>
  <c r="J42" i="14"/>
  <c r="I42" i="14"/>
  <c r="K41" i="14"/>
  <c r="J41" i="14"/>
  <c r="I41" i="14"/>
  <c r="K40" i="14"/>
  <c r="J40" i="14"/>
  <c r="I40" i="14"/>
  <c r="K39" i="14"/>
  <c r="J39" i="14"/>
  <c r="I39" i="14"/>
  <c r="K38" i="14"/>
  <c r="J38" i="14"/>
  <c r="I38" i="14"/>
  <c r="K37" i="14"/>
  <c r="J37" i="14"/>
  <c r="I37" i="14"/>
  <c r="K36" i="14"/>
  <c r="J36" i="14"/>
  <c r="I36" i="14"/>
  <c r="K35" i="14"/>
  <c r="J35" i="14"/>
  <c r="I35" i="14"/>
  <c r="K34" i="14"/>
  <c r="J34" i="14"/>
  <c r="I34" i="14"/>
  <c r="K33" i="14"/>
  <c r="J33" i="14"/>
  <c r="I33" i="14"/>
  <c r="K32" i="14"/>
  <c r="J32" i="14"/>
  <c r="I32" i="14"/>
  <c r="K31" i="14"/>
  <c r="J31" i="14"/>
  <c r="I31" i="14"/>
  <c r="K30" i="14"/>
  <c r="J30" i="14"/>
  <c r="I30" i="14"/>
  <c r="K29" i="14"/>
  <c r="J29" i="14"/>
  <c r="I29" i="14"/>
  <c r="K28" i="14"/>
  <c r="J28" i="14"/>
  <c r="I28" i="14"/>
  <c r="K27" i="14"/>
  <c r="J27" i="14"/>
  <c r="I27" i="14"/>
  <c r="K26" i="14"/>
  <c r="J26" i="14"/>
  <c r="I26" i="14"/>
  <c r="K25" i="14"/>
  <c r="J25" i="14"/>
  <c r="I25" i="14"/>
  <c r="K24" i="14"/>
  <c r="J24" i="14"/>
  <c r="I24" i="14"/>
  <c r="K23" i="14"/>
  <c r="J23" i="14"/>
  <c r="I23" i="14"/>
  <c r="K22" i="14"/>
  <c r="J22" i="14"/>
  <c r="I22" i="14"/>
  <c r="K21" i="14"/>
  <c r="J21" i="14"/>
  <c r="I21" i="14"/>
  <c r="K20" i="14"/>
  <c r="J20" i="14"/>
  <c r="I20" i="14"/>
  <c r="H20" i="14"/>
  <c r="G20" i="14"/>
  <c r="F20" i="14"/>
  <c r="E20" i="14"/>
  <c r="D20" i="14"/>
  <c r="C20" i="14"/>
  <c r="B20" i="14"/>
  <c r="A20" i="14"/>
  <c r="K19" i="14"/>
  <c r="J19" i="14"/>
  <c r="I19" i="14"/>
  <c r="H19" i="14"/>
  <c r="G19" i="14"/>
  <c r="F19" i="14"/>
  <c r="E19" i="14"/>
  <c r="D19" i="14"/>
  <c r="C19" i="14"/>
  <c r="B19" i="14"/>
  <c r="A19" i="14"/>
  <c r="K18" i="14"/>
  <c r="J18" i="14"/>
  <c r="I18" i="14"/>
  <c r="H18" i="14"/>
  <c r="G18" i="14"/>
  <c r="F18" i="14"/>
  <c r="E18" i="14"/>
  <c r="D18" i="14"/>
  <c r="C18" i="14"/>
  <c r="B18" i="14"/>
  <c r="A18" i="14"/>
  <c r="K17" i="14"/>
  <c r="J17" i="14"/>
  <c r="I17" i="14"/>
  <c r="H17" i="14"/>
  <c r="G17" i="14"/>
  <c r="F17" i="14"/>
  <c r="E17" i="14"/>
  <c r="D17" i="14"/>
  <c r="C17" i="14"/>
  <c r="B17" i="14"/>
  <c r="A17" i="14"/>
  <c r="K16" i="14"/>
  <c r="J16" i="14"/>
  <c r="I16" i="14"/>
  <c r="H16" i="14"/>
  <c r="G16" i="14"/>
  <c r="F16" i="14"/>
  <c r="E16" i="14"/>
  <c r="D16" i="14"/>
  <c r="C16" i="14"/>
  <c r="B16" i="14"/>
  <c r="A16" i="14"/>
  <c r="K15" i="14"/>
  <c r="J15" i="14"/>
  <c r="I15" i="14"/>
  <c r="H15" i="14"/>
  <c r="G15" i="14"/>
  <c r="F15" i="14"/>
  <c r="E15" i="14"/>
  <c r="D15" i="14"/>
  <c r="C15" i="14"/>
  <c r="B15" i="14"/>
  <c r="A15" i="14"/>
  <c r="K14" i="14"/>
  <c r="J14" i="14"/>
  <c r="I14" i="14"/>
  <c r="H14" i="14"/>
  <c r="G14" i="14"/>
  <c r="F14" i="14"/>
  <c r="E14" i="14"/>
  <c r="D14" i="14"/>
  <c r="C14" i="14"/>
  <c r="B14" i="14"/>
  <c r="A14" i="14"/>
  <c r="K13" i="14"/>
  <c r="J13" i="14"/>
  <c r="I13" i="14"/>
  <c r="H13" i="14"/>
  <c r="G13" i="14"/>
  <c r="F13" i="14"/>
  <c r="E13" i="14"/>
  <c r="D13" i="14"/>
  <c r="C13" i="14"/>
  <c r="B13" i="14"/>
  <c r="A13" i="14"/>
  <c r="K12" i="14"/>
  <c r="J12" i="14"/>
  <c r="I12" i="14"/>
  <c r="H12" i="14"/>
  <c r="G12" i="14"/>
  <c r="F12" i="14"/>
  <c r="E12" i="14"/>
  <c r="D12" i="14"/>
  <c r="C12" i="14"/>
  <c r="B12" i="14"/>
  <c r="A12" i="14"/>
  <c r="K80" i="13"/>
  <c r="K79" i="13"/>
  <c r="K78" i="13"/>
  <c r="K77" i="13"/>
  <c r="K76" i="13"/>
  <c r="K75" i="13"/>
  <c r="K74" i="13"/>
  <c r="K73" i="13"/>
  <c r="K72" i="13"/>
  <c r="K71" i="13"/>
  <c r="K70" i="13"/>
  <c r="K69" i="13"/>
  <c r="K68" i="13"/>
  <c r="K67" i="13"/>
  <c r="I67" i="13"/>
  <c r="K66" i="13"/>
  <c r="I66" i="13"/>
  <c r="K65" i="13"/>
  <c r="I65" i="13"/>
  <c r="K64" i="13"/>
  <c r="I64" i="13"/>
  <c r="K63" i="13"/>
  <c r="I63" i="13"/>
  <c r="K62" i="13"/>
  <c r="I62" i="13"/>
  <c r="K61" i="13"/>
  <c r="I61" i="13"/>
  <c r="K60" i="13"/>
  <c r="I60" i="13"/>
  <c r="K59" i="13"/>
  <c r="I59" i="13"/>
  <c r="K58" i="13"/>
  <c r="I58" i="13"/>
  <c r="K57" i="13"/>
  <c r="I57" i="13"/>
  <c r="K56" i="13"/>
  <c r="I56" i="13"/>
  <c r="K55" i="13"/>
  <c r="J55" i="13"/>
  <c r="I55" i="13"/>
  <c r="K54" i="13"/>
  <c r="J54" i="13"/>
  <c r="I54" i="13"/>
  <c r="K53" i="13"/>
  <c r="J53" i="13"/>
  <c r="I53" i="13"/>
  <c r="K52" i="13"/>
  <c r="J52" i="13"/>
  <c r="I52" i="13"/>
  <c r="K51" i="13"/>
  <c r="J51" i="13"/>
  <c r="I51" i="13"/>
  <c r="K50" i="13"/>
  <c r="J50" i="13"/>
  <c r="I50" i="13"/>
  <c r="K49" i="13"/>
  <c r="J49" i="13"/>
  <c r="I49" i="13"/>
  <c r="K48" i="13"/>
  <c r="J48" i="13"/>
  <c r="I48" i="13"/>
  <c r="K47" i="13"/>
  <c r="J47" i="13"/>
  <c r="I47" i="13"/>
  <c r="K46" i="13"/>
  <c r="J46" i="13"/>
  <c r="I46" i="13"/>
  <c r="K45" i="13"/>
  <c r="J45" i="13"/>
  <c r="I45" i="13"/>
  <c r="K44" i="13"/>
  <c r="J44" i="13"/>
  <c r="I44" i="13"/>
  <c r="K43" i="13"/>
  <c r="J43" i="13"/>
  <c r="I43" i="13"/>
  <c r="K42" i="13"/>
  <c r="J42" i="13"/>
  <c r="I42" i="13"/>
  <c r="K41" i="13"/>
  <c r="J41" i="13"/>
  <c r="I41" i="13"/>
  <c r="K40" i="13"/>
  <c r="J40" i="13"/>
  <c r="I40" i="13"/>
  <c r="K39" i="13"/>
  <c r="J39" i="13"/>
  <c r="I39" i="13"/>
  <c r="K38" i="13"/>
  <c r="J38" i="13"/>
  <c r="I38" i="13"/>
  <c r="K37" i="13"/>
  <c r="J37" i="13"/>
  <c r="I37" i="13"/>
  <c r="K36" i="13"/>
  <c r="J36" i="13"/>
  <c r="I36" i="13"/>
  <c r="H36" i="13"/>
  <c r="G36" i="13"/>
  <c r="F36" i="13"/>
  <c r="E36" i="13"/>
  <c r="D36" i="13"/>
  <c r="M14" i="13" s="1"/>
  <c r="C36" i="13"/>
  <c r="B36" i="13"/>
  <c r="A36" i="13"/>
  <c r="K35" i="13"/>
  <c r="J35" i="13"/>
  <c r="I35" i="13"/>
  <c r="H35" i="13"/>
  <c r="G35" i="13"/>
  <c r="F35" i="13"/>
  <c r="E35" i="13"/>
  <c r="D35" i="13"/>
  <c r="C35" i="13"/>
  <c r="B35" i="13"/>
  <c r="A35" i="13"/>
  <c r="K34" i="13"/>
  <c r="J34" i="13"/>
  <c r="I34" i="13"/>
  <c r="H34" i="13"/>
  <c r="G34" i="13"/>
  <c r="F34" i="13"/>
  <c r="E34" i="13"/>
  <c r="D34" i="13"/>
  <c r="C34" i="13"/>
  <c r="B34" i="13"/>
  <c r="A34" i="13"/>
  <c r="K33" i="13"/>
  <c r="J33" i="13"/>
  <c r="I33" i="13"/>
  <c r="H33" i="13"/>
  <c r="G33" i="13"/>
  <c r="F33" i="13"/>
  <c r="E33" i="13"/>
  <c r="D33" i="13"/>
  <c r="C33" i="13"/>
  <c r="B33" i="13"/>
  <c r="A33" i="13"/>
  <c r="K32" i="13"/>
  <c r="J32" i="13"/>
  <c r="I32" i="13"/>
  <c r="H32" i="13"/>
  <c r="G32" i="13"/>
  <c r="F32" i="13"/>
  <c r="E32" i="13"/>
  <c r="D32" i="13"/>
  <c r="C32" i="13"/>
  <c r="B32" i="13"/>
  <c r="A32" i="13"/>
  <c r="K31" i="13"/>
  <c r="J31" i="13"/>
  <c r="I31" i="13"/>
  <c r="H31" i="13"/>
  <c r="G31" i="13"/>
  <c r="F31" i="13"/>
  <c r="E31" i="13"/>
  <c r="D31" i="13"/>
  <c r="C31" i="13"/>
  <c r="B31" i="13"/>
  <c r="A31" i="13"/>
  <c r="K30" i="13"/>
  <c r="J30" i="13"/>
  <c r="I30" i="13"/>
  <c r="H30" i="13"/>
  <c r="G30" i="13"/>
  <c r="F30" i="13"/>
  <c r="E30" i="13"/>
  <c r="D30" i="13"/>
  <c r="C30" i="13"/>
  <c r="B30" i="13"/>
  <c r="A30" i="13"/>
  <c r="K29" i="13"/>
  <c r="J29" i="13"/>
  <c r="I29" i="13"/>
  <c r="H29" i="13"/>
  <c r="G29" i="13"/>
  <c r="F29" i="13"/>
  <c r="E29" i="13"/>
  <c r="D29" i="13"/>
  <c r="C29" i="13"/>
  <c r="B29" i="13"/>
  <c r="A29" i="13"/>
  <c r="K28" i="13"/>
  <c r="J28" i="13"/>
  <c r="I28" i="13"/>
  <c r="H28" i="13"/>
  <c r="G28" i="13"/>
  <c r="F28" i="13"/>
  <c r="E28" i="13"/>
  <c r="D28" i="13"/>
  <c r="C28" i="13"/>
  <c r="B28" i="13"/>
  <c r="A28" i="13"/>
  <c r="K27" i="13"/>
  <c r="J27" i="13"/>
  <c r="I27" i="13"/>
  <c r="H27" i="13"/>
  <c r="G27" i="13"/>
  <c r="F27" i="13"/>
  <c r="E27" i="13"/>
  <c r="D27" i="13"/>
  <c r="C27" i="13"/>
  <c r="B27" i="13"/>
  <c r="A27" i="13"/>
  <c r="K26" i="13"/>
  <c r="J26" i="13"/>
  <c r="I26" i="13"/>
  <c r="H26" i="13"/>
  <c r="G26" i="13"/>
  <c r="F26" i="13"/>
  <c r="E26" i="13"/>
  <c r="D26" i="13"/>
  <c r="C26" i="13"/>
  <c r="B26" i="13"/>
  <c r="A26" i="13"/>
  <c r="K25" i="13"/>
  <c r="J25" i="13"/>
  <c r="I25" i="13"/>
  <c r="H25" i="13"/>
  <c r="G25" i="13"/>
  <c r="F25" i="13"/>
  <c r="E25" i="13"/>
  <c r="D25" i="13"/>
  <c r="C25" i="13"/>
  <c r="B25" i="13"/>
  <c r="A25" i="13"/>
  <c r="K24" i="13"/>
  <c r="J24" i="13"/>
  <c r="I24" i="13"/>
  <c r="H24" i="13"/>
  <c r="G24" i="13"/>
  <c r="F24" i="13"/>
  <c r="E24" i="13"/>
  <c r="D24" i="13"/>
  <c r="C24" i="13"/>
  <c r="B24" i="13"/>
  <c r="A24" i="13"/>
  <c r="K23" i="13"/>
  <c r="J23" i="13"/>
  <c r="I23" i="13"/>
  <c r="H23" i="13"/>
  <c r="G23" i="13"/>
  <c r="F23" i="13"/>
  <c r="E23" i="13"/>
  <c r="D23" i="13"/>
  <c r="C23" i="13"/>
  <c r="B23" i="13"/>
  <c r="A23" i="13"/>
  <c r="K22" i="13"/>
  <c r="J22" i="13"/>
  <c r="I22" i="13"/>
  <c r="H22" i="13"/>
  <c r="G22" i="13"/>
  <c r="F22" i="13"/>
  <c r="E22" i="13"/>
  <c r="D22" i="13"/>
  <c r="C22" i="13"/>
  <c r="B22" i="13"/>
  <c r="A22" i="13"/>
  <c r="K21" i="13"/>
  <c r="J21" i="13"/>
  <c r="I21" i="13"/>
  <c r="H21" i="13"/>
  <c r="G21" i="13"/>
  <c r="F21" i="13"/>
  <c r="E21" i="13"/>
  <c r="D21" i="13"/>
  <c r="C21" i="13"/>
  <c r="B21" i="13"/>
  <c r="A21" i="13"/>
  <c r="K20" i="13"/>
  <c r="J20" i="13"/>
  <c r="I20" i="13"/>
  <c r="H20" i="13"/>
  <c r="G20" i="13"/>
  <c r="F20" i="13"/>
  <c r="E20" i="13"/>
  <c r="D20" i="13"/>
  <c r="C20" i="13"/>
  <c r="B20" i="13"/>
  <c r="A20" i="13"/>
  <c r="K19" i="13"/>
  <c r="J19" i="13"/>
  <c r="I19" i="13"/>
  <c r="H19" i="13"/>
  <c r="G19" i="13"/>
  <c r="F19" i="13"/>
  <c r="E19" i="13"/>
  <c r="D19" i="13"/>
  <c r="C19" i="13"/>
  <c r="B19" i="13"/>
  <c r="A19" i="13"/>
  <c r="K18" i="13"/>
  <c r="J18" i="13"/>
  <c r="I18" i="13"/>
  <c r="H18" i="13"/>
  <c r="G18" i="13"/>
  <c r="F18" i="13"/>
  <c r="E18" i="13"/>
  <c r="D18" i="13"/>
  <c r="C18" i="13"/>
  <c r="B18" i="13"/>
  <c r="A18" i="13"/>
  <c r="K17" i="13"/>
  <c r="J17" i="13"/>
  <c r="I17" i="13"/>
  <c r="H17" i="13"/>
  <c r="G17" i="13"/>
  <c r="F17" i="13"/>
  <c r="E17" i="13"/>
  <c r="D17" i="13"/>
  <c r="C17" i="13"/>
  <c r="B17" i="13"/>
  <c r="A17" i="13"/>
  <c r="K16" i="13"/>
  <c r="J16" i="13"/>
  <c r="I16" i="13"/>
  <c r="H16" i="13"/>
  <c r="G16" i="13"/>
  <c r="F16" i="13"/>
  <c r="E16" i="13"/>
  <c r="D16" i="13"/>
  <c r="C16" i="13"/>
  <c r="B16" i="13"/>
  <c r="A16" i="13"/>
  <c r="K15" i="13"/>
  <c r="J15" i="13"/>
  <c r="I15" i="13"/>
  <c r="H15" i="13"/>
  <c r="G15" i="13"/>
  <c r="F15" i="13"/>
  <c r="E15" i="13"/>
  <c r="D15" i="13"/>
  <c r="C15" i="13"/>
  <c r="B15" i="13"/>
  <c r="A15" i="13"/>
  <c r="K14" i="13"/>
  <c r="J14" i="13"/>
  <c r="I14" i="13"/>
  <c r="H14" i="13"/>
  <c r="G14" i="13"/>
  <c r="F14" i="13"/>
  <c r="E14" i="13"/>
  <c r="D14" i="13"/>
  <c r="C14" i="13"/>
  <c r="B14" i="13"/>
  <c r="A14" i="13"/>
  <c r="K13" i="13"/>
  <c r="J13" i="13"/>
  <c r="I13" i="13"/>
  <c r="H13" i="13"/>
  <c r="G13" i="13"/>
  <c r="F13" i="13"/>
  <c r="E13" i="13"/>
  <c r="D13" i="13"/>
  <c r="C13" i="13"/>
  <c r="B13" i="13"/>
  <c r="A13" i="13"/>
  <c r="K12" i="13"/>
  <c r="J12" i="13"/>
  <c r="I12" i="13"/>
  <c r="H12" i="13"/>
  <c r="G12" i="13"/>
  <c r="F12" i="13"/>
  <c r="E12" i="13"/>
  <c r="D12" i="13"/>
  <c r="C12" i="13"/>
  <c r="B12" i="13"/>
  <c r="A12" i="13"/>
  <c r="K80" i="12"/>
  <c r="K79" i="12"/>
  <c r="K78" i="12"/>
  <c r="K77" i="12"/>
  <c r="K76" i="12"/>
  <c r="K75" i="12"/>
  <c r="K74" i="12"/>
  <c r="K73" i="12"/>
  <c r="K72" i="12"/>
  <c r="K71" i="12"/>
  <c r="K70" i="12"/>
  <c r="K69" i="12"/>
  <c r="K68" i="12"/>
  <c r="K67" i="12"/>
  <c r="K66" i="12"/>
  <c r="K65" i="12"/>
  <c r="K64" i="12"/>
  <c r="K63" i="12"/>
  <c r="K62" i="12"/>
  <c r="K61" i="12"/>
  <c r="K60" i="12"/>
  <c r="K59" i="12"/>
  <c r="K58" i="12"/>
  <c r="K57" i="12"/>
  <c r="K56" i="12"/>
  <c r="K55" i="12"/>
  <c r="K54" i="12"/>
  <c r="K53" i="12"/>
  <c r="K52" i="12"/>
  <c r="K51" i="12"/>
  <c r="K50" i="12"/>
  <c r="K49" i="12"/>
  <c r="K48" i="12"/>
  <c r="K47" i="12"/>
  <c r="K46" i="12"/>
  <c r="K45" i="12"/>
  <c r="K44" i="12"/>
  <c r="K43" i="12"/>
  <c r="K42" i="12"/>
  <c r="I42" i="12"/>
  <c r="K41" i="12"/>
  <c r="I41" i="12"/>
  <c r="K40" i="12"/>
  <c r="I40" i="12"/>
  <c r="K39" i="12"/>
  <c r="I39" i="12"/>
  <c r="K38" i="12"/>
  <c r="I38" i="12"/>
  <c r="K37" i="12"/>
  <c r="I37" i="12"/>
  <c r="K36" i="12"/>
  <c r="I36" i="12"/>
  <c r="K35" i="12"/>
  <c r="I35" i="12"/>
  <c r="K34" i="12"/>
  <c r="I34" i="12"/>
  <c r="K33" i="12"/>
  <c r="I33" i="12"/>
  <c r="K32" i="12"/>
  <c r="I32" i="12"/>
  <c r="K31" i="12"/>
  <c r="I31" i="12"/>
  <c r="K30" i="12"/>
  <c r="I30" i="12"/>
  <c r="K29" i="12"/>
  <c r="I29" i="12"/>
  <c r="K28" i="12"/>
  <c r="I28" i="12"/>
  <c r="K27" i="12"/>
  <c r="I27" i="12"/>
  <c r="K26" i="12"/>
  <c r="I26" i="12"/>
  <c r="K25" i="12"/>
  <c r="J25" i="12"/>
  <c r="I25" i="12"/>
  <c r="K24" i="12"/>
  <c r="J24" i="12"/>
  <c r="I24" i="12"/>
  <c r="K23" i="12"/>
  <c r="J23" i="12"/>
  <c r="I23" i="12"/>
  <c r="K22" i="12"/>
  <c r="J22" i="12"/>
  <c r="I22" i="12"/>
  <c r="K21" i="12"/>
  <c r="J21" i="12"/>
  <c r="I21" i="12"/>
  <c r="K20" i="12"/>
  <c r="J20" i="12"/>
  <c r="I20" i="12"/>
  <c r="K19" i="12"/>
  <c r="J19" i="12"/>
  <c r="I19" i="12"/>
  <c r="K18" i="12"/>
  <c r="J18" i="12"/>
  <c r="I18" i="12"/>
  <c r="H18" i="12"/>
  <c r="G18" i="12"/>
  <c r="F18" i="12"/>
  <c r="E18" i="12"/>
  <c r="D18" i="12"/>
  <c r="C18" i="12"/>
  <c r="B18" i="12"/>
  <c r="A18" i="12"/>
  <c r="K17" i="12"/>
  <c r="J17" i="12"/>
  <c r="I17" i="12"/>
  <c r="H17" i="12"/>
  <c r="G17" i="12"/>
  <c r="F17" i="12"/>
  <c r="E17" i="12"/>
  <c r="D17" i="12"/>
  <c r="C17" i="12"/>
  <c r="B17" i="12"/>
  <c r="A17" i="12"/>
  <c r="K16" i="12"/>
  <c r="J16" i="12"/>
  <c r="I16" i="12"/>
  <c r="H16" i="12"/>
  <c r="G16" i="12"/>
  <c r="F16" i="12"/>
  <c r="E16" i="12"/>
  <c r="D16" i="12"/>
  <c r="C16" i="12"/>
  <c r="B16" i="12"/>
  <c r="A16" i="12"/>
  <c r="K15" i="12"/>
  <c r="J15" i="12"/>
  <c r="I15" i="12"/>
  <c r="H15" i="12"/>
  <c r="G15" i="12"/>
  <c r="F15" i="12"/>
  <c r="E15" i="12"/>
  <c r="D15" i="12"/>
  <c r="C15" i="12"/>
  <c r="B15" i="12"/>
  <c r="A15" i="12"/>
  <c r="K14" i="12"/>
  <c r="J14" i="12"/>
  <c r="I14" i="12"/>
  <c r="H14" i="12"/>
  <c r="G14" i="12"/>
  <c r="F14" i="12"/>
  <c r="E14" i="12"/>
  <c r="D14" i="12"/>
  <c r="M14" i="12" s="1"/>
  <c r="C14" i="12"/>
  <c r="B14" i="12"/>
  <c r="A14" i="12"/>
  <c r="K13" i="12"/>
  <c r="J13" i="12"/>
  <c r="I13" i="12"/>
  <c r="H13" i="12"/>
  <c r="G13" i="12"/>
  <c r="F13" i="12"/>
  <c r="E13" i="12"/>
  <c r="D13" i="12"/>
  <c r="C13" i="12"/>
  <c r="B13" i="12"/>
  <c r="A13" i="12"/>
  <c r="K12" i="12"/>
  <c r="J12" i="12"/>
  <c r="I12" i="12"/>
  <c r="H12" i="12"/>
  <c r="G12" i="12"/>
  <c r="F12" i="12"/>
  <c r="E12" i="12"/>
  <c r="D12" i="12"/>
  <c r="C12" i="12"/>
  <c r="B12" i="12"/>
  <c r="A12" i="12"/>
  <c r="J40" i="11"/>
  <c r="J39" i="11"/>
  <c r="J38" i="11"/>
  <c r="J37" i="11"/>
  <c r="J36" i="11"/>
  <c r="J35" i="11"/>
  <c r="H35" i="11"/>
  <c r="G35" i="11"/>
  <c r="F35" i="11"/>
  <c r="E35" i="11"/>
  <c r="D35" i="11"/>
  <c r="C35" i="11"/>
  <c r="B35" i="11"/>
  <c r="A35" i="11"/>
  <c r="J34" i="11"/>
  <c r="H34" i="11"/>
  <c r="G34" i="11"/>
  <c r="F34" i="11"/>
  <c r="E34" i="11"/>
  <c r="D34" i="11"/>
  <c r="C34" i="11"/>
  <c r="B34" i="11"/>
  <c r="A34" i="11"/>
  <c r="J33" i="11"/>
  <c r="H33" i="11"/>
  <c r="G33" i="11"/>
  <c r="F33" i="11"/>
  <c r="E33" i="11"/>
  <c r="D33" i="11"/>
  <c r="C33" i="11"/>
  <c r="B33" i="11"/>
  <c r="A33" i="11"/>
  <c r="K32" i="11"/>
  <c r="J32" i="11"/>
  <c r="H32" i="11"/>
  <c r="G32" i="11"/>
  <c r="F32" i="11"/>
  <c r="E32" i="11"/>
  <c r="D32" i="11"/>
  <c r="C32" i="11"/>
  <c r="B32" i="11"/>
  <c r="A32" i="11"/>
  <c r="K31" i="11"/>
  <c r="J31" i="11"/>
  <c r="H31" i="11"/>
  <c r="G31" i="11"/>
  <c r="F31" i="11"/>
  <c r="E31" i="11"/>
  <c r="D31" i="11"/>
  <c r="C31" i="11"/>
  <c r="B31" i="11"/>
  <c r="A31" i="11"/>
  <c r="K30" i="11"/>
  <c r="J30" i="11"/>
  <c r="H30" i="11"/>
  <c r="G30" i="11"/>
  <c r="F30" i="11"/>
  <c r="E30" i="11"/>
  <c r="D30" i="11"/>
  <c r="C30" i="11"/>
  <c r="B30" i="11"/>
  <c r="A30" i="11"/>
  <c r="K29" i="11"/>
  <c r="J29" i="11"/>
  <c r="H29" i="11"/>
  <c r="G29" i="11"/>
  <c r="F29" i="11"/>
  <c r="E29" i="11"/>
  <c r="D29" i="11"/>
  <c r="C29" i="11"/>
  <c r="B29" i="11"/>
  <c r="A29" i="11"/>
  <c r="K28" i="11"/>
  <c r="J28" i="11"/>
  <c r="H28" i="11"/>
  <c r="G28" i="11"/>
  <c r="F28" i="11"/>
  <c r="E28" i="11"/>
  <c r="D28" i="11"/>
  <c r="C28" i="11"/>
  <c r="B28" i="11"/>
  <c r="A28" i="11"/>
  <c r="K27" i="11"/>
  <c r="J27" i="11"/>
  <c r="H27" i="11"/>
  <c r="G27" i="11"/>
  <c r="F27" i="11"/>
  <c r="E27" i="11"/>
  <c r="D27" i="11"/>
  <c r="C27" i="11"/>
  <c r="B27" i="11"/>
  <c r="A27" i="11"/>
  <c r="K26" i="11"/>
  <c r="J26" i="11"/>
  <c r="H26" i="11"/>
  <c r="G26" i="11"/>
  <c r="F26" i="11"/>
  <c r="E26" i="11"/>
  <c r="D26" i="11"/>
  <c r="C26" i="11"/>
  <c r="B26" i="11"/>
  <c r="A26" i="11"/>
  <c r="K25" i="11"/>
  <c r="J25" i="11"/>
  <c r="H25" i="11"/>
  <c r="G25" i="11"/>
  <c r="F25" i="11"/>
  <c r="E25" i="11"/>
  <c r="D25" i="11"/>
  <c r="C25" i="11"/>
  <c r="B25" i="11"/>
  <c r="A25" i="11"/>
  <c r="K24" i="11"/>
  <c r="J24" i="11"/>
  <c r="H24" i="11"/>
  <c r="G24" i="11"/>
  <c r="F24" i="11"/>
  <c r="E24" i="11"/>
  <c r="D24" i="11"/>
  <c r="C24" i="11"/>
  <c r="B24" i="11"/>
  <c r="A24" i="11"/>
  <c r="K23" i="11"/>
  <c r="J23" i="11"/>
  <c r="H23" i="11"/>
  <c r="G23" i="11"/>
  <c r="F23" i="11"/>
  <c r="E23" i="11"/>
  <c r="D23" i="11"/>
  <c r="C23" i="11"/>
  <c r="B23" i="11"/>
  <c r="A23" i="11"/>
  <c r="K22" i="11"/>
  <c r="J22" i="11"/>
  <c r="H22" i="11"/>
  <c r="G22" i="11"/>
  <c r="F22" i="11"/>
  <c r="E22" i="11"/>
  <c r="D22" i="11"/>
  <c r="C22" i="11"/>
  <c r="B22" i="11"/>
  <c r="A22" i="11"/>
  <c r="K21" i="11"/>
  <c r="J21" i="11"/>
  <c r="H21" i="11"/>
  <c r="G21" i="11"/>
  <c r="F21" i="11"/>
  <c r="E21" i="11"/>
  <c r="D21" i="11"/>
  <c r="C21" i="11"/>
  <c r="B21" i="11"/>
  <c r="A21" i="11"/>
  <c r="K20" i="11"/>
  <c r="J20" i="11"/>
  <c r="H20" i="11"/>
  <c r="G20" i="11"/>
  <c r="F20" i="11"/>
  <c r="E20" i="11"/>
  <c r="D20" i="11"/>
  <c r="C20" i="11"/>
  <c r="B20" i="11"/>
  <c r="A20" i="11"/>
  <c r="J19" i="11"/>
  <c r="H19" i="11"/>
  <c r="G19" i="11"/>
  <c r="F19" i="11"/>
  <c r="E19" i="11"/>
  <c r="D19" i="11"/>
  <c r="C19" i="11"/>
  <c r="B19" i="11"/>
  <c r="A19" i="11"/>
  <c r="K18" i="11"/>
  <c r="J18" i="11"/>
  <c r="H18" i="11"/>
  <c r="G18" i="11"/>
  <c r="F18" i="11"/>
  <c r="E18" i="11"/>
  <c r="D18" i="11"/>
  <c r="C18" i="11"/>
  <c r="B18" i="11"/>
  <c r="A18" i="11"/>
  <c r="K17" i="11"/>
  <c r="J17" i="11"/>
  <c r="H17" i="11"/>
  <c r="G17" i="11"/>
  <c r="F17" i="11"/>
  <c r="E17" i="11"/>
  <c r="D17" i="11"/>
  <c r="C17" i="11"/>
  <c r="B17" i="11"/>
  <c r="A17" i="11"/>
  <c r="K16" i="11"/>
  <c r="J16" i="11"/>
  <c r="H16" i="11"/>
  <c r="G16" i="11"/>
  <c r="F16" i="11"/>
  <c r="E16" i="11"/>
  <c r="D16" i="11"/>
  <c r="C16" i="11"/>
  <c r="B16" i="11"/>
  <c r="A16" i="11"/>
  <c r="K15" i="11"/>
  <c r="J15" i="11"/>
  <c r="H15" i="11"/>
  <c r="G15" i="11"/>
  <c r="F15" i="11"/>
  <c r="E15" i="11"/>
  <c r="D15" i="11"/>
  <c r="C15" i="11"/>
  <c r="B15" i="11"/>
  <c r="A15" i="11"/>
  <c r="K14" i="11"/>
  <c r="J14" i="11"/>
  <c r="H14" i="11"/>
  <c r="G14" i="11"/>
  <c r="F14" i="11"/>
  <c r="E14" i="11"/>
  <c r="D14" i="11"/>
  <c r="C14" i="11"/>
  <c r="B14" i="11"/>
  <c r="A14" i="11"/>
  <c r="K13" i="11"/>
  <c r="J13" i="11"/>
  <c r="H13" i="11"/>
  <c r="G13" i="11"/>
  <c r="F13" i="11"/>
  <c r="E13" i="11"/>
  <c r="D13" i="11"/>
  <c r="C13" i="11"/>
  <c r="B13" i="11"/>
  <c r="A13" i="11"/>
  <c r="K12" i="11"/>
  <c r="J12" i="11"/>
  <c r="H12" i="11"/>
  <c r="G12" i="11"/>
  <c r="F12" i="11"/>
  <c r="E12" i="11"/>
  <c r="D12" i="11"/>
  <c r="C12" i="11"/>
  <c r="B12" i="11"/>
  <c r="A12" i="11"/>
  <c r="K80" i="10"/>
  <c r="K79" i="10"/>
  <c r="K78" i="10"/>
  <c r="K77" i="10"/>
  <c r="K76" i="10"/>
  <c r="K75" i="10"/>
  <c r="K74" i="10"/>
  <c r="K73" i="10"/>
  <c r="K72" i="10"/>
  <c r="K71" i="10"/>
  <c r="K70" i="10"/>
  <c r="K69" i="10"/>
  <c r="K68" i="10"/>
  <c r="K67" i="10"/>
  <c r="K66" i="10"/>
  <c r="K65" i="10"/>
  <c r="K64" i="10"/>
  <c r="K63" i="10"/>
  <c r="K62" i="10"/>
  <c r="K61" i="10"/>
  <c r="K60" i="10"/>
  <c r="K59" i="10"/>
  <c r="K58" i="10"/>
  <c r="K57" i="10"/>
  <c r="K56" i="10"/>
  <c r="K55" i="10"/>
  <c r="K54" i="10"/>
  <c r="K53" i="10"/>
  <c r="K52" i="10"/>
  <c r="K51" i="10"/>
  <c r="K50" i="10"/>
  <c r="K49" i="10"/>
  <c r="K48" i="10"/>
  <c r="K47" i="10"/>
  <c r="K46" i="10"/>
  <c r="K45" i="10"/>
  <c r="K44" i="10"/>
  <c r="K43" i="10"/>
  <c r="K42" i="10"/>
  <c r="K41" i="10"/>
  <c r="K40" i="10"/>
  <c r="K39" i="10"/>
  <c r="K38" i="10"/>
  <c r="K37" i="10"/>
  <c r="K36" i="10"/>
  <c r="K35" i="10"/>
  <c r="K34" i="10"/>
  <c r="K33" i="10"/>
  <c r="K32" i="10"/>
  <c r="K31" i="10"/>
  <c r="K30" i="10"/>
  <c r="K29" i="10"/>
  <c r="K28" i="10"/>
  <c r="K27" i="10"/>
  <c r="K26" i="10"/>
  <c r="K25" i="10"/>
  <c r="K24" i="10"/>
  <c r="K23" i="10"/>
  <c r="H23" i="10"/>
  <c r="G23" i="10"/>
  <c r="F23" i="10"/>
  <c r="E23" i="10"/>
  <c r="D23" i="10"/>
  <c r="C23" i="10"/>
  <c r="B23" i="10"/>
  <c r="A23" i="10"/>
  <c r="K22" i="10"/>
  <c r="H22" i="10"/>
  <c r="G22" i="10"/>
  <c r="F22" i="10"/>
  <c r="E22" i="10"/>
  <c r="D22" i="10"/>
  <c r="C22" i="10"/>
  <c r="B22" i="10"/>
  <c r="A22" i="10"/>
  <c r="K21" i="10"/>
  <c r="H21" i="10"/>
  <c r="G21" i="10"/>
  <c r="F21" i="10"/>
  <c r="E21" i="10"/>
  <c r="D21" i="10"/>
  <c r="C21" i="10"/>
  <c r="B21" i="10"/>
  <c r="A21" i="10"/>
  <c r="K20" i="10"/>
  <c r="H20" i="10"/>
  <c r="G20" i="10"/>
  <c r="F20" i="10"/>
  <c r="E20" i="10"/>
  <c r="D20" i="10"/>
  <c r="C20" i="10"/>
  <c r="B20" i="10"/>
  <c r="A20" i="10"/>
  <c r="K19" i="10"/>
  <c r="H19" i="10"/>
  <c r="G19" i="10"/>
  <c r="F19" i="10"/>
  <c r="E19" i="10"/>
  <c r="D19" i="10"/>
  <c r="C19" i="10"/>
  <c r="B19" i="10"/>
  <c r="A19" i="10"/>
  <c r="K18" i="10"/>
  <c r="H18" i="10"/>
  <c r="G18" i="10"/>
  <c r="F18" i="10"/>
  <c r="E18" i="10"/>
  <c r="D18" i="10"/>
  <c r="C18" i="10"/>
  <c r="B18" i="10"/>
  <c r="A18" i="10"/>
  <c r="K17" i="10"/>
  <c r="J17" i="10"/>
  <c r="I17" i="10"/>
  <c r="H17" i="10"/>
  <c r="G17" i="10"/>
  <c r="F17" i="10"/>
  <c r="E17" i="10"/>
  <c r="D17" i="10"/>
  <c r="C17" i="10"/>
  <c r="B17" i="10"/>
  <c r="A17" i="10"/>
  <c r="K16" i="10"/>
  <c r="J16" i="10"/>
  <c r="I16" i="10"/>
  <c r="H16" i="10"/>
  <c r="G16" i="10"/>
  <c r="F16" i="10"/>
  <c r="E16" i="10"/>
  <c r="D16" i="10"/>
  <c r="C16" i="10"/>
  <c r="B16" i="10"/>
  <c r="A16" i="10"/>
  <c r="K15" i="10"/>
  <c r="J15" i="10"/>
  <c r="I15" i="10"/>
  <c r="H15" i="10"/>
  <c r="G15" i="10"/>
  <c r="F15" i="10"/>
  <c r="E15" i="10"/>
  <c r="D15" i="10"/>
  <c r="C15" i="10"/>
  <c r="B15" i="10"/>
  <c r="A15" i="10"/>
  <c r="K14" i="10"/>
  <c r="J14" i="10"/>
  <c r="I14" i="10"/>
  <c r="H14" i="10"/>
  <c r="G14" i="10"/>
  <c r="F14" i="10"/>
  <c r="E14" i="10"/>
  <c r="D14" i="10"/>
  <c r="C14" i="10"/>
  <c r="B14" i="10"/>
  <c r="A14" i="10"/>
  <c r="K13" i="10"/>
  <c r="I13" i="10"/>
  <c r="H13" i="10"/>
  <c r="G13" i="10"/>
  <c r="F13" i="10"/>
  <c r="E13" i="10"/>
  <c r="D13" i="10"/>
  <c r="C13" i="10"/>
  <c r="B13" i="10"/>
  <c r="A13" i="10"/>
  <c r="K12" i="10"/>
  <c r="J12" i="10"/>
  <c r="I12" i="10"/>
  <c r="H12" i="10"/>
  <c r="G12" i="10"/>
  <c r="F12" i="10"/>
  <c r="E12" i="10"/>
  <c r="D12" i="10"/>
  <c r="C12" i="10"/>
  <c r="B12" i="10"/>
  <c r="A12" i="10"/>
  <c r="K80" i="9"/>
  <c r="K79" i="9"/>
  <c r="K78" i="9"/>
  <c r="K77" i="9"/>
  <c r="K76" i="9"/>
  <c r="K75" i="9"/>
  <c r="K74" i="9"/>
  <c r="K73" i="9"/>
  <c r="K72" i="9"/>
  <c r="K71" i="9"/>
  <c r="K70" i="9"/>
  <c r="K69" i="9"/>
  <c r="K68" i="9"/>
  <c r="K67" i="9"/>
  <c r="K66" i="9"/>
  <c r="K65" i="9"/>
  <c r="K64" i="9"/>
  <c r="K63" i="9"/>
  <c r="K62" i="9"/>
  <c r="K61" i="9"/>
  <c r="K60" i="9"/>
  <c r="K59" i="9"/>
  <c r="K58" i="9"/>
  <c r="K57" i="9"/>
  <c r="K56" i="9"/>
  <c r="K55" i="9"/>
  <c r="K54" i="9"/>
  <c r="K53" i="9"/>
  <c r="K52" i="9"/>
  <c r="K51" i="9"/>
  <c r="K50" i="9"/>
  <c r="K49" i="9"/>
  <c r="K48" i="9"/>
  <c r="K47" i="9"/>
  <c r="K46" i="9"/>
  <c r="K45" i="9"/>
  <c r="K44" i="9"/>
  <c r="K43" i="9"/>
  <c r="K42" i="9"/>
  <c r="K41" i="9"/>
  <c r="K40" i="9"/>
  <c r="K39" i="9"/>
  <c r="K38" i="9"/>
  <c r="K37" i="9"/>
  <c r="K36" i="9"/>
  <c r="K35" i="9"/>
  <c r="K34" i="9"/>
  <c r="K33" i="9"/>
  <c r="K32" i="9"/>
  <c r="K31" i="9"/>
  <c r="K30" i="9"/>
  <c r="K29" i="9"/>
  <c r="K28" i="9"/>
  <c r="K27" i="9"/>
  <c r="K26" i="9"/>
  <c r="K25" i="9"/>
  <c r="K24" i="9"/>
  <c r="K23" i="9"/>
  <c r="H23" i="9"/>
  <c r="G23" i="9"/>
  <c r="F23" i="9"/>
  <c r="E23" i="9"/>
  <c r="D23" i="9"/>
  <c r="C23" i="9"/>
  <c r="B23" i="9"/>
  <c r="A23" i="9"/>
  <c r="K22" i="9"/>
  <c r="H22" i="9"/>
  <c r="G22" i="9"/>
  <c r="F22" i="9"/>
  <c r="E22" i="9"/>
  <c r="D22" i="9"/>
  <c r="C22" i="9"/>
  <c r="B22" i="9"/>
  <c r="A22" i="9"/>
  <c r="K21" i="9"/>
  <c r="H21" i="9"/>
  <c r="G21" i="9"/>
  <c r="F21" i="9"/>
  <c r="E21" i="9"/>
  <c r="D21" i="9"/>
  <c r="C21" i="9"/>
  <c r="B21" i="9"/>
  <c r="A21" i="9"/>
  <c r="K20" i="9"/>
  <c r="I20" i="9"/>
  <c r="H20" i="9"/>
  <c r="G20" i="9"/>
  <c r="F20" i="9"/>
  <c r="E20" i="9"/>
  <c r="D20" i="9"/>
  <c r="C20" i="9"/>
  <c r="B20" i="9"/>
  <c r="A20" i="9"/>
  <c r="K19" i="9"/>
  <c r="I19" i="9"/>
  <c r="H19" i="9"/>
  <c r="G19" i="9"/>
  <c r="F19" i="9"/>
  <c r="E19" i="9"/>
  <c r="D19" i="9"/>
  <c r="C19" i="9"/>
  <c r="B19" i="9"/>
  <c r="A19" i="9"/>
  <c r="K18" i="9"/>
  <c r="I18" i="9"/>
  <c r="H18" i="9"/>
  <c r="G18" i="9"/>
  <c r="F18" i="9"/>
  <c r="E18" i="9"/>
  <c r="D18" i="9"/>
  <c r="C18" i="9"/>
  <c r="B18" i="9"/>
  <c r="A18" i="9"/>
  <c r="K17" i="9"/>
  <c r="I17" i="9"/>
  <c r="H17" i="9"/>
  <c r="G17" i="9"/>
  <c r="F17" i="9"/>
  <c r="E17" i="9"/>
  <c r="D17" i="9"/>
  <c r="C17" i="9"/>
  <c r="B17" i="9"/>
  <c r="A17" i="9"/>
  <c r="K16" i="9"/>
  <c r="I16" i="9"/>
  <c r="H16" i="9"/>
  <c r="G16" i="9"/>
  <c r="F16" i="9"/>
  <c r="E16" i="9"/>
  <c r="D16" i="9"/>
  <c r="C16" i="9"/>
  <c r="B16" i="9"/>
  <c r="A16" i="9"/>
  <c r="K15" i="9"/>
  <c r="I15" i="9"/>
  <c r="H15" i="9"/>
  <c r="G15" i="9"/>
  <c r="F15" i="9"/>
  <c r="E15" i="9"/>
  <c r="D15" i="9"/>
  <c r="C15" i="9"/>
  <c r="B15" i="9"/>
  <c r="A15" i="9"/>
  <c r="K14" i="9"/>
  <c r="I14" i="9"/>
  <c r="H14" i="9"/>
  <c r="G14" i="9"/>
  <c r="F14" i="9"/>
  <c r="E14" i="9"/>
  <c r="D14" i="9"/>
  <c r="C14" i="9"/>
  <c r="B14" i="9"/>
  <c r="A14" i="9"/>
  <c r="K13" i="9"/>
  <c r="J13" i="9"/>
  <c r="I13" i="9"/>
  <c r="H13" i="9"/>
  <c r="G13" i="9"/>
  <c r="F13" i="9"/>
  <c r="E13" i="9"/>
  <c r="D13" i="9"/>
  <c r="C13" i="9"/>
  <c r="B13" i="9"/>
  <c r="A13" i="9"/>
  <c r="K12" i="9"/>
  <c r="J12" i="9"/>
  <c r="I12" i="9"/>
  <c r="H12" i="9"/>
  <c r="G12" i="9"/>
  <c r="F12" i="9"/>
  <c r="E12" i="9"/>
  <c r="D12" i="9"/>
  <c r="C12" i="9"/>
  <c r="B12" i="9"/>
  <c r="A12" i="9"/>
  <c r="K80" i="8"/>
  <c r="K79" i="8"/>
  <c r="K78" i="8"/>
  <c r="K77" i="8"/>
  <c r="K76" i="8"/>
  <c r="K75" i="8"/>
  <c r="K74" i="8"/>
  <c r="K73" i="8"/>
  <c r="K72" i="8"/>
  <c r="K71" i="8"/>
  <c r="K70" i="8"/>
  <c r="K69" i="8"/>
  <c r="K68" i="8"/>
  <c r="K67" i="8"/>
  <c r="K66" i="8"/>
  <c r="K65" i="8"/>
  <c r="K64" i="8"/>
  <c r="K63" i="8"/>
  <c r="K62" i="8"/>
  <c r="K61" i="8"/>
  <c r="K60" i="8"/>
  <c r="K59" i="8"/>
  <c r="K58" i="8"/>
  <c r="K57" i="8"/>
  <c r="K56" i="8"/>
  <c r="K55" i="8"/>
  <c r="K54" i="8"/>
  <c r="K53" i="8"/>
  <c r="K52" i="8"/>
  <c r="K51" i="8"/>
  <c r="K50" i="8"/>
  <c r="K49" i="8"/>
  <c r="K48" i="8"/>
  <c r="K47" i="8"/>
  <c r="K46" i="8"/>
  <c r="K45" i="8"/>
  <c r="K44" i="8"/>
  <c r="K43" i="8"/>
  <c r="K42" i="8"/>
  <c r="K41" i="8"/>
  <c r="K40" i="8"/>
  <c r="K39" i="8"/>
  <c r="K38" i="8"/>
  <c r="K37" i="8"/>
  <c r="K36" i="8"/>
  <c r="K35" i="8"/>
  <c r="K34" i="8"/>
  <c r="K33" i="8"/>
  <c r="I32" i="8"/>
  <c r="I31" i="8"/>
  <c r="I30" i="8"/>
  <c r="I29" i="8"/>
  <c r="I28" i="8"/>
  <c r="I27" i="8"/>
  <c r="I26" i="8"/>
  <c r="I25" i="8"/>
  <c r="I24" i="8"/>
  <c r="I23" i="8"/>
  <c r="I22" i="8"/>
  <c r="I21" i="8"/>
  <c r="I20" i="8"/>
  <c r="K19" i="8"/>
  <c r="J19" i="8"/>
  <c r="I19" i="8"/>
  <c r="H19" i="8"/>
  <c r="G19" i="8"/>
  <c r="F19" i="8"/>
  <c r="E19" i="8"/>
  <c r="D19" i="8"/>
  <c r="C19" i="8"/>
  <c r="B19" i="8"/>
  <c r="A19" i="8"/>
  <c r="K18" i="8"/>
  <c r="J18" i="8"/>
  <c r="I18" i="8"/>
  <c r="H18" i="8"/>
  <c r="G18" i="8"/>
  <c r="F18" i="8"/>
  <c r="E18" i="8"/>
  <c r="D18" i="8"/>
  <c r="C18" i="8"/>
  <c r="B18" i="8"/>
  <c r="A18" i="8"/>
  <c r="K17" i="8"/>
  <c r="J17" i="8"/>
  <c r="I17" i="8"/>
  <c r="H17" i="8"/>
  <c r="G17" i="8"/>
  <c r="F17" i="8"/>
  <c r="E17" i="8"/>
  <c r="D17" i="8"/>
  <c r="C17" i="8"/>
  <c r="B17" i="8"/>
  <c r="A17" i="8"/>
  <c r="K16" i="8"/>
  <c r="J16" i="8"/>
  <c r="I16" i="8"/>
  <c r="H16" i="8"/>
  <c r="G16" i="8"/>
  <c r="F16" i="8"/>
  <c r="E16" i="8"/>
  <c r="D16" i="8"/>
  <c r="C16" i="8"/>
  <c r="B16" i="8"/>
  <c r="A16" i="8"/>
  <c r="K15" i="8"/>
  <c r="J15" i="8"/>
  <c r="I15" i="8"/>
  <c r="H15" i="8"/>
  <c r="G15" i="8"/>
  <c r="F15" i="8"/>
  <c r="E15" i="8"/>
  <c r="D15" i="8"/>
  <c r="C15" i="8"/>
  <c r="B15" i="8"/>
  <c r="A15" i="8"/>
  <c r="K14" i="8"/>
  <c r="J14" i="8"/>
  <c r="I14" i="8"/>
  <c r="H14" i="8"/>
  <c r="G14" i="8"/>
  <c r="F14" i="8"/>
  <c r="E14" i="8"/>
  <c r="D14" i="8"/>
  <c r="C14" i="8"/>
  <c r="B14" i="8"/>
  <c r="A14" i="8"/>
  <c r="K13" i="8"/>
  <c r="J13" i="8"/>
  <c r="I13" i="8"/>
  <c r="H13" i="8"/>
  <c r="G13" i="8"/>
  <c r="F13" i="8"/>
  <c r="E13" i="8"/>
  <c r="D13" i="8"/>
  <c r="C13" i="8"/>
  <c r="B13" i="8"/>
  <c r="A13" i="8"/>
  <c r="K12" i="8"/>
  <c r="J12" i="8"/>
  <c r="I12" i="8"/>
  <c r="H12" i="8"/>
  <c r="G12" i="8"/>
  <c r="F12" i="8"/>
  <c r="E12" i="8"/>
  <c r="D12" i="8"/>
  <c r="C12" i="8"/>
  <c r="B12" i="8"/>
  <c r="A12" i="8"/>
  <c r="K80" i="7"/>
  <c r="K79" i="7"/>
  <c r="K78" i="7"/>
  <c r="K77" i="7"/>
  <c r="K76" i="7"/>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J12" i="7"/>
  <c r="I12" i="7"/>
  <c r="G12" i="7"/>
  <c r="F12" i="7"/>
  <c r="E12" i="7"/>
  <c r="D12" i="7"/>
  <c r="A12" i="7"/>
  <c r="I8" i="7"/>
  <c r="I7" i="7"/>
  <c r="I6" i="7"/>
  <c r="I5" i="7"/>
  <c r="I4" i="7"/>
  <c r="I3" i="7"/>
  <c r="I2" i="7"/>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I28" i="6"/>
  <c r="K27" i="6"/>
  <c r="I27" i="6"/>
  <c r="K26" i="6"/>
  <c r="I26" i="6"/>
  <c r="H26" i="6"/>
  <c r="G26" i="6"/>
  <c r="F26" i="6"/>
  <c r="E26" i="6"/>
  <c r="D26" i="6"/>
  <c r="C26" i="6"/>
  <c r="B26" i="6"/>
  <c r="A26" i="6"/>
  <c r="K25" i="6"/>
  <c r="I25" i="6"/>
  <c r="H25" i="6"/>
  <c r="G25" i="6"/>
  <c r="F25" i="6"/>
  <c r="E25" i="6"/>
  <c r="D25" i="6"/>
  <c r="C25" i="6"/>
  <c r="B25" i="6"/>
  <c r="A25" i="6"/>
  <c r="K24" i="6"/>
  <c r="I24" i="6"/>
  <c r="H24" i="6"/>
  <c r="G24" i="6"/>
  <c r="F24" i="6"/>
  <c r="E24" i="6"/>
  <c r="D24" i="6"/>
  <c r="C24" i="6"/>
  <c r="B24" i="6"/>
  <c r="A24" i="6"/>
  <c r="K23" i="6"/>
  <c r="I23" i="6"/>
  <c r="H23" i="6"/>
  <c r="G23" i="6"/>
  <c r="F23" i="6"/>
  <c r="E23" i="6"/>
  <c r="D23" i="6"/>
  <c r="C23" i="6"/>
  <c r="B23" i="6"/>
  <c r="A23" i="6"/>
  <c r="K22" i="6"/>
  <c r="I22" i="6"/>
  <c r="H22" i="6"/>
  <c r="G22" i="6"/>
  <c r="F22" i="6"/>
  <c r="E22" i="6"/>
  <c r="D22" i="6"/>
  <c r="C22" i="6"/>
  <c r="B22" i="6"/>
  <c r="A22" i="6"/>
  <c r="K21" i="6"/>
  <c r="I21" i="6"/>
  <c r="H21" i="6"/>
  <c r="G21" i="6"/>
  <c r="F21" i="6"/>
  <c r="E21" i="6"/>
  <c r="D21" i="6"/>
  <c r="C21" i="6"/>
  <c r="B21" i="6"/>
  <c r="A21" i="6"/>
  <c r="K20" i="6"/>
  <c r="I20" i="6"/>
  <c r="H20" i="6"/>
  <c r="G20" i="6"/>
  <c r="F20" i="6"/>
  <c r="E20" i="6"/>
  <c r="D20" i="6"/>
  <c r="C20" i="6"/>
  <c r="B20" i="6"/>
  <c r="A20" i="6"/>
  <c r="K19" i="6"/>
  <c r="I19" i="6"/>
  <c r="H19" i="6"/>
  <c r="G19" i="6"/>
  <c r="F19" i="6"/>
  <c r="E19" i="6"/>
  <c r="D19" i="6"/>
  <c r="C19" i="6"/>
  <c r="B19" i="6"/>
  <c r="A19" i="6"/>
  <c r="K18" i="6"/>
  <c r="I18" i="6"/>
  <c r="H18" i="6"/>
  <c r="G18" i="6"/>
  <c r="F18" i="6"/>
  <c r="E18" i="6"/>
  <c r="D18" i="6"/>
  <c r="C18" i="6"/>
  <c r="B18" i="6"/>
  <c r="A18" i="6"/>
  <c r="K17" i="6"/>
  <c r="I17" i="6"/>
  <c r="H17" i="6"/>
  <c r="G17" i="6"/>
  <c r="F17" i="6"/>
  <c r="E17" i="6"/>
  <c r="D17" i="6"/>
  <c r="C17" i="6"/>
  <c r="B17" i="6"/>
  <c r="A17" i="6"/>
  <c r="K16" i="6"/>
  <c r="I16" i="6"/>
  <c r="H16" i="6"/>
  <c r="G16" i="6"/>
  <c r="F16" i="6"/>
  <c r="E16" i="6"/>
  <c r="D16" i="6"/>
  <c r="C16" i="6"/>
  <c r="B16" i="6"/>
  <c r="A16" i="6"/>
  <c r="K15" i="6"/>
  <c r="I15" i="6"/>
  <c r="H15" i="6"/>
  <c r="G15" i="6"/>
  <c r="F15" i="6"/>
  <c r="E15" i="6"/>
  <c r="D15" i="6"/>
  <c r="C15" i="6"/>
  <c r="B15" i="6"/>
  <c r="A15" i="6"/>
  <c r="K14" i="6"/>
  <c r="I14" i="6"/>
  <c r="H14" i="6"/>
  <c r="G14" i="6"/>
  <c r="F14" i="6"/>
  <c r="E14" i="6"/>
  <c r="D14" i="6"/>
  <c r="C14" i="6"/>
  <c r="B14" i="6"/>
  <c r="A14" i="6"/>
  <c r="K13" i="6"/>
  <c r="I13" i="6"/>
  <c r="H13" i="6"/>
  <c r="G13" i="6"/>
  <c r="F13" i="6"/>
  <c r="E13" i="6"/>
  <c r="D13" i="6"/>
  <c r="C13" i="6"/>
  <c r="B13" i="6"/>
  <c r="A13" i="6"/>
  <c r="K12" i="6"/>
  <c r="I12" i="6"/>
  <c r="H12" i="6"/>
  <c r="G12" i="6"/>
  <c r="F12" i="6"/>
  <c r="E12" i="6"/>
  <c r="D12" i="6"/>
  <c r="C12" i="6"/>
  <c r="B12" i="6"/>
  <c r="A12" i="6"/>
  <c r="J62" i="5"/>
  <c r="J61" i="5"/>
  <c r="K60" i="5"/>
  <c r="J60" i="5"/>
  <c r="J59" i="5"/>
  <c r="K58" i="5"/>
  <c r="K57" i="5"/>
  <c r="J51" i="5"/>
  <c r="J50" i="5"/>
  <c r="K45" i="5"/>
  <c r="J45" i="5"/>
  <c r="K44" i="5"/>
  <c r="J44" i="5"/>
  <c r="K43" i="5"/>
  <c r="J43" i="5"/>
  <c r="I43" i="5"/>
  <c r="K42" i="5"/>
  <c r="J42" i="5"/>
  <c r="I42" i="5"/>
  <c r="K41" i="5"/>
  <c r="J41" i="5"/>
  <c r="I41" i="5"/>
  <c r="K40" i="5"/>
  <c r="J40" i="5"/>
  <c r="I40" i="5"/>
  <c r="H40" i="5"/>
  <c r="G40" i="5"/>
  <c r="F40" i="5"/>
  <c r="E40" i="5"/>
  <c r="D40" i="5"/>
  <c r="C40" i="5"/>
  <c r="B40" i="5"/>
  <c r="A40" i="5"/>
  <c r="K39" i="5"/>
  <c r="J39" i="5"/>
  <c r="I39" i="5"/>
  <c r="H39" i="5"/>
  <c r="G39" i="5"/>
  <c r="F39" i="5"/>
  <c r="E39" i="5"/>
  <c r="D39" i="5"/>
  <c r="C39" i="5"/>
  <c r="B39" i="5"/>
  <c r="A39" i="5"/>
  <c r="K38" i="5"/>
  <c r="J38" i="5"/>
  <c r="I38" i="5"/>
  <c r="H38" i="5"/>
  <c r="G38" i="5"/>
  <c r="F38" i="5"/>
  <c r="E38" i="5"/>
  <c r="D38" i="5"/>
  <c r="C38" i="5"/>
  <c r="B38" i="5"/>
  <c r="A38" i="5"/>
  <c r="K37" i="5"/>
  <c r="J37" i="5"/>
  <c r="I37" i="5"/>
  <c r="H37" i="5"/>
  <c r="G37" i="5"/>
  <c r="F37" i="5"/>
  <c r="E37" i="5"/>
  <c r="D37" i="5"/>
  <c r="C37" i="5"/>
  <c r="B37" i="5"/>
  <c r="A37" i="5"/>
  <c r="K36" i="5"/>
  <c r="J36" i="5"/>
  <c r="I36" i="5"/>
  <c r="H36" i="5"/>
  <c r="G36" i="5"/>
  <c r="F36" i="5"/>
  <c r="E36" i="5"/>
  <c r="D36" i="5"/>
  <c r="C36" i="5"/>
  <c r="B36" i="5"/>
  <c r="A36" i="5"/>
  <c r="K35" i="5"/>
  <c r="J35" i="5"/>
  <c r="I35" i="5"/>
  <c r="H35" i="5"/>
  <c r="G35" i="5"/>
  <c r="F35" i="5"/>
  <c r="E35" i="5"/>
  <c r="D35" i="5"/>
  <c r="C35" i="5"/>
  <c r="B35" i="5"/>
  <c r="A35" i="5"/>
  <c r="K34" i="5"/>
  <c r="J34" i="5"/>
  <c r="I34" i="5"/>
  <c r="H34" i="5"/>
  <c r="G34" i="5"/>
  <c r="F34" i="5"/>
  <c r="E34" i="5"/>
  <c r="D34" i="5"/>
  <c r="C34" i="5"/>
  <c r="B34" i="5"/>
  <c r="A34" i="5"/>
  <c r="K33" i="5"/>
  <c r="J33" i="5"/>
  <c r="I33" i="5"/>
  <c r="H33" i="5"/>
  <c r="G33" i="5"/>
  <c r="F33" i="5"/>
  <c r="E33" i="5"/>
  <c r="D33" i="5"/>
  <c r="C33" i="5"/>
  <c r="B33" i="5"/>
  <c r="A33" i="5"/>
  <c r="K32" i="5"/>
  <c r="J32" i="5"/>
  <c r="I32" i="5"/>
  <c r="H32" i="5"/>
  <c r="G32" i="5"/>
  <c r="F32" i="5"/>
  <c r="E32" i="5"/>
  <c r="D32" i="5"/>
  <c r="C32" i="5"/>
  <c r="B32" i="5"/>
  <c r="A32" i="5"/>
  <c r="K31" i="5"/>
  <c r="J31" i="5"/>
  <c r="I31" i="5"/>
  <c r="H31" i="5"/>
  <c r="G31" i="5"/>
  <c r="F31" i="5"/>
  <c r="E31" i="5"/>
  <c r="D31" i="5"/>
  <c r="C31" i="5"/>
  <c r="B31" i="5"/>
  <c r="A31" i="5"/>
  <c r="K30" i="5"/>
  <c r="J30" i="5"/>
  <c r="I30" i="5"/>
  <c r="H30" i="5"/>
  <c r="G30" i="5"/>
  <c r="F30" i="5"/>
  <c r="E30" i="5"/>
  <c r="D30" i="5"/>
  <c r="C30" i="5"/>
  <c r="B30" i="5"/>
  <c r="A30" i="5"/>
  <c r="K29" i="5"/>
  <c r="J29" i="5"/>
  <c r="I29" i="5"/>
  <c r="H29" i="5"/>
  <c r="G29" i="5"/>
  <c r="F29" i="5"/>
  <c r="E29" i="5"/>
  <c r="D29" i="5"/>
  <c r="C29" i="5"/>
  <c r="B29" i="5"/>
  <c r="A29" i="5"/>
  <c r="K28" i="5"/>
  <c r="J28" i="5"/>
  <c r="I28" i="5"/>
  <c r="H28" i="5"/>
  <c r="G28" i="5"/>
  <c r="F28" i="5"/>
  <c r="E28" i="5"/>
  <c r="D28" i="5"/>
  <c r="C28" i="5"/>
  <c r="B28" i="5"/>
  <c r="A28" i="5"/>
  <c r="K27" i="5"/>
  <c r="J27" i="5"/>
  <c r="I27" i="5"/>
  <c r="H27" i="5"/>
  <c r="G27" i="5"/>
  <c r="F27" i="5"/>
  <c r="E27" i="5"/>
  <c r="D27" i="5"/>
  <c r="C27" i="5"/>
  <c r="B27" i="5"/>
  <c r="A27" i="5"/>
  <c r="K26" i="5"/>
  <c r="J26" i="5"/>
  <c r="I26" i="5"/>
  <c r="H26" i="5"/>
  <c r="G26" i="5"/>
  <c r="F26" i="5"/>
  <c r="E26" i="5"/>
  <c r="D26" i="5"/>
  <c r="C26" i="5"/>
  <c r="B26" i="5"/>
  <c r="A26" i="5"/>
  <c r="K25" i="5"/>
  <c r="J25" i="5"/>
  <c r="I25" i="5"/>
  <c r="H25" i="5"/>
  <c r="G25" i="5"/>
  <c r="F25" i="5"/>
  <c r="E25" i="5"/>
  <c r="D25" i="5"/>
  <c r="C25" i="5"/>
  <c r="B25" i="5"/>
  <c r="A25" i="5"/>
  <c r="K24" i="5"/>
  <c r="J24" i="5"/>
  <c r="I24" i="5"/>
  <c r="H24" i="5"/>
  <c r="G24" i="5"/>
  <c r="F24" i="5"/>
  <c r="E24" i="5"/>
  <c r="D24" i="5"/>
  <c r="C24" i="5"/>
  <c r="B24" i="5"/>
  <c r="A24" i="5"/>
  <c r="K23" i="5"/>
  <c r="J23" i="5"/>
  <c r="I23" i="5"/>
  <c r="H23" i="5"/>
  <c r="G23" i="5"/>
  <c r="F23" i="5"/>
  <c r="E23" i="5"/>
  <c r="D23" i="5"/>
  <c r="C23" i="5"/>
  <c r="B23" i="5"/>
  <c r="A23" i="5"/>
  <c r="K22" i="5"/>
  <c r="J22" i="5"/>
  <c r="I22" i="5"/>
  <c r="H22" i="5"/>
  <c r="G22" i="5"/>
  <c r="F22" i="5"/>
  <c r="E22" i="5"/>
  <c r="D22" i="5"/>
  <c r="C22" i="5"/>
  <c r="B22" i="5"/>
  <c r="A22" i="5"/>
  <c r="K21" i="5"/>
  <c r="J21" i="5"/>
  <c r="I21" i="5"/>
  <c r="H21" i="5"/>
  <c r="G21" i="5"/>
  <c r="F21" i="5"/>
  <c r="E21" i="5"/>
  <c r="D21" i="5"/>
  <c r="C21" i="5"/>
  <c r="B21" i="5"/>
  <c r="A21" i="5"/>
  <c r="K20" i="5"/>
  <c r="J20" i="5"/>
  <c r="I20" i="5"/>
  <c r="H20" i="5"/>
  <c r="G20" i="5"/>
  <c r="F20" i="5"/>
  <c r="E20" i="5"/>
  <c r="D20" i="5"/>
  <c r="C20" i="5"/>
  <c r="B20" i="5"/>
  <c r="A20" i="5"/>
  <c r="K19" i="5"/>
  <c r="J19" i="5"/>
  <c r="I19" i="5"/>
  <c r="H19" i="5"/>
  <c r="G19" i="5"/>
  <c r="F19" i="5"/>
  <c r="E19" i="5"/>
  <c r="D19" i="5"/>
  <c r="C19" i="5"/>
  <c r="B19" i="5"/>
  <c r="A19" i="5"/>
  <c r="K18" i="5"/>
  <c r="J18" i="5"/>
  <c r="I18" i="5"/>
  <c r="H18" i="5"/>
  <c r="G18" i="5"/>
  <c r="F18" i="5"/>
  <c r="E18" i="5"/>
  <c r="D18" i="5"/>
  <c r="C18" i="5"/>
  <c r="B18" i="5"/>
  <c r="A18" i="5"/>
  <c r="K17" i="5"/>
  <c r="J17" i="5"/>
  <c r="I17" i="5"/>
  <c r="H17" i="5"/>
  <c r="G17" i="5"/>
  <c r="F17" i="5"/>
  <c r="E17" i="5"/>
  <c r="D17" i="5"/>
  <c r="C17" i="5"/>
  <c r="B17" i="5"/>
  <c r="A17" i="5"/>
  <c r="K16" i="5"/>
  <c r="J16" i="5"/>
  <c r="I16" i="5"/>
  <c r="H16" i="5"/>
  <c r="G16" i="5"/>
  <c r="F16" i="5"/>
  <c r="E16" i="5"/>
  <c r="D16" i="5"/>
  <c r="C16" i="5"/>
  <c r="B16" i="5"/>
  <c r="A16" i="5"/>
  <c r="K15" i="5"/>
  <c r="J15" i="5"/>
  <c r="I15" i="5"/>
  <c r="H15" i="5"/>
  <c r="G15" i="5"/>
  <c r="F15" i="5"/>
  <c r="E15" i="5"/>
  <c r="D15" i="5"/>
  <c r="C15" i="5"/>
  <c r="B15" i="5"/>
  <c r="A15" i="5"/>
  <c r="K14" i="5"/>
  <c r="J14" i="5"/>
  <c r="I14" i="5"/>
  <c r="H14" i="5"/>
  <c r="G14" i="5"/>
  <c r="F14" i="5"/>
  <c r="E14" i="5"/>
  <c r="D14" i="5"/>
  <c r="C14" i="5"/>
  <c r="B14" i="5"/>
  <c r="A14" i="5"/>
  <c r="K13" i="5"/>
  <c r="J13" i="5"/>
  <c r="I13" i="5"/>
  <c r="H13" i="5"/>
  <c r="G13" i="5"/>
  <c r="F13" i="5"/>
  <c r="E13" i="5"/>
  <c r="D13" i="5"/>
  <c r="C13" i="5"/>
  <c r="B13" i="5"/>
  <c r="A13" i="5"/>
  <c r="K12" i="5"/>
  <c r="J12" i="5"/>
  <c r="I12" i="5"/>
  <c r="H12" i="5"/>
  <c r="G12" i="5"/>
  <c r="F12" i="5"/>
  <c r="E12" i="5"/>
  <c r="D12" i="5"/>
  <c r="C12" i="5"/>
  <c r="B12" i="5"/>
  <c r="A12" i="5"/>
  <c r="I33" i="4"/>
  <c r="H33" i="4"/>
  <c r="G33" i="4"/>
  <c r="F33" i="4"/>
  <c r="E33" i="4"/>
  <c r="D33" i="4"/>
  <c r="C33" i="4"/>
  <c r="B33" i="4"/>
  <c r="A33" i="4"/>
  <c r="I32" i="4"/>
  <c r="H32" i="4"/>
  <c r="G32" i="4"/>
  <c r="F32" i="4"/>
  <c r="E32" i="4"/>
  <c r="D32" i="4"/>
  <c r="C32" i="4"/>
  <c r="B32" i="4"/>
  <c r="A32" i="4"/>
  <c r="I31" i="4"/>
  <c r="H31" i="4"/>
  <c r="G31" i="4"/>
  <c r="F31" i="4"/>
  <c r="E31" i="4"/>
  <c r="D31" i="4"/>
  <c r="C31" i="4"/>
  <c r="B31" i="4"/>
  <c r="A31" i="4"/>
  <c r="I30" i="4"/>
  <c r="H30" i="4"/>
  <c r="G30" i="4"/>
  <c r="F30" i="4"/>
  <c r="E30" i="4"/>
  <c r="D30" i="4"/>
  <c r="C30" i="4"/>
  <c r="B30" i="4"/>
  <c r="A30" i="4"/>
  <c r="J29" i="4"/>
  <c r="I29" i="4"/>
  <c r="H29" i="4"/>
  <c r="G29" i="4"/>
  <c r="F29" i="4"/>
  <c r="E29" i="4"/>
  <c r="D29" i="4"/>
  <c r="C29" i="4"/>
  <c r="B29" i="4"/>
  <c r="A29" i="4"/>
  <c r="I28" i="4"/>
  <c r="H28" i="4"/>
  <c r="G28" i="4"/>
  <c r="F28" i="4"/>
  <c r="E28" i="4"/>
  <c r="D28" i="4"/>
  <c r="C28" i="4"/>
  <c r="B28" i="4"/>
  <c r="A28" i="4"/>
  <c r="I27" i="4"/>
  <c r="H27" i="4"/>
  <c r="G27" i="4"/>
  <c r="F27" i="4"/>
  <c r="E27" i="4"/>
  <c r="D27" i="4"/>
  <c r="C27" i="4"/>
  <c r="B27" i="4"/>
  <c r="A27" i="4"/>
  <c r="I26" i="4"/>
  <c r="H26" i="4"/>
  <c r="G26" i="4"/>
  <c r="F26" i="4"/>
  <c r="E26" i="4"/>
  <c r="D26" i="4"/>
  <c r="C26" i="4"/>
  <c r="B26" i="4"/>
  <c r="A26" i="4"/>
  <c r="I25" i="4"/>
  <c r="H25" i="4"/>
  <c r="G25" i="4"/>
  <c r="F25" i="4"/>
  <c r="E25" i="4"/>
  <c r="D25" i="4"/>
  <c r="C25" i="4"/>
  <c r="B25" i="4"/>
  <c r="A25" i="4"/>
  <c r="I24" i="4"/>
  <c r="H24" i="4"/>
  <c r="G24" i="4"/>
  <c r="F24" i="4"/>
  <c r="E24" i="4"/>
  <c r="D24" i="4"/>
  <c r="C24" i="4"/>
  <c r="B24" i="4"/>
  <c r="A24" i="4"/>
  <c r="I23" i="4"/>
  <c r="H23" i="4"/>
  <c r="G23" i="4"/>
  <c r="F23" i="4"/>
  <c r="E23" i="4"/>
  <c r="D23" i="4"/>
  <c r="C23" i="4"/>
  <c r="B23" i="4"/>
  <c r="A23" i="4"/>
  <c r="I22" i="4"/>
  <c r="H22" i="4"/>
  <c r="G22" i="4"/>
  <c r="F22" i="4"/>
  <c r="E22" i="4"/>
  <c r="D22" i="4"/>
  <c r="C22" i="4"/>
  <c r="B22" i="4"/>
  <c r="A22" i="4"/>
  <c r="J21" i="4"/>
  <c r="I21" i="4"/>
  <c r="H21" i="4"/>
  <c r="G21" i="4"/>
  <c r="F21" i="4"/>
  <c r="E21" i="4"/>
  <c r="D21" i="4"/>
  <c r="C21" i="4"/>
  <c r="B21" i="4"/>
  <c r="A21" i="4"/>
  <c r="I20" i="4"/>
  <c r="H20" i="4"/>
  <c r="G20" i="4"/>
  <c r="F20" i="4"/>
  <c r="E20" i="4"/>
  <c r="D20" i="4"/>
  <c r="C20" i="4"/>
  <c r="B20" i="4"/>
  <c r="A20" i="4"/>
  <c r="I19" i="4"/>
  <c r="H19" i="4"/>
  <c r="G19" i="4"/>
  <c r="F19" i="4"/>
  <c r="E19" i="4"/>
  <c r="D19" i="4"/>
  <c r="C19" i="4"/>
  <c r="B19" i="4"/>
  <c r="A19" i="4"/>
  <c r="I18" i="4"/>
  <c r="H18" i="4"/>
  <c r="G18" i="4"/>
  <c r="F18" i="4"/>
  <c r="E18" i="4"/>
  <c r="D18" i="4"/>
  <c r="C18" i="4"/>
  <c r="B18" i="4"/>
  <c r="A18" i="4"/>
  <c r="M17" i="4"/>
  <c r="I17" i="4"/>
  <c r="H17" i="4"/>
  <c r="G17" i="4"/>
  <c r="F17" i="4"/>
  <c r="E17" i="4"/>
  <c r="D17" i="4"/>
  <c r="C17" i="4"/>
  <c r="B17" i="4"/>
  <c r="A17" i="4"/>
  <c r="I16" i="4"/>
  <c r="H16" i="4"/>
  <c r="G16" i="4"/>
  <c r="F16" i="4"/>
  <c r="E16" i="4"/>
  <c r="D16" i="4"/>
  <c r="C16" i="4"/>
  <c r="B16" i="4"/>
  <c r="A16" i="4"/>
  <c r="I15" i="4"/>
  <c r="H15" i="4"/>
  <c r="G15" i="4"/>
  <c r="F15" i="4"/>
  <c r="E15" i="4"/>
  <c r="D15" i="4"/>
  <c r="C15" i="4"/>
  <c r="B15" i="4"/>
  <c r="A15" i="4"/>
  <c r="I14" i="4"/>
  <c r="H14" i="4"/>
  <c r="G14" i="4"/>
  <c r="F14" i="4"/>
  <c r="E14" i="4"/>
  <c r="D14" i="4"/>
  <c r="C14" i="4"/>
  <c r="B14" i="4"/>
  <c r="A14" i="4"/>
  <c r="J13" i="4"/>
  <c r="I13" i="4"/>
  <c r="H13" i="4"/>
  <c r="G13" i="4"/>
  <c r="F13" i="4"/>
  <c r="E13" i="4"/>
  <c r="D13" i="4"/>
  <c r="C13" i="4"/>
  <c r="B13" i="4"/>
  <c r="A13" i="4"/>
  <c r="I12" i="4"/>
  <c r="H12" i="4"/>
  <c r="G12" i="4"/>
  <c r="F12" i="4"/>
  <c r="E12" i="4"/>
  <c r="D12" i="4"/>
  <c r="C12" i="4"/>
  <c r="B12" i="4"/>
  <c r="A12" i="4"/>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5" i="3"/>
  <c r="H1934" i="3"/>
  <c r="H1933" i="3"/>
  <c r="H1932" i="3"/>
  <c r="H1931" i="3"/>
  <c r="H1930" i="3"/>
  <c r="H1929" i="3"/>
  <c r="H1928" i="3"/>
  <c r="H1927" i="3"/>
  <c r="H1926" i="3"/>
  <c r="H1925" i="3"/>
  <c r="H1924" i="3"/>
  <c r="H1923" i="3"/>
  <c r="H1922" i="3"/>
  <c r="F1922" i="3"/>
  <c r="H1921" i="3"/>
  <c r="F1921" i="3"/>
  <c r="H1920" i="3"/>
  <c r="F1920" i="3"/>
  <c r="H1919" i="3"/>
  <c r="F1919" i="3"/>
  <c r="F1918" i="3"/>
  <c r="F1917" i="3"/>
  <c r="F1916" i="3"/>
  <c r="F1915" i="3"/>
  <c r="F1914" i="3"/>
  <c r="F1913" i="3"/>
  <c r="H1912" i="3"/>
  <c r="F1912" i="3"/>
  <c r="H1911" i="3"/>
  <c r="F1911" i="3"/>
  <c r="E1911" i="3"/>
  <c r="H1910" i="3"/>
  <c r="G1910" i="3"/>
  <c r="F1910" i="3"/>
  <c r="E191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G1822" i="3"/>
  <c r="H1821" i="3"/>
  <c r="G1821" i="3"/>
  <c r="E1821" i="3"/>
  <c r="H1820" i="3"/>
  <c r="G1820" i="3"/>
  <c r="F1820" i="3"/>
  <c r="E1820"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1" i="3"/>
  <c r="H1750" i="3"/>
  <c r="H1749" i="3"/>
  <c r="H1748" i="3"/>
  <c r="H1747" i="3"/>
  <c r="H1746" i="3"/>
  <c r="H1745" i="3"/>
  <c r="F1744" i="3"/>
  <c r="F1743" i="3"/>
  <c r="F1742" i="3"/>
  <c r="F1741" i="3"/>
  <c r="F1740" i="3"/>
  <c r="F1739" i="3"/>
  <c r="F1738" i="3"/>
  <c r="F1737" i="3"/>
  <c r="F1736" i="3"/>
  <c r="F1735" i="3"/>
  <c r="F1734" i="3"/>
  <c r="H1733" i="3"/>
  <c r="G1733" i="3"/>
  <c r="F1733" i="3"/>
  <c r="E1733" i="3"/>
  <c r="H1732" i="3"/>
  <c r="G1732" i="3"/>
  <c r="F1732" i="3"/>
  <c r="E1732" i="3"/>
  <c r="H1731" i="3"/>
  <c r="G1731" i="3"/>
  <c r="F1731" i="3"/>
  <c r="E1731" i="3"/>
  <c r="H1730" i="3"/>
  <c r="G1730" i="3"/>
  <c r="F1730" i="3"/>
  <c r="E1730" i="3"/>
  <c r="H1729" i="3"/>
  <c r="G1729" i="3"/>
  <c r="F1729" i="3"/>
  <c r="E1729" i="3"/>
  <c r="H1728" i="3"/>
  <c r="G1728" i="3"/>
  <c r="F1728" i="3"/>
  <c r="E1728"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54" i="3"/>
  <c r="G1654" i="3"/>
  <c r="F1654" i="3"/>
  <c r="H1653" i="3"/>
  <c r="G1653" i="3"/>
  <c r="F1653" i="3"/>
  <c r="H1652" i="3"/>
  <c r="G1652" i="3"/>
  <c r="F1652" i="3"/>
  <c r="H1651" i="3"/>
  <c r="G1651" i="3"/>
  <c r="F1651" i="3"/>
  <c r="H1650" i="3"/>
  <c r="G1650" i="3"/>
  <c r="F1650" i="3"/>
  <c r="H1649" i="3"/>
  <c r="G1649" i="3"/>
  <c r="F1649" i="3"/>
  <c r="H1648" i="3"/>
  <c r="G1648" i="3"/>
  <c r="F1648" i="3"/>
  <c r="H1647" i="3"/>
  <c r="G1647" i="3"/>
  <c r="F1647" i="3"/>
  <c r="H1646" i="3"/>
  <c r="G1646" i="3"/>
  <c r="F1646" i="3"/>
  <c r="H1645" i="3"/>
  <c r="G1645" i="3"/>
  <c r="F1645" i="3"/>
  <c r="H1644" i="3"/>
  <c r="G1644" i="3"/>
  <c r="F1644" i="3"/>
  <c r="H1643" i="3"/>
  <c r="G1643" i="3"/>
  <c r="F1643" i="3"/>
  <c r="E1643" i="3"/>
  <c r="H1642" i="3"/>
  <c r="G1642" i="3"/>
  <c r="F1642" i="3"/>
  <c r="E1642" i="3"/>
  <c r="F1534" i="3"/>
  <c r="F1533" i="3"/>
  <c r="F1532" i="3"/>
  <c r="F1531" i="3"/>
  <c r="F1530" i="3"/>
  <c r="F1529" i="3"/>
  <c r="F1528" i="3"/>
  <c r="F1527" i="3"/>
  <c r="F1526" i="3"/>
  <c r="F1525" i="3"/>
  <c r="F1524" i="3"/>
  <c r="F1523" i="3"/>
  <c r="F1522" i="3"/>
  <c r="F1521" i="3"/>
  <c r="F1520" i="3"/>
  <c r="F1519" i="3"/>
  <c r="F1518" i="3"/>
  <c r="F1517" i="3"/>
  <c r="F1516" i="3"/>
  <c r="F1515" i="3"/>
  <c r="F1514" i="3"/>
  <c r="F1513" i="3"/>
  <c r="F1512" i="3"/>
  <c r="F1511" i="3"/>
  <c r="F1510" i="3"/>
  <c r="F1509" i="3"/>
  <c r="F1508" i="3"/>
  <c r="F1507" i="3"/>
  <c r="F1506" i="3"/>
  <c r="F1505" i="3"/>
  <c r="F1504" i="3"/>
  <c r="F1503" i="3"/>
  <c r="F1502" i="3"/>
  <c r="F1501" i="3"/>
  <c r="F1500" i="3"/>
  <c r="F1499" i="3"/>
  <c r="F1498" i="3"/>
  <c r="F1497" i="3"/>
  <c r="F1496" i="3"/>
  <c r="F1495" i="3"/>
  <c r="F1494" i="3"/>
  <c r="H1493" i="3"/>
  <c r="G1493" i="3"/>
  <c r="F1493" i="3"/>
  <c r="E1493" i="3"/>
  <c r="H1492" i="3"/>
  <c r="G1492" i="3"/>
  <c r="F1492" i="3"/>
  <c r="E1492" i="3"/>
  <c r="H1491" i="3"/>
  <c r="G1491" i="3"/>
  <c r="F1491" i="3"/>
  <c r="E1491" i="3"/>
  <c r="H1490" i="3"/>
  <c r="G1490" i="3"/>
  <c r="F1490" i="3"/>
  <c r="E1490" i="3"/>
  <c r="H1489" i="3"/>
  <c r="G1489" i="3"/>
  <c r="F1489" i="3"/>
  <c r="E1489" i="3"/>
  <c r="H1488" i="3"/>
  <c r="G1488" i="3"/>
  <c r="F1488" i="3"/>
  <c r="E1488" i="3"/>
  <c r="H1487" i="3"/>
  <c r="G1487" i="3"/>
  <c r="F1487" i="3"/>
  <c r="E1487" i="3"/>
  <c r="H1486" i="3"/>
  <c r="G1486" i="3"/>
  <c r="F1486" i="3"/>
  <c r="E1486" i="3"/>
  <c r="H1485" i="3"/>
  <c r="G1485" i="3"/>
  <c r="F1485" i="3"/>
  <c r="E1485" i="3"/>
  <c r="H1484" i="3"/>
  <c r="G1484" i="3"/>
  <c r="F1484" i="3"/>
  <c r="E1484" i="3"/>
  <c r="H1483" i="3"/>
  <c r="G1483" i="3"/>
  <c r="F1483" i="3"/>
  <c r="E1483" i="3"/>
  <c r="H1482" i="3"/>
  <c r="G1482" i="3"/>
  <c r="F1482" i="3"/>
  <c r="E1482" i="3"/>
  <c r="H1481" i="3"/>
  <c r="G1481" i="3"/>
  <c r="F1481" i="3"/>
  <c r="E1481" i="3"/>
  <c r="H1480" i="3"/>
  <c r="G1480" i="3"/>
  <c r="F1480" i="3"/>
  <c r="E1480" i="3"/>
  <c r="H1479" i="3"/>
  <c r="G1479" i="3"/>
  <c r="F1479" i="3"/>
  <c r="E1479" i="3"/>
  <c r="H1478" i="3"/>
  <c r="G1478" i="3"/>
  <c r="F1478" i="3"/>
  <c r="E1478" i="3"/>
  <c r="H1477" i="3"/>
  <c r="G1477" i="3"/>
  <c r="F1477" i="3"/>
  <c r="E1477" i="3"/>
  <c r="H1476" i="3"/>
  <c r="G1476" i="3"/>
  <c r="F1476" i="3"/>
  <c r="E1476" i="3"/>
  <c r="H1475" i="3"/>
  <c r="G1475" i="3"/>
  <c r="F1475" i="3"/>
  <c r="E1475" i="3"/>
  <c r="H1474" i="3"/>
  <c r="G1474" i="3"/>
  <c r="F1474" i="3"/>
  <c r="E1474" i="3"/>
  <c r="H1473" i="3"/>
  <c r="G1473" i="3"/>
  <c r="F1473" i="3"/>
  <c r="E1473" i="3"/>
  <c r="H1472" i="3"/>
  <c r="G1472" i="3"/>
  <c r="F1472" i="3"/>
  <c r="E1472" i="3"/>
  <c r="H1471" i="3"/>
  <c r="G1471" i="3"/>
  <c r="F1471" i="3"/>
  <c r="E1471" i="3"/>
  <c r="H1470" i="3"/>
  <c r="G1470" i="3"/>
  <c r="F1470" i="3"/>
  <c r="E1470" i="3"/>
  <c r="H1469" i="3"/>
  <c r="G1469" i="3"/>
  <c r="F1469" i="3"/>
  <c r="E1469" i="3"/>
  <c r="H1468" i="3"/>
  <c r="G1468" i="3"/>
  <c r="F1468" i="3"/>
  <c r="E1468" i="3"/>
  <c r="H1467" i="3"/>
  <c r="G1467" i="3"/>
  <c r="F1467" i="3"/>
  <c r="E1467" i="3"/>
  <c r="H1466" i="3"/>
  <c r="G1466" i="3"/>
  <c r="F1466" i="3"/>
  <c r="E1466" i="3"/>
  <c r="H1465" i="3"/>
  <c r="G1465" i="3"/>
  <c r="F1465" i="3"/>
  <c r="E1465"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G1395" i="3"/>
  <c r="F1395" i="3"/>
  <c r="H1394" i="3"/>
  <c r="G1394" i="3"/>
  <c r="F1394" i="3"/>
  <c r="H1393" i="3"/>
  <c r="G1393" i="3"/>
  <c r="F1393" i="3"/>
  <c r="H1392" i="3"/>
  <c r="G1392" i="3"/>
  <c r="F1392" i="3"/>
  <c r="H1391" i="3"/>
  <c r="G1391" i="3"/>
  <c r="F1391" i="3"/>
  <c r="H1390" i="3"/>
  <c r="G1390" i="3"/>
  <c r="F1390" i="3"/>
  <c r="H1389" i="3"/>
  <c r="G1389" i="3"/>
  <c r="F1389" i="3"/>
  <c r="H1388" i="3"/>
  <c r="G1388" i="3"/>
  <c r="F1388" i="3"/>
  <c r="H1387" i="3"/>
  <c r="G1387" i="3"/>
  <c r="F1387" i="3"/>
  <c r="H1386" i="3"/>
  <c r="G1386" i="3"/>
  <c r="F1386" i="3"/>
  <c r="H1385" i="3"/>
  <c r="G1385" i="3"/>
  <c r="F1385" i="3"/>
  <c r="H1384" i="3"/>
  <c r="G1384" i="3"/>
  <c r="F1384" i="3"/>
  <c r="H1383" i="3"/>
  <c r="G1383" i="3"/>
  <c r="F1383" i="3"/>
  <c r="H1382" i="3"/>
  <c r="G1382" i="3"/>
  <c r="F1382" i="3"/>
  <c r="H1381" i="3"/>
  <c r="G1381" i="3"/>
  <c r="F1381" i="3"/>
  <c r="H1380" i="3"/>
  <c r="G1380" i="3"/>
  <c r="F1380" i="3"/>
  <c r="H1379" i="3"/>
  <c r="G1379" i="3"/>
  <c r="F1379" i="3"/>
  <c r="H1378" i="3"/>
  <c r="G1378" i="3"/>
  <c r="F1378" i="3"/>
  <c r="H1377" i="3"/>
  <c r="G1377" i="3"/>
  <c r="F1377" i="3"/>
  <c r="H1376" i="3"/>
  <c r="G1376" i="3"/>
  <c r="F1376" i="3"/>
  <c r="H1375" i="3"/>
  <c r="G1375" i="3"/>
  <c r="F1375" i="3"/>
  <c r="E1375" i="3"/>
  <c r="H1374" i="3"/>
  <c r="G1374" i="3"/>
  <c r="F1374" i="3"/>
  <c r="E1374" i="3"/>
  <c r="F1313" i="3"/>
  <c r="F1312" i="3"/>
  <c r="F1311" i="3"/>
  <c r="F1310" i="3"/>
  <c r="F1309" i="3"/>
  <c r="H1308" i="3"/>
  <c r="G1308" i="3"/>
  <c r="F1308" i="3"/>
  <c r="F1307" i="3"/>
  <c r="F1306" i="3"/>
  <c r="F1305" i="3"/>
  <c r="H1304" i="3"/>
  <c r="G1304" i="3"/>
  <c r="F1304" i="3"/>
  <c r="H1303" i="3"/>
  <c r="G1303" i="3"/>
  <c r="F1303" i="3"/>
  <c r="H1302" i="3"/>
  <c r="G1302" i="3"/>
  <c r="F1302" i="3"/>
  <c r="H1301" i="3"/>
  <c r="G1301" i="3"/>
  <c r="F1301" i="3"/>
  <c r="H1300" i="3"/>
  <c r="G1300" i="3"/>
  <c r="F1300" i="3"/>
  <c r="H1299" i="3"/>
  <c r="G1299" i="3"/>
  <c r="F1299" i="3"/>
  <c r="H1298" i="3"/>
  <c r="G1298" i="3"/>
  <c r="F1298" i="3"/>
  <c r="H1297" i="3"/>
  <c r="G1297" i="3"/>
  <c r="F1297" i="3"/>
  <c r="H1296" i="3"/>
  <c r="G1296" i="3"/>
  <c r="F1296" i="3"/>
  <c r="E1296" i="3"/>
  <c r="H1295" i="3"/>
  <c r="G1295" i="3"/>
  <c r="F1295" i="3"/>
  <c r="E1295" i="3"/>
  <c r="F1231" i="3"/>
  <c r="E1231" i="3"/>
  <c r="F1230" i="3"/>
  <c r="E1230" i="3"/>
  <c r="F1229" i="3"/>
  <c r="E1229" i="3"/>
  <c r="F1228" i="3"/>
  <c r="E1228" i="3"/>
  <c r="G1227" i="3"/>
  <c r="F1227" i="3"/>
  <c r="E1227" i="3"/>
  <c r="F1226" i="3"/>
  <c r="E1226" i="3"/>
  <c r="F1225" i="3"/>
  <c r="E1225" i="3"/>
  <c r="F1224" i="3"/>
  <c r="E1224" i="3"/>
  <c r="F1223" i="3"/>
  <c r="E1223" i="3"/>
  <c r="F1222" i="3"/>
  <c r="E1222" i="3"/>
  <c r="F1221" i="3"/>
  <c r="E1221" i="3"/>
  <c r="F1220" i="3"/>
  <c r="E1220" i="3"/>
  <c r="G1219" i="3"/>
  <c r="F1219" i="3"/>
  <c r="E1219" i="3"/>
  <c r="F1218" i="3"/>
  <c r="E1218" i="3"/>
  <c r="F1217" i="3"/>
  <c r="E1217" i="3"/>
  <c r="F1216" i="3"/>
  <c r="E1216" i="3"/>
  <c r="F1215" i="3"/>
  <c r="E1215" i="3"/>
  <c r="F1214" i="3"/>
  <c r="E1214" i="3"/>
  <c r="F1213" i="3"/>
  <c r="E1213" i="3"/>
  <c r="F1212" i="3"/>
  <c r="E1212" i="3"/>
  <c r="G1211" i="3"/>
  <c r="F1211" i="3"/>
  <c r="E1211" i="3"/>
  <c r="F1210" i="3"/>
  <c r="E1210" i="3"/>
  <c r="H1209" i="3"/>
  <c r="G1209" i="3"/>
  <c r="F1209" i="3"/>
  <c r="E1209"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E1131" i="3"/>
  <c r="H1130" i="3"/>
  <c r="G1130" i="3"/>
  <c r="F1130" i="3"/>
  <c r="E1130"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E1045" i="3"/>
  <c r="H1044" i="3"/>
  <c r="E1044" i="3"/>
  <c r="H1043" i="3"/>
  <c r="G1043" i="3"/>
  <c r="F1043" i="3"/>
  <c r="E1043" i="3"/>
  <c r="H1032" i="3"/>
  <c r="H1031" i="3"/>
  <c r="H1030" i="3"/>
  <c r="H1029" i="3"/>
  <c r="H1028" i="3"/>
  <c r="H1027" i="3"/>
  <c r="H1026" i="3"/>
  <c r="H1025" i="3"/>
  <c r="H1024" i="3"/>
  <c r="H1023" i="3"/>
  <c r="H1022" i="3"/>
  <c r="H1021" i="3"/>
  <c r="H1020"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68" i="3"/>
  <c r="G968" i="3"/>
  <c r="F968" i="3"/>
  <c r="E968" i="3"/>
  <c r="H967" i="3"/>
  <c r="G967" i="3"/>
  <c r="F967" i="3"/>
  <c r="E967" i="3"/>
  <c r="H966" i="3"/>
  <c r="G966" i="3"/>
  <c r="F966" i="3"/>
  <c r="E966" i="3"/>
  <c r="H965" i="3"/>
  <c r="G965" i="3"/>
  <c r="F965" i="3"/>
  <c r="E965" i="3"/>
  <c r="H964" i="3"/>
  <c r="G964" i="3"/>
  <c r="F964" i="3"/>
  <c r="E964" i="3"/>
  <c r="H963" i="3"/>
  <c r="G963" i="3"/>
  <c r="F963" i="3"/>
  <c r="E96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E884" i="3"/>
  <c r="H883" i="3"/>
  <c r="G883" i="3"/>
  <c r="F883" i="3"/>
  <c r="E883" i="3"/>
  <c r="H872" i="3"/>
  <c r="H871" i="3"/>
  <c r="H870" i="3"/>
  <c r="H869" i="3"/>
  <c r="H868" i="3"/>
  <c r="H867" i="3"/>
  <c r="H866" i="3"/>
  <c r="H865" i="3"/>
  <c r="H864" i="3"/>
  <c r="H863" i="3"/>
  <c r="H862" i="3"/>
  <c r="H861" i="3"/>
  <c r="H860" i="3"/>
  <c r="H859" i="3"/>
  <c r="H858" i="3"/>
  <c r="H857" i="3"/>
  <c r="H856" i="3"/>
  <c r="H855" i="3"/>
  <c r="H854" i="3"/>
  <c r="F854" i="3"/>
  <c r="H853" i="3"/>
  <c r="F853" i="3"/>
  <c r="H852" i="3"/>
  <c r="F852" i="3"/>
  <c r="H851" i="3"/>
  <c r="F851" i="3"/>
  <c r="H850" i="3"/>
  <c r="F850" i="3"/>
  <c r="H849" i="3"/>
  <c r="F849" i="3"/>
  <c r="H848" i="3"/>
  <c r="F848" i="3"/>
  <c r="H847" i="3"/>
  <c r="F847" i="3"/>
  <c r="H846" i="3"/>
  <c r="F846" i="3"/>
  <c r="H845" i="3"/>
  <c r="F845" i="3"/>
  <c r="H844" i="3"/>
  <c r="F844" i="3"/>
  <c r="H843" i="3"/>
  <c r="F843" i="3"/>
  <c r="H842" i="3"/>
  <c r="F842" i="3"/>
  <c r="H841" i="3"/>
  <c r="F841" i="3"/>
  <c r="H840" i="3"/>
  <c r="F840" i="3"/>
  <c r="H839" i="3"/>
  <c r="F839" i="3"/>
  <c r="H838" i="3"/>
  <c r="F838" i="3"/>
  <c r="H837" i="3"/>
  <c r="F837" i="3"/>
  <c r="H836" i="3"/>
  <c r="F836" i="3"/>
  <c r="H835" i="3"/>
  <c r="F835" i="3"/>
  <c r="H834" i="3"/>
  <c r="F834" i="3"/>
  <c r="H833" i="3"/>
  <c r="F833" i="3"/>
  <c r="H832" i="3"/>
  <c r="F832" i="3"/>
  <c r="H831" i="3"/>
  <c r="F831" i="3"/>
  <c r="H830" i="3"/>
  <c r="F830" i="3"/>
  <c r="F829" i="3"/>
  <c r="F828" i="3"/>
  <c r="F827" i="3"/>
  <c r="F826" i="3"/>
  <c r="F825" i="3"/>
  <c r="F824" i="3"/>
  <c r="F823" i="3"/>
  <c r="F822" i="3"/>
  <c r="F821" i="3"/>
  <c r="F820" i="3"/>
  <c r="F819" i="3"/>
  <c r="F818" i="3"/>
  <c r="F817" i="3"/>
  <c r="F816" i="3"/>
  <c r="F815" i="3"/>
  <c r="F814" i="3"/>
  <c r="F813" i="3"/>
  <c r="F812" i="3"/>
  <c r="F811" i="3"/>
  <c r="G810" i="3"/>
  <c r="F810" i="3"/>
  <c r="G809" i="3"/>
  <c r="F809" i="3"/>
  <c r="G808" i="3"/>
  <c r="F808" i="3"/>
  <c r="G807" i="3"/>
  <c r="F807" i="3"/>
  <c r="H806" i="3"/>
  <c r="G806" i="3"/>
  <c r="F806" i="3"/>
  <c r="G805" i="3"/>
  <c r="F805" i="3"/>
  <c r="G804" i="3"/>
  <c r="F804" i="3"/>
  <c r="E804" i="3"/>
  <c r="H803" i="3"/>
  <c r="G803" i="3"/>
  <c r="F803" i="3"/>
  <c r="E803" i="3"/>
  <c r="E724" i="3"/>
  <c r="H723" i="3"/>
  <c r="G723" i="3"/>
  <c r="F723" i="3"/>
  <c r="E723" i="3"/>
  <c r="H712" i="3"/>
  <c r="H711" i="3"/>
  <c r="H710" i="3"/>
  <c r="H709" i="3"/>
  <c r="H708" i="3"/>
  <c r="H707" i="3"/>
  <c r="H706" i="3"/>
  <c r="H705" i="3"/>
  <c r="H704" i="3"/>
  <c r="H703" i="3"/>
  <c r="H702" i="3"/>
  <c r="H701" i="3"/>
  <c r="H700" i="3"/>
  <c r="H699" i="3"/>
  <c r="H698" i="3"/>
  <c r="F698" i="3"/>
  <c r="H697" i="3"/>
  <c r="F697" i="3"/>
  <c r="H696" i="3"/>
  <c r="F696" i="3"/>
  <c r="H695" i="3"/>
  <c r="F695" i="3"/>
  <c r="H694" i="3"/>
  <c r="F694" i="3"/>
  <c r="H693" i="3"/>
  <c r="F693" i="3"/>
  <c r="H692" i="3"/>
  <c r="F692" i="3"/>
  <c r="H691" i="3"/>
  <c r="F691" i="3"/>
  <c r="H690" i="3"/>
  <c r="F690" i="3"/>
  <c r="H689" i="3"/>
  <c r="F689" i="3"/>
  <c r="H688" i="3"/>
  <c r="F688" i="3"/>
  <c r="H687" i="3"/>
  <c r="F687" i="3"/>
  <c r="H686" i="3"/>
  <c r="F686" i="3"/>
  <c r="H685" i="3"/>
  <c r="F685" i="3"/>
  <c r="H684" i="3"/>
  <c r="F684" i="3"/>
  <c r="H683" i="3"/>
  <c r="F683" i="3"/>
  <c r="H682" i="3"/>
  <c r="F682" i="3"/>
  <c r="H681" i="3"/>
  <c r="F681" i="3"/>
  <c r="H680" i="3"/>
  <c r="F680" i="3"/>
  <c r="H679" i="3"/>
  <c r="F679" i="3"/>
  <c r="H678" i="3"/>
  <c r="F678" i="3"/>
  <c r="H677" i="3"/>
  <c r="G677" i="3"/>
  <c r="F677" i="3"/>
  <c r="H676" i="3"/>
  <c r="G676" i="3"/>
  <c r="F676" i="3"/>
  <c r="H675" i="3"/>
  <c r="G675" i="3"/>
  <c r="F675" i="3"/>
  <c r="H674" i="3"/>
  <c r="G674" i="3"/>
  <c r="F674" i="3"/>
  <c r="H673" i="3"/>
  <c r="G673" i="3"/>
  <c r="F673" i="3"/>
  <c r="H672" i="3"/>
  <c r="G672" i="3"/>
  <c r="F672" i="3"/>
  <c r="H671" i="3"/>
  <c r="G671" i="3"/>
  <c r="F671" i="3"/>
  <c r="H670" i="3"/>
  <c r="G670" i="3"/>
  <c r="F670" i="3"/>
  <c r="H669" i="3"/>
  <c r="G669" i="3"/>
  <c r="F669" i="3"/>
  <c r="H668" i="3"/>
  <c r="G668" i="3"/>
  <c r="F668" i="3"/>
  <c r="H667" i="3"/>
  <c r="G667" i="3"/>
  <c r="F667" i="3"/>
  <c r="H666" i="3"/>
  <c r="G666" i="3"/>
  <c r="F666" i="3"/>
  <c r="H665" i="3"/>
  <c r="G665" i="3"/>
  <c r="F665" i="3"/>
  <c r="H664" i="3"/>
  <c r="G664" i="3"/>
  <c r="F664" i="3"/>
  <c r="H663" i="3"/>
  <c r="G663" i="3"/>
  <c r="F663" i="3"/>
  <c r="H662" i="3"/>
  <c r="G662" i="3"/>
  <c r="F662" i="3"/>
  <c r="H661" i="3"/>
  <c r="G661" i="3"/>
  <c r="F661" i="3"/>
  <c r="H660" i="3"/>
  <c r="G660" i="3"/>
  <c r="F660" i="3"/>
  <c r="H659" i="3"/>
  <c r="G659" i="3"/>
  <c r="F659" i="3"/>
  <c r="H658" i="3"/>
  <c r="G658" i="3"/>
  <c r="F658" i="3"/>
  <c r="H657" i="3"/>
  <c r="G657" i="3"/>
  <c r="F657" i="3"/>
  <c r="H656" i="3"/>
  <c r="G656" i="3"/>
  <c r="F656" i="3"/>
  <c r="H655" i="3"/>
  <c r="G655" i="3"/>
  <c r="F655" i="3"/>
  <c r="H654" i="3"/>
  <c r="G654" i="3"/>
  <c r="F654" i="3"/>
  <c r="H653" i="3"/>
  <c r="G653" i="3"/>
  <c r="F653" i="3"/>
  <c r="H652" i="3"/>
  <c r="G652" i="3"/>
  <c r="F652" i="3"/>
  <c r="E652" i="3"/>
  <c r="H651" i="3"/>
  <c r="G651" i="3"/>
  <c r="F651" i="3"/>
  <c r="E651" i="3"/>
  <c r="H650" i="3"/>
  <c r="G650" i="3"/>
  <c r="F650" i="3"/>
  <c r="E650" i="3"/>
  <c r="H649" i="3"/>
  <c r="G649" i="3"/>
  <c r="F649" i="3"/>
  <c r="E649" i="3"/>
  <c r="H648" i="3"/>
  <c r="G648" i="3"/>
  <c r="F648" i="3"/>
  <c r="E648" i="3"/>
  <c r="H647" i="3"/>
  <c r="G647" i="3"/>
  <c r="F647" i="3"/>
  <c r="E647" i="3"/>
  <c r="H646" i="3"/>
  <c r="G646" i="3"/>
  <c r="F646" i="3"/>
  <c r="E646" i="3"/>
  <c r="H645" i="3"/>
  <c r="G645" i="3"/>
  <c r="F645" i="3"/>
  <c r="E645" i="3"/>
  <c r="H644" i="3"/>
  <c r="G644" i="3"/>
  <c r="F644" i="3"/>
  <c r="E644" i="3"/>
  <c r="H643" i="3"/>
  <c r="G643" i="3"/>
  <c r="F643" i="3"/>
  <c r="E643" i="3"/>
  <c r="H632" i="3"/>
  <c r="H631" i="3"/>
  <c r="H630" i="3"/>
  <c r="H629" i="3"/>
  <c r="H628" i="3"/>
  <c r="H627" i="3"/>
  <c r="H626" i="3"/>
  <c r="H625" i="3"/>
  <c r="H624" i="3"/>
  <c r="H623" i="3"/>
  <c r="H622" i="3"/>
  <c r="H621" i="3"/>
  <c r="H620" i="3"/>
  <c r="H619" i="3"/>
  <c r="F619" i="3"/>
  <c r="H618" i="3"/>
  <c r="F618" i="3"/>
  <c r="H617" i="3"/>
  <c r="F617" i="3"/>
  <c r="H616" i="3"/>
  <c r="F616" i="3"/>
  <c r="H615" i="3"/>
  <c r="F615" i="3"/>
  <c r="H614" i="3"/>
  <c r="F614" i="3"/>
  <c r="H613" i="3"/>
  <c r="F613" i="3"/>
  <c r="H612" i="3"/>
  <c r="F612" i="3"/>
  <c r="H611" i="3"/>
  <c r="F611" i="3"/>
  <c r="H610" i="3"/>
  <c r="F610" i="3"/>
  <c r="H609" i="3"/>
  <c r="F609" i="3"/>
  <c r="H608" i="3"/>
  <c r="F608" i="3"/>
  <c r="H607" i="3"/>
  <c r="G607" i="3"/>
  <c r="F607" i="3"/>
  <c r="H606" i="3"/>
  <c r="G606" i="3"/>
  <c r="F606" i="3"/>
  <c r="H605" i="3"/>
  <c r="G605" i="3"/>
  <c r="F605" i="3"/>
  <c r="H604" i="3"/>
  <c r="G604" i="3"/>
  <c r="F604" i="3"/>
  <c r="H603" i="3"/>
  <c r="G603" i="3"/>
  <c r="F603" i="3"/>
  <c r="H602" i="3"/>
  <c r="G602" i="3"/>
  <c r="F602" i="3"/>
  <c r="H601" i="3"/>
  <c r="G601" i="3"/>
  <c r="F601" i="3"/>
  <c r="H600" i="3"/>
  <c r="G600" i="3"/>
  <c r="F600" i="3"/>
  <c r="H599" i="3"/>
  <c r="G599" i="3"/>
  <c r="F599" i="3"/>
  <c r="H598" i="3"/>
  <c r="G598" i="3"/>
  <c r="F598" i="3"/>
  <c r="H597" i="3"/>
  <c r="G597" i="3"/>
  <c r="F597" i="3"/>
  <c r="H596" i="3"/>
  <c r="G596" i="3"/>
  <c r="F596" i="3"/>
  <c r="H595" i="3"/>
  <c r="G595" i="3"/>
  <c r="F595" i="3"/>
  <c r="H594" i="3"/>
  <c r="G594" i="3"/>
  <c r="F594" i="3"/>
  <c r="H593" i="3"/>
  <c r="G593" i="3"/>
  <c r="F593" i="3"/>
  <c r="H592" i="3"/>
  <c r="G592" i="3"/>
  <c r="F592" i="3"/>
  <c r="H591" i="3"/>
  <c r="G591" i="3"/>
  <c r="F591" i="3"/>
  <c r="H590" i="3"/>
  <c r="G590" i="3"/>
  <c r="F590" i="3"/>
  <c r="H589" i="3"/>
  <c r="G589" i="3"/>
  <c r="F589" i="3"/>
  <c r="H588" i="3"/>
  <c r="G588" i="3"/>
  <c r="F588" i="3"/>
  <c r="E588" i="3"/>
  <c r="H587" i="3"/>
  <c r="G587" i="3"/>
  <c r="F587" i="3"/>
  <c r="E587" i="3"/>
  <c r="H586" i="3"/>
  <c r="G586" i="3"/>
  <c r="F586" i="3"/>
  <c r="E586" i="3"/>
  <c r="H585" i="3"/>
  <c r="G585" i="3"/>
  <c r="F585" i="3"/>
  <c r="E585" i="3"/>
  <c r="H584" i="3"/>
  <c r="G584" i="3"/>
  <c r="F584" i="3"/>
  <c r="E584" i="3"/>
  <c r="H583" i="3"/>
  <c r="G583" i="3"/>
  <c r="F583" i="3"/>
  <c r="E583" i="3"/>
  <c r="H582" i="3"/>
  <c r="G582" i="3"/>
  <c r="F582" i="3"/>
  <c r="E582" i="3"/>
  <c r="H581" i="3"/>
  <c r="G581" i="3"/>
  <c r="F581" i="3"/>
  <c r="E581" i="3"/>
  <c r="H580" i="3"/>
  <c r="G580" i="3"/>
  <c r="F580" i="3"/>
  <c r="E580" i="3"/>
  <c r="H579" i="3"/>
  <c r="G579" i="3"/>
  <c r="F579" i="3"/>
  <c r="E579" i="3"/>
  <c r="H578" i="3"/>
  <c r="G578" i="3"/>
  <c r="F578" i="3"/>
  <c r="E578" i="3"/>
  <c r="H577" i="3"/>
  <c r="G577" i="3"/>
  <c r="F577" i="3"/>
  <c r="E577" i="3"/>
  <c r="H576" i="3"/>
  <c r="G576" i="3"/>
  <c r="F576" i="3"/>
  <c r="E576" i="3"/>
  <c r="H575" i="3"/>
  <c r="G575" i="3"/>
  <c r="F575" i="3"/>
  <c r="E575" i="3"/>
  <c r="H574" i="3"/>
  <c r="G574" i="3"/>
  <c r="F574" i="3"/>
  <c r="E574" i="3"/>
  <c r="H573" i="3"/>
  <c r="G573" i="3"/>
  <c r="F573" i="3"/>
  <c r="E573" i="3"/>
  <c r="H572" i="3"/>
  <c r="G572" i="3"/>
  <c r="F572" i="3"/>
  <c r="E572" i="3"/>
  <c r="H571" i="3"/>
  <c r="G571" i="3"/>
  <c r="F571" i="3"/>
  <c r="E571" i="3"/>
  <c r="H570" i="3"/>
  <c r="G570" i="3"/>
  <c r="F570" i="3"/>
  <c r="E570" i="3"/>
  <c r="H569" i="3"/>
  <c r="G569" i="3"/>
  <c r="F569" i="3"/>
  <c r="E569" i="3"/>
  <c r="H568" i="3"/>
  <c r="G568" i="3"/>
  <c r="F568" i="3"/>
  <c r="E568" i="3"/>
  <c r="H567" i="3"/>
  <c r="G567" i="3"/>
  <c r="F567" i="3"/>
  <c r="E567" i="3"/>
  <c r="H566" i="3"/>
  <c r="G566" i="3"/>
  <c r="F566" i="3"/>
  <c r="E566" i="3"/>
  <c r="H565" i="3"/>
  <c r="G565" i="3"/>
  <c r="F565" i="3"/>
  <c r="E565" i="3"/>
  <c r="H564" i="3"/>
  <c r="G564" i="3"/>
  <c r="F564" i="3"/>
  <c r="E564" i="3"/>
  <c r="H563" i="3"/>
  <c r="G563" i="3"/>
  <c r="F563" i="3"/>
  <c r="E56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F514" i="3"/>
  <c r="H513" i="3"/>
  <c r="F513" i="3"/>
  <c r="H512" i="3"/>
  <c r="F512" i="3"/>
  <c r="H511" i="3"/>
  <c r="F511" i="3"/>
  <c r="H510" i="3"/>
  <c r="F510" i="3"/>
  <c r="H509" i="3"/>
  <c r="F509" i="3"/>
  <c r="H508" i="3"/>
  <c r="F508" i="3"/>
  <c r="H507" i="3"/>
  <c r="F507" i="3"/>
  <c r="H506" i="3"/>
  <c r="F506" i="3"/>
  <c r="H505" i="3"/>
  <c r="F505" i="3"/>
  <c r="H504" i="3"/>
  <c r="F504" i="3"/>
  <c r="H503" i="3"/>
  <c r="F503" i="3"/>
  <c r="H502" i="3"/>
  <c r="F502" i="3"/>
  <c r="H501" i="3"/>
  <c r="F501" i="3"/>
  <c r="H500" i="3"/>
  <c r="F500" i="3"/>
  <c r="H499" i="3"/>
  <c r="F499" i="3"/>
  <c r="H498" i="3"/>
  <c r="F498" i="3"/>
  <c r="H497" i="3"/>
  <c r="G497" i="3"/>
  <c r="F497" i="3"/>
  <c r="H496" i="3"/>
  <c r="G496" i="3"/>
  <c r="F496" i="3"/>
  <c r="H495" i="3"/>
  <c r="G495" i="3"/>
  <c r="F495" i="3"/>
  <c r="H494" i="3"/>
  <c r="G494" i="3"/>
  <c r="F494" i="3"/>
  <c r="H493" i="3"/>
  <c r="G493" i="3"/>
  <c r="F493" i="3"/>
  <c r="H492" i="3"/>
  <c r="G492" i="3"/>
  <c r="F492" i="3"/>
  <c r="H491" i="3"/>
  <c r="G491" i="3"/>
  <c r="F491" i="3"/>
  <c r="H490" i="3"/>
  <c r="G490" i="3"/>
  <c r="F490" i="3"/>
  <c r="E490" i="3"/>
  <c r="H489" i="3"/>
  <c r="G489" i="3"/>
  <c r="F489" i="3"/>
  <c r="E489" i="3"/>
  <c r="H488" i="3"/>
  <c r="G488" i="3"/>
  <c r="F488" i="3"/>
  <c r="E488" i="3"/>
  <c r="H487" i="3"/>
  <c r="G487" i="3"/>
  <c r="F487" i="3"/>
  <c r="E487" i="3"/>
  <c r="H486" i="3"/>
  <c r="G486" i="3"/>
  <c r="F486" i="3"/>
  <c r="E486" i="3"/>
  <c r="H485" i="3"/>
  <c r="G485" i="3"/>
  <c r="F485" i="3"/>
  <c r="E485" i="3"/>
  <c r="H484" i="3"/>
  <c r="G484" i="3"/>
  <c r="F484" i="3"/>
  <c r="E484" i="3"/>
  <c r="H483" i="3"/>
  <c r="G483" i="3"/>
  <c r="F483" i="3"/>
  <c r="E483" i="3"/>
  <c r="F432" i="3"/>
  <c r="F431" i="3"/>
  <c r="F430" i="3"/>
  <c r="F429" i="3"/>
  <c r="F428" i="3"/>
  <c r="F427" i="3"/>
  <c r="E427" i="3"/>
  <c r="F426" i="3"/>
  <c r="E426" i="3"/>
  <c r="F425" i="3"/>
  <c r="E425" i="3"/>
  <c r="G424" i="3"/>
  <c r="F424" i="3"/>
  <c r="E424" i="3"/>
  <c r="G423" i="3"/>
  <c r="F423" i="3"/>
  <c r="E423" i="3"/>
  <c r="G422" i="3"/>
  <c r="F422" i="3"/>
  <c r="E422" i="3"/>
  <c r="G421" i="3"/>
  <c r="F421" i="3"/>
  <c r="E421" i="3"/>
  <c r="G420" i="3"/>
  <c r="F420" i="3"/>
  <c r="E420" i="3"/>
  <c r="G419" i="3"/>
  <c r="F419" i="3"/>
  <c r="E419" i="3"/>
  <c r="G418" i="3"/>
  <c r="F418" i="3"/>
  <c r="E418" i="3"/>
  <c r="G417" i="3"/>
  <c r="F417" i="3"/>
  <c r="E417" i="3"/>
  <c r="G416" i="3"/>
  <c r="F416" i="3"/>
  <c r="E416" i="3"/>
  <c r="G415" i="3"/>
  <c r="F415" i="3"/>
  <c r="E415" i="3"/>
  <c r="G414" i="3"/>
  <c r="F414" i="3"/>
  <c r="E414" i="3"/>
  <c r="G413" i="3"/>
  <c r="F413" i="3"/>
  <c r="E413" i="3"/>
  <c r="G412" i="3"/>
  <c r="F412" i="3"/>
  <c r="E412" i="3"/>
  <c r="F411" i="3"/>
  <c r="E411" i="3"/>
  <c r="G410" i="3"/>
  <c r="F410" i="3"/>
  <c r="E410" i="3"/>
  <c r="G409" i="3"/>
  <c r="F409" i="3"/>
  <c r="E409" i="3"/>
  <c r="G408" i="3"/>
  <c r="F408" i="3"/>
  <c r="E408" i="3"/>
  <c r="G407" i="3"/>
  <c r="F407" i="3"/>
  <c r="E407" i="3"/>
  <c r="G406" i="3"/>
  <c r="F406" i="3"/>
  <c r="E406" i="3"/>
  <c r="G405" i="3"/>
  <c r="F405" i="3"/>
  <c r="E405" i="3"/>
  <c r="G404" i="3"/>
  <c r="F404" i="3"/>
  <c r="E404" i="3"/>
  <c r="H403" i="3"/>
  <c r="G403" i="3"/>
  <c r="F403" i="3"/>
  <c r="E40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E335" i="3"/>
  <c r="H334" i="3"/>
  <c r="E334" i="3"/>
  <c r="H333" i="3"/>
  <c r="E333" i="3"/>
  <c r="H332" i="3"/>
  <c r="E332" i="3"/>
  <c r="H331" i="3"/>
  <c r="E331" i="3"/>
  <c r="H330" i="3"/>
  <c r="E330" i="3"/>
  <c r="H329" i="3"/>
  <c r="G329" i="3"/>
  <c r="F329" i="3"/>
  <c r="E329" i="3"/>
  <c r="H328" i="3"/>
  <c r="G328" i="3"/>
  <c r="F328" i="3"/>
  <c r="E328" i="3"/>
  <c r="H327" i="3"/>
  <c r="G327" i="3"/>
  <c r="F327" i="3"/>
  <c r="E327" i="3"/>
  <c r="H326" i="3"/>
  <c r="G326" i="3"/>
  <c r="F326" i="3"/>
  <c r="E326" i="3"/>
  <c r="H325" i="3"/>
  <c r="F325" i="3"/>
  <c r="E325" i="3"/>
  <c r="H324" i="3"/>
  <c r="G324" i="3"/>
  <c r="F324" i="3"/>
  <c r="E324" i="3"/>
  <c r="H323" i="3"/>
  <c r="G323" i="3"/>
  <c r="F323" i="3"/>
  <c r="E323"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E254" i="3"/>
  <c r="H253" i="3"/>
  <c r="E253" i="3"/>
  <c r="H252" i="3"/>
  <c r="E252" i="3"/>
  <c r="H251" i="3"/>
  <c r="F251" i="3"/>
  <c r="E251" i="3"/>
  <c r="H250" i="3"/>
  <c r="F250" i="3"/>
  <c r="E250" i="3"/>
  <c r="H249" i="3"/>
  <c r="F249" i="3"/>
  <c r="E249" i="3"/>
  <c r="H248" i="3"/>
  <c r="F248" i="3"/>
  <c r="E248" i="3"/>
  <c r="H247" i="3"/>
  <c r="F247" i="3"/>
  <c r="E247" i="3"/>
  <c r="H246" i="3"/>
  <c r="F246" i="3"/>
  <c r="E246" i="3"/>
  <c r="H245" i="3"/>
  <c r="F245" i="3"/>
  <c r="E245" i="3"/>
  <c r="H244" i="3"/>
  <c r="G244" i="3"/>
  <c r="F244" i="3"/>
  <c r="E244" i="3"/>
  <c r="H243" i="3"/>
  <c r="G243" i="3"/>
  <c r="F243" i="3"/>
  <c r="E243" i="3"/>
  <c r="H242" i="3"/>
  <c r="G242" i="3"/>
  <c r="F242" i="3"/>
  <c r="E242"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F182" i="3"/>
  <c r="F181" i="3"/>
  <c r="F180" i="3"/>
  <c r="F179" i="3"/>
  <c r="F178" i="3"/>
  <c r="F177" i="3"/>
  <c r="F176" i="3"/>
  <c r="F175" i="3"/>
  <c r="F174" i="3"/>
  <c r="F173" i="3"/>
  <c r="F172" i="3"/>
  <c r="F171" i="3"/>
  <c r="F170" i="3"/>
  <c r="H169" i="3"/>
  <c r="G169" i="3"/>
  <c r="F169" i="3"/>
  <c r="E169" i="3"/>
  <c r="H168" i="3"/>
  <c r="G168" i="3"/>
  <c r="F168" i="3"/>
  <c r="E168" i="3"/>
  <c r="H167" i="3"/>
  <c r="G167" i="3"/>
  <c r="F167" i="3"/>
  <c r="E167" i="3"/>
  <c r="H166" i="3"/>
  <c r="G166" i="3"/>
  <c r="F166" i="3"/>
  <c r="E166" i="3"/>
  <c r="H165" i="3"/>
  <c r="G165" i="3"/>
  <c r="F165" i="3"/>
  <c r="E165" i="3"/>
  <c r="H164" i="3"/>
  <c r="G164" i="3"/>
  <c r="F164" i="3"/>
  <c r="E164" i="3"/>
  <c r="H163" i="3"/>
  <c r="G163" i="3"/>
  <c r="F163" i="3"/>
  <c r="E163" i="3"/>
  <c r="H162" i="3"/>
  <c r="G162" i="3"/>
  <c r="F162" i="3"/>
  <c r="E162" i="3"/>
  <c r="H161" i="3"/>
  <c r="G161" i="3"/>
  <c r="F161" i="3"/>
  <c r="E16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F98" i="3"/>
  <c r="H97" i="3"/>
  <c r="F97" i="3"/>
  <c r="H96" i="3"/>
  <c r="F96" i="3"/>
  <c r="E96" i="3"/>
  <c r="H95" i="3"/>
  <c r="F95" i="3"/>
  <c r="E95" i="3"/>
  <c r="H94" i="3"/>
  <c r="F94" i="3"/>
  <c r="E94" i="3"/>
  <c r="H93" i="3"/>
  <c r="F93" i="3"/>
  <c r="E93" i="3"/>
  <c r="H92" i="3"/>
  <c r="F92" i="3"/>
  <c r="E92" i="3"/>
  <c r="H91" i="3"/>
  <c r="F91" i="3"/>
  <c r="E91" i="3"/>
  <c r="H90" i="3"/>
  <c r="F90" i="3"/>
  <c r="E90" i="3"/>
  <c r="H89" i="3"/>
  <c r="F89" i="3"/>
  <c r="E89" i="3"/>
  <c r="H88" i="3"/>
  <c r="F88" i="3"/>
  <c r="E88" i="3"/>
  <c r="H87" i="3"/>
  <c r="F87" i="3"/>
  <c r="E87" i="3"/>
  <c r="H86" i="3"/>
  <c r="F86" i="3"/>
  <c r="E86" i="3"/>
  <c r="H85" i="3"/>
  <c r="F85" i="3"/>
  <c r="E85" i="3"/>
  <c r="H84" i="3"/>
  <c r="F84" i="3"/>
  <c r="E84" i="3"/>
  <c r="H83" i="3"/>
  <c r="F83" i="3"/>
  <c r="E83" i="3"/>
  <c r="H82" i="3"/>
  <c r="F82" i="3"/>
  <c r="E82" i="3"/>
  <c r="H81" i="3"/>
  <c r="G81" i="3"/>
  <c r="F81" i="3"/>
  <c r="E81" i="3"/>
  <c r="C80" i="3"/>
  <c r="B1052" i="2" s="1"/>
  <c r="C79" i="3"/>
  <c r="C78" i="3"/>
  <c r="B1133" i="2" s="1"/>
  <c r="C77" i="3"/>
  <c r="C76" i="3"/>
  <c r="C75" i="3"/>
  <c r="C74" i="3"/>
  <c r="C73" i="3"/>
  <c r="C72" i="3"/>
  <c r="C71" i="3"/>
  <c r="H70" i="3"/>
  <c r="C70" i="3"/>
  <c r="B1119" i="2" s="1"/>
  <c r="H69" i="3"/>
  <c r="C69" i="3"/>
  <c r="B946" i="2" s="1"/>
  <c r="H68" i="3"/>
  <c r="C68" i="3"/>
  <c r="H67" i="3"/>
  <c r="C67" i="3"/>
  <c r="H66" i="3"/>
  <c r="C66" i="3"/>
  <c r="H65" i="3"/>
  <c r="C65" i="3"/>
  <c r="B1139" i="2" s="1"/>
  <c r="H64" i="3"/>
  <c r="C64" i="3"/>
  <c r="H63" i="3"/>
  <c r="C63" i="3"/>
  <c r="H62" i="3"/>
  <c r="C62" i="3"/>
  <c r="H61" i="3"/>
  <c r="C61" i="3"/>
  <c r="H60" i="3"/>
  <c r="C60" i="3"/>
  <c r="H59" i="3"/>
  <c r="C59" i="3"/>
  <c r="H58" i="3"/>
  <c r="C58" i="3"/>
  <c r="H57" i="3"/>
  <c r="C57" i="3"/>
  <c r="B852" i="2" s="1"/>
  <c r="H56" i="3"/>
  <c r="C56" i="3"/>
  <c r="H55" i="3"/>
  <c r="C55" i="3"/>
  <c r="H54" i="3"/>
  <c r="C54" i="3"/>
  <c r="H53" i="3"/>
  <c r="C53" i="3"/>
  <c r="H52" i="3"/>
  <c r="C52" i="3"/>
  <c r="H51" i="3"/>
  <c r="C51" i="3"/>
  <c r="H50" i="3"/>
  <c r="C50" i="3"/>
  <c r="H49" i="3"/>
  <c r="C49" i="3"/>
  <c r="H48" i="3"/>
  <c r="C48" i="3"/>
  <c r="H47" i="3"/>
  <c r="C47" i="3"/>
  <c r="H46" i="3"/>
  <c r="C46" i="3"/>
  <c r="H45" i="3"/>
  <c r="C45" i="3"/>
  <c r="H44" i="3"/>
  <c r="C44" i="3"/>
  <c r="H43" i="3"/>
  <c r="C43" i="3"/>
  <c r="H42" i="3"/>
  <c r="C42" i="3"/>
  <c r="B915" i="2" s="1"/>
  <c r="H41" i="3"/>
  <c r="C41" i="3"/>
  <c r="B681" i="2" s="1"/>
  <c r="H40" i="3"/>
  <c r="C40" i="3"/>
  <c r="H39" i="3"/>
  <c r="C39" i="3"/>
  <c r="H38" i="3"/>
  <c r="C38" i="3"/>
  <c r="H37" i="3"/>
  <c r="C37" i="3"/>
  <c r="H36" i="3"/>
  <c r="C36" i="3"/>
  <c r="H35" i="3"/>
  <c r="C35" i="3"/>
  <c r="B969" i="2" s="1"/>
  <c r="H34" i="3"/>
  <c r="C34" i="3"/>
  <c r="H33" i="3"/>
  <c r="C33" i="3"/>
  <c r="H32" i="3"/>
  <c r="C32" i="3"/>
  <c r="H31" i="3"/>
  <c r="C31" i="3"/>
  <c r="H30" i="3"/>
  <c r="C30" i="3"/>
  <c r="H29" i="3"/>
  <c r="C29" i="3"/>
  <c r="H28" i="3"/>
  <c r="C28" i="3"/>
  <c r="H27" i="3"/>
  <c r="C27" i="3"/>
  <c r="B824" i="2" s="1"/>
  <c r="H26" i="3"/>
  <c r="C26" i="3"/>
  <c r="H25" i="3"/>
  <c r="C25" i="3"/>
  <c r="H24" i="3"/>
  <c r="C24" i="3"/>
  <c r="H23" i="3"/>
  <c r="C23" i="3"/>
  <c r="H22" i="3"/>
  <c r="C22" i="3"/>
  <c r="H21" i="3"/>
  <c r="C21" i="3"/>
  <c r="H20" i="3"/>
  <c r="C20" i="3"/>
  <c r="H19" i="3"/>
  <c r="C19" i="3"/>
  <c r="H18" i="3"/>
  <c r="C18" i="3"/>
  <c r="H17" i="3"/>
  <c r="C17" i="3"/>
  <c r="H16" i="3"/>
  <c r="C16" i="3"/>
  <c r="H15" i="3"/>
  <c r="C15" i="3"/>
  <c r="H14" i="3"/>
  <c r="C14" i="3"/>
  <c r="H13" i="3"/>
  <c r="C13" i="3"/>
  <c r="H12" i="3"/>
  <c r="C12" i="3"/>
  <c r="H11" i="3"/>
  <c r="C11" i="3"/>
  <c r="H10" i="3"/>
  <c r="C10" i="3"/>
  <c r="H9" i="3"/>
  <c r="C9" i="3"/>
  <c r="B841" i="2" s="1"/>
  <c r="H8" i="3"/>
  <c r="C8" i="3"/>
  <c r="H7" i="3"/>
  <c r="C7" i="3"/>
  <c r="H6" i="3"/>
  <c r="C6" i="3"/>
  <c r="H5" i="3"/>
  <c r="C5" i="3"/>
  <c r="B738" i="2" s="1"/>
  <c r="H4" i="3"/>
  <c r="C4" i="3"/>
  <c r="H3" i="3"/>
  <c r="C3" i="3"/>
  <c r="B1143" i="2" s="1"/>
  <c r="H2" i="3"/>
  <c r="G2" i="3"/>
  <c r="F2" i="3"/>
  <c r="E2" i="3"/>
  <c r="C2" i="3"/>
  <c r="H1" i="3"/>
  <c r="G1" i="3"/>
  <c r="F1" i="3"/>
  <c r="E1" i="3"/>
  <c r="B1158" i="2"/>
  <c r="B1157" i="2"/>
  <c r="B1156" i="2"/>
  <c r="B1155" i="2"/>
  <c r="B1153" i="2"/>
  <c r="B1151" i="2"/>
  <c r="B1150" i="2"/>
  <c r="B1149" i="2"/>
  <c r="B1147" i="2"/>
  <c r="B1146" i="2"/>
  <c r="B1138" i="2"/>
  <c r="B1137" i="2"/>
  <c r="B1136" i="2"/>
  <c r="B1135" i="2"/>
  <c r="B1134" i="2"/>
  <c r="B1132" i="2"/>
  <c r="B1126" i="2"/>
  <c r="B1123" i="2"/>
  <c r="B1122" i="2"/>
  <c r="B1121" i="2"/>
  <c r="B1120" i="2"/>
  <c r="B1116" i="2"/>
  <c r="B1115" i="2"/>
  <c r="B1112" i="2"/>
  <c r="B1110" i="2"/>
  <c r="B1108" i="2"/>
  <c r="B1107" i="2"/>
  <c r="B1106" i="2"/>
  <c r="B1105" i="2"/>
  <c r="B1103" i="2"/>
  <c r="B1102" i="2"/>
  <c r="B1101" i="2"/>
  <c r="B1100" i="2"/>
  <c r="B1098" i="2"/>
  <c r="B1096" i="2"/>
  <c r="B1092" i="2"/>
  <c r="B1089" i="2"/>
  <c r="B1088" i="2"/>
  <c r="B1087" i="2"/>
  <c r="B1086" i="2"/>
  <c r="B1083" i="2"/>
  <c r="B1082" i="2"/>
  <c r="B1080" i="2"/>
  <c r="B1079" i="2"/>
  <c r="B1078" i="2"/>
  <c r="B1077" i="2"/>
  <c r="B1076" i="2"/>
  <c r="B1075" i="2"/>
  <c r="B1073" i="2"/>
  <c r="B1069" i="2"/>
  <c r="B1067" i="2"/>
  <c r="B1062" i="2"/>
  <c r="B1061" i="2"/>
  <c r="B1060" i="2"/>
  <c r="B1057" i="2"/>
  <c r="B1056" i="2"/>
  <c r="B1055" i="2"/>
  <c r="B1054" i="2"/>
  <c r="B1051" i="2"/>
  <c r="B1050" i="2"/>
  <c r="B1049" i="2"/>
  <c r="B1048" i="2"/>
  <c r="B1046" i="2"/>
  <c r="B1045" i="2"/>
  <c r="B1043" i="2"/>
  <c r="B1042" i="2"/>
  <c r="B1040" i="2"/>
  <c r="B1038" i="2"/>
  <c r="B1036" i="2"/>
  <c r="B1034" i="2"/>
  <c r="B1032" i="2"/>
  <c r="B1031" i="2"/>
  <c r="B1030" i="2"/>
  <c r="B1028" i="2"/>
  <c r="B1027" i="2"/>
  <c r="B1026" i="2"/>
  <c r="B1025" i="2"/>
  <c r="B1023" i="2"/>
  <c r="B1022" i="2"/>
  <c r="B1019" i="2"/>
  <c r="B1018" i="2"/>
  <c r="B1016" i="2"/>
  <c r="B1012" i="2"/>
  <c r="B1011" i="2"/>
  <c r="B1009" i="2"/>
  <c r="B1008" i="2"/>
  <c r="B1007" i="2"/>
  <c r="B1005" i="2"/>
  <c r="B1004" i="2"/>
  <c r="B1003" i="2"/>
  <c r="B1000" i="2"/>
  <c r="B996" i="2"/>
  <c r="B995" i="2"/>
  <c r="B994" i="2"/>
  <c r="B993" i="2"/>
  <c r="B992" i="2"/>
  <c r="B990" i="2"/>
  <c r="B986" i="2"/>
  <c r="B983" i="2"/>
  <c r="B979" i="2"/>
  <c r="B978" i="2"/>
  <c r="B977" i="2"/>
  <c r="B976" i="2"/>
  <c r="B975" i="2"/>
  <c r="B972" i="2"/>
  <c r="B971" i="2"/>
  <c r="B966" i="2"/>
  <c r="B965" i="2"/>
  <c r="B962" i="2"/>
  <c r="B960" i="2"/>
  <c r="B955" i="2"/>
  <c r="B950" i="2"/>
  <c r="B949" i="2"/>
  <c r="B947" i="2"/>
  <c r="B940" i="2"/>
  <c r="B937" i="2"/>
  <c r="B935" i="2"/>
  <c r="B934" i="2"/>
  <c r="B933" i="2"/>
  <c r="B932" i="2"/>
  <c r="B931" i="2"/>
  <c r="B930" i="2"/>
  <c r="B926" i="2"/>
  <c r="B923" i="2"/>
  <c r="B922" i="2"/>
  <c r="B917" i="2"/>
  <c r="B916" i="2"/>
  <c r="B914" i="2"/>
  <c r="B913" i="2"/>
  <c r="B910" i="2"/>
  <c r="B907" i="2"/>
  <c r="B906" i="2"/>
  <c r="B902" i="2"/>
  <c r="B899" i="2"/>
  <c r="B897" i="2"/>
  <c r="B896" i="2"/>
  <c r="B895" i="2"/>
  <c r="B894" i="2"/>
  <c r="B892" i="2"/>
  <c r="B890" i="2"/>
  <c r="B889" i="2"/>
  <c r="B886" i="2"/>
  <c r="B885" i="2"/>
  <c r="B884" i="2"/>
  <c r="B883" i="2"/>
  <c r="B880" i="2"/>
  <c r="B879" i="2"/>
  <c r="B878" i="2"/>
  <c r="B877" i="2"/>
  <c r="B874" i="2"/>
  <c r="B871" i="2"/>
  <c r="B870" i="2"/>
  <c r="B867" i="2"/>
  <c r="B866" i="2"/>
  <c r="B865" i="2"/>
  <c r="B862" i="2"/>
  <c r="B861" i="2"/>
  <c r="B859" i="2"/>
  <c r="B856" i="2"/>
  <c r="B854" i="2"/>
  <c r="B850" i="2"/>
  <c r="B849" i="2"/>
  <c r="B848" i="2"/>
  <c r="B847" i="2"/>
  <c r="B846" i="2"/>
  <c r="B844" i="2"/>
  <c r="B842" i="2"/>
  <c r="B840" i="2"/>
  <c r="B839" i="2"/>
  <c r="B838" i="2"/>
  <c r="B836" i="2"/>
  <c r="B834" i="2"/>
  <c r="B833" i="2"/>
  <c r="B832" i="2"/>
  <c r="B831" i="2"/>
  <c r="B830" i="2"/>
  <c r="B829" i="2"/>
  <c r="B828" i="2"/>
  <c r="B826" i="2"/>
  <c r="B825" i="2"/>
  <c r="B823" i="2"/>
  <c r="B822" i="2"/>
  <c r="B821" i="2"/>
  <c r="B820" i="2"/>
  <c r="B818" i="2"/>
  <c r="B817" i="2"/>
  <c r="B816" i="2"/>
  <c r="B814" i="2"/>
  <c r="B813" i="2"/>
  <c r="B812" i="2"/>
  <c r="B811" i="2"/>
  <c r="B810" i="2"/>
  <c r="B809" i="2"/>
  <c r="B808" i="2"/>
  <c r="B807" i="2"/>
  <c r="B806" i="2"/>
  <c r="B805" i="2"/>
  <c r="B804" i="2"/>
  <c r="B803" i="2"/>
  <c r="B802" i="2"/>
  <c r="B801" i="2"/>
  <c r="B800" i="2"/>
  <c r="B799" i="2"/>
  <c r="B798" i="2"/>
  <c r="B797" i="2"/>
  <c r="B796" i="2"/>
  <c r="B795" i="2"/>
  <c r="B794" i="2"/>
  <c r="B793" i="2"/>
  <c r="B792" i="2"/>
  <c r="B791" i="2"/>
  <c r="B790" i="2"/>
  <c r="B789" i="2"/>
  <c r="B788" i="2"/>
  <c r="B787" i="2"/>
  <c r="B786" i="2"/>
  <c r="B785" i="2"/>
  <c r="B784" i="2"/>
  <c r="B783" i="2"/>
  <c r="B782" i="2"/>
  <c r="B781" i="2"/>
  <c r="B780" i="2"/>
  <c r="B779" i="2"/>
  <c r="B778" i="2"/>
  <c r="B777" i="2"/>
  <c r="B776" i="2"/>
  <c r="B775" i="2"/>
  <c r="B774" i="2"/>
  <c r="B772" i="2"/>
  <c r="B771" i="2"/>
  <c r="B770" i="2"/>
  <c r="B769" i="2"/>
  <c r="B767" i="2"/>
  <c r="B766" i="2"/>
  <c r="B765" i="2"/>
  <c r="B764" i="2"/>
  <c r="B763" i="2"/>
  <c r="B762" i="2"/>
  <c r="B761" i="2"/>
  <c r="B760" i="2"/>
  <c r="B758" i="2"/>
  <c r="B757" i="2"/>
  <c r="B756" i="2"/>
  <c r="B755" i="2"/>
  <c r="B754" i="2"/>
  <c r="B753" i="2"/>
  <c r="B752" i="2"/>
  <c r="B751" i="2"/>
  <c r="B749" i="2"/>
  <c r="B748" i="2"/>
  <c r="B746" i="2"/>
  <c r="B745" i="2"/>
  <c r="B744" i="2"/>
  <c r="B743" i="2"/>
  <c r="B742" i="2"/>
  <c r="B741" i="2"/>
  <c r="B740" i="2"/>
  <c r="B739" i="2"/>
  <c r="B737" i="2"/>
  <c r="B736" i="2"/>
  <c r="B735" i="2"/>
  <c r="B733" i="2"/>
  <c r="B732" i="2"/>
  <c r="B731" i="2"/>
  <c r="B730" i="2"/>
  <c r="B729" i="2"/>
  <c r="B728" i="2"/>
  <c r="B727" i="2"/>
  <c r="B725" i="2"/>
  <c r="B724" i="2"/>
  <c r="B723" i="2"/>
  <c r="B722" i="2"/>
  <c r="B720" i="2"/>
  <c r="B719" i="2"/>
  <c r="B716" i="2"/>
  <c r="B715" i="2"/>
  <c r="B714" i="2"/>
  <c r="B713" i="2"/>
  <c r="B712" i="2"/>
  <c r="B711" i="2"/>
  <c r="B710" i="2"/>
  <c r="B709" i="2"/>
  <c r="B708" i="2"/>
  <c r="B707" i="2"/>
  <c r="B706" i="2"/>
  <c r="B705" i="2"/>
  <c r="B704" i="2"/>
  <c r="B703" i="2"/>
  <c r="B702" i="2"/>
  <c r="B701" i="2"/>
  <c r="B700" i="2"/>
  <c r="B699" i="2"/>
  <c r="B698" i="2"/>
  <c r="B697" i="2"/>
  <c r="B696" i="2"/>
  <c r="B695" i="2"/>
  <c r="B694" i="2"/>
  <c r="B693" i="2"/>
  <c r="B692" i="2"/>
  <c r="B691" i="2"/>
  <c r="B690" i="2"/>
  <c r="B689" i="2"/>
  <c r="B688" i="2"/>
  <c r="B687" i="2"/>
  <c r="B686" i="2"/>
  <c r="B685" i="2"/>
  <c r="B684" i="2"/>
  <c r="B683" i="2"/>
  <c r="B682" i="2"/>
  <c r="B680" i="2"/>
  <c r="B679" i="2"/>
  <c r="B678" i="2"/>
  <c r="B677" i="2"/>
  <c r="B676" i="2"/>
  <c r="B675" i="2"/>
  <c r="B674" i="2"/>
  <c r="B673" i="2"/>
  <c r="B672" i="2"/>
  <c r="B671" i="2"/>
  <c r="B670" i="2"/>
  <c r="B669" i="2"/>
  <c r="B668" i="2"/>
  <c r="B667" i="2"/>
  <c r="B666" i="2"/>
  <c r="B665" i="2"/>
  <c r="B664" i="2"/>
  <c r="B663" i="2"/>
  <c r="B662" i="2"/>
  <c r="B661" i="2"/>
  <c r="B660" i="2"/>
  <c r="B659" i="2"/>
  <c r="B658" i="2"/>
  <c r="B657" i="2"/>
  <c r="B656" i="2"/>
  <c r="B655" i="2"/>
  <c r="B654" i="2"/>
  <c r="B653" i="2"/>
  <c r="B652" i="2"/>
  <c r="B651" i="2"/>
  <c r="B650" i="2"/>
  <c r="B649" i="2"/>
  <c r="B648" i="2"/>
  <c r="B647" i="2"/>
  <c r="B646" i="2"/>
  <c r="B645" i="2"/>
  <c r="B644" i="2"/>
  <c r="B643" i="2"/>
  <c r="B642" i="2"/>
  <c r="B641" i="2"/>
  <c r="B640" i="2"/>
  <c r="B639" i="2"/>
  <c r="B638" i="2"/>
  <c r="B637" i="2"/>
  <c r="B636" i="2"/>
  <c r="B635" i="2"/>
  <c r="B634" i="2"/>
  <c r="B633" i="2"/>
  <c r="B632" i="2"/>
  <c r="B631" i="2"/>
  <c r="B630" i="2"/>
  <c r="B628" i="2"/>
  <c r="B627" i="2"/>
  <c r="B626" i="2"/>
  <c r="B625" i="2"/>
  <c r="B624" i="2"/>
  <c r="B623" i="2"/>
  <c r="B622" i="2"/>
  <c r="B621" i="2"/>
  <c r="B620" i="2"/>
  <c r="B619" i="2"/>
  <c r="B618" i="2"/>
  <c r="B617" i="2"/>
  <c r="B616" i="2"/>
  <c r="B615" i="2"/>
  <c r="B614" i="2"/>
  <c r="B613" i="2"/>
  <c r="B612" i="2"/>
  <c r="B611" i="2"/>
  <c r="B610" i="2"/>
  <c r="B609" i="2"/>
  <c r="B608" i="2"/>
  <c r="B607" i="2"/>
  <c r="B606" i="2"/>
  <c r="B605" i="2"/>
  <c r="B603" i="2"/>
  <c r="B602" i="2"/>
  <c r="B600" i="2"/>
  <c r="B599" i="2"/>
  <c r="B598" i="2"/>
  <c r="B597" i="2"/>
  <c r="B596" i="2"/>
  <c r="B595" i="2"/>
  <c r="B594" i="2"/>
  <c r="B593" i="2"/>
  <c r="B592" i="2"/>
  <c r="B591" i="2"/>
  <c r="B590" i="2"/>
  <c r="B589" i="2"/>
  <c r="B588" i="2"/>
  <c r="B587" i="2"/>
  <c r="B586" i="2"/>
  <c r="B585" i="2"/>
  <c r="B584" i="2"/>
  <c r="B583" i="2"/>
  <c r="B582" i="2"/>
  <c r="B581" i="2"/>
  <c r="B580" i="2"/>
  <c r="B579" i="2"/>
  <c r="B578" i="2"/>
  <c r="B577" i="2"/>
  <c r="B576" i="2"/>
  <c r="B575" i="2"/>
  <c r="B574" i="2"/>
  <c r="B573" i="2"/>
  <c r="B572" i="2"/>
  <c r="B571" i="2"/>
  <c r="B570" i="2"/>
  <c r="B569" i="2"/>
  <c r="B568" i="2"/>
  <c r="B567" i="2"/>
  <c r="B566" i="2"/>
  <c r="B565" i="2"/>
  <c r="B564" i="2"/>
  <c r="B563" i="2"/>
  <c r="B562" i="2"/>
  <c r="B561" i="2"/>
  <c r="B560" i="2"/>
  <c r="B559" i="2"/>
  <c r="B558" i="2"/>
  <c r="B557" i="2"/>
  <c r="B556" i="2"/>
  <c r="B555" i="2"/>
  <c r="B554" i="2"/>
  <c r="B553" i="2"/>
  <c r="B552" i="2"/>
  <c r="B551" i="2"/>
  <c r="B550" i="2"/>
  <c r="B549" i="2"/>
  <c r="B548" i="2"/>
  <c r="B547" i="2"/>
  <c r="B546" i="2"/>
  <c r="B545" i="2"/>
  <c r="B544" i="2"/>
  <c r="B543" i="2"/>
  <c r="B542" i="2"/>
  <c r="B541" i="2"/>
  <c r="B540" i="2"/>
  <c r="B539" i="2"/>
  <c r="B538" i="2"/>
  <c r="B537" i="2"/>
  <c r="B536" i="2"/>
  <c r="B535" i="2"/>
  <c r="B534" i="2"/>
  <c r="B533" i="2"/>
  <c r="B532" i="2"/>
  <c r="B531" i="2"/>
  <c r="B530" i="2"/>
  <c r="B529" i="2"/>
  <c r="B528" i="2"/>
  <c r="B527" i="2"/>
  <c r="B526" i="2"/>
  <c r="B525" i="2"/>
  <c r="B524" i="2"/>
  <c r="B523" i="2"/>
  <c r="B522" i="2"/>
  <c r="B521" i="2"/>
  <c r="B520" i="2"/>
  <c r="B519" i="2"/>
  <c r="B518" i="2"/>
  <c r="B517" i="2"/>
  <c r="B516" i="2"/>
  <c r="B515" i="2"/>
  <c r="B514" i="2"/>
  <c r="B513" i="2"/>
  <c r="B512" i="2"/>
  <c r="B511" i="2"/>
  <c r="B510" i="2"/>
  <c r="B509" i="2"/>
  <c r="B508" i="2"/>
  <c r="B507" i="2"/>
  <c r="B506" i="2"/>
  <c r="B505" i="2"/>
  <c r="B504" i="2"/>
  <c r="B503" i="2"/>
  <c r="B502" i="2"/>
  <c r="B501" i="2"/>
  <c r="B500" i="2"/>
  <c r="B499" i="2"/>
  <c r="B498" i="2"/>
  <c r="B497" i="2"/>
  <c r="B496" i="2"/>
  <c r="B495" i="2"/>
  <c r="B494" i="2"/>
  <c r="B493" i="2"/>
  <c r="B492" i="2"/>
  <c r="B491" i="2"/>
  <c r="B490" i="2"/>
  <c r="B489" i="2"/>
  <c r="B488" i="2"/>
  <c r="B487" i="2"/>
  <c r="B486" i="2"/>
  <c r="B485" i="2"/>
  <c r="B484" i="2"/>
  <c r="B483" i="2"/>
  <c r="B482" i="2"/>
  <c r="B481" i="2"/>
  <c r="B480" i="2"/>
  <c r="B479" i="2"/>
  <c r="B478" i="2"/>
  <c r="B477" i="2"/>
  <c r="B476" i="2"/>
  <c r="B475" i="2"/>
  <c r="B474" i="2"/>
  <c r="B473" i="2"/>
  <c r="B472" i="2"/>
  <c r="B471" i="2"/>
  <c r="B470" i="2"/>
  <c r="B469" i="2"/>
  <c r="B468" i="2"/>
  <c r="B467" i="2"/>
  <c r="B466" i="2"/>
  <c r="B465" i="2"/>
  <c r="B464" i="2"/>
  <c r="B463" i="2"/>
  <c r="B462" i="2"/>
  <c r="B461" i="2"/>
  <c r="B460" i="2"/>
  <c r="B459" i="2"/>
  <c r="B458" i="2"/>
  <c r="B457" i="2"/>
  <c r="B456" i="2"/>
  <c r="B455" i="2"/>
  <c r="B454" i="2"/>
  <c r="B453" i="2"/>
  <c r="B452" i="2"/>
  <c r="B451" i="2"/>
  <c r="B450" i="2"/>
  <c r="B449" i="2"/>
  <c r="B448" i="2"/>
  <c r="B447" i="2"/>
  <c r="B446" i="2"/>
  <c r="B445" i="2"/>
  <c r="B444" i="2"/>
  <c r="B443" i="2"/>
  <c r="B442" i="2"/>
  <c r="B441" i="2"/>
  <c r="B440" i="2"/>
  <c r="B439" i="2"/>
  <c r="B438" i="2"/>
  <c r="B437" i="2"/>
  <c r="B436" i="2"/>
  <c r="B435" i="2"/>
  <c r="B434" i="2"/>
  <c r="B433" i="2"/>
  <c r="B432" i="2"/>
  <c r="B431" i="2"/>
  <c r="B430" i="2"/>
  <c r="B429" i="2"/>
  <c r="B428" i="2"/>
  <c r="B427" i="2"/>
  <c r="B426" i="2"/>
  <c r="B425" i="2"/>
  <c r="B424" i="2"/>
  <c r="B423" i="2"/>
  <c r="B422" i="2"/>
  <c r="B421" i="2"/>
  <c r="B420" i="2"/>
  <c r="B419" i="2"/>
  <c r="B418" i="2"/>
  <c r="B417" i="2"/>
  <c r="B416" i="2"/>
  <c r="B415" i="2"/>
  <c r="B414" i="2"/>
  <c r="B413" i="2"/>
  <c r="B412" i="2"/>
  <c r="B411" i="2"/>
  <c r="B410" i="2"/>
  <c r="B409" i="2"/>
  <c r="B408" i="2"/>
  <c r="B407" i="2"/>
  <c r="B406" i="2"/>
  <c r="B405" i="2"/>
  <c r="B404" i="2"/>
  <c r="B403" i="2"/>
  <c r="B402" i="2"/>
  <c r="B401" i="2"/>
  <c r="B400" i="2"/>
  <c r="B399" i="2"/>
  <c r="B398" i="2"/>
  <c r="B397" i="2"/>
  <c r="B396" i="2"/>
  <c r="B395" i="2"/>
  <c r="B394" i="2"/>
  <c r="B393" i="2"/>
  <c r="B392" i="2"/>
  <c r="B391" i="2"/>
  <c r="B390" i="2"/>
  <c r="B389" i="2"/>
  <c r="B388" i="2"/>
  <c r="B387" i="2"/>
  <c r="B386" i="2"/>
  <c r="B385" i="2"/>
  <c r="B384" i="2"/>
  <c r="B383" i="2"/>
  <c r="B382" i="2"/>
  <c r="B381" i="2"/>
  <c r="B380" i="2"/>
  <c r="B379" i="2"/>
  <c r="B378" i="2"/>
  <c r="B377" i="2"/>
  <c r="B376" i="2"/>
  <c r="B375" i="2"/>
  <c r="B374" i="2"/>
  <c r="B373" i="2"/>
  <c r="B372" i="2"/>
  <c r="B371" i="2"/>
  <c r="B370" i="2"/>
  <c r="B369" i="2"/>
  <c r="B368" i="2"/>
  <c r="B367" i="2"/>
  <c r="B366" i="2"/>
  <c r="B365" i="2"/>
  <c r="B364" i="2"/>
  <c r="B363" i="2"/>
  <c r="B362" i="2"/>
  <c r="B361" i="2"/>
  <c r="B360" i="2"/>
  <c r="B359" i="2"/>
  <c r="B358" i="2"/>
  <c r="B357" i="2"/>
  <c r="B356" i="2"/>
  <c r="B355" i="2"/>
  <c r="B354" i="2"/>
  <c r="B353" i="2"/>
  <c r="B352" i="2"/>
  <c r="B351" i="2"/>
  <c r="B350" i="2"/>
  <c r="B349" i="2"/>
  <c r="B348" i="2"/>
  <c r="B347" i="2"/>
  <c r="B346" i="2"/>
  <c r="B345" i="2"/>
  <c r="B344" i="2"/>
  <c r="B343" i="2"/>
  <c r="B342" i="2"/>
  <c r="B341" i="2"/>
  <c r="B340" i="2"/>
  <c r="B339" i="2"/>
  <c r="B338" i="2"/>
  <c r="B337" i="2"/>
  <c r="B336" i="2"/>
  <c r="B335" i="2"/>
  <c r="B334" i="2"/>
  <c r="B333" i="2"/>
  <c r="B332" i="2"/>
  <c r="B331" i="2"/>
  <c r="B330" i="2"/>
  <c r="B329" i="2"/>
  <c r="B328" i="2"/>
  <c r="B327" i="2"/>
  <c r="B326" i="2"/>
  <c r="B325" i="2"/>
  <c r="B324" i="2"/>
  <c r="B323" i="2"/>
  <c r="B322" i="2"/>
  <c r="B321" i="2"/>
  <c r="B320" i="2"/>
  <c r="B319" i="2"/>
  <c r="B318" i="2"/>
  <c r="B317" i="2"/>
  <c r="B316" i="2"/>
  <c r="B315" i="2"/>
  <c r="B314" i="2"/>
  <c r="B313" i="2"/>
  <c r="B312" i="2"/>
  <c r="B311" i="2"/>
  <c r="B310" i="2"/>
  <c r="B309" i="2"/>
  <c r="B308" i="2"/>
  <c r="B307" i="2"/>
  <c r="B306" i="2"/>
  <c r="B305" i="2"/>
  <c r="B304" i="2"/>
  <c r="B303" i="2"/>
  <c r="B302" i="2"/>
  <c r="B301" i="2"/>
  <c r="B300" i="2"/>
  <c r="B299" i="2"/>
  <c r="B298" i="2"/>
  <c r="B297" i="2"/>
  <c r="B296" i="2"/>
  <c r="B295" i="2"/>
  <c r="B294" i="2"/>
  <c r="B293" i="2"/>
  <c r="B292" i="2"/>
  <c r="B291" i="2"/>
  <c r="B290" i="2"/>
  <c r="B289" i="2"/>
  <c r="B288" i="2"/>
  <c r="B287" i="2"/>
  <c r="B286" i="2"/>
  <c r="B285" i="2"/>
  <c r="B284" i="2"/>
  <c r="B283" i="2"/>
  <c r="B282" i="2"/>
  <c r="B281" i="2"/>
  <c r="B280" i="2"/>
  <c r="B279" i="2"/>
  <c r="B278" i="2"/>
  <c r="B277" i="2"/>
  <c r="B276" i="2"/>
  <c r="B275" i="2"/>
  <c r="B274" i="2"/>
  <c r="B273" i="2"/>
  <c r="B272" i="2"/>
  <c r="B271" i="2"/>
  <c r="B270" i="2"/>
  <c r="B269" i="2"/>
  <c r="B268" i="2"/>
  <c r="B267" i="2"/>
  <c r="B266" i="2"/>
  <c r="B265" i="2"/>
  <c r="B264" i="2"/>
  <c r="B263" i="2"/>
  <c r="B262" i="2"/>
  <c r="B261" i="2"/>
  <c r="B260" i="2"/>
  <c r="B259" i="2"/>
  <c r="B258" i="2"/>
  <c r="B257" i="2"/>
  <c r="B256" i="2"/>
  <c r="B255" i="2"/>
  <c r="B254" i="2"/>
  <c r="B253" i="2"/>
  <c r="B252" i="2"/>
  <c r="B251" i="2"/>
  <c r="B250" i="2"/>
  <c r="B249" i="2"/>
  <c r="B248" i="2"/>
  <c r="B247" i="2"/>
  <c r="B246" i="2"/>
  <c r="B245" i="2"/>
  <c r="B244" i="2"/>
  <c r="B243" i="2"/>
  <c r="B242" i="2"/>
  <c r="B241" i="2"/>
  <c r="B240" i="2"/>
  <c r="B239" i="2"/>
  <c r="B238" i="2"/>
  <c r="B237" i="2"/>
  <c r="B236" i="2"/>
  <c r="B235" i="2"/>
  <c r="B234" i="2"/>
  <c r="B233" i="2"/>
  <c r="B232" i="2"/>
  <c r="B231" i="2"/>
  <c r="B230" i="2"/>
  <c r="B229" i="2"/>
  <c r="B228" i="2"/>
  <c r="B227" i="2"/>
  <c r="B226" i="2"/>
  <c r="B225" i="2"/>
  <c r="B224" i="2"/>
  <c r="B223" i="2"/>
  <c r="B222" i="2"/>
  <c r="B221" i="2"/>
  <c r="B220" i="2"/>
  <c r="B219" i="2"/>
  <c r="B218" i="2"/>
  <c r="B217" i="2"/>
  <c r="B216" i="2"/>
  <c r="B215" i="2"/>
  <c r="B214" i="2"/>
  <c r="B213" i="2"/>
  <c r="B212" i="2"/>
  <c r="B211" i="2"/>
  <c r="B210" i="2"/>
  <c r="B209" i="2"/>
  <c r="B208" i="2"/>
  <c r="B207" i="2"/>
  <c r="B206" i="2"/>
  <c r="B205" i="2"/>
  <c r="B204" i="2"/>
  <c r="B203" i="2"/>
  <c r="B202" i="2"/>
  <c r="B201" i="2"/>
  <c r="B200" i="2"/>
  <c r="B199" i="2"/>
  <c r="B198" i="2"/>
  <c r="B197" i="2"/>
  <c r="B196" i="2"/>
  <c r="B195" i="2"/>
  <c r="B194" i="2"/>
  <c r="B193" i="2"/>
  <c r="B192" i="2"/>
  <c r="B191" i="2"/>
  <c r="B190" i="2"/>
  <c r="B189" i="2"/>
  <c r="B188" i="2"/>
  <c r="B187" i="2"/>
  <c r="B186" i="2"/>
  <c r="B185" i="2"/>
  <c r="B184" i="2"/>
  <c r="B183" i="2"/>
  <c r="B182" i="2"/>
  <c r="B181" i="2"/>
  <c r="B180" i="2"/>
  <c r="B179" i="2"/>
  <c r="B178" i="2"/>
  <c r="B177" i="2"/>
  <c r="B176" i="2"/>
  <c r="B175" i="2"/>
  <c r="B174" i="2"/>
  <c r="B173" i="2"/>
  <c r="B172" i="2"/>
  <c r="B171" i="2"/>
  <c r="B170" i="2"/>
  <c r="B169" i="2"/>
  <c r="B168" i="2"/>
  <c r="B167" i="2"/>
  <c r="B166" i="2"/>
  <c r="B165" i="2"/>
  <c r="B164" i="2"/>
  <c r="B163" i="2"/>
  <c r="B162" i="2"/>
  <c r="B161" i="2"/>
  <c r="B160" i="2"/>
  <c r="B159" i="2"/>
  <c r="B158" i="2"/>
  <c r="B157" i="2"/>
  <c r="B156" i="2"/>
  <c r="B155" i="2"/>
  <c r="B154" i="2"/>
  <c r="B153" i="2"/>
  <c r="B152" i="2"/>
  <c r="B151" i="2"/>
  <c r="B150" i="2"/>
  <c r="B149" i="2"/>
  <c r="B148" i="2"/>
  <c r="B147" i="2"/>
  <c r="B146" i="2"/>
  <c r="B145" i="2"/>
  <c r="B144" i="2"/>
  <c r="B143" i="2"/>
  <c r="B142" i="2"/>
  <c r="B141" i="2"/>
  <c r="B140" i="2"/>
  <c r="B139" i="2"/>
  <c r="B138" i="2"/>
  <c r="B137" i="2"/>
  <c r="B136" i="2"/>
  <c r="B135" i="2"/>
  <c r="B134" i="2"/>
  <c r="B133" i="2"/>
  <c r="B132" i="2"/>
  <c r="B131" i="2"/>
  <c r="B130" i="2"/>
  <c r="B129" i="2"/>
  <c r="B128" i="2"/>
  <c r="B127" i="2"/>
  <c r="B126" i="2"/>
  <c r="B125" i="2"/>
  <c r="B124" i="2"/>
  <c r="B123" i="2"/>
  <c r="B122" i="2"/>
  <c r="B121" i="2"/>
  <c r="B120" i="2"/>
  <c r="B119" i="2"/>
  <c r="B118" i="2"/>
  <c r="B117" i="2"/>
  <c r="B116" i="2"/>
  <c r="B115" i="2"/>
  <c r="B114" i="2"/>
  <c r="B113" i="2"/>
  <c r="B112" i="2"/>
  <c r="B111" i="2"/>
  <c r="B110" i="2"/>
  <c r="B109" i="2"/>
  <c r="B108" i="2"/>
  <c r="B107" i="2"/>
  <c r="B106" i="2"/>
  <c r="B105" i="2"/>
  <c r="B104" i="2"/>
  <c r="B103" i="2"/>
  <c r="B102" i="2"/>
  <c r="B101" i="2"/>
  <c r="B100" i="2"/>
  <c r="B99" i="2"/>
  <c r="B98" i="2"/>
  <c r="B97" i="2"/>
  <c r="B96" i="2"/>
  <c r="B95" i="2"/>
  <c r="B94" i="2"/>
  <c r="B93" i="2"/>
  <c r="B92" i="2"/>
  <c r="B91" i="2"/>
  <c r="B90" i="2"/>
  <c r="B89" i="2"/>
  <c r="B88" i="2"/>
  <c r="B87" i="2"/>
  <c r="B86" i="2"/>
  <c r="B85" i="2"/>
  <c r="B84" i="2"/>
  <c r="B83" i="2"/>
  <c r="B82" i="2"/>
  <c r="B81" i="2"/>
  <c r="B80" i="2"/>
  <c r="B79" i="2"/>
  <c r="B78" i="2"/>
  <c r="B77" i="2"/>
  <c r="B76" i="2"/>
  <c r="B75" i="2"/>
  <c r="B74" i="2"/>
  <c r="B73" i="2"/>
  <c r="B72" i="2"/>
  <c r="B71" i="2"/>
  <c r="B70" i="2"/>
  <c r="B69" i="2"/>
  <c r="B68" i="2"/>
  <c r="B67" i="2"/>
  <c r="B66" i="2"/>
  <c r="B65" i="2"/>
  <c r="B64" i="2"/>
  <c r="B63" i="2"/>
  <c r="B62" i="2"/>
  <c r="B61" i="2"/>
  <c r="B60" i="2"/>
  <c r="B59" i="2"/>
  <c r="B58" i="2"/>
  <c r="B57" i="2"/>
  <c r="B56" i="2"/>
  <c r="B55" i="2"/>
  <c r="B54" i="2"/>
  <c r="B53" i="2"/>
  <c r="B52" i="2"/>
  <c r="B51" i="2"/>
  <c r="B50" i="2"/>
  <c r="B49" i="2"/>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B13" i="2"/>
  <c r="K795" i="1"/>
  <c r="I795" i="1"/>
  <c r="G795" i="1"/>
  <c r="F795" i="1"/>
  <c r="E795" i="1"/>
  <c r="D795" i="1"/>
  <c r="A795" i="1"/>
  <c r="K794" i="1"/>
  <c r="J794" i="1"/>
  <c r="I794" i="1"/>
  <c r="H794" i="1"/>
  <c r="G794" i="1"/>
  <c r="F794" i="1"/>
  <c r="E794" i="1"/>
  <c r="D794" i="1"/>
  <c r="C794" i="1"/>
  <c r="B794" i="1"/>
  <c r="A794" i="1"/>
  <c r="K793" i="1"/>
  <c r="J793" i="1"/>
  <c r="I793" i="1"/>
  <c r="H793" i="1"/>
  <c r="G793" i="1"/>
  <c r="F793" i="1"/>
  <c r="E793" i="1"/>
  <c r="D793" i="1"/>
  <c r="C793" i="1"/>
  <c r="B793" i="1"/>
  <c r="A793" i="1"/>
  <c r="K792" i="1"/>
  <c r="J792" i="1"/>
  <c r="I792" i="1"/>
  <c r="H792" i="1"/>
  <c r="G792" i="1"/>
  <c r="F792" i="1"/>
  <c r="E792" i="1"/>
  <c r="D792" i="1"/>
  <c r="C792" i="1"/>
  <c r="B792" i="1"/>
  <c r="A792" i="1"/>
  <c r="K791" i="1"/>
  <c r="J791" i="1"/>
  <c r="I791" i="1"/>
  <c r="H791" i="1"/>
  <c r="G791" i="1"/>
  <c r="F791" i="1"/>
  <c r="E791" i="1"/>
  <c r="D791" i="1"/>
  <c r="C791" i="1"/>
  <c r="B791" i="1"/>
  <c r="A791" i="1"/>
  <c r="J790" i="1"/>
  <c r="I790" i="1"/>
  <c r="H790" i="1"/>
  <c r="G790" i="1"/>
  <c r="F790" i="1"/>
  <c r="E790" i="1"/>
  <c r="D790" i="1"/>
  <c r="C790" i="1"/>
  <c r="B790" i="1"/>
  <c r="A790" i="1"/>
  <c r="J789" i="1"/>
  <c r="I789" i="1"/>
  <c r="H789" i="1"/>
  <c r="G789" i="1"/>
  <c r="F789" i="1"/>
  <c r="E789" i="1"/>
  <c r="D789" i="1"/>
  <c r="C789" i="1"/>
  <c r="B789" i="1"/>
  <c r="A789" i="1"/>
  <c r="I788" i="1"/>
  <c r="H788" i="1"/>
  <c r="G788" i="1"/>
  <c r="F788" i="1"/>
  <c r="E788" i="1"/>
  <c r="D788" i="1"/>
  <c r="C788" i="1"/>
  <c r="B788" i="1"/>
  <c r="A788" i="1"/>
  <c r="I787" i="1"/>
  <c r="H787" i="1"/>
  <c r="G787" i="1"/>
  <c r="F787" i="1"/>
  <c r="E787" i="1"/>
  <c r="D787" i="1"/>
  <c r="C787" i="1"/>
  <c r="B787" i="1"/>
  <c r="A787" i="1"/>
  <c r="K786" i="1"/>
  <c r="J786" i="1"/>
  <c r="I786" i="1"/>
  <c r="H786" i="1"/>
  <c r="G786" i="1"/>
  <c r="F786" i="1"/>
  <c r="E786" i="1"/>
  <c r="D786" i="1"/>
  <c r="C786" i="1"/>
  <c r="B786" i="1"/>
  <c r="A786" i="1"/>
  <c r="J785" i="1"/>
  <c r="I785" i="1"/>
  <c r="H785" i="1"/>
  <c r="G785" i="1"/>
  <c r="F785" i="1"/>
  <c r="E785" i="1"/>
  <c r="D785" i="1"/>
  <c r="C785" i="1"/>
  <c r="B785" i="1"/>
  <c r="A785" i="1"/>
  <c r="J784" i="1"/>
  <c r="I784" i="1"/>
  <c r="H784" i="1"/>
  <c r="G784" i="1"/>
  <c r="F784" i="1"/>
  <c r="E784" i="1"/>
  <c r="D784" i="1"/>
  <c r="C784" i="1"/>
  <c r="B784" i="1"/>
  <c r="A784" i="1"/>
  <c r="K783" i="1"/>
  <c r="J783" i="1"/>
  <c r="I783" i="1"/>
  <c r="H783" i="1"/>
  <c r="G783" i="1"/>
  <c r="F783" i="1"/>
  <c r="E783" i="1"/>
  <c r="D783" i="1"/>
  <c r="C783" i="1"/>
  <c r="B783" i="1"/>
  <c r="A783" i="1"/>
  <c r="J782" i="1"/>
  <c r="I782" i="1"/>
  <c r="H782" i="1"/>
  <c r="G782" i="1"/>
  <c r="F782" i="1"/>
  <c r="E782" i="1"/>
  <c r="D782" i="1"/>
  <c r="C782" i="1"/>
  <c r="B782" i="1"/>
  <c r="A782" i="1"/>
  <c r="K781" i="1"/>
  <c r="J781" i="1"/>
  <c r="I781" i="1"/>
  <c r="H781" i="1"/>
  <c r="G781" i="1"/>
  <c r="F781" i="1"/>
  <c r="E781" i="1"/>
  <c r="D781" i="1"/>
  <c r="C781" i="1"/>
  <c r="B781" i="1"/>
  <c r="A781" i="1"/>
  <c r="J780" i="1"/>
  <c r="I780" i="1"/>
  <c r="H780" i="1"/>
  <c r="G780" i="1"/>
  <c r="F780" i="1"/>
  <c r="E780" i="1"/>
  <c r="D780" i="1"/>
  <c r="C780" i="1"/>
  <c r="B780" i="1"/>
  <c r="A780" i="1"/>
  <c r="K779" i="1"/>
  <c r="J779" i="1"/>
  <c r="I779" i="1"/>
  <c r="H779" i="1"/>
  <c r="G779" i="1"/>
  <c r="F779" i="1"/>
  <c r="E779" i="1"/>
  <c r="D779" i="1"/>
  <c r="C779" i="1"/>
  <c r="B779" i="1"/>
  <c r="A779" i="1"/>
  <c r="K778" i="1"/>
  <c r="J778" i="1"/>
  <c r="I778" i="1"/>
  <c r="H778" i="1"/>
  <c r="G778" i="1"/>
  <c r="F778" i="1"/>
  <c r="E778" i="1"/>
  <c r="D778" i="1"/>
  <c r="C778" i="1"/>
  <c r="B778" i="1"/>
  <c r="A778" i="1"/>
  <c r="K777" i="1"/>
  <c r="J777" i="1"/>
  <c r="I777" i="1"/>
  <c r="H777" i="1"/>
  <c r="G777" i="1"/>
  <c r="F777" i="1"/>
  <c r="E777" i="1"/>
  <c r="D777" i="1"/>
  <c r="C777" i="1"/>
  <c r="B777" i="1"/>
  <c r="A777" i="1"/>
  <c r="K776" i="1"/>
  <c r="J776" i="1"/>
  <c r="I776" i="1"/>
  <c r="H776" i="1"/>
  <c r="G776" i="1"/>
  <c r="F776" i="1"/>
  <c r="E776" i="1"/>
  <c r="D776" i="1"/>
  <c r="C776" i="1"/>
  <c r="B776" i="1"/>
  <c r="A776" i="1"/>
  <c r="J775" i="1"/>
  <c r="I775" i="1"/>
  <c r="H775" i="1"/>
  <c r="G775" i="1"/>
  <c r="F775" i="1"/>
  <c r="E775" i="1"/>
  <c r="D775" i="1"/>
  <c r="C775" i="1"/>
  <c r="B775" i="1"/>
  <c r="A775" i="1"/>
  <c r="J774" i="1"/>
  <c r="I774" i="1"/>
  <c r="H774" i="1"/>
  <c r="G774" i="1"/>
  <c r="F774" i="1"/>
  <c r="E774" i="1"/>
  <c r="D774" i="1"/>
  <c r="C774" i="1"/>
  <c r="B774" i="1"/>
  <c r="A774" i="1"/>
  <c r="J773" i="1"/>
  <c r="I773" i="1"/>
  <c r="H773" i="1"/>
  <c r="G773" i="1"/>
  <c r="F773" i="1"/>
  <c r="E773" i="1"/>
  <c r="D773" i="1"/>
  <c r="C773" i="1"/>
  <c r="B773" i="1"/>
  <c r="A773" i="1"/>
  <c r="K772" i="1"/>
  <c r="J772" i="1"/>
  <c r="I772" i="1"/>
  <c r="H772" i="1"/>
  <c r="G772" i="1"/>
  <c r="F772" i="1"/>
  <c r="E772" i="1"/>
  <c r="D772" i="1"/>
  <c r="C772" i="1"/>
  <c r="B772" i="1"/>
  <c r="A772" i="1"/>
  <c r="K771" i="1"/>
  <c r="J771" i="1"/>
  <c r="I771" i="1"/>
  <c r="H771" i="1"/>
  <c r="G771" i="1"/>
  <c r="F771" i="1"/>
  <c r="E771" i="1"/>
  <c r="D771" i="1"/>
  <c r="C771" i="1"/>
  <c r="B771" i="1"/>
  <c r="A771" i="1"/>
  <c r="J770" i="1"/>
  <c r="I770" i="1"/>
  <c r="H770" i="1"/>
  <c r="G770" i="1"/>
  <c r="F770" i="1"/>
  <c r="E770" i="1"/>
  <c r="D770" i="1"/>
  <c r="C770" i="1"/>
  <c r="B770" i="1"/>
  <c r="A770" i="1"/>
  <c r="J769" i="1"/>
  <c r="I769" i="1"/>
  <c r="H769" i="1"/>
  <c r="G769" i="1"/>
  <c r="F769" i="1"/>
  <c r="E769" i="1"/>
  <c r="D769" i="1"/>
  <c r="C769" i="1"/>
  <c r="B769" i="1"/>
  <c r="A769" i="1"/>
  <c r="J768" i="1"/>
  <c r="I768" i="1"/>
  <c r="H768" i="1"/>
  <c r="G768" i="1"/>
  <c r="F768" i="1"/>
  <c r="E768" i="1"/>
  <c r="D768" i="1"/>
  <c r="C768" i="1"/>
  <c r="B768" i="1"/>
  <c r="A768" i="1"/>
  <c r="K767" i="1"/>
  <c r="J767" i="1"/>
  <c r="I767" i="1"/>
  <c r="H767" i="1"/>
  <c r="G767" i="1"/>
  <c r="F767" i="1"/>
  <c r="E767" i="1"/>
  <c r="D767" i="1"/>
  <c r="C767" i="1"/>
  <c r="B767" i="1"/>
  <c r="A767" i="1"/>
  <c r="J766" i="1"/>
  <c r="I766" i="1"/>
  <c r="H766" i="1"/>
  <c r="G766" i="1"/>
  <c r="F766" i="1"/>
  <c r="E766" i="1"/>
  <c r="D766" i="1"/>
  <c r="C766" i="1"/>
  <c r="B766" i="1"/>
  <c r="A766" i="1"/>
  <c r="I765" i="1"/>
  <c r="H765" i="1"/>
  <c r="G765" i="1"/>
  <c r="F765" i="1"/>
  <c r="E765" i="1"/>
  <c r="D765" i="1"/>
  <c r="C765" i="1"/>
  <c r="B765" i="1"/>
  <c r="A765" i="1"/>
  <c r="K764" i="1"/>
  <c r="J764" i="1"/>
  <c r="I764" i="1"/>
  <c r="H764" i="1"/>
  <c r="G764" i="1"/>
  <c r="F764" i="1"/>
  <c r="E764" i="1"/>
  <c r="D764" i="1"/>
  <c r="C764" i="1"/>
  <c r="B764" i="1"/>
  <c r="A764" i="1"/>
  <c r="J763" i="1"/>
  <c r="I763" i="1"/>
  <c r="H763" i="1"/>
  <c r="G763" i="1"/>
  <c r="F763" i="1"/>
  <c r="E763" i="1"/>
  <c r="D763" i="1"/>
  <c r="C763" i="1"/>
  <c r="B763" i="1"/>
  <c r="A763" i="1"/>
  <c r="K762" i="1"/>
  <c r="J762" i="1"/>
  <c r="I762" i="1"/>
  <c r="H762" i="1"/>
  <c r="G762" i="1"/>
  <c r="F762" i="1"/>
  <c r="E762" i="1"/>
  <c r="D762" i="1"/>
  <c r="C762" i="1"/>
  <c r="B762" i="1"/>
  <c r="A762" i="1"/>
  <c r="K761" i="1"/>
  <c r="J761" i="1"/>
  <c r="I761" i="1"/>
  <c r="H761" i="1"/>
  <c r="G761" i="1"/>
  <c r="F761" i="1"/>
  <c r="E761" i="1"/>
  <c r="D761" i="1"/>
  <c r="C761" i="1"/>
  <c r="B761" i="1"/>
  <c r="A761" i="1"/>
  <c r="K760" i="1"/>
  <c r="J760" i="1"/>
  <c r="I760" i="1"/>
  <c r="H760" i="1"/>
  <c r="G760" i="1"/>
  <c r="F760" i="1"/>
  <c r="E760" i="1"/>
  <c r="D760" i="1"/>
  <c r="C760" i="1"/>
  <c r="B760" i="1"/>
  <c r="A760" i="1"/>
  <c r="K759" i="1"/>
  <c r="J759" i="1"/>
  <c r="I759" i="1"/>
  <c r="H759" i="1"/>
  <c r="G759" i="1"/>
  <c r="F759" i="1"/>
  <c r="E759" i="1"/>
  <c r="D759" i="1"/>
  <c r="C759" i="1"/>
  <c r="B759" i="1"/>
  <c r="A759" i="1"/>
  <c r="K758" i="1"/>
  <c r="J758" i="1"/>
  <c r="I758" i="1"/>
  <c r="H758" i="1"/>
  <c r="G758" i="1"/>
  <c r="F758" i="1"/>
  <c r="E758" i="1"/>
  <c r="D758" i="1"/>
  <c r="C758" i="1"/>
  <c r="B758" i="1"/>
  <c r="A758" i="1"/>
  <c r="K757" i="1"/>
  <c r="J757" i="1"/>
  <c r="I757" i="1"/>
  <c r="H757" i="1"/>
  <c r="G757" i="1"/>
  <c r="F757" i="1"/>
  <c r="E757" i="1"/>
  <c r="D757" i="1"/>
  <c r="C757" i="1"/>
  <c r="B757" i="1"/>
  <c r="A757" i="1"/>
  <c r="K756" i="1"/>
  <c r="J756" i="1"/>
  <c r="I756" i="1"/>
  <c r="H756" i="1"/>
  <c r="G756" i="1"/>
  <c r="F756" i="1"/>
  <c r="E756" i="1"/>
  <c r="D756" i="1"/>
  <c r="C756" i="1"/>
  <c r="B756" i="1"/>
  <c r="A756" i="1"/>
  <c r="J755" i="1"/>
  <c r="I755" i="1"/>
  <c r="H755" i="1"/>
  <c r="G755" i="1"/>
  <c r="F755" i="1"/>
  <c r="E755" i="1"/>
  <c r="D755" i="1"/>
  <c r="C755" i="1"/>
  <c r="B755" i="1"/>
  <c r="A755" i="1"/>
  <c r="J754" i="1"/>
  <c r="I754" i="1"/>
  <c r="H754" i="1"/>
  <c r="G754" i="1"/>
  <c r="F754" i="1"/>
  <c r="E754" i="1"/>
  <c r="D754" i="1"/>
  <c r="C754" i="1"/>
  <c r="B754" i="1"/>
  <c r="A754" i="1"/>
  <c r="K753" i="1"/>
  <c r="J753" i="1"/>
  <c r="I753" i="1"/>
  <c r="H753" i="1"/>
  <c r="G753" i="1"/>
  <c r="F753" i="1"/>
  <c r="E753" i="1"/>
  <c r="D753" i="1"/>
  <c r="C753" i="1"/>
  <c r="B753" i="1"/>
  <c r="A753" i="1"/>
  <c r="K752" i="1"/>
  <c r="J752" i="1"/>
  <c r="I752" i="1"/>
  <c r="H752" i="1"/>
  <c r="G752" i="1"/>
  <c r="F752" i="1"/>
  <c r="E752" i="1"/>
  <c r="D752" i="1"/>
  <c r="C752" i="1"/>
  <c r="B752" i="1"/>
  <c r="A752" i="1"/>
  <c r="K751" i="1"/>
  <c r="J751" i="1"/>
  <c r="I751" i="1"/>
  <c r="H751" i="1"/>
  <c r="G751" i="1"/>
  <c r="F751" i="1"/>
  <c r="E751" i="1"/>
  <c r="D751" i="1"/>
  <c r="C751" i="1"/>
  <c r="B751" i="1"/>
  <c r="A751" i="1"/>
  <c r="K750" i="1"/>
  <c r="J750" i="1"/>
  <c r="I750" i="1"/>
  <c r="H750" i="1"/>
  <c r="G750" i="1"/>
  <c r="F750" i="1"/>
  <c r="E750" i="1"/>
  <c r="D750" i="1"/>
  <c r="C750" i="1"/>
  <c r="B750" i="1"/>
  <c r="A750" i="1"/>
  <c r="K749" i="1"/>
  <c r="J749" i="1"/>
  <c r="I749" i="1"/>
  <c r="H749" i="1"/>
  <c r="G749" i="1"/>
  <c r="F749" i="1"/>
  <c r="E749" i="1"/>
  <c r="D749" i="1"/>
  <c r="C749" i="1"/>
  <c r="B749" i="1"/>
  <c r="A749" i="1"/>
  <c r="K748" i="1"/>
  <c r="J748" i="1"/>
  <c r="I748" i="1"/>
  <c r="H748" i="1"/>
  <c r="G748" i="1"/>
  <c r="F748" i="1"/>
  <c r="E748" i="1"/>
  <c r="D748" i="1"/>
  <c r="C748" i="1"/>
  <c r="B748" i="1"/>
  <c r="A748" i="1"/>
  <c r="K747" i="1"/>
  <c r="J747" i="1"/>
  <c r="I747" i="1"/>
  <c r="H747" i="1"/>
  <c r="G747" i="1"/>
  <c r="F747" i="1"/>
  <c r="E747" i="1"/>
  <c r="D747" i="1"/>
  <c r="C747" i="1"/>
  <c r="B747" i="1"/>
  <c r="A747" i="1"/>
  <c r="K746" i="1"/>
  <c r="J746" i="1"/>
  <c r="I746" i="1"/>
  <c r="H746" i="1"/>
  <c r="G746" i="1"/>
  <c r="F746" i="1"/>
  <c r="E746" i="1"/>
  <c r="D746" i="1"/>
  <c r="C746" i="1"/>
  <c r="B746" i="1"/>
  <c r="A746" i="1"/>
  <c r="K745" i="1"/>
  <c r="J745" i="1"/>
  <c r="I745" i="1"/>
  <c r="H745" i="1"/>
  <c r="G745" i="1"/>
  <c r="F745" i="1"/>
  <c r="E745" i="1"/>
  <c r="D745" i="1"/>
  <c r="C745" i="1"/>
  <c r="B745" i="1"/>
  <c r="A745" i="1"/>
  <c r="K744" i="1"/>
  <c r="J744" i="1"/>
  <c r="I744" i="1"/>
  <c r="H744" i="1"/>
  <c r="G744" i="1"/>
  <c r="F744" i="1"/>
  <c r="E744" i="1"/>
  <c r="D744" i="1"/>
  <c r="C744" i="1"/>
  <c r="B744" i="1"/>
  <c r="A744" i="1"/>
  <c r="K743" i="1"/>
  <c r="J743" i="1"/>
  <c r="I743" i="1"/>
  <c r="H743" i="1"/>
  <c r="G743" i="1"/>
  <c r="F743" i="1"/>
  <c r="E743" i="1"/>
  <c r="D743" i="1"/>
  <c r="C743" i="1"/>
  <c r="B743" i="1"/>
  <c r="A743" i="1"/>
  <c r="K742" i="1"/>
  <c r="J742" i="1"/>
  <c r="I742" i="1"/>
  <c r="H742" i="1"/>
  <c r="G742" i="1"/>
  <c r="F742" i="1"/>
  <c r="E742" i="1"/>
  <c r="D742" i="1"/>
  <c r="C742" i="1"/>
  <c r="B742" i="1"/>
  <c r="A742" i="1"/>
  <c r="K741" i="1"/>
  <c r="J741" i="1"/>
  <c r="I741" i="1"/>
  <c r="H741" i="1"/>
  <c r="G741" i="1"/>
  <c r="F741" i="1"/>
  <c r="E741" i="1"/>
  <c r="D741" i="1"/>
  <c r="C741" i="1"/>
  <c r="B741" i="1"/>
  <c r="A741" i="1"/>
  <c r="J740" i="1"/>
  <c r="I740" i="1"/>
  <c r="H740" i="1"/>
  <c r="G740" i="1"/>
  <c r="F740" i="1"/>
  <c r="E740" i="1"/>
  <c r="D740" i="1"/>
  <c r="C740" i="1"/>
  <c r="B740" i="1"/>
  <c r="A740" i="1"/>
  <c r="K739" i="1"/>
  <c r="J739" i="1"/>
  <c r="I739" i="1"/>
  <c r="H739" i="1"/>
  <c r="G739" i="1"/>
  <c r="F739" i="1"/>
  <c r="E739" i="1"/>
  <c r="D739" i="1"/>
  <c r="C739" i="1"/>
  <c r="B739" i="1"/>
  <c r="A739" i="1"/>
  <c r="J738" i="1"/>
  <c r="I738" i="1"/>
  <c r="H738" i="1"/>
  <c r="G738" i="1"/>
  <c r="F738" i="1"/>
  <c r="E738" i="1"/>
  <c r="D738" i="1"/>
  <c r="C738" i="1"/>
  <c r="B738" i="1"/>
  <c r="A738" i="1"/>
  <c r="J737" i="1"/>
  <c r="I737" i="1"/>
  <c r="H737" i="1"/>
  <c r="G737" i="1"/>
  <c r="F737" i="1"/>
  <c r="E737" i="1"/>
  <c r="D737" i="1"/>
  <c r="C737" i="1"/>
  <c r="B737" i="1"/>
  <c r="A737" i="1"/>
  <c r="K736" i="1"/>
  <c r="J736" i="1"/>
  <c r="I736" i="1"/>
  <c r="H736" i="1"/>
  <c r="G736" i="1"/>
  <c r="F736" i="1"/>
  <c r="E736" i="1"/>
  <c r="D736" i="1"/>
  <c r="C736" i="1"/>
  <c r="B736" i="1"/>
  <c r="A736" i="1"/>
  <c r="K735" i="1"/>
  <c r="J735" i="1"/>
  <c r="I735" i="1"/>
  <c r="H735" i="1"/>
  <c r="G735" i="1"/>
  <c r="F735" i="1"/>
  <c r="E735" i="1"/>
  <c r="D735" i="1"/>
  <c r="C735" i="1"/>
  <c r="B735" i="1"/>
  <c r="A735" i="1"/>
  <c r="K734" i="1"/>
  <c r="J734" i="1"/>
  <c r="I734" i="1"/>
  <c r="H734" i="1"/>
  <c r="G734" i="1"/>
  <c r="F734" i="1"/>
  <c r="E734" i="1"/>
  <c r="D734" i="1"/>
  <c r="C734" i="1"/>
  <c r="B734" i="1"/>
  <c r="A734" i="1"/>
  <c r="J733" i="1"/>
  <c r="I733" i="1"/>
  <c r="H733" i="1"/>
  <c r="G733" i="1"/>
  <c r="F733" i="1"/>
  <c r="E733" i="1"/>
  <c r="D733" i="1"/>
  <c r="C733" i="1"/>
  <c r="B733" i="1"/>
  <c r="A733" i="1"/>
  <c r="J732" i="1"/>
  <c r="I732" i="1"/>
  <c r="H732" i="1"/>
  <c r="G732" i="1"/>
  <c r="F732" i="1"/>
  <c r="E732" i="1"/>
  <c r="D732" i="1"/>
  <c r="C732" i="1"/>
  <c r="B732" i="1"/>
  <c r="A732" i="1"/>
  <c r="J731" i="1"/>
  <c r="I731" i="1"/>
  <c r="H731" i="1"/>
  <c r="G731" i="1"/>
  <c r="F731" i="1"/>
  <c r="E731" i="1"/>
  <c r="D731" i="1"/>
  <c r="C731" i="1"/>
  <c r="B731" i="1"/>
  <c r="A731" i="1"/>
  <c r="J730" i="1"/>
  <c r="I730" i="1"/>
  <c r="H730" i="1"/>
  <c r="G730" i="1"/>
  <c r="F730" i="1"/>
  <c r="E730" i="1"/>
  <c r="D730" i="1"/>
  <c r="C730" i="1"/>
  <c r="B730" i="1"/>
  <c r="A730" i="1"/>
  <c r="K729" i="1"/>
  <c r="J729" i="1"/>
  <c r="I729" i="1"/>
  <c r="H729" i="1"/>
  <c r="G729" i="1"/>
  <c r="F729" i="1"/>
  <c r="E729" i="1"/>
  <c r="D729" i="1"/>
  <c r="C729" i="1"/>
  <c r="B729" i="1"/>
  <c r="A729" i="1"/>
  <c r="J728" i="1"/>
  <c r="I728" i="1"/>
  <c r="H728" i="1"/>
  <c r="G728" i="1"/>
  <c r="F728" i="1"/>
  <c r="E728" i="1"/>
  <c r="D728" i="1"/>
  <c r="C728" i="1"/>
  <c r="B728" i="1"/>
  <c r="A728" i="1"/>
  <c r="K727" i="1"/>
  <c r="J727" i="1"/>
  <c r="I727" i="1"/>
  <c r="H727" i="1"/>
  <c r="G727" i="1"/>
  <c r="F727" i="1"/>
  <c r="E727" i="1"/>
  <c r="D727" i="1"/>
  <c r="C727" i="1"/>
  <c r="B727" i="1"/>
  <c r="A727" i="1"/>
  <c r="J726" i="1"/>
  <c r="I726" i="1"/>
  <c r="H726" i="1"/>
  <c r="G726" i="1"/>
  <c r="F726" i="1"/>
  <c r="E726" i="1"/>
  <c r="D726" i="1"/>
  <c r="C726" i="1"/>
  <c r="B726" i="1"/>
  <c r="A726" i="1"/>
  <c r="J725" i="1"/>
  <c r="I725" i="1"/>
  <c r="H725" i="1"/>
  <c r="G725" i="1"/>
  <c r="F725" i="1"/>
  <c r="E725" i="1"/>
  <c r="D725" i="1"/>
  <c r="C725" i="1"/>
  <c r="B725" i="1"/>
  <c r="A725" i="1"/>
  <c r="K724" i="1"/>
  <c r="J724" i="1"/>
  <c r="I724" i="1"/>
  <c r="H724" i="1"/>
  <c r="G724" i="1"/>
  <c r="F724" i="1"/>
  <c r="E724" i="1"/>
  <c r="D724" i="1"/>
  <c r="C724" i="1"/>
  <c r="B724" i="1"/>
  <c r="A724" i="1"/>
  <c r="K723" i="1"/>
  <c r="J723" i="1"/>
  <c r="I723" i="1"/>
  <c r="H723" i="1"/>
  <c r="G723" i="1"/>
  <c r="F723" i="1"/>
  <c r="E723" i="1"/>
  <c r="D723" i="1"/>
  <c r="C723" i="1"/>
  <c r="B723" i="1"/>
  <c r="A723" i="1"/>
  <c r="K722" i="1"/>
  <c r="J722" i="1"/>
  <c r="I722" i="1"/>
  <c r="H722" i="1"/>
  <c r="G722" i="1"/>
  <c r="F722" i="1"/>
  <c r="E722" i="1"/>
  <c r="D722" i="1"/>
  <c r="C722" i="1"/>
  <c r="B722" i="1"/>
  <c r="A722" i="1"/>
  <c r="J721" i="1"/>
  <c r="I721" i="1"/>
  <c r="H721" i="1"/>
  <c r="G721" i="1"/>
  <c r="F721" i="1"/>
  <c r="E721" i="1"/>
  <c r="D721" i="1"/>
  <c r="C721" i="1"/>
  <c r="B721" i="1"/>
  <c r="A721" i="1"/>
  <c r="K720" i="1"/>
  <c r="J720" i="1"/>
  <c r="I720" i="1"/>
  <c r="H720" i="1"/>
  <c r="G720" i="1"/>
  <c r="F720" i="1"/>
  <c r="E720" i="1"/>
  <c r="D720" i="1"/>
  <c r="C720" i="1"/>
  <c r="B720" i="1"/>
  <c r="A720" i="1"/>
  <c r="K719" i="1"/>
  <c r="J719" i="1"/>
  <c r="I719" i="1"/>
  <c r="H719" i="1"/>
  <c r="G719" i="1"/>
  <c r="F719" i="1"/>
  <c r="E719" i="1"/>
  <c r="D719" i="1"/>
  <c r="C719" i="1"/>
  <c r="B719" i="1"/>
  <c r="A719" i="1"/>
  <c r="J718" i="1"/>
  <c r="I718" i="1"/>
  <c r="H718" i="1"/>
  <c r="G718" i="1"/>
  <c r="F718" i="1"/>
  <c r="E718" i="1"/>
  <c r="D718" i="1"/>
  <c r="C718" i="1"/>
  <c r="B718" i="1"/>
  <c r="A718" i="1"/>
  <c r="J717" i="1"/>
  <c r="I717" i="1"/>
  <c r="H717" i="1"/>
  <c r="G717" i="1"/>
  <c r="F717" i="1"/>
  <c r="E717" i="1"/>
  <c r="D717" i="1"/>
  <c r="C717" i="1"/>
  <c r="B717" i="1"/>
  <c r="A717" i="1"/>
  <c r="K716" i="1"/>
  <c r="J716" i="1"/>
  <c r="I716" i="1"/>
  <c r="H716" i="1"/>
  <c r="G716" i="1"/>
  <c r="F716" i="1"/>
  <c r="E716" i="1"/>
  <c r="D716" i="1"/>
  <c r="C716" i="1"/>
  <c r="B716" i="1"/>
  <c r="A716" i="1"/>
  <c r="K715" i="1"/>
  <c r="J715" i="1"/>
  <c r="I715" i="1"/>
  <c r="H715" i="1"/>
  <c r="G715" i="1"/>
  <c r="F715" i="1"/>
  <c r="E715" i="1"/>
  <c r="D715" i="1"/>
  <c r="C715" i="1"/>
  <c r="B715" i="1"/>
  <c r="A715" i="1"/>
  <c r="K714" i="1"/>
  <c r="J714" i="1"/>
  <c r="I714" i="1"/>
  <c r="H714" i="1"/>
  <c r="G714" i="1"/>
  <c r="F714" i="1"/>
  <c r="E714" i="1"/>
  <c r="D714" i="1"/>
  <c r="C714" i="1"/>
  <c r="B714" i="1"/>
  <c r="A714" i="1"/>
  <c r="J713" i="1"/>
  <c r="I713" i="1"/>
  <c r="H713" i="1"/>
  <c r="G713" i="1"/>
  <c r="F713" i="1"/>
  <c r="E713" i="1"/>
  <c r="D713" i="1"/>
  <c r="C713" i="1"/>
  <c r="B713" i="1"/>
  <c r="A713" i="1"/>
  <c r="K712" i="1"/>
  <c r="J712" i="1"/>
  <c r="I712" i="1"/>
  <c r="H712" i="1"/>
  <c r="G712" i="1"/>
  <c r="F712" i="1"/>
  <c r="E712" i="1"/>
  <c r="D712" i="1"/>
  <c r="C712" i="1"/>
  <c r="B712" i="1"/>
  <c r="A712" i="1"/>
  <c r="K711" i="1"/>
  <c r="J711" i="1"/>
  <c r="I711" i="1"/>
  <c r="H711" i="1"/>
  <c r="G711" i="1"/>
  <c r="F711" i="1"/>
  <c r="E711" i="1"/>
  <c r="D711" i="1"/>
  <c r="C711" i="1"/>
  <c r="B711" i="1"/>
  <c r="A711" i="1"/>
  <c r="K710" i="1"/>
  <c r="J710" i="1"/>
  <c r="I710" i="1"/>
  <c r="H710" i="1"/>
  <c r="G710" i="1"/>
  <c r="F710" i="1"/>
  <c r="E710" i="1"/>
  <c r="D710" i="1"/>
  <c r="C710" i="1"/>
  <c r="B710" i="1"/>
  <c r="A710" i="1"/>
  <c r="J709" i="1"/>
  <c r="I709" i="1"/>
  <c r="H709" i="1"/>
  <c r="G709" i="1"/>
  <c r="F709" i="1"/>
  <c r="E709" i="1"/>
  <c r="D709" i="1"/>
  <c r="C709" i="1"/>
  <c r="B709" i="1"/>
  <c r="A709" i="1"/>
  <c r="K708" i="1"/>
  <c r="J708" i="1"/>
  <c r="I708" i="1"/>
  <c r="H708" i="1"/>
  <c r="G708" i="1"/>
  <c r="F708" i="1"/>
  <c r="E708" i="1"/>
  <c r="D708" i="1"/>
  <c r="C708" i="1"/>
  <c r="B708" i="1"/>
  <c r="A708" i="1"/>
  <c r="K707" i="1"/>
  <c r="J707" i="1"/>
  <c r="G707" i="1"/>
  <c r="F707" i="1"/>
  <c r="E707" i="1"/>
  <c r="D707" i="1"/>
  <c r="A707" i="1"/>
  <c r="K706" i="1"/>
  <c r="J706" i="1"/>
  <c r="I706" i="1"/>
  <c r="H706" i="1"/>
  <c r="G706" i="1"/>
  <c r="F706" i="1"/>
  <c r="E706" i="1"/>
  <c r="D706" i="1"/>
  <c r="C706" i="1"/>
  <c r="B706" i="1"/>
  <c r="A706" i="1"/>
  <c r="K705" i="1"/>
  <c r="J705" i="1"/>
  <c r="I705" i="1"/>
  <c r="H705" i="1"/>
  <c r="G705" i="1"/>
  <c r="F705" i="1"/>
  <c r="E705" i="1"/>
  <c r="D705" i="1"/>
  <c r="C705" i="1"/>
  <c r="B705" i="1"/>
  <c r="A705" i="1"/>
  <c r="K704" i="1"/>
  <c r="J704" i="1"/>
  <c r="I704" i="1"/>
  <c r="H704" i="1"/>
  <c r="G704" i="1"/>
  <c r="F704" i="1"/>
  <c r="E704" i="1"/>
  <c r="D704" i="1"/>
  <c r="C704" i="1"/>
  <c r="B704" i="1"/>
  <c r="A704" i="1"/>
  <c r="K703" i="1"/>
  <c r="J703" i="1"/>
  <c r="I703" i="1"/>
  <c r="H703" i="1"/>
  <c r="G703" i="1"/>
  <c r="F703" i="1"/>
  <c r="E703" i="1"/>
  <c r="D703" i="1"/>
  <c r="C703" i="1"/>
  <c r="B703" i="1"/>
  <c r="A703" i="1"/>
  <c r="K702" i="1"/>
  <c r="J702" i="1"/>
  <c r="I702" i="1"/>
  <c r="H702" i="1"/>
  <c r="G702" i="1"/>
  <c r="F702" i="1"/>
  <c r="E702" i="1"/>
  <c r="D702" i="1"/>
  <c r="C702" i="1"/>
  <c r="B702" i="1"/>
  <c r="A702" i="1"/>
  <c r="K701" i="1"/>
  <c r="J701" i="1"/>
  <c r="I701" i="1"/>
  <c r="H701" i="1"/>
  <c r="G701" i="1"/>
  <c r="F701" i="1"/>
  <c r="E701" i="1"/>
  <c r="D701" i="1"/>
  <c r="C701" i="1"/>
  <c r="B701" i="1"/>
  <c r="A701" i="1"/>
  <c r="K700" i="1"/>
  <c r="J700" i="1"/>
  <c r="I700" i="1"/>
  <c r="H700" i="1"/>
  <c r="G700" i="1"/>
  <c r="F700" i="1"/>
  <c r="E700" i="1"/>
  <c r="D700" i="1"/>
  <c r="C700" i="1"/>
  <c r="B700" i="1"/>
  <c r="A700" i="1"/>
  <c r="K699" i="1"/>
  <c r="J699" i="1"/>
  <c r="I699" i="1"/>
  <c r="H699" i="1"/>
  <c r="G699" i="1"/>
  <c r="F699" i="1"/>
  <c r="E699" i="1"/>
  <c r="D699" i="1"/>
  <c r="C699" i="1"/>
  <c r="B699" i="1"/>
  <c r="A699" i="1"/>
  <c r="K698" i="1"/>
  <c r="J698" i="1"/>
  <c r="I698" i="1"/>
  <c r="H698" i="1"/>
  <c r="G698" i="1"/>
  <c r="F698" i="1"/>
  <c r="E698" i="1"/>
  <c r="D698" i="1"/>
  <c r="C698" i="1"/>
  <c r="B698" i="1"/>
  <c r="A698" i="1"/>
  <c r="K697" i="1"/>
  <c r="J697" i="1"/>
  <c r="I697" i="1"/>
  <c r="H697" i="1"/>
  <c r="G697" i="1"/>
  <c r="F697" i="1"/>
  <c r="E697" i="1"/>
  <c r="D697" i="1"/>
  <c r="C697" i="1"/>
  <c r="B697" i="1"/>
  <c r="A697" i="1"/>
  <c r="K696" i="1"/>
  <c r="J696" i="1"/>
  <c r="I696" i="1"/>
  <c r="H696" i="1"/>
  <c r="G696" i="1"/>
  <c r="F696" i="1"/>
  <c r="E696" i="1"/>
  <c r="D696" i="1"/>
  <c r="C696" i="1"/>
  <c r="B696" i="1"/>
  <c r="A696" i="1"/>
  <c r="K695" i="1"/>
  <c r="J695" i="1"/>
  <c r="I695" i="1"/>
  <c r="H695" i="1"/>
  <c r="G695" i="1"/>
  <c r="F695" i="1"/>
  <c r="E695" i="1"/>
  <c r="D695" i="1"/>
  <c r="C695" i="1"/>
  <c r="B695" i="1"/>
  <c r="A695" i="1"/>
  <c r="K694" i="1"/>
  <c r="J694" i="1"/>
  <c r="I694" i="1"/>
  <c r="H694" i="1"/>
  <c r="G694" i="1"/>
  <c r="F694" i="1"/>
  <c r="E694" i="1"/>
  <c r="D694" i="1"/>
  <c r="C694" i="1"/>
  <c r="B694" i="1"/>
  <c r="A694" i="1"/>
  <c r="K693" i="1"/>
  <c r="J693" i="1"/>
  <c r="I693" i="1"/>
  <c r="H693" i="1"/>
  <c r="G693" i="1"/>
  <c r="F693" i="1"/>
  <c r="E693" i="1"/>
  <c r="D693" i="1"/>
  <c r="C693" i="1"/>
  <c r="B693" i="1"/>
  <c r="A693" i="1"/>
  <c r="K692" i="1"/>
  <c r="J692" i="1"/>
  <c r="I692" i="1"/>
  <c r="H692" i="1"/>
  <c r="G692" i="1"/>
  <c r="F692" i="1"/>
  <c r="E692" i="1"/>
  <c r="D692" i="1"/>
  <c r="C692" i="1"/>
  <c r="B692" i="1"/>
  <c r="A692" i="1"/>
  <c r="K691" i="1"/>
  <c r="J691" i="1"/>
  <c r="I691" i="1"/>
  <c r="H691" i="1"/>
  <c r="G691" i="1"/>
  <c r="F691" i="1"/>
  <c r="E691" i="1"/>
  <c r="D691" i="1"/>
  <c r="C691" i="1"/>
  <c r="B691" i="1"/>
  <c r="A691" i="1"/>
  <c r="K690" i="1"/>
  <c r="J690" i="1"/>
  <c r="I690" i="1"/>
  <c r="H690" i="1"/>
  <c r="G690" i="1"/>
  <c r="F690" i="1"/>
  <c r="E690" i="1"/>
  <c r="D690" i="1"/>
  <c r="C690" i="1"/>
  <c r="B690" i="1"/>
  <c r="A690" i="1"/>
  <c r="K689" i="1"/>
  <c r="J689" i="1"/>
  <c r="I689" i="1"/>
  <c r="H689" i="1"/>
  <c r="G689" i="1"/>
  <c r="F689" i="1"/>
  <c r="E689" i="1"/>
  <c r="D689" i="1"/>
  <c r="C689" i="1"/>
  <c r="B689" i="1"/>
  <c r="A689" i="1"/>
  <c r="K688" i="1"/>
  <c r="J688" i="1"/>
  <c r="I688" i="1"/>
  <c r="H688" i="1"/>
  <c r="G688" i="1"/>
  <c r="F688" i="1"/>
  <c r="E688" i="1"/>
  <c r="D688" i="1"/>
  <c r="C688" i="1"/>
  <c r="B688" i="1"/>
  <c r="A688" i="1"/>
  <c r="K687" i="1"/>
  <c r="J687" i="1"/>
  <c r="I687" i="1"/>
  <c r="H687" i="1"/>
  <c r="G687" i="1"/>
  <c r="F687" i="1"/>
  <c r="E687" i="1"/>
  <c r="D687" i="1"/>
  <c r="C687" i="1"/>
  <c r="B687" i="1"/>
  <c r="A687" i="1"/>
  <c r="K686" i="1"/>
  <c r="J686" i="1"/>
  <c r="I686" i="1"/>
  <c r="H686" i="1"/>
  <c r="G686" i="1"/>
  <c r="F686" i="1"/>
  <c r="E686" i="1"/>
  <c r="D686" i="1"/>
  <c r="C686" i="1"/>
  <c r="B686" i="1"/>
  <c r="A686" i="1"/>
  <c r="K685" i="1"/>
  <c r="J685" i="1"/>
  <c r="I685" i="1"/>
  <c r="H685" i="1"/>
  <c r="G685" i="1"/>
  <c r="F685" i="1"/>
  <c r="E685" i="1"/>
  <c r="D685" i="1"/>
  <c r="C685" i="1"/>
  <c r="B685" i="1"/>
  <c r="A685" i="1"/>
  <c r="K684" i="1"/>
  <c r="J684" i="1"/>
  <c r="I684" i="1"/>
  <c r="H684" i="1"/>
  <c r="G684" i="1"/>
  <c r="F684" i="1"/>
  <c r="E684" i="1"/>
  <c r="D684" i="1"/>
  <c r="C684" i="1"/>
  <c r="B684" i="1"/>
  <c r="A684" i="1"/>
  <c r="K683" i="1"/>
  <c r="J683" i="1"/>
  <c r="I683" i="1"/>
  <c r="H683" i="1"/>
  <c r="G683" i="1"/>
  <c r="F683" i="1"/>
  <c r="E683" i="1"/>
  <c r="D683" i="1"/>
  <c r="C683" i="1"/>
  <c r="B683" i="1"/>
  <c r="A683" i="1"/>
  <c r="K682" i="1"/>
  <c r="J682" i="1"/>
  <c r="I682" i="1"/>
  <c r="H682" i="1"/>
  <c r="G682" i="1"/>
  <c r="F682" i="1"/>
  <c r="E682" i="1"/>
  <c r="D682" i="1"/>
  <c r="C682" i="1"/>
  <c r="B682" i="1"/>
  <c r="A682" i="1"/>
  <c r="K681" i="1"/>
  <c r="J681" i="1"/>
  <c r="I681" i="1"/>
  <c r="H681" i="1"/>
  <c r="G681" i="1"/>
  <c r="F681" i="1"/>
  <c r="E681" i="1"/>
  <c r="D681" i="1"/>
  <c r="C681" i="1"/>
  <c r="B681" i="1"/>
  <c r="A681" i="1"/>
  <c r="K680" i="1"/>
  <c r="J680" i="1"/>
  <c r="I680" i="1"/>
  <c r="H680" i="1"/>
  <c r="G680" i="1"/>
  <c r="F680" i="1"/>
  <c r="E680" i="1"/>
  <c r="D680" i="1"/>
  <c r="C680" i="1"/>
  <c r="B680" i="1"/>
  <c r="A680" i="1"/>
  <c r="K679" i="1"/>
  <c r="J679" i="1"/>
  <c r="I679" i="1"/>
  <c r="H679" i="1"/>
  <c r="G679" i="1"/>
  <c r="F679" i="1"/>
  <c r="E679" i="1"/>
  <c r="D679" i="1"/>
  <c r="C679" i="1"/>
  <c r="B679" i="1"/>
  <c r="A679" i="1"/>
  <c r="K678" i="1"/>
  <c r="J678" i="1"/>
  <c r="I678" i="1"/>
  <c r="H678" i="1"/>
  <c r="G678" i="1"/>
  <c r="F678" i="1"/>
  <c r="E678" i="1"/>
  <c r="D678" i="1"/>
  <c r="C678" i="1"/>
  <c r="B678" i="1"/>
  <c r="A678" i="1"/>
  <c r="K677" i="1"/>
  <c r="J677" i="1"/>
  <c r="I677" i="1"/>
  <c r="G677" i="1"/>
  <c r="F677" i="1"/>
  <c r="E677" i="1"/>
  <c r="D677" i="1"/>
  <c r="A677" i="1"/>
  <c r="H676" i="1"/>
  <c r="G676" i="1"/>
  <c r="F676" i="1"/>
  <c r="E676" i="1"/>
  <c r="D676" i="1"/>
  <c r="C676" i="1"/>
  <c r="B676" i="1"/>
  <c r="A676" i="1"/>
  <c r="H675" i="1"/>
  <c r="G675" i="1"/>
  <c r="F675" i="1"/>
  <c r="E675" i="1"/>
  <c r="D675" i="1"/>
  <c r="C675" i="1"/>
  <c r="B675" i="1"/>
  <c r="A675" i="1"/>
  <c r="H674" i="1"/>
  <c r="G674" i="1"/>
  <c r="F674" i="1"/>
  <c r="E674" i="1"/>
  <c r="D674" i="1"/>
  <c r="C674" i="1"/>
  <c r="B674" i="1"/>
  <c r="A674" i="1"/>
  <c r="H673" i="1"/>
  <c r="G673" i="1"/>
  <c r="F673" i="1"/>
  <c r="E673" i="1"/>
  <c r="D673" i="1"/>
  <c r="C673" i="1"/>
  <c r="B673" i="1"/>
  <c r="A673" i="1"/>
  <c r="H672" i="1"/>
  <c r="G672" i="1"/>
  <c r="F672" i="1"/>
  <c r="E672" i="1"/>
  <c r="D672" i="1"/>
  <c r="C672" i="1"/>
  <c r="B672" i="1"/>
  <c r="A672" i="1"/>
  <c r="H671" i="1"/>
  <c r="G671" i="1"/>
  <c r="F671" i="1"/>
  <c r="E671" i="1"/>
  <c r="D671" i="1"/>
  <c r="C671" i="1"/>
  <c r="B671" i="1"/>
  <c r="A671" i="1"/>
  <c r="H670" i="1"/>
  <c r="G670" i="1"/>
  <c r="F670" i="1"/>
  <c r="E670" i="1"/>
  <c r="D670" i="1"/>
  <c r="C670" i="1"/>
  <c r="B670" i="1"/>
  <c r="A670" i="1"/>
  <c r="H669" i="1"/>
  <c r="G669" i="1"/>
  <c r="F669" i="1"/>
  <c r="E669" i="1"/>
  <c r="D669" i="1"/>
  <c r="C669" i="1"/>
  <c r="B669" i="1"/>
  <c r="A669" i="1"/>
  <c r="H668" i="1"/>
  <c r="G668" i="1"/>
  <c r="F668" i="1"/>
  <c r="E668" i="1"/>
  <c r="D668" i="1"/>
  <c r="C668" i="1"/>
  <c r="B668" i="1"/>
  <c r="A668" i="1"/>
  <c r="H667" i="1"/>
  <c r="G667" i="1"/>
  <c r="F667" i="1"/>
  <c r="E667" i="1"/>
  <c r="D667" i="1"/>
  <c r="C667" i="1"/>
  <c r="B667" i="1"/>
  <c r="A667" i="1"/>
  <c r="H666" i="1"/>
  <c r="G666" i="1"/>
  <c r="F666" i="1"/>
  <c r="E666" i="1"/>
  <c r="D666" i="1"/>
  <c r="C666" i="1"/>
  <c r="B666" i="1"/>
  <c r="A666" i="1"/>
  <c r="H665" i="1"/>
  <c r="G665" i="1"/>
  <c r="F665" i="1"/>
  <c r="E665" i="1"/>
  <c r="D665" i="1"/>
  <c r="C665" i="1"/>
  <c r="B665" i="1"/>
  <c r="A665" i="1"/>
  <c r="H664" i="1"/>
  <c r="G664" i="1"/>
  <c r="F664" i="1"/>
  <c r="E664" i="1"/>
  <c r="D664" i="1"/>
  <c r="C664" i="1"/>
  <c r="B664" i="1"/>
  <c r="A664" i="1"/>
  <c r="H663" i="1"/>
  <c r="G663" i="1"/>
  <c r="F663" i="1"/>
  <c r="E663" i="1"/>
  <c r="D663" i="1"/>
  <c r="C663" i="1"/>
  <c r="B663" i="1"/>
  <c r="A663" i="1"/>
  <c r="H662" i="1"/>
  <c r="G662" i="1"/>
  <c r="F662" i="1"/>
  <c r="E662" i="1"/>
  <c r="D662" i="1"/>
  <c r="C662" i="1"/>
  <c r="B662" i="1"/>
  <c r="A662" i="1"/>
  <c r="H661" i="1"/>
  <c r="G661" i="1"/>
  <c r="F661" i="1"/>
  <c r="E661" i="1"/>
  <c r="D661" i="1"/>
  <c r="C661" i="1"/>
  <c r="B661" i="1"/>
  <c r="A661" i="1"/>
  <c r="H660" i="1"/>
  <c r="G660" i="1"/>
  <c r="F660" i="1"/>
  <c r="E660" i="1"/>
  <c r="D660" i="1"/>
  <c r="C660" i="1"/>
  <c r="B660" i="1"/>
  <c r="A660" i="1"/>
  <c r="H659" i="1"/>
  <c r="G659" i="1"/>
  <c r="F659" i="1"/>
  <c r="E659" i="1"/>
  <c r="D659" i="1"/>
  <c r="C659" i="1"/>
  <c r="B659" i="1"/>
  <c r="A659" i="1"/>
  <c r="H658" i="1"/>
  <c r="G658" i="1"/>
  <c r="F658" i="1"/>
  <c r="E658" i="1"/>
  <c r="D658" i="1"/>
  <c r="C658" i="1"/>
  <c r="B658" i="1"/>
  <c r="A658" i="1"/>
  <c r="H657" i="1"/>
  <c r="G657" i="1"/>
  <c r="F657" i="1"/>
  <c r="E657" i="1"/>
  <c r="D657" i="1"/>
  <c r="C657" i="1"/>
  <c r="B657" i="1"/>
  <c r="A657" i="1"/>
  <c r="H656" i="1"/>
  <c r="G656" i="1"/>
  <c r="F656" i="1"/>
  <c r="E656" i="1"/>
  <c r="D656" i="1"/>
  <c r="C656" i="1"/>
  <c r="B656" i="1"/>
  <c r="A656" i="1"/>
  <c r="H655" i="1"/>
  <c r="G655" i="1"/>
  <c r="F655" i="1"/>
  <c r="E655" i="1"/>
  <c r="D655" i="1"/>
  <c r="C655" i="1"/>
  <c r="B655" i="1"/>
  <c r="A655" i="1"/>
  <c r="H654" i="1"/>
  <c r="G654" i="1"/>
  <c r="F654" i="1"/>
  <c r="E654" i="1"/>
  <c r="D654" i="1"/>
  <c r="C654" i="1"/>
  <c r="B654" i="1"/>
  <c r="A654" i="1"/>
  <c r="H653" i="1"/>
  <c r="G653" i="1"/>
  <c r="F653" i="1"/>
  <c r="E653" i="1"/>
  <c r="D653" i="1"/>
  <c r="C653" i="1"/>
  <c r="B653" i="1"/>
  <c r="A653" i="1"/>
  <c r="H652" i="1"/>
  <c r="G652" i="1"/>
  <c r="F652" i="1"/>
  <c r="E652" i="1"/>
  <c r="D652" i="1"/>
  <c r="C652" i="1"/>
  <c r="B652" i="1"/>
  <c r="A652" i="1"/>
  <c r="H651" i="1"/>
  <c r="G651" i="1"/>
  <c r="F651" i="1"/>
  <c r="E651" i="1"/>
  <c r="D651" i="1"/>
  <c r="C651" i="1"/>
  <c r="B651" i="1"/>
  <c r="A651" i="1"/>
  <c r="H650" i="1"/>
  <c r="G650" i="1"/>
  <c r="F650" i="1"/>
  <c r="E650" i="1"/>
  <c r="D650" i="1"/>
  <c r="C650" i="1"/>
  <c r="B650" i="1"/>
  <c r="A650" i="1"/>
  <c r="H649" i="1"/>
  <c r="G649" i="1"/>
  <c r="F649" i="1"/>
  <c r="E649" i="1"/>
  <c r="D649" i="1"/>
  <c r="C649" i="1"/>
  <c r="B649" i="1"/>
  <c r="A649" i="1"/>
  <c r="H648" i="1"/>
  <c r="G648" i="1"/>
  <c r="F648" i="1"/>
  <c r="E648" i="1"/>
  <c r="D648" i="1"/>
  <c r="C648" i="1"/>
  <c r="B648" i="1"/>
  <c r="A648" i="1"/>
  <c r="H647" i="1"/>
  <c r="G647" i="1"/>
  <c r="F647" i="1"/>
  <c r="E647" i="1"/>
  <c r="D647" i="1"/>
  <c r="C647" i="1"/>
  <c r="B647" i="1"/>
  <c r="A647" i="1"/>
  <c r="H646" i="1"/>
  <c r="G646" i="1"/>
  <c r="F646" i="1"/>
  <c r="E646" i="1"/>
  <c r="D646" i="1"/>
  <c r="C646" i="1"/>
  <c r="B646" i="1"/>
  <c r="A646" i="1"/>
  <c r="I645" i="1"/>
  <c r="H645" i="1"/>
  <c r="G645" i="1"/>
  <c r="F645" i="1"/>
  <c r="E645" i="1"/>
  <c r="D645" i="1"/>
  <c r="C645" i="1"/>
  <c r="B645" i="1"/>
  <c r="A645" i="1"/>
  <c r="I644" i="1"/>
  <c r="H644" i="1"/>
  <c r="G644" i="1"/>
  <c r="F644" i="1"/>
  <c r="E644" i="1"/>
  <c r="D644" i="1"/>
  <c r="C644" i="1"/>
  <c r="B644" i="1"/>
  <c r="A644" i="1"/>
  <c r="I643" i="1"/>
  <c r="H643" i="1"/>
  <c r="G643" i="1"/>
  <c r="F643" i="1"/>
  <c r="E643" i="1"/>
  <c r="D643" i="1"/>
  <c r="C643" i="1"/>
  <c r="B643" i="1"/>
  <c r="A643" i="1"/>
  <c r="I642" i="1"/>
  <c r="H642" i="1"/>
  <c r="G642" i="1"/>
  <c r="F642" i="1"/>
  <c r="E642" i="1"/>
  <c r="D642" i="1"/>
  <c r="C642" i="1"/>
  <c r="B642" i="1"/>
  <c r="A642" i="1"/>
  <c r="I641" i="1"/>
  <c r="H641" i="1"/>
  <c r="G641" i="1"/>
  <c r="F641" i="1"/>
  <c r="E641" i="1"/>
  <c r="D641" i="1"/>
  <c r="C641" i="1"/>
  <c r="B641" i="1"/>
  <c r="A641" i="1"/>
  <c r="I640" i="1"/>
  <c r="H640" i="1"/>
  <c r="G640" i="1"/>
  <c r="F640" i="1"/>
  <c r="E640" i="1"/>
  <c r="D640" i="1"/>
  <c r="C640" i="1"/>
  <c r="B640" i="1"/>
  <c r="A640" i="1"/>
  <c r="I639" i="1"/>
  <c r="H639" i="1"/>
  <c r="G639" i="1"/>
  <c r="F639" i="1"/>
  <c r="E639" i="1"/>
  <c r="D639" i="1"/>
  <c r="C639" i="1"/>
  <c r="B639" i="1"/>
  <c r="A639" i="1"/>
  <c r="I638" i="1"/>
  <c r="H638" i="1"/>
  <c r="G638" i="1"/>
  <c r="F638" i="1"/>
  <c r="E638" i="1"/>
  <c r="D638" i="1"/>
  <c r="C638" i="1"/>
  <c r="B638" i="1"/>
  <c r="A638" i="1"/>
  <c r="I637" i="1"/>
  <c r="H637" i="1"/>
  <c r="G637" i="1"/>
  <c r="F637" i="1"/>
  <c r="E637" i="1"/>
  <c r="D637" i="1"/>
  <c r="C637" i="1"/>
  <c r="B637" i="1"/>
  <c r="A637" i="1"/>
  <c r="I636" i="1"/>
  <c r="H636" i="1"/>
  <c r="G636" i="1"/>
  <c r="F636" i="1"/>
  <c r="E636" i="1"/>
  <c r="D636" i="1"/>
  <c r="C636" i="1"/>
  <c r="B636" i="1"/>
  <c r="A636" i="1"/>
  <c r="I635" i="1"/>
  <c r="H635" i="1"/>
  <c r="G635" i="1"/>
  <c r="F635" i="1"/>
  <c r="E635" i="1"/>
  <c r="D635" i="1"/>
  <c r="C635" i="1"/>
  <c r="B635" i="1"/>
  <c r="A635" i="1"/>
  <c r="I634" i="1"/>
  <c r="H634" i="1"/>
  <c r="G634" i="1"/>
  <c r="F634" i="1"/>
  <c r="E634" i="1"/>
  <c r="D634" i="1"/>
  <c r="C634" i="1"/>
  <c r="B634" i="1"/>
  <c r="A634" i="1"/>
  <c r="I633" i="1"/>
  <c r="H633" i="1"/>
  <c r="G633" i="1"/>
  <c r="F633" i="1"/>
  <c r="E633" i="1"/>
  <c r="D633" i="1"/>
  <c r="C633" i="1"/>
  <c r="B633" i="1"/>
  <c r="A633" i="1"/>
  <c r="I632" i="1"/>
  <c r="H632" i="1"/>
  <c r="G632" i="1"/>
  <c r="F632" i="1"/>
  <c r="E632" i="1"/>
  <c r="D632" i="1"/>
  <c r="C632" i="1"/>
  <c r="B632" i="1"/>
  <c r="A632" i="1"/>
  <c r="I631" i="1"/>
  <c r="H631" i="1"/>
  <c r="G631" i="1"/>
  <c r="F631" i="1"/>
  <c r="E631" i="1"/>
  <c r="D631" i="1"/>
  <c r="C631" i="1"/>
  <c r="B631" i="1"/>
  <c r="A631" i="1"/>
  <c r="K630" i="1"/>
  <c r="J630" i="1"/>
  <c r="I630" i="1"/>
  <c r="H630" i="1"/>
  <c r="G630" i="1"/>
  <c r="F630" i="1"/>
  <c r="E630" i="1"/>
  <c r="D630" i="1"/>
  <c r="C630" i="1"/>
  <c r="B630" i="1"/>
  <c r="A630" i="1"/>
  <c r="K629" i="1"/>
  <c r="J629" i="1"/>
  <c r="I629" i="1"/>
  <c r="H629" i="1"/>
  <c r="G629" i="1"/>
  <c r="F629" i="1"/>
  <c r="E629" i="1"/>
  <c r="D629" i="1"/>
  <c r="C629" i="1"/>
  <c r="B629" i="1"/>
  <c r="A629" i="1"/>
  <c r="K628" i="1"/>
  <c r="J628" i="1"/>
  <c r="I628" i="1"/>
  <c r="H628" i="1"/>
  <c r="G628" i="1"/>
  <c r="F628" i="1"/>
  <c r="E628" i="1"/>
  <c r="D628" i="1"/>
  <c r="C628" i="1"/>
  <c r="B628" i="1"/>
  <c r="A628" i="1"/>
  <c r="K627" i="1"/>
  <c r="I627" i="1"/>
  <c r="H627" i="1"/>
  <c r="G627" i="1"/>
  <c r="F627" i="1"/>
  <c r="E627" i="1"/>
  <c r="D627" i="1"/>
  <c r="C627" i="1"/>
  <c r="B627" i="1"/>
  <c r="A627" i="1"/>
  <c r="K626" i="1"/>
  <c r="J626" i="1"/>
  <c r="I626" i="1"/>
  <c r="H626" i="1"/>
  <c r="G626" i="1"/>
  <c r="F626" i="1"/>
  <c r="E626" i="1"/>
  <c r="D626" i="1"/>
  <c r="C626" i="1"/>
  <c r="B626" i="1"/>
  <c r="A626" i="1"/>
  <c r="K625" i="1"/>
  <c r="I625" i="1"/>
  <c r="H625" i="1"/>
  <c r="G625" i="1"/>
  <c r="F625" i="1"/>
  <c r="E625" i="1"/>
  <c r="D625" i="1"/>
  <c r="C625" i="1"/>
  <c r="B625" i="1"/>
  <c r="A625" i="1"/>
  <c r="K624" i="1"/>
  <c r="I624" i="1"/>
  <c r="H624" i="1"/>
  <c r="G624" i="1"/>
  <c r="F624" i="1"/>
  <c r="E624" i="1"/>
  <c r="D624" i="1"/>
  <c r="C624" i="1"/>
  <c r="B624" i="1"/>
  <c r="A624" i="1"/>
  <c r="K623" i="1"/>
  <c r="J623" i="1"/>
  <c r="I623" i="1"/>
  <c r="H623" i="1"/>
  <c r="G623" i="1"/>
  <c r="F623" i="1"/>
  <c r="E623" i="1"/>
  <c r="D623" i="1"/>
  <c r="C623" i="1"/>
  <c r="B623" i="1"/>
  <c r="A623" i="1"/>
  <c r="K622" i="1"/>
  <c r="J622" i="1"/>
  <c r="I622" i="1"/>
  <c r="H622" i="1"/>
  <c r="G622" i="1"/>
  <c r="F622" i="1"/>
  <c r="E622" i="1"/>
  <c r="D622" i="1"/>
  <c r="C622" i="1"/>
  <c r="B622" i="1"/>
  <c r="A622" i="1"/>
  <c r="K621" i="1"/>
  <c r="J621" i="1"/>
  <c r="I621" i="1"/>
  <c r="H621" i="1"/>
  <c r="G621" i="1"/>
  <c r="F621" i="1"/>
  <c r="E621" i="1"/>
  <c r="D621" i="1"/>
  <c r="C621" i="1"/>
  <c r="B621" i="1"/>
  <c r="A621" i="1"/>
  <c r="K620" i="1"/>
  <c r="I620" i="1"/>
  <c r="H620" i="1"/>
  <c r="G620" i="1"/>
  <c r="F620" i="1"/>
  <c r="E620" i="1"/>
  <c r="D620" i="1"/>
  <c r="C620" i="1"/>
  <c r="B620" i="1"/>
  <c r="A620" i="1"/>
  <c r="K619" i="1"/>
  <c r="I619" i="1"/>
  <c r="H619" i="1"/>
  <c r="G619" i="1"/>
  <c r="F619" i="1"/>
  <c r="E619" i="1"/>
  <c r="D619" i="1"/>
  <c r="C619" i="1"/>
  <c r="B619" i="1"/>
  <c r="A619" i="1"/>
  <c r="K618" i="1"/>
  <c r="I618" i="1"/>
  <c r="H618" i="1"/>
  <c r="G618" i="1"/>
  <c r="F618" i="1"/>
  <c r="E618" i="1"/>
  <c r="D618" i="1"/>
  <c r="C618" i="1"/>
  <c r="B618" i="1"/>
  <c r="A618" i="1"/>
  <c r="K617" i="1"/>
  <c r="I617" i="1"/>
  <c r="H617" i="1"/>
  <c r="G617" i="1"/>
  <c r="F617" i="1"/>
  <c r="E617" i="1"/>
  <c r="D617" i="1"/>
  <c r="C617" i="1"/>
  <c r="B617" i="1"/>
  <c r="A617" i="1"/>
  <c r="K616" i="1"/>
  <c r="J616" i="1"/>
  <c r="I616" i="1"/>
  <c r="H616" i="1"/>
  <c r="G616" i="1"/>
  <c r="F616" i="1"/>
  <c r="E616" i="1"/>
  <c r="D616" i="1"/>
  <c r="C616" i="1"/>
  <c r="B616" i="1"/>
  <c r="A616" i="1"/>
  <c r="K615" i="1"/>
  <c r="I615" i="1"/>
  <c r="H615" i="1"/>
  <c r="G615" i="1"/>
  <c r="F615" i="1"/>
  <c r="E615" i="1"/>
  <c r="D615" i="1"/>
  <c r="C615" i="1"/>
  <c r="B615" i="1"/>
  <c r="A615" i="1"/>
  <c r="K614" i="1"/>
  <c r="I614" i="1"/>
  <c r="H614" i="1"/>
  <c r="G614" i="1"/>
  <c r="F614" i="1"/>
  <c r="E614" i="1"/>
  <c r="D614" i="1"/>
  <c r="C614" i="1"/>
  <c r="B614" i="1"/>
  <c r="A614" i="1"/>
  <c r="K613" i="1"/>
  <c r="J613" i="1"/>
  <c r="I613" i="1"/>
  <c r="H613" i="1"/>
  <c r="G613" i="1"/>
  <c r="F613" i="1"/>
  <c r="E613" i="1"/>
  <c r="D613" i="1"/>
  <c r="C613" i="1"/>
  <c r="B613" i="1"/>
  <c r="A613" i="1"/>
  <c r="K612" i="1"/>
  <c r="I612" i="1"/>
  <c r="H612" i="1"/>
  <c r="G612" i="1"/>
  <c r="F612" i="1"/>
  <c r="E612" i="1"/>
  <c r="D612" i="1"/>
  <c r="C612" i="1"/>
  <c r="B612" i="1"/>
  <c r="A612" i="1"/>
  <c r="K611" i="1"/>
  <c r="I611" i="1"/>
  <c r="H611" i="1"/>
  <c r="G611" i="1"/>
  <c r="F611" i="1"/>
  <c r="E611" i="1"/>
  <c r="D611" i="1"/>
  <c r="C611" i="1"/>
  <c r="B611" i="1"/>
  <c r="A611" i="1"/>
  <c r="K610" i="1"/>
  <c r="I610" i="1"/>
  <c r="H610" i="1"/>
  <c r="G610" i="1"/>
  <c r="F610" i="1"/>
  <c r="E610" i="1"/>
  <c r="D610" i="1"/>
  <c r="C610" i="1"/>
  <c r="B610" i="1"/>
  <c r="A610" i="1"/>
  <c r="K609" i="1"/>
  <c r="I609" i="1"/>
  <c r="H609" i="1"/>
  <c r="G609" i="1"/>
  <c r="F609" i="1"/>
  <c r="E609" i="1"/>
  <c r="D609" i="1"/>
  <c r="C609" i="1"/>
  <c r="B609" i="1"/>
  <c r="A609" i="1"/>
  <c r="K608" i="1"/>
  <c r="I608" i="1"/>
  <c r="H608" i="1"/>
  <c r="G608" i="1"/>
  <c r="F608" i="1"/>
  <c r="E608" i="1"/>
  <c r="D608" i="1"/>
  <c r="C608" i="1"/>
  <c r="B608" i="1"/>
  <c r="A608" i="1"/>
  <c r="K607" i="1"/>
  <c r="J607" i="1"/>
  <c r="I607" i="1"/>
  <c r="H607" i="1"/>
  <c r="G607" i="1"/>
  <c r="F607" i="1"/>
  <c r="E607" i="1"/>
  <c r="D607" i="1"/>
  <c r="C607" i="1"/>
  <c r="B607" i="1"/>
  <c r="A607" i="1"/>
  <c r="K606" i="1"/>
  <c r="J606" i="1"/>
  <c r="I606" i="1"/>
  <c r="H606" i="1"/>
  <c r="G606" i="1"/>
  <c r="F606" i="1"/>
  <c r="E606" i="1"/>
  <c r="D606" i="1"/>
  <c r="C606" i="1"/>
  <c r="B606" i="1"/>
  <c r="A606" i="1"/>
  <c r="K605" i="1"/>
  <c r="J605" i="1"/>
  <c r="I605" i="1"/>
  <c r="H605" i="1"/>
  <c r="G605" i="1"/>
  <c r="F605" i="1"/>
  <c r="E605" i="1"/>
  <c r="D605" i="1"/>
  <c r="C605" i="1"/>
  <c r="B605" i="1"/>
  <c r="A605" i="1"/>
  <c r="K604" i="1"/>
  <c r="J604" i="1"/>
  <c r="I604" i="1"/>
  <c r="H604" i="1"/>
  <c r="G604" i="1"/>
  <c r="F604" i="1"/>
  <c r="E604" i="1"/>
  <c r="D604" i="1"/>
  <c r="C604" i="1"/>
  <c r="B604" i="1"/>
  <c r="A604" i="1"/>
  <c r="K603" i="1"/>
  <c r="J603" i="1"/>
  <c r="I603" i="1"/>
  <c r="H603" i="1"/>
  <c r="G603" i="1"/>
  <c r="F603" i="1"/>
  <c r="E603" i="1"/>
  <c r="D603" i="1"/>
  <c r="C603" i="1"/>
  <c r="B603" i="1"/>
  <c r="A603" i="1"/>
  <c r="K602" i="1"/>
  <c r="J602" i="1"/>
  <c r="I602" i="1"/>
  <c r="H602" i="1"/>
  <c r="G602" i="1"/>
  <c r="F602" i="1"/>
  <c r="E602" i="1"/>
  <c r="D602" i="1"/>
  <c r="C602" i="1"/>
  <c r="B602" i="1"/>
  <c r="A602" i="1"/>
  <c r="K601" i="1"/>
  <c r="J601" i="1"/>
  <c r="I601" i="1"/>
  <c r="H601" i="1"/>
  <c r="G601" i="1"/>
  <c r="F601" i="1"/>
  <c r="E601" i="1"/>
  <c r="D601" i="1"/>
  <c r="C601" i="1"/>
  <c r="B601" i="1"/>
  <c r="A601" i="1"/>
  <c r="K600" i="1"/>
  <c r="J600" i="1"/>
  <c r="I600" i="1"/>
  <c r="H600" i="1"/>
  <c r="G600" i="1"/>
  <c r="F600" i="1"/>
  <c r="E600" i="1"/>
  <c r="D600" i="1"/>
  <c r="C600" i="1"/>
  <c r="B600" i="1"/>
  <c r="A600" i="1"/>
  <c r="K599" i="1"/>
  <c r="J599" i="1"/>
  <c r="I599" i="1"/>
  <c r="H599" i="1"/>
  <c r="G599" i="1"/>
  <c r="F599" i="1"/>
  <c r="E599" i="1"/>
  <c r="D599" i="1"/>
  <c r="C599" i="1"/>
  <c r="B599" i="1"/>
  <c r="A599" i="1"/>
  <c r="K598" i="1"/>
  <c r="J598" i="1"/>
  <c r="I598" i="1"/>
  <c r="H598" i="1"/>
  <c r="G598" i="1"/>
  <c r="F598" i="1"/>
  <c r="E598" i="1"/>
  <c r="D598" i="1"/>
  <c r="C598" i="1"/>
  <c r="B598" i="1"/>
  <c r="A598" i="1"/>
  <c r="K597" i="1"/>
  <c r="J597" i="1"/>
  <c r="I597" i="1"/>
  <c r="H597" i="1"/>
  <c r="G597" i="1"/>
  <c r="F597" i="1"/>
  <c r="E597" i="1"/>
  <c r="D597" i="1"/>
  <c r="C597" i="1"/>
  <c r="B597" i="1"/>
  <c r="A597" i="1"/>
  <c r="K596" i="1"/>
  <c r="J596" i="1"/>
  <c r="I596" i="1"/>
  <c r="H596" i="1"/>
  <c r="G596" i="1"/>
  <c r="F596" i="1"/>
  <c r="E596" i="1"/>
  <c r="D596" i="1"/>
  <c r="C596" i="1"/>
  <c r="B596" i="1"/>
  <c r="A596" i="1"/>
  <c r="K595" i="1"/>
  <c r="J595" i="1"/>
  <c r="I595" i="1"/>
  <c r="H595" i="1"/>
  <c r="G595" i="1"/>
  <c r="F595" i="1"/>
  <c r="E595" i="1"/>
  <c r="D595" i="1"/>
  <c r="C595" i="1"/>
  <c r="B595" i="1"/>
  <c r="A595" i="1"/>
  <c r="K594" i="1"/>
  <c r="J594" i="1"/>
  <c r="I594" i="1"/>
  <c r="H594" i="1"/>
  <c r="G594" i="1"/>
  <c r="F594" i="1"/>
  <c r="E594" i="1"/>
  <c r="D594" i="1"/>
  <c r="C594" i="1"/>
  <c r="B594" i="1"/>
  <c r="A594" i="1"/>
  <c r="K593" i="1"/>
  <c r="J593" i="1"/>
  <c r="I593" i="1"/>
  <c r="H593" i="1"/>
  <c r="G593" i="1"/>
  <c r="F593" i="1"/>
  <c r="E593" i="1"/>
  <c r="D593" i="1"/>
  <c r="C593" i="1"/>
  <c r="B593" i="1"/>
  <c r="A593" i="1"/>
  <c r="K592" i="1"/>
  <c r="J592" i="1"/>
  <c r="I592" i="1"/>
  <c r="H592" i="1"/>
  <c r="G592" i="1"/>
  <c r="F592" i="1"/>
  <c r="E592" i="1"/>
  <c r="D592" i="1"/>
  <c r="C592" i="1"/>
  <c r="B592" i="1"/>
  <c r="A592" i="1"/>
  <c r="K591" i="1"/>
  <c r="J591" i="1"/>
  <c r="I591" i="1"/>
  <c r="H591" i="1"/>
  <c r="G591" i="1"/>
  <c r="F591" i="1"/>
  <c r="E591" i="1"/>
  <c r="D591" i="1"/>
  <c r="C591" i="1"/>
  <c r="B591" i="1"/>
  <c r="A591" i="1"/>
  <c r="K590" i="1"/>
  <c r="J590" i="1"/>
  <c r="I590" i="1"/>
  <c r="H590" i="1"/>
  <c r="G590" i="1"/>
  <c r="F590" i="1"/>
  <c r="E590" i="1"/>
  <c r="D590" i="1"/>
  <c r="C590" i="1"/>
  <c r="B590" i="1"/>
  <c r="A590" i="1"/>
  <c r="K589" i="1"/>
  <c r="J589" i="1"/>
  <c r="I589" i="1"/>
  <c r="H589" i="1"/>
  <c r="G589" i="1"/>
  <c r="F589" i="1"/>
  <c r="E589" i="1"/>
  <c r="D589" i="1"/>
  <c r="C589" i="1"/>
  <c r="B589" i="1"/>
  <c r="A589" i="1"/>
  <c r="K588" i="1"/>
  <c r="J588" i="1"/>
  <c r="I588" i="1"/>
  <c r="H588" i="1"/>
  <c r="G588" i="1"/>
  <c r="F588" i="1"/>
  <c r="E588" i="1"/>
  <c r="D588" i="1"/>
  <c r="C588" i="1"/>
  <c r="B588" i="1"/>
  <c r="A588" i="1"/>
  <c r="K587" i="1"/>
  <c r="J587" i="1"/>
  <c r="I587" i="1"/>
  <c r="H587" i="1"/>
  <c r="G587" i="1"/>
  <c r="F587" i="1"/>
  <c r="E587" i="1"/>
  <c r="D587" i="1"/>
  <c r="C587" i="1"/>
  <c r="B587" i="1"/>
  <c r="A587" i="1"/>
  <c r="K586" i="1"/>
  <c r="J586" i="1"/>
  <c r="I586" i="1"/>
  <c r="H586" i="1"/>
  <c r="G586" i="1"/>
  <c r="F586" i="1"/>
  <c r="E586" i="1"/>
  <c r="D586" i="1"/>
  <c r="C586" i="1"/>
  <c r="B586" i="1"/>
  <c r="A586" i="1"/>
  <c r="K585" i="1"/>
  <c r="J585" i="1"/>
  <c r="I585" i="1"/>
  <c r="H585" i="1"/>
  <c r="G585" i="1"/>
  <c r="F585" i="1"/>
  <c r="E585" i="1"/>
  <c r="D585" i="1"/>
  <c r="C585" i="1"/>
  <c r="B585" i="1"/>
  <c r="A585" i="1"/>
  <c r="K584" i="1"/>
  <c r="J584" i="1"/>
  <c r="I584" i="1"/>
  <c r="H584" i="1"/>
  <c r="G584" i="1"/>
  <c r="F584" i="1"/>
  <c r="E584" i="1"/>
  <c r="D584" i="1"/>
  <c r="C584" i="1"/>
  <c r="B584" i="1"/>
  <c r="A584" i="1"/>
  <c r="K583" i="1"/>
  <c r="J583" i="1"/>
  <c r="I583" i="1"/>
  <c r="H583" i="1"/>
  <c r="G583" i="1"/>
  <c r="F583" i="1"/>
  <c r="E583" i="1"/>
  <c r="D583" i="1"/>
  <c r="C583" i="1"/>
  <c r="B583" i="1"/>
  <c r="A583" i="1"/>
  <c r="K582" i="1"/>
  <c r="J582" i="1"/>
  <c r="I582" i="1"/>
  <c r="H582" i="1"/>
  <c r="G582" i="1"/>
  <c r="F582" i="1"/>
  <c r="E582" i="1"/>
  <c r="D582" i="1"/>
  <c r="C582" i="1"/>
  <c r="B582" i="1"/>
  <c r="A582" i="1"/>
  <c r="K581" i="1"/>
  <c r="J581" i="1"/>
  <c r="I581" i="1"/>
  <c r="H581" i="1"/>
  <c r="G581" i="1"/>
  <c r="F581" i="1"/>
  <c r="E581" i="1"/>
  <c r="D581" i="1"/>
  <c r="C581" i="1"/>
  <c r="B581" i="1"/>
  <c r="A581" i="1"/>
  <c r="K580" i="1"/>
  <c r="J580" i="1"/>
  <c r="I580" i="1"/>
  <c r="H580" i="1"/>
  <c r="G580" i="1"/>
  <c r="F580" i="1"/>
  <c r="E580" i="1"/>
  <c r="D580" i="1"/>
  <c r="C580" i="1"/>
  <c r="B580" i="1"/>
  <c r="A580" i="1"/>
  <c r="K579" i="1"/>
  <c r="J579" i="1"/>
  <c r="I579" i="1"/>
  <c r="H579" i="1"/>
  <c r="G579" i="1"/>
  <c r="F579" i="1"/>
  <c r="E579" i="1"/>
  <c r="D579" i="1"/>
  <c r="C579" i="1"/>
  <c r="B579" i="1"/>
  <c r="A579" i="1"/>
  <c r="K578" i="1"/>
  <c r="J578" i="1"/>
  <c r="I578" i="1"/>
  <c r="H578" i="1"/>
  <c r="G578" i="1"/>
  <c r="F578" i="1"/>
  <c r="E578" i="1"/>
  <c r="D578" i="1"/>
  <c r="C578" i="1"/>
  <c r="B578" i="1"/>
  <c r="A578" i="1"/>
  <c r="K577" i="1"/>
  <c r="J577" i="1"/>
  <c r="I577" i="1"/>
  <c r="H577" i="1"/>
  <c r="G577" i="1"/>
  <c r="F577" i="1"/>
  <c r="E577" i="1"/>
  <c r="D577" i="1"/>
  <c r="C577" i="1"/>
  <c r="B577" i="1"/>
  <c r="A577" i="1"/>
  <c r="K576" i="1"/>
  <c r="G576" i="1"/>
  <c r="F576" i="1"/>
  <c r="E576" i="1"/>
  <c r="D576" i="1"/>
  <c r="A576" i="1"/>
  <c r="K575" i="1"/>
  <c r="J575" i="1"/>
  <c r="I575" i="1"/>
  <c r="G575" i="1"/>
  <c r="F575" i="1"/>
  <c r="E575" i="1"/>
  <c r="D575" i="1"/>
  <c r="A575" i="1"/>
  <c r="K574" i="1"/>
  <c r="J574" i="1"/>
  <c r="I574" i="1"/>
  <c r="G574" i="1"/>
  <c r="F574" i="1"/>
  <c r="E574" i="1"/>
  <c r="D574" i="1"/>
  <c r="A574" i="1"/>
  <c r="K573" i="1"/>
  <c r="J573" i="1"/>
  <c r="I573" i="1"/>
  <c r="H573" i="1"/>
  <c r="G573" i="1"/>
  <c r="F573" i="1"/>
  <c r="E573" i="1"/>
  <c r="D573" i="1"/>
  <c r="C573" i="1"/>
  <c r="B573" i="1"/>
  <c r="A573" i="1"/>
  <c r="K572" i="1"/>
  <c r="J572" i="1"/>
  <c r="I572" i="1"/>
  <c r="H572" i="1"/>
  <c r="G572" i="1"/>
  <c r="F572" i="1"/>
  <c r="E572" i="1"/>
  <c r="D572" i="1"/>
  <c r="C572" i="1"/>
  <c r="B572" i="1"/>
  <c r="A572" i="1"/>
  <c r="K571" i="1"/>
  <c r="J571" i="1"/>
  <c r="I571" i="1"/>
  <c r="H571" i="1"/>
  <c r="G571" i="1"/>
  <c r="F571" i="1"/>
  <c r="E571" i="1"/>
  <c r="D571" i="1"/>
  <c r="C571" i="1"/>
  <c r="B571" i="1"/>
  <c r="A571" i="1"/>
  <c r="K570" i="1"/>
  <c r="J570" i="1"/>
  <c r="I570" i="1"/>
  <c r="H570" i="1"/>
  <c r="G570" i="1"/>
  <c r="F570" i="1"/>
  <c r="E570" i="1"/>
  <c r="D570" i="1"/>
  <c r="C570" i="1"/>
  <c r="B570" i="1"/>
  <c r="A570" i="1"/>
  <c r="K569" i="1"/>
  <c r="J569" i="1"/>
  <c r="I569" i="1"/>
  <c r="H569" i="1"/>
  <c r="G569" i="1"/>
  <c r="F569" i="1"/>
  <c r="E569" i="1"/>
  <c r="D569" i="1"/>
  <c r="C569" i="1"/>
  <c r="B569" i="1"/>
  <c r="A569" i="1"/>
  <c r="K568" i="1"/>
  <c r="J568" i="1"/>
  <c r="I568" i="1"/>
  <c r="H568" i="1"/>
  <c r="G568" i="1"/>
  <c r="F568" i="1"/>
  <c r="E568" i="1"/>
  <c r="D568" i="1"/>
  <c r="C568" i="1"/>
  <c r="B568" i="1"/>
  <c r="A568" i="1"/>
  <c r="K567" i="1"/>
  <c r="J567" i="1"/>
  <c r="I567" i="1"/>
  <c r="H567" i="1"/>
  <c r="G567" i="1"/>
  <c r="F567" i="1"/>
  <c r="E567" i="1"/>
  <c r="D567" i="1"/>
  <c r="C567" i="1"/>
  <c r="B567" i="1"/>
  <c r="A567" i="1"/>
  <c r="K566" i="1"/>
  <c r="J566" i="1"/>
  <c r="I566" i="1"/>
  <c r="H566" i="1"/>
  <c r="G566" i="1"/>
  <c r="F566" i="1"/>
  <c r="E566" i="1"/>
  <c r="D566" i="1"/>
  <c r="C566" i="1"/>
  <c r="B566" i="1"/>
  <c r="A566" i="1"/>
  <c r="K565" i="1"/>
  <c r="J565" i="1"/>
  <c r="I565" i="1"/>
  <c r="H565" i="1"/>
  <c r="G565" i="1"/>
  <c r="F565" i="1"/>
  <c r="E565" i="1"/>
  <c r="D565" i="1"/>
  <c r="C565" i="1"/>
  <c r="B565" i="1"/>
  <c r="A565" i="1"/>
  <c r="K564" i="1"/>
  <c r="J564" i="1"/>
  <c r="I564" i="1"/>
  <c r="H564" i="1"/>
  <c r="G564" i="1"/>
  <c r="F564" i="1"/>
  <c r="E564" i="1"/>
  <c r="D564" i="1"/>
  <c r="C564" i="1"/>
  <c r="B564" i="1"/>
  <c r="A564" i="1"/>
  <c r="K563" i="1"/>
  <c r="J563" i="1"/>
  <c r="I563" i="1"/>
  <c r="H563" i="1"/>
  <c r="G563" i="1"/>
  <c r="F563" i="1"/>
  <c r="E563" i="1"/>
  <c r="D563" i="1"/>
  <c r="C563" i="1"/>
  <c r="B563" i="1"/>
  <c r="A563" i="1"/>
  <c r="K562" i="1"/>
  <c r="J562" i="1"/>
  <c r="I562" i="1"/>
  <c r="H562" i="1"/>
  <c r="G562" i="1"/>
  <c r="F562" i="1"/>
  <c r="E562" i="1"/>
  <c r="D562" i="1"/>
  <c r="C562" i="1"/>
  <c r="B562" i="1"/>
  <c r="A562" i="1"/>
  <c r="K561" i="1"/>
  <c r="J561" i="1"/>
  <c r="I561" i="1"/>
  <c r="H561" i="1"/>
  <c r="G561" i="1"/>
  <c r="F561" i="1"/>
  <c r="E561" i="1"/>
  <c r="D561" i="1"/>
  <c r="C561" i="1"/>
  <c r="B561" i="1"/>
  <c r="A561" i="1"/>
  <c r="K560" i="1"/>
  <c r="J560" i="1"/>
  <c r="I560" i="1"/>
  <c r="H560" i="1"/>
  <c r="G560" i="1"/>
  <c r="F560" i="1"/>
  <c r="E560" i="1"/>
  <c r="D560" i="1"/>
  <c r="C560" i="1"/>
  <c r="B560" i="1"/>
  <c r="A560" i="1"/>
  <c r="K559" i="1"/>
  <c r="J559" i="1"/>
  <c r="I559" i="1"/>
  <c r="H559" i="1"/>
  <c r="G559" i="1"/>
  <c r="F559" i="1"/>
  <c r="E559" i="1"/>
  <c r="D559" i="1"/>
  <c r="C559" i="1"/>
  <c r="B559" i="1"/>
  <c r="A559" i="1"/>
  <c r="K558" i="1"/>
  <c r="J558" i="1"/>
  <c r="I558" i="1"/>
  <c r="H558" i="1"/>
  <c r="G558" i="1"/>
  <c r="F558" i="1"/>
  <c r="E558" i="1"/>
  <c r="D558" i="1"/>
  <c r="C558" i="1"/>
  <c r="B558" i="1"/>
  <c r="A558" i="1"/>
  <c r="K557" i="1"/>
  <c r="J557" i="1"/>
  <c r="I557" i="1"/>
  <c r="H557" i="1"/>
  <c r="G557" i="1"/>
  <c r="F557" i="1"/>
  <c r="E557" i="1"/>
  <c r="D557" i="1"/>
  <c r="C557" i="1"/>
  <c r="B557" i="1"/>
  <c r="A557" i="1"/>
  <c r="K556" i="1"/>
  <c r="J556" i="1"/>
  <c r="I556" i="1"/>
  <c r="H556" i="1"/>
  <c r="G556" i="1"/>
  <c r="F556" i="1"/>
  <c r="E556" i="1"/>
  <c r="D556" i="1"/>
  <c r="C556" i="1"/>
  <c r="B556" i="1"/>
  <c r="A556" i="1"/>
  <c r="K555" i="1"/>
  <c r="J555" i="1"/>
  <c r="I555" i="1"/>
  <c r="H555" i="1"/>
  <c r="G555" i="1"/>
  <c r="F555" i="1"/>
  <c r="E555" i="1"/>
  <c r="D555" i="1"/>
  <c r="C555" i="1"/>
  <c r="B555" i="1"/>
  <c r="A555" i="1"/>
  <c r="K554" i="1"/>
  <c r="J554" i="1"/>
  <c r="I554" i="1"/>
  <c r="H554" i="1"/>
  <c r="G554" i="1"/>
  <c r="F554" i="1"/>
  <c r="E554" i="1"/>
  <c r="D554" i="1"/>
  <c r="C554" i="1"/>
  <c r="B554" i="1"/>
  <c r="A554" i="1"/>
  <c r="K553" i="1"/>
  <c r="J553" i="1"/>
  <c r="I553" i="1"/>
  <c r="H553" i="1"/>
  <c r="G553" i="1"/>
  <c r="F553" i="1"/>
  <c r="E553" i="1"/>
  <c r="D553" i="1"/>
  <c r="C553" i="1"/>
  <c r="B553" i="1"/>
  <c r="A553" i="1"/>
  <c r="K552" i="1"/>
  <c r="J552" i="1"/>
  <c r="I552" i="1"/>
  <c r="H552" i="1"/>
  <c r="G552" i="1"/>
  <c r="F552" i="1"/>
  <c r="E552" i="1"/>
  <c r="D552" i="1"/>
  <c r="C552" i="1"/>
  <c r="B552" i="1"/>
  <c r="A552" i="1"/>
  <c r="K551" i="1"/>
  <c r="J551" i="1"/>
  <c r="I551" i="1"/>
  <c r="H551" i="1"/>
  <c r="G551" i="1"/>
  <c r="F551" i="1"/>
  <c r="E551" i="1"/>
  <c r="D551" i="1"/>
  <c r="C551" i="1"/>
  <c r="B551" i="1"/>
  <c r="A551" i="1"/>
  <c r="K550" i="1"/>
  <c r="J550" i="1"/>
  <c r="I550" i="1"/>
  <c r="H550" i="1"/>
  <c r="G550" i="1"/>
  <c r="F550" i="1"/>
  <c r="E550" i="1"/>
  <c r="D550" i="1"/>
  <c r="C550" i="1"/>
  <c r="B550" i="1"/>
  <c r="A550" i="1"/>
  <c r="K549" i="1"/>
  <c r="J549" i="1"/>
  <c r="I549" i="1"/>
  <c r="H549" i="1"/>
  <c r="G549" i="1"/>
  <c r="F549" i="1"/>
  <c r="E549" i="1"/>
  <c r="D549" i="1"/>
  <c r="C549" i="1"/>
  <c r="B549" i="1"/>
  <c r="A549" i="1"/>
  <c r="K548" i="1"/>
  <c r="J548" i="1"/>
  <c r="I548" i="1"/>
  <c r="H548" i="1"/>
  <c r="G548" i="1"/>
  <c r="F548" i="1"/>
  <c r="E548" i="1"/>
  <c r="D548" i="1"/>
  <c r="C548" i="1"/>
  <c r="B548" i="1"/>
  <c r="A548" i="1"/>
  <c r="K547" i="1"/>
  <c r="J547" i="1"/>
  <c r="I547" i="1"/>
  <c r="H547" i="1"/>
  <c r="G547" i="1"/>
  <c r="F547" i="1"/>
  <c r="E547" i="1"/>
  <c r="D547" i="1"/>
  <c r="C547" i="1"/>
  <c r="B547" i="1"/>
  <c r="A547" i="1"/>
  <c r="K546" i="1"/>
  <c r="J546" i="1"/>
  <c r="I546" i="1"/>
  <c r="H546" i="1"/>
  <c r="G546" i="1"/>
  <c r="F546" i="1"/>
  <c r="E546" i="1"/>
  <c r="D546" i="1"/>
  <c r="C546" i="1"/>
  <c r="B546" i="1"/>
  <c r="A546" i="1"/>
  <c r="K545" i="1"/>
  <c r="J545" i="1"/>
  <c r="I545" i="1"/>
  <c r="H545" i="1"/>
  <c r="G545" i="1"/>
  <c r="F545" i="1"/>
  <c r="E545" i="1"/>
  <c r="D545" i="1"/>
  <c r="C545" i="1"/>
  <c r="B545" i="1"/>
  <c r="A545" i="1"/>
  <c r="K544" i="1"/>
  <c r="J544" i="1"/>
  <c r="I544" i="1"/>
  <c r="H544" i="1"/>
  <c r="G544" i="1"/>
  <c r="F544" i="1"/>
  <c r="E544" i="1"/>
  <c r="D544" i="1"/>
  <c r="C544" i="1"/>
  <c r="B544" i="1"/>
  <c r="A544" i="1"/>
  <c r="K543" i="1"/>
  <c r="J543" i="1"/>
  <c r="I543" i="1"/>
  <c r="H543" i="1"/>
  <c r="G543" i="1"/>
  <c r="F543" i="1"/>
  <c r="E543" i="1"/>
  <c r="D543" i="1"/>
  <c r="C543" i="1"/>
  <c r="B543" i="1"/>
  <c r="A543" i="1"/>
  <c r="K542" i="1"/>
  <c r="J542" i="1"/>
  <c r="I542" i="1"/>
  <c r="H542" i="1"/>
  <c r="G542" i="1"/>
  <c r="F542" i="1"/>
  <c r="E542" i="1"/>
  <c r="D542" i="1"/>
  <c r="C542" i="1"/>
  <c r="B542" i="1"/>
  <c r="A542" i="1"/>
  <c r="K541" i="1"/>
  <c r="J541" i="1"/>
  <c r="I541" i="1"/>
  <c r="H541" i="1"/>
  <c r="G541" i="1"/>
  <c r="F541" i="1"/>
  <c r="E541" i="1"/>
  <c r="D541" i="1"/>
  <c r="C541" i="1"/>
  <c r="B541" i="1"/>
  <c r="A541" i="1"/>
  <c r="K540" i="1"/>
  <c r="J540" i="1"/>
  <c r="I540" i="1"/>
  <c r="H540" i="1"/>
  <c r="G540" i="1"/>
  <c r="F540" i="1"/>
  <c r="E540" i="1"/>
  <c r="D540" i="1"/>
  <c r="C540" i="1"/>
  <c r="B540" i="1"/>
  <c r="A540" i="1"/>
  <c r="K539" i="1"/>
  <c r="J539" i="1"/>
  <c r="I539" i="1"/>
  <c r="H539" i="1"/>
  <c r="G539" i="1"/>
  <c r="F539" i="1"/>
  <c r="E539" i="1"/>
  <c r="D539" i="1"/>
  <c r="C539" i="1"/>
  <c r="B539" i="1"/>
  <c r="A539" i="1"/>
  <c r="K538" i="1"/>
  <c r="J538" i="1"/>
  <c r="I538" i="1"/>
  <c r="H538" i="1"/>
  <c r="G538" i="1"/>
  <c r="F538" i="1"/>
  <c r="E538" i="1"/>
  <c r="D538" i="1"/>
  <c r="C538" i="1"/>
  <c r="B538" i="1"/>
  <c r="A538" i="1"/>
  <c r="K537" i="1"/>
  <c r="J537" i="1"/>
  <c r="I537" i="1"/>
  <c r="H537" i="1"/>
  <c r="G537" i="1"/>
  <c r="F537" i="1"/>
  <c r="E537" i="1"/>
  <c r="D537" i="1"/>
  <c r="C537" i="1"/>
  <c r="B537" i="1"/>
  <c r="A537" i="1"/>
  <c r="K536" i="1"/>
  <c r="J536" i="1"/>
  <c r="I536" i="1"/>
  <c r="H536" i="1"/>
  <c r="G536" i="1"/>
  <c r="F536" i="1"/>
  <c r="E536" i="1"/>
  <c r="D536" i="1"/>
  <c r="C536" i="1"/>
  <c r="B536" i="1"/>
  <c r="A536" i="1"/>
  <c r="K535" i="1"/>
  <c r="J535" i="1"/>
  <c r="I535" i="1"/>
  <c r="H535" i="1"/>
  <c r="G535" i="1"/>
  <c r="F535" i="1"/>
  <c r="E535" i="1"/>
  <c r="D535" i="1"/>
  <c r="C535" i="1"/>
  <c r="B535" i="1"/>
  <c r="A535" i="1"/>
  <c r="K534" i="1"/>
  <c r="J534" i="1"/>
  <c r="I534" i="1"/>
  <c r="H534" i="1"/>
  <c r="G534" i="1"/>
  <c r="F534" i="1"/>
  <c r="E534" i="1"/>
  <c r="D534" i="1"/>
  <c r="C534" i="1"/>
  <c r="B534" i="1"/>
  <c r="A534" i="1"/>
  <c r="K533" i="1"/>
  <c r="J533" i="1"/>
  <c r="I533" i="1"/>
  <c r="H533" i="1"/>
  <c r="G533" i="1"/>
  <c r="F533" i="1"/>
  <c r="E533" i="1"/>
  <c r="D533" i="1"/>
  <c r="C533" i="1"/>
  <c r="B533" i="1"/>
  <c r="A533" i="1"/>
  <c r="K532" i="1"/>
  <c r="J532" i="1"/>
  <c r="I532" i="1"/>
  <c r="H532" i="1"/>
  <c r="G532" i="1"/>
  <c r="F532" i="1"/>
  <c r="E532" i="1"/>
  <c r="D532" i="1"/>
  <c r="C532" i="1"/>
  <c r="B532" i="1"/>
  <c r="A532" i="1"/>
  <c r="K531" i="1"/>
  <c r="J531" i="1"/>
  <c r="I531" i="1"/>
  <c r="H531" i="1"/>
  <c r="G531" i="1"/>
  <c r="F531" i="1"/>
  <c r="E531" i="1"/>
  <c r="D531" i="1"/>
  <c r="C531" i="1"/>
  <c r="B531" i="1"/>
  <c r="A531" i="1"/>
  <c r="K530" i="1"/>
  <c r="J530" i="1"/>
  <c r="I530" i="1"/>
  <c r="H530" i="1"/>
  <c r="G530" i="1"/>
  <c r="F530" i="1"/>
  <c r="E530" i="1"/>
  <c r="D530" i="1"/>
  <c r="C530" i="1"/>
  <c r="B530" i="1"/>
  <c r="A530" i="1"/>
  <c r="K529" i="1"/>
  <c r="J529" i="1"/>
  <c r="I529" i="1"/>
  <c r="H529" i="1"/>
  <c r="G529" i="1"/>
  <c r="F529" i="1"/>
  <c r="E529" i="1"/>
  <c r="D529" i="1"/>
  <c r="C529" i="1"/>
  <c r="B529" i="1"/>
  <c r="A529" i="1"/>
  <c r="K528" i="1"/>
  <c r="J528" i="1"/>
  <c r="I528" i="1"/>
  <c r="H528" i="1"/>
  <c r="G528" i="1"/>
  <c r="F528" i="1"/>
  <c r="E528" i="1"/>
  <c r="D528" i="1"/>
  <c r="C528" i="1"/>
  <c r="B528" i="1"/>
  <c r="A528" i="1"/>
  <c r="K527" i="1"/>
  <c r="J527" i="1"/>
  <c r="I527" i="1"/>
  <c r="H527" i="1"/>
  <c r="G527" i="1"/>
  <c r="F527" i="1"/>
  <c r="E527" i="1"/>
  <c r="D527" i="1"/>
  <c r="C527" i="1"/>
  <c r="B527" i="1"/>
  <c r="A527" i="1"/>
  <c r="J526" i="1"/>
  <c r="I526" i="1"/>
  <c r="G526" i="1"/>
  <c r="F526" i="1"/>
  <c r="E526" i="1"/>
  <c r="D526" i="1"/>
  <c r="A526" i="1"/>
  <c r="J525" i="1"/>
  <c r="I525" i="1"/>
  <c r="H525" i="1"/>
  <c r="G525" i="1"/>
  <c r="F525" i="1"/>
  <c r="E525" i="1"/>
  <c r="D525" i="1"/>
  <c r="C525" i="1"/>
  <c r="B525" i="1"/>
  <c r="A525" i="1"/>
  <c r="J524" i="1"/>
  <c r="I524" i="1"/>
  <c r="H524" i="1"/>
  <c r="G524" i="1"/>
  <c r="F524" i="1"/>
  <c r="E524" i="1"/>
  <c r="D524" i="1"/>
  <c r="C524" i="1"/>
  <c r="B524" i="1"/>
  <c r="A524" i="1"/>
  <c r="J523" i="1"/>
  <c r="I523" i="1"/>
  <c r="H523" i="1"/>
  <c r="G523" i="1"/>
  <c r="F523" i="1"/>
  <c r="E523" i="1"/>
  <c r="D523" i="1"/>
  <c r="C523" i="1"/>
  <c r="B523" i="1"/>
  <c r="A523" i="1"/>
  <c r="J522" i="1"/>
  <c r="I522" i="1"/>
  <c r="H522" i="1"/>
  <c r="G522" i="1"/>
  <c r="F522" i="1"/>
  <c r="E522" i="1"/>
  <c r="D522" i="1"/>
  <c r="C522" i="1"/>
  <c r="B522" i="1"/>
  <c r="A522" i="1"/>
  <c r="J521" i="1"/>
  <c r="I521" i="1"/>
  <c r="H521" i="1"/>
  <c r="G521" i="1"/>
  <c r="F521" i="1"/>
  <c r="E521" i="1"/>
  <c r="D521" i="1"/>
  <c r="C521" i="1"/>
  <c r="B521" i="1"/>
  <c r="A521" i="1"/>
  <c r="J520" i="1"/>
  <c r="I520" i="1"/>
  <c r="H520" i="1"/>
  <c r="G520" i="1"/>
  <c r="F520" i="1"/>
  <c r="E520" i="1"/>
  <c r="D520" i="1"/>
  <c r="C520" i="1"/>
  <c r="B520" i="1"/>
  <c r="A520" i="1"/>
  <c r="J519" i="1"/>
  <c r="I519" i="1"/>
  <c r="H519" i="1"/>
  <c r="G519" i="1"/>
  <c r="F519" i="1"/>
  <c r="E519" i="1"/>
  <c r="D519" i="1"/>
  <c r="C519" i="1"/>
  <c r="B519" i="1"/>
  <c r="A519" i="1"/>
  <c r="J518" i="1"/>
  <c r="I518" i="1"/>
  <c r="H518" i="1"/>
  <c r="G518" i="1"/>
  <c r="F518" i="1"/>
  <c r="E518" i="1"/>
  <c r="D518" i="1"/>
  <c r="C518" i="1"/>
  <c r="B518" i="1"/>
  <c r="A518" i="1"/>
  <c r="J517" i="1"/>
  <c r="I517" i="1"/>
  <c r="H517" i="1"/>
  <c r="G517" i="1"/>
  <c r="F517" i="1"/>
  <c r="E517" i="1"/>
  <c r="D517" i="1"/>
  <c r="C517" i="1"/>
  <c r="B517" i="1"/>
  <c r="A517" i="1"/>
  <c r="J516" i="1"/>
  <c r="I516" i="1"/>
  <c r="H516" i="1"/>
  <c r="G516" i="1"/>
  <c r="F516" i="1"/>
  <c r="E516" i="1"/>
  <c r="D516" i="1"/>
  <c r="C516" i="1"/>
  <c r="B516" i="1"/>
  <c r="A516" i="1"/>
  <c r="J515" i="1"/>
  <c r="I515" i="1"/>
  <c r="H515" i="1"/>
  <c r="G515" i="1"/>
  <c r="F515" i="1"/>
  <c r="E515" i="1"/>
  <c r="D515" i="1"/>
  <c r="C515" i="1"/>
  <c r="B515" i="1"/>
  <c r="A515" i="1"/>
  <c r="J514" i="1"/>
  <c r="I514" i="1"/>
  <c r="H514" i="1"/>
  <c r="G514" i="1"/>
  <c r="F514" i="1"/>
  <c r="E514" i="1"/>
  <c r="D514" i="1"/>
  <c r="C514" i="1"/>
  <c r="B514" i="1"/>
  <c r="A514" i="1"/>
  <c r="J513" i="1"/>
  <c r="I513" i="1"/>
  <c r="H513" i="1"/>
  <c r="G513" i="1"/>
  <c r="F513" i="1"/>
  <c r="E513" i="1"/>
  <c r="D513" i="1"/>
  <c r="C513" i="1"/>
  <c r="B513" i="1"/>
  <c r="A513" i="1"/>
  <c r="J512" i="1"/>
  <c r="I512" i="1"/>
  <c r="H512" i="1"/>
  <c r="G512" i="1"/>
  <c r="F512" i="1"/>
  <c r="E512" i="1"/>
  <c r="D512" i="1"/>
  <c r="C512" i="1"/>
  <c r="B512" i="1"/>
  <c r="A512" i="1"/>
  <c r="J511" i="1"/>
  <c r="I511" i="1"/>
  <c r="H511" i="1"/>
  <c r="G511" i="1"/>
  <c r="F511" i="1"/>
  <c r="E511" i="1"/>
  <c r="D511" i="1"/>
  <c r="C511" i="1"/>
  <c r="B511" i="1"/>
  <c r="A511" i="1"/>
  <c r="J510" i="1"/>
  <c r="I510" i="1"/>
  <c r="H510" i="1"/>
  <c r="G510" i="1"/>
  <c r="F510" i="1"/>
  <c r="E510" i="1"/>
  <c r="D510" i="1"/>
  <c r="C510" i="1"/>
  <c r="B510" i="1"/>
  <c r="A510" i="1"/>
  <c r="J509" i="1"/>
  <c r="I509" i="1"/>
  <c r="H509" i="1"/>
  <c r="G509" i="1"/>
  <c r="F509" i="1"/>
  <c r="E509" i="1"/>
  <c r="D509" i="1"/>
  <c r="C509" i="1"/>
  <c r="B509" i="1"/>
  <c r="A509" i="1"/>
  <c r="J508" i="1"/>
  <c r="I508" i="1"/>
  <c r="H508" i="1"/>
  <c r="G508" i="1"/>
  <c r="F508" i="1"/>
  <c r="E508" i="1"/>
  <c r="D508" i="1"/>
  <c r="C508" i="1"/>
  <c r="B508" i="1"/>
  <c r="A508" i="1"/>
  <c r="J507" i="1"/>
  <c r="I507" i="1"/>
  <c r="H507" i="1"/>
  <c r="G507" i="1"/>
  <c r="F507" i="1"/>
  <c r="E507" i="1"/>
  <c r="D507" i="1"/>
  <c r="C507" i="1"/>
  <c r="B507" i="1"/>
  <c r="A507" i="1"/>
  <c r="J506" i="1"/>
  <c r="I506" i="1"/>
  <c r="H506" i="1"/>
  <c r="G506" i="1"/>
  <c r="F506" i="1"/>
  <c r="E506" i="1"/>
  <c r="D506" i="1"/>
  <c r="C506" i="1"/>
  <c r="B506" i="1"/>
  <c r="A506" i="1"/>
  <c r="J505" i="1"/>
  <c r="I505" i="1"/>
  <c r="H505" i="1"/>
  <c r="G505" i="1"/>
  <c r="F505" i="1"/>
  <c r="E505" i="1"/>
  <c r="D505" i="1"/>
  <c r="C505" i="1"/>
  <c r="B505" i="1"/>
  <c r="A505" i="1"/>
  <c r="J504" i="1"/>
  <c r="I504" i="1"/>
  <c r="H504" i="1"/>
  <c r="G504" i="1"/>
  <c r="F504" i="1"/>
  <c r="E504" i="1"/>
  <c r="D504" i="1"/>
  <c r="C504" i="1"/>
  <c r="B504" i="1"/>
  <c r="A504" i="1"/>
  <c r="J503" i="1"/>
  <c r="I503" i="1"/>
  <c r="H503" i="1"/>
  <c r="G503" i="1"/>
  <c r="F503" i="1"/>
  <c r="E503" i="1"/>
  <c r="D503" i="1"/>
  <c r="C503" i="1"/>
  <c r="B503" i="1"/>
  <c r="A503" i="1"/>
  <c r="J502" i="1"/>
  <c r="I502" i="1"/>
  <c r="H502" i="1"/>
  <c r="G502" i="1"/>
  <c r="F502" i="1"/>
  <c r="E502" i="1"/>
  <c r="D502" i="1"/>
  <c r="C502" i="1"/>
  <c r="B502" i="1"/>
  <c r="A502" i="1"/>
  <c r="J501" i="1"/>
  <c r="I501" i="1"/>
  <c r="H501" i="1"/>
  <c r="G501" i="1"/>
  <c r="F501" i="1"/>
  <c r="E501" i="1"/>
  <c r="D501" i="1"/>
  <c r="C501" i="1"/>
  <c r="B501" i="1"/>
  <c r="A501" i="1"/>
  <c r="J500" i="1"/>
  <c r="I500" i="1"/>
  <c r="H500" i="1"/>
  <c r="G500" i="1"/>
  <c r="F500" i="1"/>
  <c r="E500" i="1"/>
  <c r="D500" i="1"/>
  <c r="C500" i="1"/>
  <c r="B500" i="1"/>
  <c r="A500" i="1"/>
  <c r="J499" i="1"/>
  <c r="I499" i="1"/>
  <c r="H499" i="1"/>
  <c r="G499" i="1"/>
  <c r="F499" i="1"/>
  <c r="E499" i="1"/>
  <c r="D499" i="1"/>
  <c r="C499" i="1"/>
  <c r="B499" i="1"/>
  <c r="A499" i="1"/>
  <c r="J498" i="1"/>
  <c r="I498" i="1"/>
  <c r="H498" i="1"/>
  <c r="G498" i="1"/>
  <c r="F498" i="1"/>
  <c r="E498" i="1"/>
  <c r="D498" i="1"/>
  <c r="C498" i="1"/>
  <c r="B498" i="1"/>
  <c r="A498" i="1"/>
  <c r="J497" i="1"/>
  <c r="I497" i="1"/>
  <c r="H497" i="1"/>
  <c r="G497" i="1"/>
  <c r="F497" i="1"/>
  <c r="E497" i="1"/>
  <c r="D497" i="1"/>
  <c r="C497" i="1"/>
  <c r="B497" i="1"/>
  <c r="A497" i="1"/>
  <c r="J496" i="1"/>
  <c r="I496" i="1"/>
  <c r="H496" i="1"/>
  <c r="G496" i="1"/>
  <c r="F496" i="1"/>
  <c r="E496" i="1"/>
  <c r="D496" i="1"/>
  <c r="C496" i="1"/>
  <c r="B496" i="1"/>
  <c r="A496" i="1"/>
  <c r="J495" i="1"/>
  <c r="I495" i="1"/>
  <c r="H495" i="1"/>
  <c r="G495" i="1"/>
  <c r="F495" i="1"/>
  <c r="E495" i="1"/>
  <c r="D495" i="1"/>
  <c r="C495" i="1"/>
  <c r="B495" i="1"/>
  <c r="A495" i="1"/>
  <c r="J494" i="1"/>
  <c r="I494" i="1"/>
  <c r="H494" i="1"/>
  <c r="G494" i="1"/>
  <c r="F494" i="1"/>
  <c r="E494" i="1"/>
  <c r="D494" i="1"/>
  <c r="C494" i="1"/>
  <c r="B494" i="1"/>
  <c r="A494" i="1"/>
  <c r="J493" i="1"/>
  <c r="I493" i="1"/>
  <c r="H493" i="1"/>
  <c r="G493" i="1"/>
  <c r="F493" i="1"/>
  <c r="E493" i="1"/>
  <c r="D493" i="1"/>
  <c r="C493" i="1"/>
  <c r="B493" i="1"/>
  <c r="A493" i="1"/>
  <c r="J492" i="1"/>
  <c r="I492" i="1"/>
  <c r="H492" i="1"/>
  <c r="G492" i="1"/>
  <c r="F492" i="1"/>
  <c r="E492" i="1"/>
  <c r="D492" i="1"/>
  <c r="C492" i="1"/>
  <c r="B492" i="1"/>
  <c r="A492" i="1"/>
  <c r="J491" i="1"/>
  <c r="I491" i="1"/>
  <c r="H491" i="1"/>
  <c r="G491" i="1"/>
  <c r="F491" i="1"/>
  <c r="E491" i="1"/>
  <c r="D491" i="1"/>
  <c r="C491" i="1"/>
  <c r="B491" i="1"/>
  <c r="A491" i="1"/>
  <c r="J490" i="1"/>
  <c r="I490" i="1"/>
  <c r="H490" i="1"/>
  <c r="G490" i="1"/>
  <c r="F490" i="1"/>
  <c r="E490" i="1"/>
  <c r="D490" i="1"/>
  <c r="C490" i="1"/>
  <c r="B490" i="1"/>
  <c r="A490" i="1"/>
  <c r="J489" i="1"/>
  <c r="I489" i="1"/>
  <c r="H489" i="1"/>
  <c r="G489" i="1"/>
  <c r="F489" i="1"/>
  <c r="E489" i="1"/>
  <c r="D489" i="1"/>
  <c r="C489" i="1"/>
  <c r="B489" i="1"/>
  <c r="A489" i="1"/>
  <c r="J488" i="1"/>
  <c r="I488" i="1"/>
  <c r="H488" i="1"/>
  <c r="G488" i="1"/>
  <c r="F488" i="1"/>
  <c r="E488" i="1"/>
  <c r="D488" i="1"/>
  <c r="C488" i="1"/>
  <c r="B488" i="1"/>
  <c r="A488" i="1"/>
  <c r="J487" i="1"/>
  <c r="I487" i="1"/>
  <c r="H487" i="1"/>
  <c r="G487" i="1"/>
  <c r="F487" i="1"/>
  <c r="E487" i="1"/>
  <c r="D487" i="1"/>
  <c r="C487" i="1"/>
  <c r="B487" i="1"/>
  <c r="A487" i="1"/>
  <c r="J486" i="1"/>
  <c r="I486" i="1"/>
  <c r="H486" i="1"/>
  <c r="G486" i="1"/>
  <c r="F486" i="1"/>
  <c r="E486" i="1"/>
  <c r="D486" i="1"/>
  <c r="C486" i="1"/>
  <c r="B486" i="1"/>
  <c r="A486" i="1"/>
  <c r="J485" i="1"/>
  <c r="I485" i="1"/>
  <c r="H485" i="1"/>
  <c r="G485" i="1"/>
  <c r="F485" i="1"/>
  <c r="E485" i="1"/>
  <c r="D485" i="1"/>
  <c r="C485" i="1"/>
  <c r="B485" i="1"/>
  <c r="A485" i="1"/>
  <c r="J484" i="1"/>
  <c r="I484" i="1"/>
  <c r="H484" i="1"/>
  <c r="G484" i="1"/>
  <c r="F484" i="1"/>
  <c r="E484" i="1"/>
  <c r="D484" i="1"/>
  <c r="C484" i="1"/>
  <c r="B484" i="1"/>
  <c r="A484" i="1"/>
  <c r="J483" i="1"/>
  <c r="I483" i="1"/>
  <c r="H483" i="1"/>
  <c r="G483" i="1"/>
  <c r="F483" i="1"/>
  <c r="E483" i="1"/>
  <c r="D483" i="1"/>
  <c r="C483" i="1"/>
  <c r="B483" i="1"/>
  <c r="A483" i="1"/>
  <c r="J482" i="1"/>
  <c r="I482" i="1"/>
  <c r="H482" i="1"/>
  <c r="G482" i="1"/>
  <c r="F482" i="1"/>
  <c r="E482" i="1"/>
  <c r="D482" i="1"/>
  <c r="C482" i="1"/>
  <c r="B482" i="1"/>
  <c r="A482" i="1"/>
  <c r="J481" i="1"/>
  <c r="I481" i="1"/>
  <c r="H481" i="1"/>
  <c r="G481" i="1"/>
  <c r="F481" i="1"/>
  <c r="E481" i="1"/>
  <c r="D481" i="1"/>
  <c r="C481" i="1"/>
  <c r="B481" i="1"/>
  <c r="A481" i="1"/>
  <c r="J480" i="1"/>
  <c r="I480" i="1"/>
  <c r="H480" i="1"/>
  <c r="G480" i="1"/>
  <c r="F480" i="1"/>
  <c r="E480" i="1"/>
  <c r="D480" i="1"/>
  <c r="C480" i="1"/>
  <c r="B480" i="1"/>
  <c r="A480" i="1"/>
  <c r="J479" i="1"/>
  <c r="I479" i="1"/>
  <c r="H479" i="1"/>
  <c r="G479" i="1"/>
  <c r="F479" i="1"/>
  <c r="E479" i="1"/>
  <c r="D479" i="1"/>
  <c r="C479" i="1"/>
  <c r="B479" i="1"/>
  <c r="A479" i="1"/>
  <c r="J478" i="1"/>
  <c r="I478" i="1"/>
  <c r="H478" i="1"/>
  <c r="G478" i="1"/>
  <c r="F478" i="1"/>
  <c r="E478" i="1"/>
  <c r="D478" i="1"/>
  <c r="C478" i="1"/>
  <c r="B478" i="1"/>
  <c r="A478" i="1"/>
  <c r="J477" i="1"/>
  <c r="I477" i="1"/>
  <c r="H477" i="1"/>
  <c r="G477" i="1"/>
  <c r="F477" i="1"/>
  <c r="E477" i="1"/>
  <c r="D477" i="1"/>
  <c r="C477" i="1"/>
  <c r="B477" i="1"/>
  <c r="A477" i="1"/>
  <c r="J476" i="1"/>
  <c r="I476" i="1"/>
  <c r="H476" i="1"/>
  <c r="G476" i="1"/>
  <c r="F476" i="1"/>
  <c r="E476" i="1"/>
  <c r="D476" i="1"/>
  <c r="C476" i="1"/>
  <c r="B476" i="1"/>
  <c r="A476" i="1"/>
  <c r="J475" i="1"/>
  <c r="I475" i="1"/>
  <c r="H475" i="1"/>
  <c r="G475" i="1"/>
  <c r="F475" i="1"/>
  <c r="E475" i="1"/>
  <c r="D475" i="1"/>
  <c r="C475" i="1"/>
  <c r="B475" i="1"/>
  <c r="A475" i="1"/>
  <c r="J474" i="1"/>
  <c r="I474" i="1"/>
  <c r="H474" i="1"/>
  <c r="G474" i="1"/>
  <c r="F474" i="1"/>
  <c r="E474" i="1"/>
  <c r="D474" i="1"/>
  <c r="C474" i="1"/>
  <c r="B474" i="1"/>
  <c r="A474" i="1"/>
  <c r="J473" i="1"/>
  <c r="I473" i="1"/>
  <c r="H473" i="1"/>
  <c r="G473" i="1"/>
  <c r="F473" i="1"/>
  <c r="E473" i="1"/>
  <c r="D473" i="1"/>
  <c r="C473" i="1"/>
  <c r="B473" i="1"/>
  <c r="A473" i="1"/>
  <c r="I472" i="1"/>
  <c r="H472" i="1"/>
  <c r="G472" i="1"/>
  <c r="F472" i="1"/>
  <c r="E472" i="1"/>
  <c r="D472" i="1"/>
  <c r="C472" i="1"/>
  <c r="B472" i="1"/>
  <c r="A472" i="1"/>
  <c r="I471" i="1"/>
  <c r="H471" i="1"/>
  <c r="G471" i="1"/>
  <c r="F471" i="1"/>
  <c r="E471" i="1"/>
  <c r="D471" i="1"/>
  <c r="C471" i="1"/>
  <c r="B471" i="1"/>
  <c r="A471" i="1"/>
  <c r="I470" i="1"/>
  <c r="H470" i="1"/>
  <c r="G470" i="1"/>
  <c r="F470" i="1"/>
  <c r="E470" i="1"/>
  <c r="D470" i="1"/>
  <c r="C470" i="1"/>
  <c r="B470" i="1"/>
  <c r="A470" i="1"/>
  <c r="I469" i="1"/>
  <c r="H469" i="1"/>
  <c r="G469" i="1"/>
  <c r="F469" i="1"/>
  <c r="E469" i="1"/>
  <c r="D469" i="1"/>
  <c r="C469" i="1"/>
  <c r="B469" i="1"/>
  <c r="A469" i="1"/>
  <c r="I468" i="1"/>
  <c r="H468" i="1"/>
  <c r="G468" i="1"/>
  <c r="F468" i="1"/>
  <c r="E468" i="1"/>
  <c r="D468" i="1"/>
  <c r="C468" i="1"/>
  <c r="B468" i="1"/>
  <c r="A468" i="1"/>
  <c r="I467" i="1"/>
  <c r="H467" i="1"/>
  <c r="G467" i="1"/>
  <c r="F467" i="1"/>
  <c r="E467" i="1"/>
  <c r="D467" i="1"/>
  <c r="C467" i="1"/>
  <c r="B467" i="1"/>
  <c r="A467" i="1"/>
  <c r="I466" i="1"/>
  <c r="H466" i="1"/>
  <c r="G466" i="1"/>
  <c r="F466" i="1"/>
  <c r="E466" i="1"/>
  <c r="D466" i="1"/>
  <c r="C466" i="1"/>
  <c r="B466" i="1"/>
  <c r="A466" i="1"/>
  <c r="I465" i="1"/>
  <c r="H465" i="1"/>
  <c r="G465" i="1"/>
  <c r="F465" i="1"/>
  <c r="E465" i="1"/>
  <c r="D465" i="1"/>
  <c r="C465" i="1"/>
  <c r="B465" i="1"/>
  <c r="A465" i="1"/>
  <c r="I464" i="1"/>
  <c r="H464" i="1"/>
  <c r="G464" i="1"/>
  <c r="F464" i="1"/>
  <c r="E464" i="1"/>
  <c r="D464" i="1"/>
  <c r="C464" i="1"/>
  <c r="B464" i="1"/>
  <c r="A464" i="1"/>
  <c r="I463" i="1"/>
  <c r="H463" i="1"/>
  <c r="G463" i="1"/>
  <c r="F463" i="1"/>
  <c r="E463" i="1"/>
  <c r="D463" i="1"/>
  <c r="C463" i="1"/>
  <c r="B463" i="1"/>
  <c r="A463" i="1"/>
  <c r="I462" i="1"/>
  <c r="H462" i="1"/>
  <c r="G462" i="1"/>
  <c r="F462" i="1"/>
  <c r="E462" i="1"/>
  <c r="D462" i="1"/>
  <c r="C462" i="1"/>
  <c r="B462" i="1"/>
  <c r="A462" i="1"/>
  <c r="I461" i="1"/>
  <c r="H461" i="1"/>
  <c r="G461" i="1"/>
  <c r="F461" i="1"/>
  <c r="E461" i="1"/>
  <c r="D461" i="1"/>
  <c r="C461" i="1"/>
  <c r="B461" i="1"/>
  <c r="A461" i="1"/>
  <c r="I460" i="1"/>
  <c r="H460" i="1"/>
  <c r="G460" i="1"/>
  <c r="F460" i="1"/>
  <c r="E460" i="1"/>
  <c r="D460" i="1"/>
  <c r="C460" i="1"/>
  <c r="B460" i="1"/>
  <c r="A460" i="1"/>
  <c r="I459" i="1"/>
  <c r="H459" i="1"/>
  <c r="G459" i="1"/>
  <c r="F459" i="1"/>
  <c r="E459" i="1"/>
  <c r="D459" i="1"/>
  <c r="C459" i="1"/>
  <c r="B459" i="1"/>
  <c r="A459" i="1"/>
  <c r="I458" i="1"/>
  <c r="H458" i="1"/>
  <c r="G458" i="1"/>
  <c r="F458" i="1"/>
  <c r="E458" i="1"/>
  <c r="D458" i="1"/>
  <c r="C458" i="1"/>
  <c r="B458" i="1"/>
  <c r="A458" i="1"/>
  <c r="I457" i="1"/>
  <c r="H457" i="1"/>
  <c r="G457" i="1"/>
  <c r="F457" i="1"/>
  <c r="E457" i="1"/>
  <c r="D457" i="1"/>
  <c r="C457" i="1"/>
  <c r="B457" i="1"/>
  <c r="A457" i="1"/>
  <c r="I456" i="1"/>
  <c r="H456" i="1"/>
  <c r="G456" i="1"/>
  <c r="F456" i="1"/>
  <c r="E456" i="1"/>
  <c r="D456" i="1"/>
  <c r="C456" i="1"/>
  <c r="B456" i="1"/>
  <c r="A456" i="1"/>
  <c r="I455" i="1"/>
  <c r="H455" i="1"/>
  <c r="G455" i="1"/>
  <c r="F455" i="1"/>
  <c r="E455" i="1"/>
  <c r="D455" i="1"/>
  <c r="C455" i="1"/>
  <c r="B455" i="1"/>
  <c r="A455" i="1"/>
  <c r="I454" i="1"/>
  <c r="H454" i="1"/>
  <c r="G454" i="1"/>
  <c r="F454" i="1"/>
  <c r="E454" i="1"/>
  <c r="D454" i="1"/>
  <c r="C454" i="1"/>
  <c r="B454" i="1"/>
  <c r="A454" i="1"/>
  <c r="I453" i="1"/>
  <c r="H453" i="1"/>
  <c r="G453" i="1"/>
  <c r="F453" i="1"/>
  <c r="E453" i="1"/>
  <c r="D453" i="1"/>
  <c r="C453" i="1"/>
  <c r="B453" i="1"/>
  <c r="A453" i="1"/>
  <c r="K452" i="1"/>
  <c r="J452" i="1"/>
  <c r="I452" i="1"/>
  <c r="H452" i="1"/>
  <c r="G452" i="1"/>
  <c r="F452" i="1"/>
  <c r="E452" i="1"/>
  <c r="D452" i="1"/>
  <c r="C452" i="1"/>
  <c r="B452" i="1"/>
  <c r="A452" i="1"/>
  <c r="K451" i="1"/>
  <c r="J451" i="1"/>
  <c r="I451" i="1"/>
  <c r="H451" i="1"/>
  <c r="G451" i="1"/>
  <c r="F451" i="1"/>
  <c r="E451" i="1"/>
  <c r="D451" i="1"/>
  <c r="C451" i="1"/>
  <c r="B451" i="1"/>
  <c r="A451" i="1"/>
  <c r="K450" i="1"/>
  <c r="J450" i="1"/>
  <c r="I450" i="1"/>
  <c r="H450" i="1"/>
  <c r="G450" i="1"/>
  <c r="F450" i="1"/>
  <c r="E450" i="1"/>
  <c r="D450" i="1"/>
  <c r="C450" i="1"/>
  <c r="B450" i="1"/>
  <c r="A450" i="1"/>
  <c r="K449" i="1"/>
  <c r="J449" i="1"/>
  <c r="I449" i="1"/>
  <c r="H449" i="1"/>
  <c r="G449" i="1"/>
  <c r="F449" i="1"/>
  <c r="E449" i="1"/>
  <c r="D449" i="1"/>
  <c r="C449" i="1"/>
  <c r="B449" i="1"/>
  <c r="A449" i="1"/>
  <c r="K448" i="1"/>
  <c r="J448" i="1"/>
  <c r="I448" i="1"/>
  <c r="H448" i="1"/>
  <c r="G448" i="1"/>
  <c r="F448" i="1"/>
  <c r="E448" i="1"/>
  <c r="D448" i="1"/>
  <c r="C448" i="1"/>
  <c r="B448" i="1"/>
  <c r="A448" i="1"/>
  <c r="K447" i="1"/>
  <c r="J447" i="1"/>
  <c r="I447" i="1"/>
  <c r="H447" i="1"/>
  <c r="G447" i="1"/>
  <c r="F447" i="1"/>
  <c r="E447" i="1"/>
  <c r="D447" i="1"/>
  <c r="C447" i="1"/>
  <c r="B447" i="1"/>
  <c r="A447" i="1"/>
  <c r="K446" i="1"/>
  <c r="J446" i="1"/>
  <c r="I446" i="1"/>
  <c r="H446" i="1"/>
  <c r="G446" i="1"/>
  <c r="F446" i="1"/>
  <c r="E446" i="1"/>
  <c r="D446" i="1"/>
  <c r="C446" i="1"/>
  <c r="B446" i="1"/>
  <c r="A446" i="1"/>
  <c r="K445" i="1"/>
  <c r="J445" i="1"/>
  <c r="I445" i="1"/>
  <c r="H445" i="1"/>
  <c r="G445" i="1"/>
  <c r="F445" i="1"/>
  <c r="E445" i="1"/>
  <c r="D445" i="1"/>
  <c r="C445" i="1"/>
  <c r="B445" i="1"/>
  <c r="A445" i="1"/>
  <c r="K444" i="1"/>
  <c r="J444" i="1"/>
  <c r="I444" i="1"/>
  <c r="H444" i="1"/>
  <c r="G444" i="1"/>
  <c r="F444" i="1"/>
  <c r="E444" i="1"/>
  <c r="D444" i="1"/>
  <c r="C444" i="1"/>
  <c r="B444" i="1"/>
  <c r="A444" i="1"/>
  <c r="K443" i="1"/>
  <c r="J443" i="1"/>
  <c r="I443" i="1"/>
  <c r="H443" i="1"/>
  <c r="G443" i="1"/>
  <c r="F443" i="1"/>
  <c r="E443" i="1"/>
  <c r="D443" i="1"/>
  <c r="C443" i="1"/>
  <c r="B443" i="1"/>
  <c r="A443" i="1"/>
  <c r="K442" i="1"/>
  <c r="J442" i="1"/>
  <c r="I442" i="1"/>
  <c r="H442" i="1"/>
  <c r="G442" i="1"/>
  <c r="F442" i="1"/>
  <c r="E442" i="1"/>
  <c r="D442" i="1"/>
  <c r="C442" i="1"/>
  <c r="B442" i="1"/>
  <c r="A442" i="1"/>
  <c r="K441" i="1"/>
  <c r="J441" i="1"/>
  <c r="I441" i="1"/>
  <c r="H441" i="1"/>
  <c r="G441" i="1"/>
  <c r="F441" i="1"/>
  <c r="E441" i="1"/>
  <c r="D441" i="1"/>
  <c r="C441" i="1"/>
  <c r="B441" i="1"/>
  <c r="A441" i="1"/>
  <c r="K440" i="1"/>
  <c r="J440" i="1"/>
  <c r="I440" i="1"/>
  <c r="H440" i="1"/>
  <c r="G440" i="1"/>
  <c r="F440" i="1"/>
  <c r="E440" i="1"/>
  <c r="D440" i="1"/>
  <c r="C440" i="1"/>
  <c r="B440" i="1"/>
  <c r="A440" i="1"/>
  <c r="K439" i="1"/>
  <c r="J439" i="1"/>
  <c r="I439" i="1"/>
  <c r="H439" i="1"/>
  <c r="G439" i="1"/>
  <c r="F439" i="1"/>
  <c r="E439" i="1"/>
  <c r="D439" i="1"/>
  <c r="C439" i="1"/>
  <c r="B439" i="1"/>
  <c r="A439" i="1"/>
  <c r="J438" i="1"/>
  <c r="I438" i="1"/>
  <c r="H438" i="1"/>
  <c r="G438" i="1"/>
  <c r="F438" i="1"/>
  <c r="E438" i="1"/>
  <c r="D438" i="1"/>
  <c r="C438" i="1"/>
  <c r="B438" i="1"/>
  <c r="A438" i="1"/>
  <c r="J437" i="1"/>
  <c r="I437" i="1"/>
  <c r="H437" i="1"/>
  <c r="G437" i="1"/>
  <c r="F437" i="1"/>
  <c r="E437" i="1"/>
  <c r="D437" i="1"/>
  <c r="C437" i="1"/>
  <c r="B437" i="1"/>
  <c r="A437" i="1"/>
  <c r="K436" i="1"/>
  <c r="J436" i="1"/>
  <c r="I436" i="1"/>
  <c r="H436" i="1"/>
  <c r="G436" i="1"/>
  <c r="F436" i="1"/>
  <c r="E436" i="1"/>
  <c r="D436" i="1"/>
  <c r="C436" i="1"/>
  <c r="B436" i="1"/>
  <c r="A436" i="1"/>
  <c r="K435" i="1"/>
  <c r="J435" i="1"/>
  <c r="I435" i="1"/>
  <c r="H435" i="1"/>
  <c r="G435" i="1"/>
  <c r="F435" i="1"/>
  <c r="E435" i="1"/>
  <c r="D435" i="1"/>
  <c r="C435" i="1"/>
  <c r="B435" i="1"/>
  <c r="A435" i="1"/>
  <c r="J434" i="1"/>
  <c r="I434" i="1"/>
  <c r="H434" i="1"/>
  <c r="G434" i="1"/>
  <c r="F434" i="1"/>
  <c r="E434" i="1"/>
  <c r="D434" i="1"/>
  <c r="C434" i="1"/>
  <c r="B434" i="1"/>
  <c r="A434" i="1"/>
  <c r="K433" i="1"/>
  <c r="J433" i="1"/>
  <c r="I433" i="1"/>
  <c r="H433" i="1"/>
  <c r="G433" i="1"/>
  <c r="F433" i="1"/>
  <c r="E433" i="1"/>
  <c r="D433" i="1"/>
  <c r="C433" i="1"/>
  <c r="B433" i="1"/>
  <c r="A433" i="1"/>
  <c r="K432" i="1"/>
  <c r="J432" i="1"/>
  <c r="I432" i="1"/>
  <c r="H432" i="1"/>
  <c r="G432" i="1"/>
  <c r="F432" i="1"/>
  <c r="E432" i="1"/>
  <c r="D432" i="1"/>
  <c r="C432" i="1"/>
  <c r="B432" i="1"/>
  <c r="A432" i="1"/>
  <c r="K431" i="1"/>
  <c r="J431" i="1"/>
  <c r="I431" i="1"/>
  <c r="H431" i="1"/>
  <c r="G431" i="1"/>
  <c r="F431" i="1"/>
  <c r="E431" i="1"/>
  <c r="D431" i="1"/>
  <c r="C431" i="1"/>
  <c r="B431" i="1"/>
  <c r="A431" i="1"/>
  <c r="K430" i="1"/>
  <c r="J430" i="1"/>
  <c r="I430" i="1"/>
  <c r="H430" i="1"/>
  <c r="G430" i="1"/>
  <c r="F430" i="1"/>
  <c r="E430" i="1"/>
  <c r="D430" i="1"/>
  <c r="C430" i="1"/>
  <c r="B430" i="1"/>
  <c r="A430" i="1"/>
  <c r="K429" i="1"/>
  <c r="J429" i="1"/>
  <c r="I429" i="1"/>
  <c r="H429" i="1"/>
  <c r="G429" i="1"/>
  <c r="F429" i="1"/>
  <c r="E429" i="1"/>
  <c r="D429" i="1"/>
  <c r="C429" i="1"/>
  <c r="B429" i="1"/>
  <c r="A429" i="1"/>
  <c r="K428" i="1"/>
  <c r="J428" i="1"/>
  <c r="I428" i="1"/>
  <c r="H428" i="1"/>
  <c r="G428" i="1"/>
  <c r="F428" i="1"/>
  <c r="E428" i="1"/>
  <c r="D428" i="1"/>
  <c r="C428" i="1"/>
  <c r="B428" i="1"/>
  <c r="A428" i="1"/>
  <c r="K427" i="1"/>
  <c r="J427" i="1"/>
  <c r="I427" i="1"/>
  <c r="H427" i="1"/>
  <c r="G427" i="1"/>
  <c r="F427" i="1"/>
  <c r="E427" i="1"/>
  <c r="D427" i="1"/>
  <c r="C427" i="1"/>
  <c r="B427" i="1"/>
  <c r="A427" i="1"/>
  <c r="J426" i="1"/>
  <c r="I426" i="1"/>
  <c r="H426" i="1"/>
  <c r="G426" i="1"/>
  <c r="F426" i="1"/>
  <c r="E426" i="1"/>
  <c r="D426" i="1"/>
  <c r="C426" i="1"/>
  <c r="B426" i="1"/>
  <c r="A426" i="1"/>
  <c r="J425" i="1"/>
  <c r="I425" i="1"/>
  <c r="H425" i="1"/>
  <c r="G425" i="1"/>
  <c r="F425" i="1"/>
  <c r="E425" i="1"/>
  <c r="D425" i="1"/>
  <c r="C425" i="1"/>
  <c r="B425" i="1"/>
  <c r="A425" i="1"/>
  <c r="K424" i="1"/>
  <c r="J424" i="1"/>
  <c r="I424" i="1"/>
  <c r="H424" i="1"/>
  <c r="G424" i="1"/>
  <c r="F424" i="1"/>
  <c r="E424" i="1"/>
  <c r="D424" i="1"/>
  <c r="C424" i="1"/>
  <c r="B424" i="1"/>
  <c r="A424" i="1"/>
  <c r="K423" i="1"/>
  <c r="J423" i="1"/>
  <c r="I423" i="1"/>
  <c r="H423" i="1"/>
  <c r="G423" i="1"/>
  <c r="F423" i="1"/>
  <c r="E423" i="1"/>
  <c r="D423" i="1"/>
  <c r="C423" i="1"/>
  <c r="B423" i="1"/>
  <c r="A423" i="1"/>
  <c r="K422" i="1"/>
  <c r="J422" i="1"/>
  <c r="I422" i="1"/>
  <c r="H422" i="1"/>
  <c r="G422" i="1"/>
  <c r="F422" i="1"/>
  <c r="E422" i="1"/>
  <c r="D422" i="1"/>
  <c r="C422" i="1"/>
  <c r="B422" i="1"/>
  <c r="A422" i="1"/>
  <c r="K421" i="1"/>
  <c r="J421" i="1"/>
  <c r="I421" i="1"/>
  <c r="H421" i="1"/>
  <c r="G421" i="1"/>
  <c r="F421" i="1"/>
  <c r="E421" i="1"/>
  <c r="D421" i="1"/>
  <c r="C421" i="1"/>
  <c r="B421" i="1"/>
  <c r="A421" i="1"/>
  <c r="K420" i="1"/>
  <c r="J420" i="1"/>
  <c r="I420" i="1"/>
  <c r="H420" i="1"/>
  <c r="G420" i="1"/>
  <c r="F420" i="1"/>
  <c r="E420" i="1"/>
  <c r="D420" i="1"/>
  <c r="C420" i="1"/>
  <c r="B420" i="1"/>
  <c r="A420" i="1"/>
  <c r="K419" i="1"/>
  <c r="J419" i="1"/>
  <c r="I419" i="1"/>
  <c r="H419" i="1"/>
  <c r="G419" i="1"/>
  <c r="F419" i="1"/>
  <c r="E419" i="1"/>
  <c r="D419" i="1"/>
  <c r="C419" i="1"/>
  <c r="B419" i="1"/>
  <c r="A419" i="1"/>
  <c r="K418" i="1"/>
  <c r="J418" i="1"/>
  <c r="I418" i="1"/>
  <c r="H418" i="1"/>
  <c r="G418" i="1"/>
  <c r="F418" i="1"/>
  <c r="E418" i="1"/>
  <c r="D418" i="1"/>
  <c r="C418" i="1"/>
  <c r="B418" i="1"/>
  <c r="A418" i="1"/>
  <c r="K417" i="1"/>
  <c r="J417" i="1"/>
  <c r="I417" i="1"/>
  <c r="H417" i="1"/>
  <c r="G417" i="1"/>
  <c r="F417" i="1"/>
  <c r="E417" i="1"/>
  <c r="D417" i="1"/>
  <c r="C417" i="1"/>
  <c r="B417" i="1"/>
  <c r="A417" i="1"/>
  <c r="K416" i="1"/>
  <c r="J416" i="1"/>
  <c r="I416" i="1"/>
  <c r="H416" i="1"/>
  <c r="G416" i="1"/>
  <c r="F416" i="1"/>
  <c r="E416" i="1"/>
  <c r="D416" i="1"/>
  <c r="C416" i="1"/>
  <c r="B416" i="1"/>
  <c r="A416" i="1"/>
  <c r="K415" i="1"/>
  <c r="J415" i="1"/>
  <c r="I415" i="1"/>
  <c r="H415" i="1"/>
  <c r="G415" i="1"/>
  <c r="F415" i="1"/>
  <c r="E415" i="1"/>
  <c r="D415" i="1"/>
  <c r="C415" i="1"/>
  <c r="B415" i="1"/>
  <c r="A415" i="1"/>
  <c r="J414" i="1"/>
  <c r="I414" i="1"/>
  <c r="G414" i="1"/>
  <c r="F414" i="1"/>
  <c r="E414" i="1"/>
  <c r="D414" i="1"/>
  <c r="A414" i="1"/>
  <c r="J413" i="1"/>
  <c r="I413" i="1"/>
  <c r="H413" i="1"/>
  <c r="G413" i="1"/>
  <c r="F413" i="1"/>
  <c r="E413" i="1"/>
  <c r="D413" i="1"/>
  <c r="C413" i="1"/>
  <c r="B413" i="1"/>
  <c r="A413" i="1"/>
  <c r="K412" i="1"/>
  <c r="J412" i="1"/>
  <c r="I412" i="1"/>
  <c r="H412" i="1"/>
  <c r="G412" i="1"/>
  <c r="F412" i="1"/>
  <c r="E412" i="1"/>
  <c r="D412" i="1"/>
  <c r="C412" i="1"/>
  <c r="B412" i="1"/>
  <c r="A412" i="1"/>
  <c r="J411" i="1"/>
  <c r="I411" i="1"/>
  <c r="H411" i="1"/>
  <c r="G411" i="1"/>
  <c r="F411" i="1"/>
  <c r="E411" i="1"/>
  <c r="D411" i="1"/>
  <c r="C411" i="1"/>
  <c r="B411" i="1"/>
  <c r="A411" i="1"/>
  <c r="K410" i="1"/>
  <c r="J410" i="1"/>
  <c r="I410" i="1"/>
  <c r="H410" i="1"/>
  <c r="G410" i="1"/>
  <c r="F410" i="1"/>
  <c r="E410" i="1"/>
  <c r="D410" i="1"/>
  <c r="C410" i="1"/>
  <c r="B410" i="1"/>
  <c r="A410" i="1"/>
  <c r="J409" i="1"/>
  <c r="I409" i="1"/>
  <c r="H409" i="1"/>
  <c r="G409" i="1"/>
  <c r="F409" i="1"/>
  <c r="E409" i="1"/>
  <c r="D409" i="1"/>
  <c r="C409" i="1"/>
  <c r="B409" i="1"/>
  <c r="A409" i="1"/>
  <c r="K408" i="1"/>
  <c r="J408" i="1"/>
  <c r="I408" i="1"/>
  <c r="H408" i="1"/>
  <c r="G408" i="1"/>
  <c r="F408" i="1"/>
  <c r="E408" i="1"/>
  <c r="D408" i="1"/>
  <c r="C408" i="1"/>
  <c r="B408" i="1"/>
  <c r="A408" i="1"/>
  <c r="K407" i="1"/>
  <c r="J407" i="1"/>
  <c r="I407" i="1"/>
  <c r="H407" i="1"/>
  <c r="G407" i="1"/>
  <c r="F407" i="1"/>
  <c r="E407" i="1"/>
  <c r="D407" i="1"/>
  <c r="C407" i="1"/>
  <c r="B407" i="1"/>
  <c r="A407" i="1"/>
  <c r="K406" i="1"/>
  <c r="J406" i="1"/>
  <c r="I406" i="1"/>
  <c r="H406" i="1"/>
  <c r="G406" i="1"/>
  <c r="F406" i="1"/>
  <c r="E406" i="1"/>
  <c r="D406" i="1"/>
  <c r="C406" i="1"/>
  <c r="B406" i="1"/>
  <c r="A406" i="1"/>
  <c r="K405" i="1"/>
  <c r="J405" i="1"/>
  <c r="I405" i="1"/>
  <c r="H405" i="1"/>
  <c r="G405" i="1"/>
  <c r="F405" i="1"/>
  <c r="E405" i="1"/>
  <c r="D405" i="1"/>
  <c r="C405" i="1"/>
  <c r="B405" i="1"/>
  <c r="A405" i="1"/>
  <c r="K404" i="1"/>
  <c r="J404" i="1"/>
  <c r="I404" i="1"/>
  <c r="H404" i="1"/>
  <c r="G404" i="1"/>
  <c r="F404" i="1"/>
  <c r="E404" i="1"/>
  <c r="D404" i="1"/>
  <c r="C404" i="1"/>
  <c r="B404" i="1"/>
  <c r="A404" i="1"/>
  <c r="K403" i="1"/>
  <c r="J403" i="1"/>
  <c r="I403" i="1"/>
  <c r="G403" i="1"/>
  <c r="F403" i="1"/>
  <c r="E403" i="1"/>
  <c r="D403" i="1"/>
  <c r="A403" i="1"/>
  <c r="K402" i="1"/>
  <c r="J402" i="1"/>
  <c r="I402" i="1"/>
  <c r="G402" i="1"/>
  <c r="F402" i="1"/>
  <c r="E402" i="1"/>
  <c r="D402" i="1"/>
  <c r="A402" i="1"/>
  <c r="K401" i="1"/>
  <c r="J401" i="1"/>
  <c r="I401" i="1"/>
  <c r="G401" i="1"/>
  <c r="F401" i="1"/>
  <c r="E401" i="1"/>
  <c r="D401" i="1"/>
  <c r="A401" i="1"/>
  <c r="K400" i="1"/>
  <c r="J400" i="1"/>
  <c r="I400" i="1"/>
  <c r="H400" i="1"/>
  <c r="G400" i="1"/>
  <c r="F400" i="1"/>
  <c r="E400" i="1"/>
  <c r="D400" i="1"/>
  <c r="C400" i="1"/>
  <c r="B400" i="1"/>
  <c r="A400" i="1"/>
  <c r="K399" i="1"/>
  <c r="G399" i="1"/>
  <c r="F399" i="1"/>
  <c r="E399" i="1"/>
  <c r="D399" i="1"/>
  <c r="A399" i="1"/>
  <c r="K398" i="1"/>
  <c r="J398" i="1"/>
  <c r="I398" i="1"/>
  <c r="H398" i="1"/>
  <c r="G398" i="1"/>
  <c r="F398" i="1"/>
  <c r="E398" i="1"/>
  <c r="D398" i="1"/>
  <c r="C398" i="1"/>
  <c r="B398" i="1"/>
  <c r="A398" i="1"/>
  <c r="K397" i="1"/>
  <c r="J397" i="1"/>
  <c r="I397" i="1"/>
  <c r="H397" i="1"/>
  <c r="G397" i="1"/>
  <c r="F397" i="1"/>
  <c r="E397" i="1"/>
  <c r="D397" i="1"/>
  <c r="C397" i="1"/>
  <c r="B397" i="1"/>
  <c r="A397" i="1"/>
  <c r="K396" i="1"/>
  <c r="J396" i="1"/>
  <c r="I396" i="1"/>
  <c r="H396" i="1"/>
  <c r="G396" i="1"/>
  <c r="F396" i="1"/>
  <c r="E396" i="1"/>
  <c r="D396" i="1"/>
  <c r="C396" i="1"/>
  <c r="B396" i="1"/>
  <c r="A396" i="1"/>
  <c r="K395" i="1"/>
  <c r="J395" i="1"/>
  <c r="I395" i="1"/>
  <c r="H395" i="1"/>
  <c r="G395" i="1"/>
  <c r="F395" i="1"/>
  <c r="E395" i="1"/>
  <c r="D395" i="1"/>
  <c r="C395" i="1"/>
  <c r="B395" i="1"/>
  <c r="A395" i="1"/>
  <c r="K394" i="1"/>
  <c r="J394" i="1"/>
  <c r="I394" i="1"/>
  <c r="H394" i="1"/>
  <c r="G394" i="1"/>
  <c r="F394" i="1"/>
  <c r="E394" i="1"/>
  <c r="D394" i="1"/>
  <c r="C394" i="1"/>
  <c r="B394" i="1"/>
  <c r="A394" i="1"/>
  <c r="K393" i="1"/>
  <c r="J393" i="1"/>
  <c r="I393" i="1"/>
  <c r="H393" i="1"/>
  <c r="G393" i="1"/>
  <c r="F393" i="1"/>
  <c r="E393" i="1"/>
  <c r="D393" i="1"/>
  <c r="C393" i="1"/>
  <c r="B393" i="1"/>
  <c r="A393" i="1"/>
  <c r="K392" i="1"/>
  <c r="J392" i="1"/>
  <c r="I392" i="1"/>
  <c r="H392" i="1"/>
  <c r="G392" i="1"/>
  <c r="F392" i="1"/>
  <c r="E392" i="1"/>
  <c r="D392" i="1"/>
  <c r="C392" i="1"/>
  <c r="B392" i="1"/>
  <c r="A392" i="1"/>
  <c r="K391" i="1"/>
  <c r="J391" i="1"/>
  <c r="I391" i="1"/>
  <c r="H391" i="1"/>
  <c r="G391" i="1"/>
  <c r="F391" i="1"/>
  <c r="E391" i="1"/>
  <c r="D391" i="1"/>
  <c r="C391" i="1"/>
  <c r="B391" i="1"/>
  <c r="A391" i="1"/>
  <c r="K390" i="1"/>
  <c r="J390" i="1"/>
  <c r="I390" i="1"/>
  <c r="H390" i="1"/>
  <c r="G390" i="1"/>
  <c r="F390" i="1"/>
  <c r="E390" i="1"/>
  <c r="D390" i="1"/>
  <c r="C390" i="1"/>
  <c r="B390" i="1"/>
  <c r="A390" i="1"/>
  <c r="K389" i="1"/>
  <c r="J389" i="1"/>
  <c r="I389" i="1"/>
  <c r="H389" i="1"/>
  <c r="G389" i="1"/>
  <c r="F389" i="1"/>
  <c r="E389" i="1"/>
  <c r="D389" i="1"/>
  <c r="C389" i="1"/>
  <c r="B389" i="1"/>
  <c r="A389" i="1"/>
  <c r="K388" i="1"/>
  <c r="J388" i="1"/>
  <c r="I388" i="1"/>
  <c r="H388" i="1"/>
  <c r="G388" i="1"/>
  <c r="F388" i="1"/>
  <c r="E388" i="1"/>
  <c r="D388" i="1"/>
  <c r="C388" i="1"/>
  <c r="B388" i="1"/>
  <c r="A388" i="1"/>
  <c r="K387" i="1"/>
  <c r="J387" i="1"/>
  <c r="I387" i="1"/>
  <c r="H387" i="1"/>
  <c r="G387" i="1"/>
  <c r="F387" i="1"/>
  <c r="E387" i="1"/>
  <c r="D387" i="1"/>
  <c r="C387" i="1"/>
  <c r="B387" i="1"/>
  <c r="A387" i="1"/>
  <c r="K386" i="1"/>
  <c r="J386" i="1"/>
  <c r="I386" i="1"/>
  <c r="H386" i="1"/>
  <c r="G386" i="1"/>
  <c r="F386" i="1"/>
  <c r="E386" i="1"/>
  <c r="D386" i="1"/>
  <c r="C386" i="1"/>
  <c r="B386" i="1"/>
  <c r="A386" i="1"/>
  <c r="K385" i="1"/>
  <c r="J385" i="1"/>
  <c r="I385" i="1"/>
  <c r="H385" i="1"/>
  <c r="G385" i="1"/>
  <c r="F385" i="1"/>
  <c r="E385" i="1"/>
  <c r="D385" i="1"/>
  <c r="C385" i="1"/>
  <c r="B385" i="1"/>
  <c r="A385" i="1"/>
  <c r="K384" i="1"/>
  <c r="J384" i="1"/>
  <c r="I384" i="1"/>
  <c r="H384" i="1"/>
  <c r="G384" i="1"/>
  <c r="F384" i="1"/>
  <c r="E384" i="1"/>
  <c r="D384" i="1"/>
  <c r="C384" i="1"/>
  <c r="B384" i="1"/>
  <c r="A384" i="1"/>
  <c r="K383" i="1"/>
  <c r="J383" i="1"/>
  <c r="I383" i="1"/>
  <c r="H383" i="1"/>
  <c r="G383" i="1"/>
  <c r="F383" i="1"/>
  <c r="E383" i="1"/>
  <c r="D383" i="1"/>
  <c r="C383" i="1"/>
  <c r="B383" i="1"/>
  <c r="A383" i="1"/>
  <c r="K382" i="1"/>
  <c r="J382" i="1"/>
  <c r="I382" i="1"/>
  <c r="H382" i="1"/>
  <c r="G382" i="1"/>
  <c r="F382" i="1"/>
  <c r="E382" i="1"/>
  <c r="D382" i="1"/>
  <c r="C382" i="1"/>
  <c r="B382" i="1"/>
  <c r="A382" i="1"/>
  <c r="K381" i="1"/>
  <c r="J381" i="1"/>
  <c r="I381" i="1"/>
  <c r="H381" i="1"/>
  <c r="G381" i="1"/>
  <c r="F381" i="1"/>
  <c r="E381" i="1"/>
  <c r="D381" i="1"/>
  <c r="C381" i="1"/>
  <c r="B381" i="1"/>
  <c r="A381" i="1"/>
  <c r="K380" i="1"/>
  <c r="J380" i="1"/>
  <c r="I380" i="1"/>
  <c r="H380" i="1"/>
  <c r="G380" i="1"/>
  <c r="F380" i="1"/>
  <c r="E380" i="1"/>
  <c r="D380" i="1"/>
  <c r="C380" i="1"/>
  <c r="B380" i="1"/>
  <c r="A380" i="1"/>
  <c r="K379" i="1"/>
  <c r="J379" i="1"/>
  <c r="I379" i="1"/>
  <c r="H379" i="1"/>
  <c r="G379" i="1"/>
  <c r="F379" i="1"/>
  <c r="E379" i="1"/>
  <c r="D379" i="1"/>
  <c r="C379" i="1"/>
  <c r="B379" i="1"/>
  <c r="A379" i="1"/>
  <c r="K378" i="1"/>
  <c r="J378" i="1"/>
  <c r="I378" i="1"/>
  <c r="H378" i="1"/>
  <c r="G378" i="1"/>
  <c r="F378" i="1"/>
  <c r="E378" i="1"/>
  <c r="D378" i="1"/>
  <c r="C378" i="1"/>
  <c r="B378" i="1"/>
  <c r="A378" i="1"/>
  <c r="K377" i="1"/>
  <c r="J377" i="1"/>
  <c r="I377" i="1"/>
  <c r="H377" i="1"/>
  <c r="G377" i="1"/>
  <c r="F377" i="1"/>
  <c r="E377" i="1"/>
  <c r="D377" i="1"/>
  <c r="C377" i="1"/>
  <c r="B377" i="1"/>
  <c r="A377" i="1"/>
  <c r="K376" i="1"/>
  <c r="J376" i="1"/>
  <c r="I376" i="1"/>
  <c r="H376" i="1"/>
  <c r="G376" i="1"/>
  <c r="F376" i="1"/>
  <c r="E376" i="1"/>
  <c r="D376" i="1"/>
  <c r="C376" i="1"/>
  <c r="B376" i="1"/>
  <c r="A376" i="1"/>
  <c r="K375" i="1"/>
  <c r="J375" i="1"/>
  <c r="I375" i="1"/>
  <c r="H375" i="1"/>
  <c r="G375" i="1"/>
  <c r="F375" i="1"/>
  <c r="E375" i="1"/>
  <c r="D375" i="1"/>
  <c r="C375" i="1"/>
  <c r="B375" i="1"/>
  <c r="A375" i="1"/>
  <c r="K374" i="1"/>
  <c r="J374" i="1"/>
  <c r="I374" i="1"/>
  <c r="H374" i="1"/>
  <c r="G374" i="1"/>
  <c r="F374" i="1"/>
  <c r="E374" i="1"/>
  <c r="D374" i="1"/>
  <c r="C374" i="1"/>
  <c r="B374" i="1"/>
  <c r="A374" i="1"/>
  <c r="K373" i="1"/>
  <c r="J373" i="1"/>
  <c r="I373" i="1"/>
  <c r="H373" i="1"/>
  <c r="G373" i="1"/>
  <c r="F373" i="1"/>
  <c r="E373" i="1"/>
  <c r="D373" i="1"/>
  <c r="C373" i="1"/>
  <c r="B373" i="1"/>
  <c r="A373" i="1"/>
  <c r="K372" i="1"/>
  <c r="J372" i="1"/>
  <c r="I372" i="1"/>
  <c r="H372" i="1"/>
  <c r="G372" i="1"/>
  <c r="F372" i="1"/>
  <c r="E372" i="1"/>
  <c r="D372" i="1"/>
  <c r="C372" i="1"/>
  <c r="B372" i="1"/>
  <c r="A372" i="1"/>
  <c r="K371" i="1"/>
  <c r="J371" i="1"/>
  <c r="I371" i="1"/>
  <c r="H371" i="1"/>
  <c r="G371" i="1"/>
  <c r="F371" i="1"/>
  <c r="E371" i="1"/>
  <c r="D371" i="1"/>
  <c r="C371" i="1"/>
  <c r="B371" i="1"/>
  <c r="A371" i="1"/>
  <c r="K370" i="1"/>
  <c r="J370" i="1"/>
  <c r="I370" i="1"/>
  <c r="H370" i="1"/>
  <c r="G370" i="1"/>
  <c r="F370" i="1"/>
  <c r="E370" i="1"/>
  <c r="D370" i="1"/>
  <c r="C370" i="1"/>
  <c r="B370" i="1"/>
  <c r="A370" i="1"/>
  <c r="K369" i="1"/>
  <c r="J369" i="1"/>
  <c r="I369" i="1"/>
  <c r="H369" i="1"/>
  <c r="G369" i="1"/>
  <c r="F369" i="1"/>
  <c r="E369" i="1"/>
  <c r="D369" i="1"/>
  <c r="C369" i="1"/>
  <c r="B369" i="1"/>
  <c r="A369" i="1"/>
  <c r="K368" i="1"/>
  <c r="J368" i="1"/>
  <c r="I368" i="1"/>
  <c r="H368" i="1"/>
  <c r="G368" i="1"/>
  <c r="F368" i="1"/>
  <c r="E368" i="1"/>
  <c r="D368" i="1"/>
  <c r="C368" i="1"/>
  <c r="B368" i="1"/>
  <c r="A368" i="1"/>
  <c r="K367" i="1"/>
  <c r="J367" i="1"/>
  <c r="I367" i="1"/>
  <c r="H367" i="1"/>
  <c r="G367" i="1"/>
  <c r="F367" i="1"/>
  <c r="E367" i="1"/>
  <c r="D367" i="1"/>
  <c r="C367" i="1"/>
  <c r="B367" i="1"/>
  <c r="A367" i="1"/>
  <c r="K366" i="1"/>
  <c r="J366" i="1"/>
  <c r="I366" i="1"/>
  <c r="H366" i="1"/>
  <c r="G366" i="1"/>
  <c r="F366" i="1"/>
  <c r="E366" i="1"/>
  <c r="D366" i="1"/>
  <c r="C366" i="1"/>
  <c r="B366" i="1"/>
  <c r="A366" i="1"/>
  <c r="K365" i="1"/>
  <c r="J365" i="1"/>
  <c r="I365" i="1"/>
  <c r="H365" i="1"/>
  <c r="G365" i="1"/>
  <c r="F365" i="1"/>
  <c r="E365" i="1"/>
  <c r="D365" i="1"/>
  <c r="C365" i="1"/>
  <c r="B365" i="1"/>
  <c r="A365" i="1"/>
  <c r="K364" i="1"/>
  <c r="H364" i="1"/>
  <c r="G364" i="1"/>
  <c r="F364" i="1"/>
  <c r="E364" i="1"/>
  <c r="D364" i="1"/>
  <c r="C364" i="1"/>
  <c r="B364" i="1"/>
  <c r="A364" i="1"/>
  <c r="K363" i="1"/>
  <c r="H363" i="1"/>
  <c r="G363" i="1"/>
  <c r="F363" i="1"/>
  <c r="E363" i="1"/>
  <c r="D363" i="1"/>
  <c r="C363" i="1"/>
  <c r="B363" i="1"/>
  <c r="A363" i="1"/>
  <c r="K362" i="1"/>
  <c r="H362" i="1"/>
  <c r="G362" i="1"/>
  <c r="F362" i="1"/>
  <c r="E362" i="1"/>
  <c r="D362" i="1"/>
  <c r="C362" i="1"/>
  <c r="B362" i="1"/>
  <c r="A362" i="1"/>
  <c r="K361" i="1"/>
  <c r="H361" i="1"/>
  <c r="G361" i="1"/>
  <c r="F361" i="1"/>
  <c r="E361" i="1"/>
  <c r="D361" i="1"/>
  <c r="C361" i="1"/>
  <c r="B361" i="1"/>
  <c r="A361" i="1"/>
  <c r="K360" i="1"/>
  <c r="H360" i="1"/>
  <c r="G360" i="1"/>
  <c r="F360" i="1"/>
  <c r="E360" i="1"/>
  <c r="D360" i="1"/>
  <c r="C360" i="1"/>
  <c r="B360" i="1"/>
  <c r="A360" i="1"/>
  <c r="K359" i="1"/>
  <c r="H359" i="1"/>
  <c r="G359" i="1"/>
  <c r="F359" i="1"/>
  <c r="E359" i="1"/>
  <c r="D359" i="1"/>
  <c r="C359" i="1"/>
  <c r="B359" i="1"/>
  <c r="A359" i="1"/>
  <c r="K358" i="1"/>
  <c r="I358" i="1"/>
  <c r="H358" i="1"/>
  <c r="G358" i="1"/>
  <c r="F358" i="1"/>
  <c r="E358" i="1"/>
  <c r="D358" i="1"/>
  <c r="C358" i="1"/>
  <c r="B358" i="1"/>
  <c r="A358" i="1"/>
  <c r="K357" i="1"/>
  <c r="I357" i="1"/>
  <c r="H357" i="1"/>
  <c r="G357" i="1"/>
  <c r="F357" i="1"/>
  <c r="E357" i="1"/>
  <c r="D357" i="1"/>
  <c r="C357" i="1"/>
  <c r="B357" i="1"/>
  <c r="A357" i="1"/>
  <c r="K356" i="1"/>
  <c r="J356" i="1"/>
  <c r="I356" i="1"/>
  <c r="H356" i="1"/>
  <c r="G356" i="1"/>
  <c r="F356" i="1"/>
  <c r="E356" i="1"/>
  <c r="D356" i="1"/>
  <c r="C356" i="1"/>
  <c r="B356" i="1"/>
  <c r="A356" i="1"/>
  <c r="K355" i="1"/>
  <c r="J355" i="1"/>
  <c r="I355" i="1"/>
  <c r="H355" i="1"/>
  <c r="G355" i="1"/>
  <c r="F355" i="1"/>
  <c r="E355" i="1"/>
  <c r="D355" i="1"/>
  <c r="C355" i="1"/>
  <c r="B355" i="1"/>
  <c r="A355" i="1"/>
  <c r="K354" i="1"/>
  <c r="I354" i="1"/>
  <c r="H354" i="1"/>
  <c r="G354" i="1"/>
  <c r="F354" i="1"/>
  <c r="E354" i="1"/>
  <c r="D354" i="1"/>
  <c r="C354" i="1"/>
  <c r="B354" i="1"/>
  <c r="A354" i="1"/>
  <c r="K353" i="1"/>
  <c r="J353" i="1"/>
  <c r="G353" i="1"/>
  <c r="F353" i="1"/>
  <c r="E353" i="1"/>
  <c r="D353" i="1"/>
  <c r="A353" i="1"/>
  <c r="K352" i="1"/>
  <c r="J352" i="1"/>
  <c r="I352" i="1"/>
  <c r="H352" i="1"/>
  <c r="G352" i="1"/>
  <c r="F352" i="1"/>
  <c r="E352" i="1"/>
  <c r="D352" i="1"/>
  <c r="C352" i="1"/>
  <c r="B352" i="1"/>
  <c r="A352" i="1"/>
  <c r="J351" i="1"/>
  <c r="I351" i="1"/>
  <c r="H351" i="1"/>
  <c r="G351" i="1"/>
  <c r="F351" i="1"/>
  <c r="E351" i="1"/>
  <c r="D351" i="1"/>
  <c r="C351" i="1"/>
  <c r="B351" i="1"/>
  <c r="A351" i="1"/>
  <c r="J350" i="1"/>
  <c r="I350" i="1"/>
  <c r="H350" i="1"/>
  <c r="G350" i="1"/>
  <c r="F350" i="1"/>
  <c r="E350" i="1"/>
  <c r="D350" i="1"/>
  <c r="C350" i="1"/>
  <c r="B350" i="1"/>
  <c r="A350" i="1"/>
  <c r="K349" i="1"/>
  <c r="J349" i="1"/>
  <c r="I349" i="1"/>
  <c r="H349" i="1"/>
  <c r="G349" i="1"/>
  <c r="F349" i="1"/>
  <c r="E349" i="1"/>
  <c r="D349" i="1"/>
  <c r="C349" i="1"/>
  <c r="B349" i="1"/>
  <c r="A349" i="1"/>
  <c r="J348" i="1"/>
  <c r="H348" i="1"/>
  <c r="G348" i="1"/>
  <c r="F348" i="1"/>
  <c r="E348" i="1"/>
  <c r="D348" i="1"/>
  <c r="C348" i="1"/>
  <c r="B348" i="1"/>
  <c r="A348" i="1"/>
  <c r="J347" i="1"/>
  <c r="I347" i="1"/>
  <c r="H347" i="1"/>
  <c r="G347" i="1"/>
  <c r="F347" i="1"/>
  <c r="E347" i="1"/>
  <c r="D347" i="1"/>
  <c r="C347" i="1"/>
  <c r="B347" i="1"/>
  <c r="A347" i="1"/>
  <c r="J346" i="1"/>
  <c r="I346" i="1"/>
  <c r="H346" i="1"/>
  <c r="G346" i="1"/>
  <c r="F346" i="1"/>
  <c r="E346" i="1"/>
  <c r="D346" i="1"/>
  <c r="C346" i="1"/>
  <c r="B346" i="1"/>
  <c r="A346" i="1"/>
  <c r="J345" i="1"/>
  <c r="I345" i="1"/>
  <c r="H345" i="1"/>
  <c r="G345" i="1"/>
  <c r="F345" i="1"/>
  <c r="E345" i="1"/>
  <c r="D345" i="1"/>
  <c r="C345" i="1"/>
  <c r="B345" i="1"/>
  <c r="A345" i="1"/>
  <c r="J344" i="1"/>
  <c r="I344" i="1"/>
  <c r="H344" i="1"/>
  <c r="G344" i="1"/>
  <c r="F344" i="1"/>
  <c r="E344" i="1"/>
  <c r="D344" i="1"/>
  <c r="C344" i="1"/>
  <c r="B344" i="1"/>
  <c r="A344" i="1"/>
  <c r="K343" i="1"/>
  <c r="H343" i="1"/>
  <c r="G343" i="1"/>
  <c r="F343" i="1"/>
  <c r="E343" i="1"/>
  <c r="D343" i="1"/>
  <c r="C343" i="1"/>
  <c r="B343" i="1"/>
  <c r="A343" i="1"/>
  <c r="K342" i="1"/>
  <c r="H342" i="1"/>
  <c r="G342" i="1"/>
  <c r="F342" i="1"/>
  <c r="E342" i="1"/>
  <c r="D342" i="1"/>
  <c r="C342" i="1"/>
  <c r="B342" i="1"/>
  <c r="A342" i="1"/>
  <c r="K341" i="1"/>
  <c r="H341" i="1"/>
  <c r="G341" i="1"/>
  <c r="F341" i="1"/>
  <c r="E341" i="1"/>
  <c r="D341" i="1"/>
  <c r="C341" i="1"/>
  <c r="B341" i="1"/>
  <c r="A341" i="1"/>
  <c r="K340" i="1"/>
  <c r="H340" i="1"/>
  <c r="G340" i="1"/>
  <c r="F340" i="1"/>
  <c r="E340" i="1"/>
  <c r="D340" i="1"/>
  <c r="C340" i="1"/>
  <c r="B340" i="1"/>
  <c r="A340" i="1"/>
  <c r="K339" i="1"/>
  <c r="H339" i="1"/>
  <c r="G339" i="1"/>
  <c r="F339" i="1"/>
  <c r="E339" i="1"/>
  <c r="D339" i="1"/>
  <c r="C339" i="1"/>
  <c r="B339" i="1"/>
  <c r="A339" i="1"/>
  <c r="K338" i="1"/>
  <c r="H338" i="1"/>
  <c r="G338" i="1"/>
  <c r="F338" i="1"/>
  <c r="E338" i="1"/>
  <c r="D338" i="1"/>
  <c r="C338" i="1"/>
  <c r="B338" i="1"/>
  <c r="A338" i="1"/>
  <c r="J337" i="1"/>
  <c r="I337" i="1"/>
  <c r="H337" i="1"/>
  <c r="G337" i="1"/>
  <c r="F337" i="1"/>
  <c r="E337" i="1"/>
  <c r="D337" i="1"/>
  <c r="C337" i="1"/>
  <c r="B337" i="1"/>
  <c r="A337" i="1"/>
  <c r="J336" i="1"/>
  <c r="I336" i="1"/>
  <c r="H336" i="1"/>
  <c r="G336" i="1"/>
  <c r="F336" i="1"/>
  <c r="E336" i="1"/>
  <c r="D336" i="1"/>
  <c r="C336" i="1"/>
  <c r="B336" i="1"/>
  <c r="A336" i="1"/>
  <c r="J335" i="1"/>
  <c r="I335" i="1"/>
  <c r="H335" i="1"/>
  <c r="G335" i="1"/>
  <c r="F335" i="1"/>
  <c r="E335" i="1"/>
  <c r="D335" i="1"/>
  <c r="C335" i="1"/>
  <c r="B335" i="1"/>
  <c r="A335" i="1"/>
  <c r="J334" i="1"/>
  <c r="I334" i="1"/>
  <c r="H334" i="1"/>
  <c r="G334" i="1"/>
  <c r="F334" i="1"/>
  <c r="E334" i="1"/>
  <c r="D334" i="1"/>
  <c r="C334" i="1"/>
  <c r="B334" i="1"/>
  <c r="A334" i="1"/>
  <c r="J333" i="1"/>
  <c r="I333" i="1"/>
  <c r="H333" i="1"/>
  <c r="G333" i="1"/>
  <c r="F333" i="1"/>
  <c r="E333" i="1"/>
  <c r="D333" i="1"/>
  <c r="C333" i="1"/>
  <c r="B333" i="1"/>
  <c r="A333" i="1"/>
  <c r="J332" i="1"/>
  <c r="I332" i="1"/>
  <c r="H332" i="1"/>
  <c r="G332" i="1"/>
  <c r="F332" i="1"/>
  <c r="E332" i="1"/>
  <c r="D332" i="1"/>
  <c r="C332" i="1"/>
  <c r="B332" i="1"/>
  <c r="A332" i="1"/>
  <c r="J331" i="1"/>
  <c r="I331" i="1"/>
  <c r="H331" i="1"/>
  <c r="G331" i="1"/>
  <c r="F331" i="1"/>
  <c r="E331" i="1"/>
  <c r="D331" i="1"/>
  <c r="C331" i="1"/>
  <c r="B331" i="1"/>
  <c r="A331" i="1"/>
  <c r="J330" i="1"/>
  <c r="I330" i="1"/>
  <c r="H330" i="1"/>
  <c r="G330" i="1"/>
  <c r="F330" i="1"/>
  <c r="E330" i="1"/>
  <c r="D330" i="1"/>
  <c r="C330" i="1"/>
  <c r="B330" i="1"/>
  <c r="A330" i="1"/>
  <c r="J329" i="1"/>
  <c r="I329" i="1"/>
  <c r="H329" i="1"/>
  <c r="G329" i="1"/>
  <c r="F329" i="1"/>
  <c r="E329" i="1"/>
  <c r="D329" i="1"/>
  <c r="C329" i="1"/>
  <c r="B329" i="1"/>
  <c r="A329" i="1"/>
  <c r="J328" i="1"/>
  <c r="I328" i="1"/>
  <c r="H328" i="1"/>
  <c r="G328" i="1"/>
  <c r="F328" i="1"/>
  <c r="E328" i="1"/>
  <c r="D328" i="1"/>
  <c r="C328" i="1"/>
  <c r="B328" i="1"/>
  <c r="A328" i="1"/>
  <c r="J327" i="1"/>
  <c r="I327" i="1"/>
  <c r="H327" i="1"/>
  <c r="G327" i="1"/>
  <c r="F327" i="1"/>
  <c r="E327" i="1"/>
  <c r="D327" i="1"/>
  <c r="C327" i="1"/>
  <c r="B327" i="1"/>
  <c r="A327" i="1"/>
  <c r="J326" i="1"/>
  <c r="I326" i="1"/>
  <c r="H326" i="1"/>
  <c r="G326" i="1"/>
  <c r="F326" i="1"/>
  <c r="E326" i="1"/>
  <c r="D326" i="1"/>
  <c r="C326" i="1"/>
  <c r="B326" i="1"/>
  <c r="A326" i="1"/>
  <c r="J325" i="1"/>
  <c r="I325" i="1"/>
  <c r="H325" i="1"/>
  <c r="G325" i="1"/>
  <c r="F325" i="1"/>
  <c r="E325" i="1"/>
  <c r="D325" i="1"/>
  <c r="C325" i="1"/>
  <c r="B325" i="1"/>
  <c r="A325" i="1"/>
  <c r="K324" i="1"/>
  <c r="J324" i="1"/>
  <c r="I324" i="1"/>
  <c r="H324" i="1"/>
  <c r="G324" i="1"/>
  <c r="F324" i="1"/>
  <c r="E324" i="1"/>
  <c r="D324" i="1"/>
  <c r="C324" i="1"/>
  <c r="B324" i="1"/>
  <c r="A324" i="1"/>
  <c r="J323" i="1"/>
  <c r="I323" i="1"/>
  <c r="H323" i="1"/>
  <c r="G323" i="1"/>
  <c r="F323" i="1"/>
  <c r="E323" i="1"/>
  <c r="D323" i="1"/>
  <c r="C323" i="1"/>
  <c r="B323" i="1"/>
  <c r="A323" i="1"/>
  <c r="J322" i="1"/>
  <c r="I322" i="1"/>
  <c r="H322" i="1"/>
  <c r="G322" i="1"/>
  <c r="F322" i="1"/>
  <c r="E322" i="1"/>
  <c r="D322" i="1"/>
  <c r="C322" i="1"/>
  <c r="B322" i="1"/>
  <c r="A322" i="1"/>
  <c r="J321" i="1"/>
  <c r="I321" i="1"/>
  <c r="H321" i="1"/>
  <c r="G321" i="1"/>
  <c r="F321" i="1"/>
  <c r="E321" i="1"/>
  <c r="D321" i="1"/>
  <c r="C321" i="1"/>
  <c r="B321" i="1"/>
  <c r="A321" i="1"/>
  <c r="H320" i="1"/>
  <c r="G320" i="1"/>
  <c r="F320" i="1"/>
  <c r="E320" i="1"/>
  <c r="D320" i="1"/>
  <c r="C320" i="1"/>
  <c r="B320" i="1"/>
  <c r="A320" i="1"/>
  <c r="H319" i="1"/>
  <c r="G319" i="1"/>
  <c r="F319" i="1"/>
  <c r="E319" i="1"/>
  <c r="D319" i="1"/>
  <c r="C319" i="1"/>
  <c r="B319" i="1"/>
  <c r="A319" i="1"/>
  <c r="H318" i="1"/>
  <c r="G318" i="1"/>
  <c r="F318" i="1"/>
  <c r="E318" i="1"/>
  <c r="D318" i="1"/>
  <c r="C318" i="1"/>
  <c r="B318" i="1"/>
  <c r="A318" i="1"/>
  <c r="H317" i="1"/>
  <c r="G317" i="1"/>
  <c r="F317" i="1"/>
  <c r="E317" i="1"/>
  <c r="D317" i="1"/>
  <c r="C317" i="1"/>
  <c r="B317" i="1"/>
  <c r="A317" i="1"/>
  <c r="H316" i="1"/>
  <c r="G316" i="1"/>
  <c r="F316" i="1"/>
  <c r="E316" i="1"/>
  <c r="D316" i="1"/>
  <c r="C316" i="1"/>
  <c r="B316" i="1"/>
  <c r="A316" i="1"/>
  <c r="H315" i="1"/>
  <c r="G315" i="1"/>
  <c r="F315" i="1"/>
  <c r="E315" i="1"/>
  <c r="D315" i="1"/>
  <c r="C315" i="1"/>
  <c r="B315" i="1"/>
  <c r="A315" i="1"/>
  <c r="H314" i="1"/>
  <c r="G314" i="1"/>
  <c r="F314" i="1"/>
  <c r="E314" i="1"/>
  <c r="D314" i="1"/>
  <c r="C314" i="1"/>
  <c r="B314" i="1"/>
  <c r="A314" i="1"/>
  <c r="H313" i="1"/>
  <c r="G313" i="1"/>
  <c r="F313" i="1"/>
  <c r="E313" i="1"/>
  <c r="D313" i="1"/>
  <c r="C313" i="1"/>
  <c r="B313" i="1"/>
  <c r="A313" i="1"/>
  <c r="H312" i="1"/>
  <c r="G312" i="1"/>
  <c r="F312" i="1"/>
  <c r="E312" i="1"/>
  <c r="D312" i="1"/>
  <c r="C312" i="1"/>
  <c r="B312" i="1"/>
  <c r="A312" i="1"/>
  <c r="H311" i="1"/>
  <c r="G311" i="1"/>
  <c r="F311" i="1"/>
  <c r="E311" i="1"/>
  <c r="D311" i="1"/>
  <c r="C311" i="1"/>
  <c r="B311" i="1"/>
  <c r="A311" i="1"/>
  <c r="H310" i="1"/>
  <c r="G310" i="1"/>
  <c r="F310" i="1"/>
  <c r="E310" i="1"/>
  <c r="D310" i="1"/>
  <c r="C310" i="1"/>
  <c r="B310" i="1"/>
  <c r="A310" i="1"/>
  <c r="H309" i="1"/>
  <c r="G309" i="1"/>
  <c r="F309" i="1"/>
  <c r="E309" i="1"/>
  <c r="D309" i="1"/>
  <c r="C309" i="1"/>
  <c r="B309" i="1"/>
  <c r="A309" i="1"/>
  <c r="H308" i="1"/>
  <c r="G308" i="1"/>
  <c r="F308" i="1"/>
  <c r="E308" i="1"/>
  <c r="D308" i="1"/>
  <c r="C308" i="1"/>
  <c r="B308" i="1"/>
  <c r="A308" i="1"/>
  <c r="H307" i="1"/>
  <c r="G307" i="1"/>
  <c r="F307" i="1"/>
  <c r="E307" i="1"/>
  <c r="D307" i="1"/>
  <c r="C307" i="1"/>
  <c r="B307" i="1"/>
  <c r="A307" i="1"/>
  <c r="H306" i="1"/>
  <c r="G306" i="1"/>
  <c r="F306" i="1"/>
  <c r="E306" i="1"/>
  <c r="D306" i="1"/>
  <c r="C306" i="1"/>
  <c r="B306" i="1"/>
  <c r="A306" i="1"/>
  <c r="H305" i="1"/>
  <c r="G305" i="1"/>
  <c r="F305" i="1"/>
  <c r="E305" i="1"/>
  <c r="D305" i="1"/>
  <c r="C305" i="1"/>
  <c r="B305" i="1"/>
  <c r="A305" i="1"/>
  <c r="H304" i="1"/>
  <c r="G304" i="1"/>
  <c r="F304" i="1"/>
  <c r="E304" i="1"/>
  <c r="D304" i="1"/>
  <c r="C304" i="1"/>
  <c r="B304" i="1"/>
  <c r="A304" i="1"/>
  <c r="H303" i="1"/>
  <c r="G303" i="1"/>
  <c r="F303" i="1"/>
  <c r="E303" i="1"/>
  <c r="D303" i="1"/>
  <c r="C303" i="1"/>
  <c r="B303" i="1"/>
  <c r="A303" i="1"/>
  <c r="H302" i="1"/>
  <c r="G302" i="1"/>
  <c r="F302" i="1"/>
  <c r="E302" i="1"/>
  <c r="D302" i="1"/>
  <c r="C302" i="1"/>
  <c r="B302" i="1"/>
  <c r="A302" i="1"/>
  <c r="H301" i="1"/>
  <c r="G301" i="1"/>
  <c r="F301" i="1"/>
  <c r="E301" i="1"/>
  <c r="D301" i="1"/>
  <c r="C301" i="1"/>
  <c r="B301" i="1"/>
  <c r="A301" i="1"/>
  <c r="H300" i="1"/>
  <c r="G300" i="1"/>
  <c r="F300" i="1"/>
  <c r="E300" i="1"/>
  <c r="D300" i="1"/>
  <c r="C300" i="1"/>
  <c r="B300" i="1"/>
  <c r="A300" i="1"/>
  <c r="H299" i="1"/>
  <c r="G299" i="1"/>
  <c r="F299" i="1"/>
  <c r="E299" i="1"/>
  <c r="D299" i="1"/>
  <c r="C299" i="1"/>
  <c r="B299" i="1"/>
  <c r="A299" i="1"/>
  <c r="H298" i="1"/>
  <c r="G298" i="1"/>
  <c r="F298" i="1"/>
  <c r="E298" i="1"/>
  <c r="D298" i="1"/>
  <c r="C298" i="1"/>
  <c r="B298" i="1"/>
  <c r="A298" i="1"/>
  <c r="H297" i="1"/>
  <c r="G297" i="1"/>
  <c r="F297" i="1"/>
  <c r="E297" i="1"/>
  <c r="D297" i="1"/>
  <c r="C297" i="1"/>
  <c r="B297" i="1"/>
  <c r="A297" i="1"/>
  <c r="H296" i="1"/>
  <c r="G296" i="1"/>
  <c r="F296" i="1"/>
  <c r="E296" i="1"/>
  <c r="D296" i="1"/>
  <c r="C296" i="1"/>
  <c r="B296" i="1"/>
  <c r="A296" i="1"/>
  <c r="H295" i="1"/>
  <c r="G295" i="1"/>
  <c r="F295" i="1"/>
  <c r="E295" i="1"/>
  <c r="D295" i="1"/>
  <c r="C295" i="1"/>
  <c r="B295" i="1"/>
  <c r="A295" i="1"/>
  <c r="H294" i="1"/>
  <c r="G294" i="1"/>
  <c r="F294" i="1"/>
  <c r="E294" i="1"/>
  <c r="D294" i="1"/>
  <c r="C294" i="1"/>
  <c r="B294" i="1"/>
  <c r="A294" i="1"/>
  <c r="H293" i="1"/>
  <c r="G293" i="1"/>
  <c r="F293" i="1"/>
  <c r="E293" i="1"/>
  <c r="D293" i="1"/>
  <c r="C293" i="1"/>
  <c r="B293" i="1"/>
  <c r="A293" i="1"/>
  <c r="H292" i="1"/>
  <c r="G292" i="1"/>
  <c r="F292" i="1"/>
  <c r="E292" i="1"/>
  <c r="D292" i="1"/>
  <c r="C292" i="1"/>
  <c r="B292" i="1"/>
  <c r="A292" i="1"/>
  <c r="H291" i="1"/>
  <c r="G291" i="1"/>
  <c r="F291" i="1"/>
  <c r="E291" i="1"/>
  <c r="D291" i="1"/>
  <c r="C291" i="1"/>
  <c r="B291" i="1"/>
  <c r="A291" i="1"/>
  <c r="H290" i="1"/>
  <c r="G290" i="1"/>
  <c r="F290" i="1"/>
  <c r="E290" i="1"/>
  <c r="D290" i="1"/>
  <c r="C290" i="1"/>
  <c r="B290" i="1"/>
  <c r="A290" i="1"/>
  <c r="H289" i="1"/>
  <c r="G289" i="1"/>
  <c r="F289" i="1"/>
  <c r="E289" i="1"/>
  <c r="D289" i="1"/>
  <c r="C289" i="1"/>
  <c r="B289" i="1"/>
  <c r="A289" i="1"/>
  <c r="H288" i="1"/>
  <c r="G288" i="1"/>
  <c r="F288" i="1"/>
  <c r="E288" i="1"/>
  <c r="D288" i="1"/>
  <c r="C288" i="1"/>
  <c r="B288" i="1"/>
  <c r="A288" i="1"/>
  <c r="H287" i="1"/>
  <c r="G287" i="1"/>
  <c r="F287" i="1"/>
  <c r="E287" i="1"/>
  <c r="D287" i="1"/>
  <c r="C287" i="1"/>
  <c r="B287" i="1"/>
  <c r="A287" i="1"/>
  <c r="H286" i="1"/>
  <c r="G286" i="1"/>
  <c r="F286" i="1"/>
  <c r="E286" i="1"/>
  <c r="D286" i="1"/>
  <c r="C286" i="1"/>
  <c r="B286" i="1"/>
  <c r="A286" i="1"/>
  <c r="H285" i="1"/>
  <c r="G285" i="1"/>
  <c r="F285" i="1"/>
  <c r="E285" i="1"/>
  <c r="D285" i="1"/>
  <c r="C285" i="1"/>
  <c r="B285" i="1"/>
  <c r="A285" i="1"/>
  <c r="H284" i="1"/>
  <c r="G284" i="1"/>
  <c r="F284" i="1"/>
  <c r="E284" i="1"/>
  <c r="D284" i="1"/>
  <c r="C284" i="1"/>
  <c r="B284" i="1"/>
  <c r="A284" i="1"/>
  <c r="H283" i="1"/>
  <c r="G283" i="1"/>
  <c r="F283" i="1"/>
  <c r="E283" i="1"/>
  <c r="D283" i="1"/>
  <c r="C283" i="1"/>
  <c r="B283" i="1"/>
  <c r="A283" i="1"/>
  <c r="H282" i="1"/>
  <c r="G282" i="1"/>
  <c r="F282" i="1"/>
  <c r="E282" i="1"/>
  <c r="D282" i="1"/>
  <c r="C282" i="1"/>
  <c r="B282" i="1"/>
  <c r="A282" i="1"/>
  <c r="H281" i="1"/>
  <c r="G281" i="1"/>
  <c r="F281" i="1"/>
  <c r="E281" i="1"/>
  <c r="D281" i="1"/>
  <c r="C281" i="1"/>
  <c r="B281" i="1"/>
  <c r="A281" i="1"/>
  <c r="H280" i="1"/>
  <c r="G280" i="1"/>
  <c r="F280" i="1"/>
  <c r="E280" i="1"/>
  <c r="D280" i="1"/>
  <c r="C280" i="1"/>
  <c r="B280" i="1"/>
  <c r="A280" i="1"/>
  <c r="H279" i="1"/>
  <c r="G279" i="1"/>
  <c r="F279" i="1"/>
  <c r="E279" i="1"/>
  <c r="D279" i="1"/>
  <c r="C279" i="1"/>
  <c r="B279" i="1"/>
  <c r="A279" i="1"/>
  <c r="H278" i="1"/>
  <c r="G278" i="1"/>
  <c r="F278" i="1"/>
  <c r="E278" i="1"/>
  <c r="D278" i="1"/>
  <c r="C278" i="1"/>
  <c r="B278" i="1"/>
  <c r="A278" i="1"/>
  <c r="H277" i="1"/>
  <c r="G277" i="1"/>
  <c r="F277" i="1"/>
  <c r="E277" i="1"/>
  <c r="D277" i="1"/>
  <c r="C277" i="1"/>
  <c r="B277" i="1"/>
  <c r="A277" i="1"/>
  <c r="H276" i="1"/>
  <c r="G276" i="1"/>
  <c r="F276" i="1"/>
  <c r="E276" i="1"/>
  <c r="D276" i="1"/>
  <c r="C276" i="1"/>
  <c r="B276" i="1"/>
  <c r="A276" i="1"/>
  <c r="H275" i="1"/>
  <c r="G275" i="1"/>
  <c r="F275" i="1"/>
  <c r="E275" i="1"/>
  <c r="D275" i="1"/>
  <c r="C275" i="1"/>
  <c r="B275" i="1"/>
  <c r="A275" i="1"/>
  <c r="H274" i="1"/>
  <c r="G274" i="1"/>
  <c r="F274" i="1"/>
  <c r="E274" i="1"/>
  <c r="D274" i="1"/>
  <c r="C274" i="1"/>
  <c r="B274" i="1"/>
  <c r="A274" i="1"/>
  <c r="H273" i="1"/>
  <c r="G273" i="1"/>
  <c r="F273" i="1"/>
  <c r="E273" i="1"/>
  <c r="D273" i="1"/>
  <c r="C273" i="1"/>
  <c r="B273" i="1"/>
  <c r="A273" i="1"/>
  <c r="H272" i="1"/>
  <c r="G272" i="1"/>
  <c r="F272" i="1"/>
  <c r="E272" i="1"/>
  <c r="D272" i="1"/>
  <c r="C272" i="1"/>
  <c r="B272" i="1"/>
  <c r="A272" i="1"/>
  <c r="H271" i="1"/>
  <c r="G271" i="1"/>
  <c r="F271" i="1"/>
  <c r="E271" i="1"/>
  <c r="D271" i="1"/>
  <c r="C271" i="1"/>
  <c r="B271" i="1"/>
  <c r="A271" i="1"/>
  <c r="H270" i="1"/>
  <c r="G270" i="1"/>
  <c r="F270" i="1"/>
  <c r="E270" i="1"/>
  <c r="D270" i="1"/>
  <c r="C270" i="1"/>
  <c r="B270" i="1"/>
  <c r="A270" i="1"/>
  <c r="H269" i="1"/>
  <c r="G269" i="1"/>
  <c r="F269" i="1"/>
  <c r="E269" i="1"/>
  <c r="D269" i="1"/>
  <c r="C269" i="1"/>
  <c r="B269" i="1"/>
  <c r="A269" i="1"/>
  <c r="H268" i="1"/>
  <c r="G268" i="1"/>
  <c r="F268" i="1"/>
  <c r="E268" i="1"/>
  <c r="D268" i="1"/>
  <c r="C268" i="1"/>
  <c r="B268" i="1"/>
  <c r="A268" i="1"/>
  <c r="H267" i="1"/>
  <c r="G267" i="1"/>
  <c r="F267" i="1"/>
  <c r="E267" i="1"/>
  <c r="D267" i="1"/>
  <c r="C267" i="1"/>
  <c r="B267" i="1"/>
  <c r="A267" i="1"/>
  <c r="H266" i="1"/>
  <c r="G266" i="1"/>
  <c r="F266" i="1"/>
  <c r="E266" i="1"/>
  <c r="D266" i="1"/>
  <c r="C266" i="1"/>
  <c r="B266" i="1"/>
  <c r="A266" i="1"/>
  <c r="H265" i="1"/>
  <c r="G265" i="1"/>
  <c r="F265" i="1"/>
  <c r="E265" i="1"/>
  <c r="D265" i="1"/>
  <c r="C265" i="1"/>
  <c r="B265" i="1"/>
  <c r="A265" i="1"/>
  <c r="H264" i="1"/>
  <c r="G264" i="1"/>
  <c r="F264" i="1"/>
  <c r="E264" i="1"/>
  <c r="D264" i="1"/>
  <c r="C264" i="1"/>
  <c r="B264" i="1"/>
  <c r="A264" i="1"/>
  <c r="H263" i="1"/>
  <c r="G263" i="1"/>
  <c r="F263" i="1"/>
  <c r="E263" i="1"/>
  <c r="D263" i="1"/>
  <c r="C263" i="1"/>
  <c r="B263" i="1"/>
  <c r="A263" i="1"/>
  <c r="H262" i="1"/>
  <c r="G262" i="1"/>
  <c r="F262" i="1"/>
  <c r="E262" i="1"/>
  <c r="D262" i="1"/>
  <c r="C262" i="1"/>
  <c r="B262" i="1"/>
  <c r="A262" i="1"/>
  <c r="H261" i="1"/>
  <c r="G261" i="1"/>
  <c r="F261" i="1"/>
  <c r="E261" i="1"/>
  <c r="D261" i="1"/>
  <c r="C261" i="1"/>
  <c r="B261" i="1"/>
  <c r="A261" i="1"/>
  <c r="H260" i="1"/>
  <c r="G260" i="1"/>
  <c r="F260" i="1"/>
  <c r="E260" i="1"/>
  <c r="D260" i="1"/>
  <c r="C260" i="1"/>
  <c r="B260" i="1"/>
  <c r="A260" i="1"/>
  <c r="H259" i="1"/>
  <c r="G259" i="1"/>
  <c r="F259" i="1"/>
  <c r="E259" i="1"/>
  <c r="D259" i="1"/>
  <c r="C259" i="1"/>
  <c r="B259" i="1"/>
  <c r="A259" i="1"/>
  <c r="H258" i="1"/>
  <c r="G258" i="1"/>
  <c r="F258" i="1"/>
  <c r="E258" i="1"/>
  <c r="D258" i="1"/>
  <c r="C258" i="1"/>
  <c r="B258" i="1"/>
  <c r="A258" i="1"/>
  <c r="H257" i="1"/>
  <c r="G257" i="1"/>
  <c r="F257" i="1"/>
  <c r="E257" i="1"/>
  <c r="D257" i="1"/>
  <c r="C257" i="1"/>
  <c r="B257" i="1"/>
  <c r="A257" i="1"/>
  <c r="H256" i="1"/>
  <c r="G256" i="1"/>
  <c r="F256" i="1"/>
  <c r="E256" i="1"/>
  <c r="D256" i="1"/>
  <c r="C256" i="1"/>
  <c r="B256" i="1"/>
  <c r="A256" i="1"/>
  <c r="H255" i="1"/>
  <c r="G255" i="1"/>
  <c r="F255" i="1"/>
  <c r="E255" i="1"/>
  <c r="D255" i="1"/>
  <c r="C255" i="1"/>
  <c r="B255" i="1"/>
  <c r="A255" i="1"/>
  <c r="H254" i="1"/>
  <c r="G254" i="1"/>
  <c r="F254" i="1"/>
  <c r="E254" i="1"/>
  <c r="D254" i="1"/>
  <c r="C254" i="1"/>
  <c r="B254" i="1"/>
  <c r="A254" i="1"/>
  <c r="H253" i="1"/>
  <c r="G253" i="1"/>
  <c r="F253" i="1"/>
  <c r="E253" i="1"/>
  <c r="D253" i="1"/>
  <c r="C253" i="1"/>
  <c r="B253" i="1"/>
  <c r="A253" i="1"/>
  <c r="H252" i="1"/>
  <c r="G252" i="1"/>
  <c r="F252" i="1"/>
  <c r="E252" i="1"/>
  <c r="D252" i="1"/>
  <c r="C252" i="1"/>
  <c r="B252" i="1"/>
  <c r="A252" i="1"/>
  <c r="H251" i="1"/>
  <c r="G251" i="1"/>
  <c r="F251" i="1"/>
  <c r="E251" i="1"/>
  <c r="D251" i="1"/>
  <c r="C251" i="1"/>
  <c r="B251" i="1"/>
  <c r="A251" i="1"/>
  <c r="H250" i="1"/>
  <c r="G250" i="1"/>
  <c r="F250" i="1"/>
  <c r="E250" i="1"/>
  <c r="D250" i="1"/>
  <c r="C250" i="1"/>
  <c r="B250" i="1"/>
  <c r="A250" i="1"/>
  <c r="K249" i="1"/>
  <c r="J249" i="1"/>
  <c r="I249" i="1"/>
  <c r="H249" i="1"/>
  <c r="G249" i="1"/>
  <c r="F249" i="1"/>
  <c r="E249" i="1"/>
  <c r="D249" i="1"/>
  <c r="C249" i="1"/>
  <c r="B249" i="1"/>
  <c r="A249" i="1"/>
  <c r="K248" i="1"/>
  <c r="J248" i="1"/>
  <c r="I248" i="1"/>
  <c r="H248" i="1"/>
  <c r="G248" i="1"/>
  <c r="F248" i="1"/>
  <c r="E248" i="1"/>
  <c r="D248" i="1"/>
  <c r="C248" i="1"/>
  <c r="B248" i="1"/>
  <c r="A248" i="1"/>
  <c r="K247" i="1"/>
  <c r="J247" i="1"/>
  <c r="I247" i="1"/>
  <c r="H247" i="1"/>
  <c r="G247" i="1"/>
  <c r="F247" i="1"/>
  <c r="E247" i="1"/>
  <c r="D247" i="1"/>
  <c r="C247" i="1"/>
  <c r="B247" i="1"/>
  <c r="A247" i="1"/>
  <c r="K246" i="1"/>
  <c r="J246" i="1"/>
  <c r="I246" i="1"/>
  <c r="H246" i="1"/>
  <c r="G246" i="1"/>
  <c r="F246" i="1"/>
  <c r="E246" i="1"/>
  <c r="D246" i="1"/>
  <c r="C246" i="1"/>
  <c r="B246" i="1"/>
  <c r="A246" i="1"/>
  <c r="K245" i="1"/>
  <c r="I245" i="1"/>
  <c r="H245" i="1"/>
  <c r="G245" i="1"/>
  <c r="F245" i="1"/>
  <c r="E245" i="1"/>
  <c r="D245" i="1"/>
  <c r="C245" i="1"/>
  <c r="B245" i="1"/>
  <c r="A245" i="1"/>
  <c r="K244" i="1"/>
  <c r="J244" i="1"/>
  <c r="I244" i="1"/>
  <c r="H244" i="1"/>
  <c r="G244" i="1"/>
  <c r="F244" i="1"/>
  <c r="E244" i="1"/>
  <c r="D244" i="1"/>
  <c r="C244" i="1"/>
  <c r="B244" i="1"/>
  <c r="A244" i="1"/>
  <c r="K243" i="1"/>
  <c r="J243" i="1"/>
  <c r="I243" i="1"/>
  <c r="H243" i="1"/>
  <c r="G243" i="1"/>
  <c r="F243" i="1"/>
  <c r="E243" i="1"/>
  <c r="D243" i="1"/>
  <c r="C243" i="1"/>
  <c r="B243" i="1"/>
  <c r="A243" i="1"/>
  <c r="K242" i="1"/>
  <c r="J242" i="1"/>
  <c r="I242" i="1"/>
  <c r="H242" i="1"/>
  <c r="G242" i="1"/>
  <c r="F242" i="1"/>
  <c r="E242" i="1"/>
  <c r="D242" i="1"/>
  <c r="C242" i="1"/>
  <c r="B242" i="1"/>
  <c r="A242" i="1"/>
  <c r="K241" i="1"/>
  <c r="J241" i="1"/>
  <c r="I241" i="1"/>
  <c r="H241" i="1"/>
  <c r="G241" i="1"/>
  <c r="F241" i="1"/>
  <c r="E241" i="1"/>
  <c r="D241" i="1"/>
  <c r="C241" i="1"/>
  <c r="B241" i="1"/>
  <c r="A241" i="1"/>
  <c r="K240" i="1"/>
  <c r="J240" i="1"/>
  <c r="I240" i="1"/>
  <c r="H240" i="1"/>
  <c r="G240" i="1"/>
  <c r="F240" i="1"/>
  <c r="E240" i="1"/>
  <c r="D240" i="1"/>
  <c r="C240" i="1"/>
  <c r="B240" i="1"/>
  <c r="A240" i="1"/>
  <c r="K239" i="1"/>
  <c r="J239" i="1"/>
  <c r="I239" i="1"/>
  <c r="H239" i="1"/>
  <c r="G239" i="1"/>
  <c r="F239" i="1"/>
  <c r="E239" i="1"/>
  <c r="D239" i="1"/>
  <c r="C239" i="1"/>
  <c r="B239" i="1"/>
  <c r="A239" i="1"/>
  <c r="K238" i="1"/>
  <c r="J238" i="1"/>
  <c r="I238" i="1"/>
  <c r="H238" i="1"/>
  <c r="G238" i="1"/>
  <c r="F238" i="1"/>
  <c r="E238" i="1"/>
  <c r="D238" i="1"/>
  <c r="C238" i="1"/>
  <c r="B238" i="1"/>
  <c r="A238" i="1"/>
  <c r="K237" i="1"/>
  <c r="J237" i="1"/>
  <c r="I237" i="1"/>
  <c r="H237" i="1"/>
  <c r="G237" i="1"/>
  <c r="F237" i="1"/>
  <c r="E237" i="1"/>
  <c r="D237" i="1"/>
  <c r="C237" i="1"/>
  <c r="B237" i="1"/>
  <c r="A237" i="1"/>
  <c r="J236" i="1"/>
  <c r="I236" i="1"/>
  <c r="H236" i="1"/>
  <c r="G236" i="1"/>
  <c r="F236" i="1"/>
  <c r="E236" i="1"/>
  <c r="D236" i="1"/>
  <c r="C236" i="1"/>
  <c r="B236" i="1"/>
  <c r="A236" i="1"/>
  <c r="K235" i="1"/>
  <c r="J235" i="1"/>
  <c r="I235" i="1"/>
  <c r="H235" i="1"/>
  <c r="G235" i="1"/>
  <c r="F235" i="1"/>
  <c r="E235" i="1"/>
  <c r="D235" i="1"/>
  <c r="C235" i="1"/>
  <c r="B235" i="1"/>
  <c r="A235" i="1"/>
  <c r="K234" i="1"/>
  <c r="J234" i="1"/>
  <c r="I234" i="1"/>
  <c r="H234" i="1"/>
  <c r="G234" i="1"/>
  <c r="F234" i="1"/>
  <c r="E234" i="1"/>
  <c r="D234" i="1"/>
  <c r="C234" i="1"/>
  <c r="B234" i="1"/>
  <c r="A234" i="1"/>
  <c r="K233" i="1"/>
  <c r="J233" i="1"/>
  <c r="I233" i="1"/>
  <c r="H233" i="1"/>
  <c r="G233" i="1"/>
  <c r="F233" i="1"/>
  <c r="E233" i="1"/>
  <c r="D233" i="1"/>
  <c r="C233" i="1"/>
  <c r="B233" i="1"/>
  <c r="A233" i="1"/>
  <c r="J232" i="1"/>
  <c r="I232" i="1"/>
  <c r="H232" i="1"/>
  <c r="G232" i="1"/>
  <c r="F232" i="1"/>
  <c r="E232" i="1"/>
  <c r="D232" i="1"/>
  <c r="C232" i="1"/>
  <c r="B232" i="1"/>
  <c r="A232" i="1"/>
  <c r="J231" i="1"/>
  <c r="I231" i="1"/>
  <c r="H231" i="1"/>
  <c r="G231" i="1"/>
  <c r="F231" i="1"/>
  <c r="E231" i="1"/>
  <c r="D231" i="1"/>
  <c r="C231" i="1"/>
  <c r="B231" i="1"/>
  <c r="A231" i="1"/>
  <c r="J230" i="1"/>
  <c r="I230" i="1"/>
  <c r="H230" i="1"/>
  <c r="G230" i="1"/>
  <c r="F230" i="1"/>
  <c r="E230" i="1"/>
  <c r="D230" i="1"/>
  <c r="C230" i="1"/>
  <c r="B230" i="1"/>
  <c r="A230" i="1"/>
  <c r="K229" i="1"/>
  <c r="J229" i="1"/>
  <c r="I229" i="1"/>
  <c r="H229" i="1"/>
  <c r="G229" i="1"/>
  <c r="F229" i="1"/>
  <c r="E229" i="1"/>
  <c r="D229" i="1"/>
  <c r="C229" i="1"/>
  <c r="B229" i="1"/>
  <c r="A229" i="1"/>
  <c r="K228" i="1"/>
  <c r="J228" i="1"/>
  <c r="I228" i="1"/>
  <c r="H228" i="1"/>
  <c r="G228" i="1"/>
  <c r="F228" i="1"/>
  <c r="E228" i="1"/>
  <c r="D228" i="1"/>
  <c r="C228" i="1"/>
  <c r="B228" i="1"/>
  <c r="A228" i="1"/>
  <c r="J227" i="1"/>
  <c r="I227" i="1"/>
  <c r="H227" i="1"/>
  <c r="G227" i="1"/>
  <c r="F227" i="1"/>
  <c r="E227" i="1"/>
  <c r="D227" i="1"/>
  <c r="C227" i="1"/>
  <c r="B227" i="1"/>
  <c r="A227" i="1"/>
  <c r="J226" i="1"/>
  <c r="I226" i="1"/>
  <c r="H226" i="1"/>
  <c r="G226" i="1"/>
  <c r="F226" i="1"/>
  <c r="E226" i="1"/>
  <c r="D226" i="1"/>
  <c r="C226" i="1"/>
  <c r="B226" i="1"/>
  <c r="A226" i="1"/>
  <c r="K225" i="1"/>
  <c r="J225" i="1"/>
  <c r="I225" i="1"/>
  <c r="H225" i="1"/>
  <c r="G225" i="1"/>
  <c r="F225" i="1"/>
  <c r="E225" i="1"/>
  <c r="D225" i="1"/>
  <c r="C225" i="1"/>
  <c r="B225" i="1"/>
  <c r="A225" i="1"/>
  <c r="K224" i="1"/>
  <c r="J224" i="1"/>
  <c r="I224" i="1"/>
  <c r="H224" i="1"/>
  <c r="G224" i="1"/>
  <c r="F224" i="1"/>
  <c r="E224" i="1"/>
  <c r="D224" i="1"/>
  <c r="C224" i="1"/>
  <c r="B224" i="1"/>
  <c r="A224" i="1"/>
  <c r="K223" i="1"/>
  <c r="J223" i="1"/>
  <c r="I223" i="1"/>
  <c r="H223" i="1"/>
  <c r="G223" i="1"/>
  <c r="F223" i="1"/>
  <c r="E223" i="1"/>
  <c r="D223" i="1"/>
  <c r="C223" i="1"/>
  <c r="B223" i="1"/>
  <c r="A223" i="1"/>
  <c r="J222" i="1"/>
  <c r="I222" i="1"/>
  <c r="H222" i="1"/>
  <c r="G222" i="1"/>
  <c r="F222" i="1"/>
  <c r="E222" i="1"/>
  <c r="D222" i="1"/>
  <c r="C222" i="1"/>
  <c r="B222" i="1"/>
  <c r="A222" i="1"/>
  <c r="J221" i="1"/>
  <c r="I221" i="1"/>
  <c r="H221" i="1"/>
  <c r="G221" i="1"/>
  <c r="F221" i="1"/>
  <c r="E221" i="1"/>
  <c r="D221" i="1"/>
  <c r="C221" i="1"/>
  <c r="B221" i="1"/>
  <c r="A221" i="1"/>
  <c r="J220" i="1"/>
  <c r="I220" i="1"/>
  <c r="H220" i="1"/>
  <c r="G220" i="1"/>
  <c r="F220" i="1"/>
  <c r="E220" i="1"/>
  <c r="D220" i="1"/>
  <c r="C220" i="1"/>
  <c r="B220" i="1"/>
  <c r="A220" i="1"/>
  <c r="J219" i="1"/>
  <c r="I219" i="1"/>
  <c r="H219" i="1"/>
  <c r="G219" i="1"/>
  <c r="F219" i="1"/>
  <c r="E219" i="1"/>
  <c r="D219" i="1"/>
  <c r="C219" i="1"/>
  <c r="B219" i="1"/>
  <c r="A219" i="1"/>
  <c r="I218" i="1"/>
  <c r="H218" i="1"/>
  <c r="G218" i="1"/>
  <c r="F218" i="1"/>
  <c r="E218" i="1"/>
  <c r="D218" i="1"/>
  <c r="C218" i="1"/>
  <c r="B218" i="1"/>
  <c r="A218" i="1"/>
  <c r="J217" i="1"/>
  <c r="I217" i="1"/>
  <c r="H217" i="1"/>
  <c r="G217" i="1"/>
  <c r="F217" i="1"/>
  <c r="E217" i="1"/>
  <c r="D217" i="1"/>
  <c r="C217" i="1"/>
  <c r="B217" i="1"/>
  <c r="A217" i="1"/>
  <c r="I216" i="1"/>
  <c r="H216" i="1"/>
  <c r="G216" i="1"/>
  <c r="F216" i="1"/>
  <c r="E216" i="1"/>
  <c r="D216" i="1"/>
  <c r="C216" i="1"/>
  <c r="B216" i="1"/>
  <c r="A216" i="1"/>
  <c r="J215" i="1"/>
  <c r="I215" i="1"/>
  <c r="H215" i="1"/>
  <c r="G215" i="1"/>
  <c r="F215" i="1"/>
  <c r="E215" i="1"/>
  <c r="D215" i="1"/>
  <c r="C215" i="1"/>
  <c r="B215" i="1"/>
  <c r="A215" i="1"/>
  <c r="J214" i="1"/>
  <c r="I214" i="1"/>
  <c r="H214" i="1"/>
  <c r="G214" i="1"/>
  <c r="F214" i="1"/>
  <c r="E214" i="1"/>
  <c r="D214" i="1"/>
  <c r="C214" i="1"/>
  <c r="B214" i="1"/>
  <c r="A214" i="1"/>
  <c r="J213" i="1"/>
  <c r="I213" i="1"/>
  <c r="H213" i="1"/>
  <c r="G213" i="1"/>
  <c r="F213" i="1"/>
  <c r="E213" i="1"/>
  <c r="D213" i="1"/>
  <c r="C213" i="1"/>
  <c r="B213" i="1"/>
  <c r="A213" i="1"/>
  <c r="I212" i="1"/>
  <c r="H212" i="1"/>
  <c r="G212" i="1"/>
  <c r="F212" i="1"/>
  <c r="E212" i="1"/>
  <c r="D212" i="1"/>
  <c r="C212" i="1"/>
  <c r="B212" i="1"/>
  <c r="A212" i="1"/>
  <c r="I211" i="1"/>
  <c r="H211" i="1"/>
  <c r="G211" i="1"/>
  <c r="F211" i="1"/>
  <c r="E211" i="1"/>
  <c r="D211" i="1"/>
  <c r="C211" i="1"/>
  <c r="B211" i="1"/>
  <c r="A211" i="1"/>
  <c r="J210" i="1"/>
  <c r="I210" i="1"/>
  <c r="H210" i="1"/>
  <c r="G210" i="1"/>
  <c r="F210" i="1"/>
  <c r="E210" i="1"/>
  <c r="D210" i="1"/>
  <c r="C210" i="1"/>
  <c r="B210" i="1"/>
  <c r="A210" i="1"/>
  <c r="K209" i="1"/>
  <c r="J209" i="1"/>
  <c r="I209" i="1"/>
  <c r="H209" i="1"/>
  <c r="G209" i="1"/>
  <c r="F209" i="1"/>
  <c r="E209" i="1"/>
  <c r="D209" i="1"/>
  <c r="C209" i="1"/>
  <c r="B209" i="1"/>
  <c r="A209" i="1"/>
  <c r="J208" i="1"/>
  <c r="I208" i="1"/>
  <c r="H208" i="1"/>
  <c r="G208" i="1"/>
  <c r="F208" i="1"/>
  <c r="E208" i="1"/>
  <c r="D208" i="1"/>
  <c r="C208" i="1"/>
  <c r="B208" i="1"/>
  <c r="A208" i="1"/>
  <c r="K207" i="1"/>
  <c r="J207" i="1"/>
  <c r="I207" i="1"/>
  <c r="H207" i="1"/>
  <c r="G207" i="1"/>
  <c r="F207" i="1"/>
  <c r="E207" i="1"/>
  <c r="D207" i="1"/>
  <c r="C207" i="1"/>
  <c r="B207" i="1"/>
  <c r="A207" i="1"/>
  <c r="K206" i="1"/>
  <c r="J206" i="1"/>
  <c r="I206" i="1"/>
  <c r="H206" i="1"/>
  <c r="G206" i="1"/>
  <c r="F206" i="1"/>
  <c r="E206" i="1"/>
  <c r="D206" i="1"/>
  <c r="C206" i="1"/>
  <c r="B206" i="1"/>
  <c r="A206" i="1"/>
  <c r="J205" i="1"/>
  <c r="I205" i="1"/>
  <c r="H205" i="1"/>
  <c r="G205" i="1"/>
  <c r="F205" i="1"/>
  <c r="E205" i="1"/>
  <c r="D205" i="1"/>
  <c r="C205" i="1"/>
  <c r="B205" i="1"/>
  <c r="A205" i="1"/>
  <c r="K204" i="1"/>
  <c r="J204" i="1"/>
  <c r="I204" i="1"/>
  <c r="H204" i="1"/>
  <c r="G204" i="1"/>
  <c r="F204" i="1"/>
  <c r="E204" i="1"/>
  <c r="D204" i="1"/>
  <c r="C204" i="1"/>
  <c r="B204" i="1"/>
  <c r="A204" i="1"/>
  <c r="J203" i="1"/>
  <c r="I203" i="1"/>
  <c r="H203" i="1"/>
  <c r="G203" i="1"/>
  <c r="F203" i="1"/>
  <c r="E203" i="1"/>
  <c r="D203" i="1"/>
  <c r="C203" i="1"/>
  <c r="B203" i="1"/>
  <c r="A203" i="1"/>
  <c r="K202" i="1"/>
  <c r="J202" i="1"/>
  <c r="I202" i="1"/>
  <c r="H202" i="1"/>
  <c r="G202" i="1"/>
  <c r="F202" i="1"/>
  <c r="E202" i="1"/>
  <c r="D202" i="1"/>
  <c r="C202" i="1"/>
  <c r="B202" i="1"/>
  <c r="A202" i="1"/>
  <c r="J201" i="1"/>
  <c r="I201" i="1"/>
  <c r="H201" i="1"/>
  <c r="G201" i="1"/>
  <c r="F201" i="1"/>
  <c r="E201" i="1"/>
  <c r="D201" i="1"/>
  <c r="C201" i="1"/>
  <c r="B201" i="1"/>
  <c r="A201" i="1"/>
  <c r="J200" i="1"/>
  <c r="I200" i="1"/>
  <c r="H200" i="1"/>
  <c r="G200" i="1"/>
  <c r="F200" i="1"/>
  <c r="E200" i="1"/>
  <c r="D200" i="1"/>
  <c r="C200" i="1"/>
  <c r="B200" i="1"/>
  <c r="A200" i="1"/>
  <c r="J199" i="1"/>
  <c r="I199" i="1"/>
  <c r="H199" i="1"/>
  <c r="G199" i="1"/>
  <c r="F199" i="1"/>
  <c r="E199" i="1"/>
  <c r="D199" i="1"/>
  <c r="C199" i="1"/>
  <c r="B199" i="1"/>
  <c r="A199" i="1"/>
  <c r="K198" i="1"/>
  <c r="J198" i="1"/>
  <c r="I198" i="1"/>
  <c r="H198" i="1"/>
  <c r="G198" i="1"/>
  <c r="F198" i="1"/>
  <c r="E198" i="1"/>
  <c r="D198" i="1"/>
  <c r="C198" i="1"/>
  <c r="B198" i="1"/>
  <c r="A198" i="1"/>
  <c r="J197" i="1"/>
  <c r="I197" i="1"/>
  <c r="H197" i="1"/>
  <c r="G197" i="1"/>
  <c r="F197" i="1"/>
  <c r="E197" i="1"/>
  <c r="D197" i="1"/>
  <c r="C197" i="1"/>
  <c r="B197" i="1"/>
  <c r="A197" i="1"/>
  <c r="K196" i="1"/>
  <c r="J196" i="1"/>
  <c r="I196" i="1"/>
  <c r="H196" i="1"/>
  <c r="G196" i="1"/>
  <c r="F196" i="1"/>
  <c r="E196" i="1"/>
  <c r="D196" i="1"/>
  <c r="C196" i="1"/>
  <c r="B196" i="1"/>
  <c r="A196" i="1"/>
  <c r="J195" i="1"/>
  <c r="I195" i="1"/>
  <c r="H195" i="1"/>
  <c r="G195" i="1"/>
  <c r="F195" i="1"/>
  <c r="E195" i="1"/>
  <c r="D195" i="1"/>
  <c r="C195" i="1"/>
  <c r="B195" i="1"/>
  <c r="A195" i="1"/>
  <c r="J194" i="1"/>
  <c r="I194" i="1"/>
  <c r="H194" i="1"/>
  <c r="G194" i="1"/>
  <c r="F194" i="1"/>
  <c r="E194" i="1"/>
  <c r="D194" i="1"/>
  <c r="C194" i="1"/>
  <c r="B194" i="1"/>
  <c r="A194" i="1"/>
  <c r="K193" i="1"/>
  <c r="J193" i="1"/>
  <c r="I193" i="1"/>
  <c r="H193" i="1"/>
  <c r="G193" i="1"/>
  <c r="F193" i="1"/>
  <c r="E193" i="1"/>
  <c r="D193" i="1"/>
  <c r="C193" i="1"/>
  <c r="B193" i="1"/>
  <c r="A193" i="1"/>
  <c r="J192" i="1"/>
  <c r="I192" i="1"/>
  <c r="H192" i="1"/>
  <c r="G192" i="1"/>
  <c r="F192" i="1"/>
  <c r="E192" i="1"/>
  <c r="D192" i="1"/>
  <c r="C192" i="1"/>
  <c r="B192" i="1"/>
  <c r="A192" i="1"/>
  <c r="J191" i="1"/>
  <c r="I191" i="1"/>
  <c r="H191" i="1"/>
  <c r="G191" i="1"/>
  <c r="F191" i="1"/>
  <c r="E191" i="1"/>
  <c r="D191" i="1"/>
  <c r="C191" i="1"/>
  <c r="B191" i="1"/>
  <c r="A191" i="1"/>
  <c r="K190" i="1"/>
  <c r="J190" i="1"/>
  <c r="I190" i="1"/>
  <c r="H190" i="1"/>
  <c r="G190" i="1"/>
  <c r="F190" i="1"/>
  <c r="E190" i="1"/>
  <c r="D190" i="1"/>
  <c r="C190" i="1"/>
  <c r="B190" i="1"/>
  <c r="A190" i="1"/>
  <c r="K189" i="1"/>
  <c r="J189" i="1"/>
  <c r="I189" i="1"/>
  <c r="H189" i="1"/>
  <c r="G189" i="1"/>
  <c r="F189" i="1"/>
  <c r="E189" i="1"/>
  <c r="D189" i="1"/>
  <c r="C189" i="1"/>
  <c r="B189" i="1"/>
  <c r="A189" i="1"/>
  <c r="J188" i="1"/>
  <c r="I188" i="1"/>
  <c r="H188" i="1"/>
  <c r="G188" i="1"/>
  <c r="F188" i="1"/>
  <c r="E188" i="1"/>
  <c r="D188" i="1"/>
  <c r="C188" i="1"/>
  <c r="B188" i="1"/>
  <c r="A188" i="1"/>
  <c r="J187" i="1"/>
  <c r="I187" i="1"/>
  <c r="H187" i="1"/>
  <c r="G187" i="1"/>
  <c r="F187" i="1"/>
  <c r="E187" i="1"/>
  <c r="D187" i="1"/>
  <c r="C187" i="1"/>
  <c r="B187" i="1"/>
  <c r="A187" i="1"/>
  <c r="J186" i="1"/>
  <c r="I186" i="1"/>
  <c r="H186" i="1"/>
  <c r="G186" i="1"/>
  <c r="F186" i="1"/>
  <c r="E186" i="1"/>
  <c r="D186" i="1"/>
  <c r="C186" i="1"/>
  <c r="B186" i="1"/>
  <c r="A186" i="1"/>
  <c r="K185" i="1"/>
  <c r="J185" i="1"/>
  <c r="I185" i="1"/>
  <c r="H185" i="1"/>
  <c r="G185" i="1"/>
  <c r="F185" i="1"/>
  <c r="E185" i="1"/>
  <c r="D185" i="1"/>
  <c r="C185" i="1"/>
  <c r="B185" i="1"/>
  <c r="A185" i="1"/>
  <c r="K184" i="1"/>
  <c r="J184" i="1"/>
  <c r="I184" i="1"/>
  <c r="H184" i="1"/>
  <c r="G184" i="1"/>
  <c r="F184" i="1"/>
  <c r="E184" i="1"/>
  <c r="D184" i="1"/>
  <c r="C184" i="1"/>
  <c r="B184" i="1"/>
  <c r="A184" i="1"/>
  <c r="J183" i="1"/>
  <c r="I183" i="1"/>
  <c r="H183" i="1"/>
  <c r="G183" i="1"/>
  <c r="F183" i="1"/>
  <c r="E183" i="1"/>
  <c r="D183" i="1"/>
  <c r="C183" i="1"/>
  <c r="B183" i="1"/>
  <c r="A183" i="1"/>
  <c r="K182" i="1"/>
  <c r="J182" i="1"/>
  <c r="I182" i="1"/>
  <c r="H182" i="1"/>
  <c r="G182" i="1"/>
  <c r="F182" i="1"/>
  <c r="E182" i="1"/>
  <c r="D182" i="1"/>
  <c r="C182" i="1"/>
  <c r="B182" i="1"/>
  <c r="A182" i="1"/>
  <c r="J181" i="1"/>
  <c r="I181" i="1"/>
  <c r="H181" i="1"/>
  <c r="G181" i="1"/>
  <c r="F181" i="1"/>
  <c r="E181" i="1"/>
  <c r="D181" i="1"/>
  <c r="C181" i="1"/>
  <c r="B181" i="1"/>
  <c r="A181" i="1"/>
  <c r="K180" i="1"/>
  <c r="I180" i="1"/>
  <c r="G180" i="1"/>
  <c r="F180" i="1"/>
  <c r="E180" i="1"/>
  <c r="D180" i="1"/>
  <c r="A180" i="1"/>
  <c r="K179" i="1"/>
  <c r="J179" i="1"/>
  <c r="I179" i="1"/>
  <c r="H179" i="1"/>
  <c r="G179" i="1"/>
  <c r="F179" i="1"/>
  <c r="E179" i="1"/>
  <c r="D179" i="1"/>
  <c r="C179" i="1"/>
  <c r="B179" i="1"/>
  <c r="A179" i="1"/>
  <c r="K178" i="1"/>
  <c r="J178" i="1"/>
  <c r="I178" i="1"/>
  <c r="H178" i="1"/>
  <c r="G178" i="1"/>
  <c r="F178" i="1"/>
  <c r="E178" i="1"/>
  <c r="D178" i="1"/>
  <c r="C178" i="1"/>
  <c r="B178" i="1"/>
  <c r="A178" i="1"/>
  <c r="K177" i="1"/>
  <c r="J177" i="1"/>
  <c r="I177" i="1"/>
  <c r="H177" i="1"/>
  <c r="G177" i="1"/>
  <c r="F177" i="1"/>
  <c r="E177" i="1"/>
  <c r="D177" i="1"/>
  <c r="C177" i="1"/>
  <c r="B177" i="1"/>
  <c r="A177" i="1"/>
  <c r="K176" i="1"/>
  <c r="J176" i="1"/>
  <c r="I176" i="1"/>
  <c r="H176" i="1"/>
  <c r="G176" i="1"/>
  <c r="F176" i="1"/>
  <c r="E176" i="1"/>
  <c r="D176" i="1"/>
  <c r="C176" i="1"/>
  <c r="B176" i="1"/>
  <c r="A176" i="1"/>
  <c r="K175" i="1"/>
  <c r="J175" i="1"/>
  <c r="I175" i="1"/>
  <c r="H175" i="1"/>
  <c r="G175" i="1"/>
  <c r="F175" i="1"/>
  <c r="E175" i="1"/>
  <c r="D175" i="1"/>
  <c r="C175" i="1"/>
  <c r="B175" i="1"/>
  <c r="A175" i="1"/>
  <c r="K174" i="1"/>
  <c r="J174" i="1"/>
  <c r="I174" i="1"/>
  <c r="H174" i="1"/>
  <c r="G174" i="1"/>
  <c r="F174" i="1"/>
  <c r="E174" i="1"/>
  <c r="D174" i="1"/>
  <c r="C174" i="1"/>
  <c r="B174" i="1"/>
  <c r="A174" i="1"/>
  <c r="K173" i="1"/>
  <c r="J173" i="1"/>
  <c r="I173" i="1"/>
  <c r="H173" i="1"/>
  <c r="G173" i="1"/>
  <c r="F173" i="1"/>
  <c r="E173" i="1"/>
  <c r="D173" i="1"/>
  <c r="C173" i="1"/>
  <c r="B173" i="1"/>
  <c r="A173" i="1"/>
  <c r="K172" i="1"/>
  <c r="J172" i="1"/>
  <c r="I172" i="1"/>
  <c r="H172" i="1"/>
  <c r="G172" i="1"/>
  <c r="F172" i="1"/>
  <c r="E172" i="1"/>
  <c r="D172" i="1"/>
  <c r="C172" i="1"/>
  <c r="B172" i="1"/>
  <c r="A172" i="1"/>
  <c r="K171" i="1"/>
  <c r="J171" i="1"/>
  <c r="I171" i="1"/>
  <c r="H171" i="1"/>
  <c r="G171" i="1"/>
  <c r="F171" i="1"/>
  <c r="E171" i="1"/>
  <c r="D171" i="1"/>
  <c r="C171" i="1"/>
  <c r="B171" i="1"/>
  <c r="A171" i="1"/>
  <c r="K170" i="1"/>
  <c r="J170" i="1"/>
  <c r="I170" i="1"/>
  <c r="H170" i="1"/>
  <c r="G170" i="1"/>
  <c r="F170" i="1"/>
  <c r="E170" i="1"/>
  <c r="D170" i="1"/>
  <c r="C170" i="1"/>
  <c r="B170" i="1"/>
  <c r="A170" i="1"/>
  <c r="K169" i="1"/>
  <c r="J169" i="1"/>
  <c r="I169" i="1"/>
  <c r="H169" i="1"/>
  <c r="G169" i="1"/>
  <c r="F169" i="1"/>
  <c r="E169" i="1"/>
  <c r="D169" i="1"/>
  <c r="C169" i="1"/>
  <c r="B169" i="1"/>
  <c r="A169" i="1"/>
  <c r="K168" i="1"/>
  <c r="J168" i="1"/>
  <c r="I168" i="1"/>
  <c r="H168" i="1"/>
  <c r="G168" i="1"/>
  <c r="F168" i="1"/>
  <c r="E168" i="1"/>
  <c r="D168" i="1"/>
  <c r="C168" i="1"/>
  <c r="B168" i="1"/>
  <c r="A168" i="1"/>
  <c r="K167" i="1"/>
  <c r="J167" i="1"/>
  <c r="I167" i="1"/>
  <c r="H167" i="1"/>
  <c r="G167" i="1"/>
  <c r="F167" i="1"/>
  <c r="E167" i="1"/>
  <c r="D167" i="1"/>
  <c r="C167" i="1"/>
  <c r="B167" i="1"/>
  <c r="A167" i="1"/>
  <c r="K166" i="1"/>
  <c r="J166" i="1"/>
  <c r="I166" i="1"/>
  <c r="H166" i="1"/>
  <c r="G166" i="1"/>
  <c r="F166" i="1"/>
  <c r="E166" i="1"/>
  <c r="D166" i="1"/>
  <c r="C166" i="1"/>
  <c r="B166" i="1"/>
  <c r="A166" i="1"/>
  <c r="K165" i="1"/>
  <c r="J165" i="1"/>
  <c r="I165" i="1"/>
  <c r="H165" i="1"/>
  <c r="G165" i="1"/>
  <c r="F165" i="1"/>
  <c r="E165" i="1"/>
  <c r="D165" i="1"/>
  <c r="C165" i="1"/>
  <c r="B165" i="1"/>
  <c r="A165" i="1"/>
  <c r="K164" i="1"/>
  <c r="J164" i="1"/>
  <c r="I164" i="1"/>
  <c r="H164" i="1"/>
  <c r="G164" i="1"/>
  <c r="F164" i="1"/>
  <c r="E164" i="1"/>
  <c r="D164" i="1"/>
  <c r="C164" i="1"/>
  <c r="B164" i="1"/>
  <c r="A164" i="1"/>
  <c r="K163" i="1"/>
  <c r="J163" i="1"/>
  <c r="I163" i="1"/>
  <c r="H163" i="1"/>
  <c r="G163" i="1"/>
  <c r="F163" i="1"/>
  <c r="E163" i="1"/>
  <c r="D163" i="1"/>
  <c r="C163" i="1"/>
  <c r="B163" i="1"/>
  <c r="A163" i="1"/>
  <c r="K162" i="1"/>
  <c r="J162" i="1"/>
  <c r="I162" i="1"/>
  <c r="H162" i="1"/>
  <c r="G162" i="1"/>
  <c r="F162" i="1"/>
  <c r="E162" i="1"/>
  <c r="D162" i="1"/>
  <c r="C162" i="1"/>
  <c r="B162" i="1"/>
  <c r="A162" i="1"/>
  <c r="K161" i="1"/>
  <c r="J161" i="1"/>
  <c r="I161" i="1"/>
  <c r="H161" i="1"/>
  <c r="G161" i="1"/>
  <c r="F161" i="1"/>
  <c r="E161" i="1"/>
  <c r="D161" i="1"/>
  <c r="C161" i="1"/>
  <c r="B161" i="1"/>
  <c r="A161" i="1"/>
  <c r="K160" i="1"/>
  <c r="J160" i="1"/>
  <c r="I160" i="1"/>
  <c r="H160" i="1"/>
  <c r="G160" i="1"/>
  <c r="F160" i="1"/>
  <c r="E160" i="1"/>
  <c r="D160" i="1"/>
  <c r="C160" i="1"/>
  <c r="B160" i="1"/>
  <c r="A160" i="1"/>
  <c r="K159" i="1"/>
  <c r="J159" i="1"/>
  <c r="I159" i="1"/>
  <c r="H159" i="1"/>
  <c r="G159" i="1"/>
  <c r="F159" i="1"/>
  <c r="E159" i="1"/>
  <c r="D159" i="1"/>
  <c r="C159" i="1"/>
  <c r="B159" i="1"/>
  <c r="A159" i="1"/>
  <c r="K158" i="1"/>
  <c r="J158" i="1"/>
  <c r="I158" i="1"/>
  <c r="H158" i="1"/>
  <c r="G158" i="1"/>
  <c r="F158" i="1"/>
  <c r="E158" i="1"/>
  <c r="D158" i="1"/>
  <c r="C158" i="1"/>
  <c r="B158" i="1"/>
  <c r="A158" i="1"/>
  <c r="K157" i="1"/>
  <c r="J157" i="1"/>
  <c r="I157" i="1"/>
  <c r="H157" i="1"/>
  <c r="G157" i="1"/>
  <c r="F157" i="1"/>
  <c r="E157" i="1"/>
  <c r="D157" i="1"/>
  <c r="C157" i="1"/>
  <c r="B157" i="1"/>
  <c r="A157" i="1"/>
  <c r="K156" i="1"/>
  <c r="J156" i="1"/>
  <c r="I156" i="1"/>
  <c r="H156" i="1"/>
  <c r="G156" i="1"/>
  <c r="F156" i="1"/>
  <c r="E156" i="1"/>
  <c r="D156" i="1"/>
  <c r="C156" i="1"/>
  <c r="B156" i="1"/>
  <c r="A156" i="1"/>
  <c r="K155" i="1"/>
  <c r="J155" i="1"/>
  <c r="I155" i="1"/>
  <c r="H155" i="1"/>
  <c r="G155" i="1"/>
  <c r="F155" i="1"/>
  <c r="E155" i="1"/>
  <c r="D155" i="1"/>
  <c r="C155" i="1"/>
  <c r="B155" i="1"/>
  <c r="A155" i="1"/>
  <c r="K154" i="1"/>
  <c r="J154" i="1"/>
  <c r="I154" i="1"/>
  <c r="H154" i="1"/>
  <c r="G154" i="1"/>
  <c r="F154" i="1"/>
  <c r="E154" i="1"/>
  <c r="D154" i="1"/>
  <c r="C154" i="1"/>
  <c r="B154" i="1"/>
  <c r="A154" i="1"/>
  <c r="K153" i="1"/>
  <c r="J153" i="1"/>
  <c r="I153" i="1"/>
  <c r="H153" i="1"/>
  <c r="G153" i="1"/>
  <c r="F153" i="1"/>
  <c r="E153" i="1"/>
  <c r="D153" i="1"/>
  <c r="C153" i="1"/>
  <c r="B153" i="1"/>
  <c r="A153" i="1"/>
  <c r="K152" i="1"/>
  <c r="J152" i="1"/>
  <c r="I152" i="1"/>
  <c r="H152" i="1"/>
  <c r="G152" i="1"/>
  <c r="F152" i="1"/>
  <c r="E152" i="1"/>
  <c r="D152" i="1"/>
  <c r="C152" i="1"/>
  <c r="B152" i="1"/>
  <c r="A152" i="1"/>
  <c r="K151" i="1"/>
  <c r="J151" i="1"/>
  <c r="I151" i="1"/>
  <c r="H151" i="1"/>
  <c r="G151" i="1"/>
  <c r="F151" i="1"/>
  <c r="E151" i="1"/>
  <c r="D151" i="1"/>
  <c r="C151" i="1"/>
  <c r="B151" i="1"/>
  <c r="A151" i="1"/>
  <c r="K150" i="1"/>
  <c r="J150" i="1"/>
  <c r="I150" i="1"/>
  <c r="H150" i="1"/>
  <c r="G150" i="1"/>
  <c r="F150" i="1"/>
  <c r="E150" i="1"/>
  <c r="D150" i="1"/>
  <c r="C150" i="1"/>
  <c r="B150" i="1"/>
  <c r="A150" i="1"/>
  <c r="K149" i="1"/>
  <c r="J149" i="1"/>
  <c r="I149" i="1"/>
  <c r="H149" i="1"/>
  <c r="G149" i="1"/>
  <c r="F149" i="1"/>
  <c r="E149" i="1"/>
  <c r="D149" i="1"/>
  <c r="C149" i="1"/>
  <c r="B149" i="1"/>
  <c r="A149" i="1"/>
  <c r="K148" i="1"/>
  <c r="J148" i="1"/>
  <c r="I148" i="1"/>
  <c r="H148" i="1"/>
  <c r="G148" i="1"/>
  <c r="F148" i="1"/>
  <c r="E148" i="1"/>
  <c r="D148" i="1"/>
  <c r="C148" i="1"/>
  <c r="B148" i="1"/>
  <c r="A148" i="1"/>
  <c r="K147" i="1"/>
  <c r="J147" i="1"/>
  <c r="I147" i="1"/>
  <c r="H147" i="1"/>
  <c r="G147" i="1"/>
  <c r="F147" i="1"/>
  <c r="E147" i="1"/>
  <c r="D147" i="1"/>
  <c r="C147" i="1"/>
  <c r="B147" i="1"/>
  <c r="A147" i="1"/>
  <c r="K146" i="1"/>
  <c r="J146" i="1"/>
  <c r="I146" i="1"/>
  <c r="H146" i="1"/>
  <c r="G146" i="1"/>
  <c r="F146" i="1"/>
  <c r="E146" i="1"/>
  <c r="D146" i="1"/>
  <c r="C146" i="1"/>
  <c r="B146" i="1"/>
  <c r="A146" i="1"/>
  <c r="K145" i="1"/>
  <c r="J145" i="1"/>
  <c r="I145" i="1"/>
  <c r="H145" i="1"/>
  <c r="G145" i="1"/>
  <c r="F145" i="1"/>
  <c r="E145" i="1"/>
  <c r="D145" i="1"/>
  <c r="C145" i="1"/>
  <c r="B145" i="1"/>
  <c r="A145" i="1"/>
  <c r="K144" i="1"/>
  <c r="J144" i="1"/>
  <c r="I144" i="1"/>
  <c r="G144" i="1"/>
  <c r="F144" i="1"/>
  <c r="E144" i="1"/>
  <c r="D144" i="1"/>
  <c r="A144" i="1"/>
  <c r="I143" i="1"/>
  <c r="H143" i="1"/>
  <c r="G143" i="1"/>
  <c r="F143" i="1"/>
  <c r="E143" i="1"/>
  <c r="D143" i="1"/>
  <c r="C143" i="1"/>
  <c r="B143" i="1"/>
  <c r="A143" i="1"/>
  <c r="I142" i="1"/>
  <c r="H142" i="1"/>
  <c r="G142" i="1"/>
  <c r="F142" i="1"/>
  <c r="E142" i="1"/>
  <c r="D142" i="1"/>
  <c r="C142" i="1"/>
  <c r="B142" i="1"/>
  <c r="A142" i="1"/>
  <c r="I141" i="1"/>
  <c r="H141" i="1"/>
  <c r="G141" i="1"/>
  <c r="F141" i="1"/>
  <c r="E141" i="1"/>
  <c r="D141" i="1"/>
  <c r="C141" i="1"/>
  <c r="B141" i="1"/>
  <c r="A141" i="1"/>
  <c r="I140" i="1"/>
  <c r="H140" i="1"/>
  <c r="G140" i="1"/>
  <c r="F140" i="1"/>
  <c r="E140" i="1"/>
  <c r="D140" i="1"/>
  <c r="C140" i="1"/>
  <c r="B140" i="1"/>
  <c r="A140" i="1"/>
  <c r="J139" i="1"/>
  <c r="I139" i="1"/>
  <c r="H139" i="1"/>
  <c r="G139" i="1"/>
  <c r="F139" i="1"/>
  <c r="E139" i="1"/>
  <c r="D139" i="1"/>
  <c r="C139" i="1"/>
  <c r="B139" i="1"/>
  <c r="A139" i="1"/>
  <c r="I138" i="1"/>
  <c r="H138" i="1"/>
  <c r="G138" i="1"/>
  <c r="F138" i="1"/>
  <c r="E138" i="1"/>
  <c r="D138" i="1"/>
  <c r="C138" i="1"/>
  <c r="B138" i="1"/>
  <c r="A138" i="1"/>
  <c r="I137" i="1"/>
  <c r="H137" i="1"/>
  <c r="G137" i="1"/>
  <c r="F137" i="1"/>
  <c r="E137" i="1"/>
  <c r="D137" i="1"/>
  <c r="C137" i="1"/>
  <c r="B137" i="1"/>
  <c r="A137" i="1"/>
  <c r="I136" i="1"/>
  <c r="H136" i="1"/>
  <c r="G136" i="1"/>
  <c r="F136" i="1"/>
  <c r="E136" i="1"/>
  <c r="D136" i="1"/>
  <c r="C136" i="1"/>
  <c r="B136" i="1"/>
  <c r="A136" i="1"/>
  <c r="I135" i="1"/>
  <c r="H135" i="1"/>
  <c r="G135" i="1"/>
  <c r="F135" i="1"/>
  <c r="E135" i="1"/>
  <c r="D135" i="1"/>
  <c r="C135" i="1"/>
  <c r="B135" i="1"/>
  <c r="A135" i="1"/>
  <c r="I134" i="1"/>
  <c r="H134" i="1"/>
  <c r="G134" i="1"/>
  <c r="F134" i="1"/>
  <c r="E134" i="1"/>
  <c r="D134" i="1"/>
  <c r="C134" i="1"/>
  <c r="B134" i="1"/>
  <c r="A134" i="1"/>
  <c r="I133" i="1"/>
  <c r="H133" i="1"/>
  <c r="G133" i="1"/>
  <c r="F133" i="1"/>
  <c r="E133" i="1"/>
  <c r="D133" i="1"/>
  <c r="C133" i="1"/>
  <c r="B133" i="1"/>
  <c r="A133" i="1"/>
  <c r="I132" i="1"/>
  <c r="H132" i="1"/>
  <c r="G132" i="1"/>
  <c r="F132" i="1"/>
  <c r="E132" i="1"/>
  <c r="D132" i="1"/>
  <c r="C132" i="1"/>
  <c r="B132" i="1"/>
  <c r="A132" i="1"/>
  <c r="J131" i="1"/>
  <c r="I131" i="1"/>
  <c r="H131" i="1"/>
  <c r="G131" i="1"/>
  <c r="F131" i="1"/>
  <c r="E131" i="1"/>
  <c r="D131" i="1"/>
  <c r="C131" i="1"/>
  <c r="B131" i="1"/>
  <c r="A131" i="1"/>
  <c r="I130" i="1"/>
  <c r="H130" i="1"/>
  <c r="G130" i="1"/>
  <c r="F130" i="1"/>
  <c r="E130" i="1"/>
  <c r="D130" i="1"/>
  <c r="C130" i="1"/>
  <c r="B130" i="1"/>
  <c r="A130" i="1"/>
  <c r="I129" i="1"/>
  <c r="H129" i="1"/>
  <c r="G129" i="1"/>
  <c r="F129" i="1"/>
  <c r="E129" i="1"/>
  <c r="D129" i="1"/>
  <c r="C129" i="1"/>
  <c r="B129" i="1"/>
  <c r="A129" i="1"/>
  <c r="I128" i="1"/>
  <c r="H128" i="1"/>
  <c r="G128" i="1"/>
  <c r="F128" i="1"/>
  <c r="E128" i="1"/>
  <c r="D128" i="1"/>
  <c r="C128" i="1"/>
  <c r="B128" i="1"/>
  <c r="A128" i="1"/>
  <c r="I127" i="1"/>
  <c r="H127" i="1"/>
  <c r="G127" i="1"/>
  <c r="F127" i="1"/>
  <c r="E127" i="1"/>
  <c r="D127" i="1"/>
  <c r="C127" i="1"/>
  <c r="B127" i="1"/>
  <c r="A127" i="1"/>
  <c r="I126" i="1"/>
  <c r="H126" i="1"/>
  <c r="G126" i="1"/>
  <c r="F126" i="1"/>
  <c r="E126" i="1"/>
  <c r="D126" i="1"/>
  <c r="C126" i="1"/>
  <c r="B126" i="1"/>
  <c r="A126" i="1"/>
  <c r="I125" i="1"/>
  <c r="H125" i="1"/>
  <c r="G125" i="1"/>
  <c r="F125" i="1"/>
  <c r="E125" i="1"/>
  <c r="D125" i="1"/>
  <c r="C125" i="1"/>
  <c r="B125" i="1"/>
  <c r="A125" i="1"/>
  <c r="I124" i="1"/>
  <c r="H124" i="1"/>
  <c r="G124" i="1"/>
  <c r="F124" i="1"/>
  <c r="E124" i="1"/>
  <c r="D124" i="1"/>
  <c r="C124" i="1"/>
  <c r="B124" i="1"/>
  <c r="A124" i="1"/>
  <c r="J123" i="1"/>
  <c r="I123" i="1"/>
  <c r="H123" i="1"/>
  <c r="G123" i="1"/>
  <c r="F123" i="1"/>
  <c r="E123" i="1"/>
  <c r="D123" i="1"/>
  <c r="C123" i="1"/>
  <c r="B123" i="1"/>
  <c r="A123" i="1"/>
  <c r="I122" i="1"/>
  <c r="H122" i="1"/>
  <c r="G122" i="1"/>
  <c r="F122" i="1"/>
  <c r="E122" i="1"/>
  <c r="D122" i="1"/>
  <c r="C122" i="1"/>
  <c r="B122" i="1"/>
  <c r="A122" i="1"/>
  <c r="K121" i="1"/>
  <c r="H121" i="1"/>
  <c r="G121" i="1"/>
  <c r="F121" i="1"/>
  <c r="E121" i="1"/>
  <c r="D121" i="1"/>
  <c r="C121" i="1"/>
  <c r="B121" i="1"/>
  <c r="A121" i="1"/>
  <c r="K120" i="1"/>
  <c r="H120" i="1"/>
  <c r="G120" i="1"/>
  <c r="F120" i="1"/>
  <c r="E120" i="1"/>
  <c r="D120" i="1"/>
  <c r="C120" i="1"/>
  <c r="B120" i="1"/>
  <c r="A120" i="1"/>
  <c r="K119" i="1"/>
  <c r="J119" i="1"/>
  <c r="I119" i="1"/>
  <c r="H119" i="1"/>
  <c r="G119" i="1"/>
  <c r="F119" i="1"/>
  <c r="E119" i="1"/>
  <c r="D119" i="1"/>
  <c r="C119" i="1"/>
  <c r="B119" i="1"/>
  <c r="A119" i="1"/>
  <c r="K118" i="1"/>
  <c r="J118" i="1"/>
  <c r="I118" i="1"/>
  <c r="H118" i="1"/>
  <c r="G118" i="1"/>
  <c r="F118" i="1"/>
  <c r="E118" i="1"/>
  <c r="D118" i="1"/>
  <c r="C118" i="1"/>
  <c r="B118" i="1"/>
  <c r="A118" i="1"/>
  <c r="K117" i="1"/>
  <c r="J117" i="1"/>
  <c r="I117" i="1"/>
  <c r="H117" i="1"/>
  <c r="G117" i="1"/>
  <c r="F117" i="1"/>
  <c r="E117" i="1"/>
  <c r="D117" i="1"/>
  <c r="C117" i="1"/>
  <c r="B117" i="1"/>
  <c r="A117" i="1"/>
  <c r="K116" i="1"/>
  <c r="J116" i="1"/>
  <c r="I116" i="1"/>
  <c r="H116" i="1"/>
  <c r="G116" i="1"/>
  <c r="F116" i="1"/>
  <c r="E116" i="1"/>
  <c r="D116" i="1"/>
  <c r="C116" i="1"/>
  <c r="B116" i="1"/>
  <c r="A116" i="1"/>
  <c r="K115" i="1"/>
  <c r="J115" i="1"/>
  <c r="I115" i="1"/>
  <c r="H115" i="1"/>
  <c r="G115" i="1"/>
  <c r="F115" i="1"/>
  <c r="E115" i="1"/>
  <c r="D115" i="1"/>
  <c r="C115" i="1"/>
  <c r="B115" i="1"/>
  <c r="A115" i="1"/>
  <c r="J114" i="1"/>
  <c r="I114" i="1"/>
  <c r="G114" i="1"/>
  <c r="F114" i="1"/>
  <c r="E114" i="1"/>
  <c r="D114" i="1"/>
  <c r="A114" i="1"/>
  <c r="K113" i="1"/>
  <c r="J113" i="1"/>
  <c r="I113" i="1"/>
  <c r="H113" i="1"/>
  <c r="G113" i="1"/>
  <c r="F113" i="1"/>
  <c r="E113" i="1"/>
  <c r="D113" i="1"/>
  <c r="C113" i="1"/>
  <c r="B113" i="1"/>
  <c r="A113" i="1"/>
  <c r="K112" i="1"/>
  <c r="J112" i="1"/>
  <c r="I112" i="1"/>
  <c r="H112" i="1"/>
  <c r="G112" i="1"/>
  <c r="F112" i="1"/>
  <c r="E112" i="1"/>
  <c r="D112" i="1"/>
  <c r="C112" i="1"/>
  <c r="B112" i="1"/>
  <c r="A112" i="1"/>
  <c r="K111" i="1"/>
  <c r="J111" i="1"/>
  <c r="I111" i="1"/>
  <c r="H111" i="1"/>
  <c r="G111" i="1"/>
  <c r="F111" i="1"/>
  <c r="E111" i="1"/>
  <c r="D111" i="1"/>
  <c r="C111" i="1"/>
  <c r="B111" i="1"/>
  <c r="A111" i="1"/>
  <c r="K110" i="1"/>
  <c r="J110" i="1"/>
  <c r="I110" i="1"/>
  <c r="H110" i="1"/>
  <c r="G110" i="1"/>
  <c r="F110" i="1"/>
  <c r="E110" i="1"/>
  <c r="D110" i="1"/>
  <c r="C110" i="1"/>
  <c r="B110" i="1"/>
  <c r="A110" i="1"/>
  <c r="K109" i="1"/>
  <c r="J109" i="1"/>
  <c r="I109" i="1"/>
  <c r="H109" i="1"/>
  <c r="G109" i="1"/>
  <c r="F109" i="1"/>
  <c r="E109" i="1"/>
  <c r="D109" i="1"/>
  <c r="C109" i="1"/>
  <c r="B109" i="1"/>
  <c r="A109" i="1"/>
  <c r="K108" i="1"/>
  <c r="J108" i="1"/>
  <c r="I108" i="1"/>
  <c r="H108" i="1"/>
  <c r="G108" i="1"/>
  <c r="F108" i="1"/>
  <c r="E108" i="1"/>
  <c r="D108" i="1"/>
  <c r="C108" i="1"/>
  <c r="B108" i="1"/>
  <c r="A108" i="1"/>
  <c r="K107" i="1"/>
  <c r="J107" i="1"/>
  <c r="I107" i="1"/>
  <c r="H107" i="1"/>
  <c r="G107" i="1"/>
  <c r="F107" i="1"/>
  <c r="E107" i="1"/>
  <c r="D107" i="1"/>
  <c r="C107" i="1"/>
  <c r="B107" i="1"/>
  <c r="A107" i="1"/>
  <c r="K106" i="1"/>
  <c r="J106" i="1"/>
  <c r="I106" i="1"/>
  <c r="H106" i="1"/>
  <c r="G106" i="1"/>
  <c r="F106" i="1"/>
  <c r="E106" i="1"/>
  <c r="D106" i="1"/>
  <c r="C106" i="1"/>
  <c r="B106" i="1"/>
  <c r="A106" i="1"/>
  <c r="K105" i="1"/>
  <c r="J105" i="1"/>
  <c r="I105" i="1"/>
  <c r="H105" i="1"/>
  <c r="G105" i="1"/>
  <c r="F105" i="1"/>
  <c r="E105" i="1"/>
  <c r="D105" i="1"/>
  <c r="C105" i="1"/>
  <c r="B105" i="1"/>
  <c r="A105" i="1"/>
  <c r="K104" i="1"/>
  <c r="J104" i="1"/>
  <c r="I104" i="1"/>
  <c r="H104" i="1"/>
  <c r="G104" i="1"/>
  <c r="F104" i="1"/>
  <c r="E104" i="1"/>
  <c r="D104" i="1"/>
  <c r="C104" i="1"/>
  <c r="B104" i="1"/>
  <c r="A104" i="1"/>
  <c r="K103" i="1"/>
  <c r="J103" i="1"/>
  <c r="I103" i="1"/>
  <c r="H103" i="1"/>
  <c r="G103" i="1"/>
  <c r="F103" i="1"/>
  <c r="E103" i="1"/>
  <c r="D103" i="1"/>
  <c r="C103" i="1"/>
  <c r="B103" i="1"/>
  <c r="A103" i="1"/>
  <c r="K102" i="1"/>
  <c r="J102" i="1"/>
  <c r="I102" i="1"/>
  <c r="H102" i="1"/>
  <c r="G102" i="1"/>
  <c r="F102" i="1"/>
  <c r="E102" i="1"/>
  <c r="D102" i="1"/>
  <c r="C102" i="1"/>
  <c r="B102" i="1"/>
  <c r="A102" i="1"/>
  <c r="K101" i="1"/>
  <c r="J101" i="1"/>
  <c r="I101" i="1"/>
  <c r="H101" i="1"/>
  <c r="G101" i="1"/>
  <c r="F101" i="1"/>
  <c r="E101" i="1"/>
  <c r="D101" i="1"/>
  <c r="C101" i="1"/>
  <c r="B101" i="1"/>
  <c r="A101" i="1"/>
  <c r="K100" i="1"/>
  <c r="J100" i="1"/>
  <c r="I100" i="1"/>
  <c r="H100" i="1"/>
  <c r="G100" i="1"/>
  <c r="F100" i="1"/>
  <c r="E100" i="1"/>
  <c r="D100" i="1"/>
  <c r="C100" i="1"/>
  <c r="B100" i="1"/>
  <c r="A100" i="1"/>
  <c r="K99" i="1"/>
  <c r="J99" i="1"/>
  <c r="I99" i="1"/>
  <c r="H99" i="1"/>
  <c r="G99" i="1"/>
  <c r="F99" i="1"/>
  <c r="E99" i="1"/>
  <c r="D99" i="1"/>
  <c r="C99" i="1"/>
  <c r="B99" i="1"/>
  <c r="A99" i="1"/>
  <c r="K98" i="1"/>
  <c r="J98" i="1"/>
  <c r="I98" i="1"/>
  <c r="H98" i="1"/>
  <c r="G98" i="1"/>
  <c r="F98" i="1"/>
  <c r="E98" i="1"/>
  <c r="D98" i="1"/>
  <c r="C98" i="1"/>
  <c r="B98" i="1"/>
  <c r="A98" i="1"/>
  <c r="K97" i="1"/>
  <c r="J97" i="1"/>
  <c r="I97" i="1"/>
  <c r="H97" i="1"/>
  <c r="G97" i="1"/>
  <c r="F97" i="1"/>
  <c r="E97" i="1"/>
  <c r="D97" i="1"/>
  <c r="C97" i="1"/>
  <c r="B97" i="1"/>
  <c r="A97" i="1"/>
  <c r="K96" i="1"/>
  <c r="J96" i="1"/>
  <c r="I96" i="1"/>
  <c r="H96" i="1"/>
  <c r="G96" i="1"/>
  <c r="F96" i="1"/>
  <c r="E96" i="1"/>
  <c r="D96" i="1"/>
  <c r="C96" i="1"/>
  <c r="B96" i="1"/>
  <c r="A96" i="1"/>
  <c r="K95" i="1"/>
  <c r="J95" i="1"/>
  <c r="I95" i="1"/>
  <c r="H95" i="1"/>
  <c r="G95" i="1"/>
  <c r="F95" i="1"/>
  <c r="E95" i="1"/>
  <c r="D95" i="1"/>
  <c r="C95" i="1"/>
  <c r="B95" i="1"/>
  <c r="A95" i="1"/>
  <c r="K94" i="1"/>
  <c r="J94" i="1"/>
  <c r="I94" i="1"/>
  <c r="H94" i="1"/>
  <c r="G94" i="1"/>
  <c r="F94" i="1"/>
  <c r="E94" i="1"/>
  <c r="D94" i="1"/>
  <c r="C94" i="1"/>
  <c r="B94" i="1"/>
  <c r="A94" i="1"/>
  <c r="K93" i="1"/>
  <c r="J93" i="1"/>
  <c r="I93" i="1"/>
  <c r="H93" i="1"/>
  <c r="G93" i="1"/>
  <c r="F93" i="1"/>
  <c r="E93" i="1"/>
  <c r="D93" i="1"/>
  <c r="C93" i="1"/>
  <c r="B93" i="1"/>
  <c r="A93" i="1"/>
  <c r="K92" i="1"/>
  <c r="J92" i="1"/>
  <c r="I92" i="1"/>
  <c r="H92" i="1"/>
  <c r="G92" i="1"/>
  <c r="F92" i="1"/>
  <c r="E92" i="1"/>
  <c r="D92" i="1"/>
  <c r="C92" i="1"/>
  <c r="B92" i="1"/>
  <c r="A92" i="1"/>
  <c r="K91" i="1"/>
  <c r="J91" i="1"/>
  <c r="I91" i="1"/>
  <c r="H91" i="1"/>
  <c r="G91" i="1"/>
  <c r="F91" i="1"/>
  <c r="E91" i="1"/>
  <c r="D91" i="1"/>
  <c r="C91" i="1"/>
  <c r="B91" i="1"/>
  <c r="A91" i="1"/>
  <c r="K90" i="1"/>
  <c r="J90" i="1"/>
  <c r="I90" i="1"/>
  <c r="H90" i="1"/>
  <c r="G90" i="1"/>
  <c r="F90" i="1"/>
  <c r="E90" i="1"/>
  <c r="D90" i="1"/>
  <c r="C90" i="1"/>
  <c r="B90" i="1"/>
  <c r="A90" i="1"/>
  <c r="K89" i="1"/>
  <c r="J89" i="1"/>
  <c r="I89" i="1"/>
  <c r="H89" i="1"/>
  <c r="G89" i="1"/>
  <c r="F89" i="1"/>
  <c r="E89" i="1"/>
  <c r="D89" i="1"/>
  <c r="C89" i="1"/>
  <c r="B89" i="1"/>
  <c r="A89" i="1"/>
  <c r="K88" i="1"/>
  <c r="J88" i="1"/>
  <c r="I88" i="1"/>
  <c r="H88" i="1"/>
  <c r="G88" i="1"/>
  <c r="F88" i="1"/>
  <c r="E88" i="1"/>
  <c r="D88" i="1"/>
  <c r="C88" i="1"/>
  <c r="B88" i="1"/>
  <c r="A88" i="1"/>
  <c r="K87" i="1"/>
  <c r="J87" i="1"/>
  <c r="I87" i="1"/>
  <c r="H87" i="1"/>
  <c r="G87" i="1"/>
  <c r="F87" i="1"/>
  <c r="E87" i="1"/>
  <c r="D87" i="1"/>
  <c r="C87" i="1"/>
  <c r="B87" i="1"/>
  <c r="A87" i="1"/>
  <c r="K86" i="1"/>
  <c r="J86" i="1"/>
  <c r="I86" i="1"/>
  <c r="H86" i="1"/>
  <c r="G86" i="1"/>
  <c r="F86" i="1"/>
  <c r="E86" i="1"/>
  <c r="D86" i="1"/>
  <c r="C86" i="1"/>
  <c r="B86" i="1"/>
  <c r="A86" i="1"/>
  <c r="K85" i="1"/>
  <c r="J85" i="1"/>
  <c r="I85" i="1"/>
  <c r="H85" i="1"/>
  <c r="G85" i="1"/>
  <c r="F85" i="1"/>
  <c r="E85" i="1"/>
  <c r="D85" i="1"/>
  <c r="C85" i="1"/>
  <c r="B85" i="1"/>
  <c r="A85" i="1"/>
  <c r="K84" i="1"/>
  <c r="J84" i="1"/>
  <c r="I84" i="1"/>
  <c r="H84" i="1"/>
  <c r="G84" i="1"/>
  <c r="F84" i="1"/>
  <c r="E84" i="1"/>
  <c r="D84" i="1"/>
  <c r="C84" i="1"/>
  <c r="B84" i="1"/>
  <c r="A84" i="1"/>
  <c r="K83" i="1"/>
  <c r="J83" i="1"/>
  <c r="I83" i="1"/>
  <c r="H83" i="1"/>
  <c r="G83" i="1"/>
  <c r="F83" i="1"/>
  <c r="E83" i="1"/>
  <c r="D83" i="1"/>
  <c r="C83" i="1"/>
  <c r="B83" i="1"/>
  <c r="A83" i="1"/>
  <c r="K82" i="1"/>
  <c r="J82" i="1"/>
  <c r="I82" i="1"/>
  <c r="H82" i="1"/>
  <c r="G82" i="1"/>
  <c r="F82" i="1"/>
  <c r="E82" i="1"/>
  <c r="D82" i="1"/>
  <c r="C82" i="1"/>
  <c r="B82" i="1"/>
  <c r="A82" i="1"/>
  <c r="K81" i="1"/>
  <c r="J81" i="1"/>
  <c r="I81" i="1"/>
  <c r="H81" i="1"/>
  <c r="G81" i="1"/>
  <c r="F81" i="1"/>
  <c r="E81" i="1"/>
  <c r="D81" i="1"/>
  <c r="C81" i="1"/>
  <c r="B81" i="1"/>
  <c r="A81" i="1"/>
  <c r="K80" i="1"/>
  <c r="J80" i="1"/>
  <c r="I80" i="1"/>
  <c r="H80" i="1"/>
  <c r="G80" i="1"/>
  <c r="F80" i="1"/>
  <c r="E80" i="1"/>
  <c r="D80" i="1"/>
  <c r="C80" i="1"/>
  <c r="B80" i="1"/>
  <c r="A80" i="1"/>
  <c r="K79" i="1"/>
  <c r="J79" i="1"/>
  <c r="I79" i="1"/>
  <c r="H79" i="1"/>
  <c r="G79" i="1"/>
  <c r="F79" i="1"/>
  <c r="E79" i="1"/>
  <c r="D79" i="1"/>
  <c r="C79" i="1"/>
  <c r="B79" i="1"/>
  <c r="A79" i="1"/>
  <c r="K78" i="1"/>
  <c r="J78" i="1"/>
  <c r="I78" i="1"/>
  <c r="H78" i="1"/>
  <c r="G78" i="1"/>
  <c r="F78" i="1"/>
  <c r="E78" i="1"/>
  <c r="D78" i="1"/>
  <c r="C78" i="1"/>
  <c r="B78" i="1"/>
  <c r="A78" i="1"/>
  <c r="K77" i="1"/>
  <c r="J77" i="1"/>
  <c r="I77" i="1"/>
  <c r="H77" i="1"/>
  <c r="G77" i="1"/>
  <c r="F77" i="1"/>
  <c r="E77" i="1"/>
  <c r="D77" i="1"/>
  <c r="C77" i="1"/>
  <c r="B77" i="1"/>
  <c r="A77" i="1"/>
  <c r="K76" i="1"/>
  <c r="J76" i="1"/>
  <c r="I76" i="1"/>
  <c r="H76" i="1"/>
  <c r="G76" i="1"/>
  <c r="F76" i="1"/>
  <c r="E76" i="1"/>
  <c r="D76" i="1"/>
  <c r="C76" i="1"/>
  <c r="B76" i="1"/>
  <c r="A76" i="1"/>
  <c r="K75" i="1"/>
  <c r="J75" i="1"/>
  <c r="I75" i="1"/>
  <c r="H75" i="1"/>
  <c r="G75" i="1"/>
  <c r="F75" i="1"/>
  <c r="E75" i="1"/>
  <c r="D75" i="1"/>
  <c r="C75" i="1"/>
  <c r="B75" i="1"/>
  <c r="A75" i="1"/>
  <c r="K74" i="1"/>
  <c r="J74" i="1"/>
  <c r="I74" i="1"/>
  <c r="H74" i="1"/>
  <c r="G74" i="1"/>
  <c r="F74" i="1"/>
  <c r="E74" i="1"/>
  <c r="D74" i="1"/>
  <c r="C74" i="1"/>
  <c r="B74" i="1"/>
  <c r="A74" i="1"/>
  <c r="K73" i="1"/>
  <c r="J73" i="1"/>
  <c r="I73" i="1"/>
  <c r="H73" i="1"/>
  <c r="G73" i="1"/>
  <c r="F73" i="1"/>
  <c r="E73" i="1"/>
  <c r="D73" i="1"/>
  <c r="C73" i="1"/>
  <c r="B73" i="1"/>
  <c r="A73" i="1"/>
  <c r="J72" i="1"/>
  <c r="I72" i="1"/>
  <c r="H72" i="1"/>
  <c r="G72" i="1"/>
  <c r="F72" i="1"/>
  <c r="E72" i="1"/>
  <c r="D72" i="1"/>
  <c r="C72" i="1"/>
  <c r="B72" i="1"/>
  <c r="A72" i="1"/>
  <c r="J71" i="1"/>
  <c r="I71" i="1"/>
  <c r="H71" i="1"/>
  <c r="G71" i="1"/>
  <c r="F71" i="1"/>
  <c r="E71" i="1"/>
  <c r="D71" i="1"/>
  <c r="C71" i="1"/>
  <c r="B71" i="1"/>
  <c r="A71" i="1"/>
  <c r="J70" i="1"/>
  <c r="I70" i="1"/>
  <c r="H70" i="1"/>
  <c r="G70" i="1"/>
  <c r="F70" i="1"/>
  <c r="E70" i="1"/>
  <c r="D70" i="1"/>
  <c r="C70" i="1"/>
  <c r="B70" i="1"/>
  <c r="A70" i="1"/>
  <c r="K69" i="1"/>
  <c r="J69" i="1"/>
  <c r="I69" i="1"/>
  <c r="H69" i="1"/>
  <c r="G69" i="1"/>
  <c r="F69" i="1"/>
  <c r="E69" i="1"/>
  <c r="D69" i="1"/>
  <c r="C69" i="1"/>
  <c r="B69" i="1"/>
  <c r="A69" i="1"/>
  <c r="K68" i="1"/>
  <c r="J68" i="1"/>
  <c r="I68" i="1"/>
  <c r="H68" i="1"/>
  <c r="G68" i="1"/>
  <c r="F68" i="1"/>
  <c r="E68" i="1"/>
  <c r="D68" i="1"/>
  <c r="C68" i="1"/>
  <c r="B68" i="1"/>
  <c r="A68" i="1"/>
  <c r="K67" i="1"/>
  <c r="J67" i="1"/>
  <c r="I67" i="1"/>
  <c r="H67" i="1"/>
  <c r="G67" i="1"/>
  <c r="F67" i="1"/>
  <c r="E67" i="1"/>
  <c r="D67" i="1"/>
  <c r="C67" i="1"/>
  <c r="B67" i="1"/>
  <c r="A67" i="1"/>
  <c r="K66" i="1"/>
  <c r="J66" i="1"/>
  <c r="I66" i="1"/>
  <c r="H66" i="1"/>
  <c r="G66" i="1"/>
  <c r="F66" i="1"/>
  <c r="E66" i="1"/>
  <c r="D66" i="1"/>
  <c r="C66" i="1"/>
  <c r="B66" i="1"/>
  <c r="A66" i="1"/>
  <c r="K65" i="1"/>
  <c r="J65" i="1"/>
  <c r="I65" i="1"/>
  <c r="H65" i="1"/>
  <c r="G65" i="1"/>
  <c r="F65" i="1"/>
  <c r="E65" i="1"/>
  <c r="D65" i="1"/>
  <c r="C65" i="1"/>
  <c r="B65" i="1"/>
  <c r="A65" i="1"/>
  <c r="K64" i="1"/>
  <c r="J64" i="1"/>
  <c r="I64" i="1"/>
  <c r="H64" i="1"/>
  <c r="G64" i="1"/>
  <c r="F64" i="1"/>
  <c r="E64" i="1"/>
  <c r="D64" i="1"/>
  <c r="C64" i="1"/>
  <c r="B64" i="1"/>
  <c r="A64" i="1"/>
  <c r="K63" i="1"/>
  <c r="J63" i="1"/>
  <c r="I63" i="1"/>
  <c r="H63" i="1"/>
  <c r="G63" i="1"/>
  <c r="F63" i="1"/>
  <c r="E63" i="1"/>
  <c r="D63" i="1"/>
  <c r="C63" i="1"/>
  <c r="B63" i="1"/>
  <c r="A63" i="1"/>
  <c r="K62" i="1"/>
  <c r="J62" i="1"/>
  <c r="I62" i="1"/>
  <c r="H62" i="1"/>
  <c r="G62" i="1"/>
  <c r="F62" i="1"/>
  <c r="E62" i="1"/>
  <c r="D62" i="1"/>
  <c r="C62" i="1"/>
  <c r="B62" i="1"/>
  <c r="A62" i="1"/>
  <c r="K61" i="1"/>
  <c r="J61" i="1"/>
  <c r="I61" i="1"/>
  <c r="H61" i="1"/>
  <c r="G61" i="1"/>
  <c r="F61" i="1"/>
  <c r="E61" i="1"/>
  <c r="D61" i="1"/>
  <c r="C61" i="1"/>
  <c r="B61" i="1"/>
  <c r="A61" i="1"/>
  <c r="K60" i="1"/>
  <c r="J60" i="1"/>
  <c r="I60" i="1"/>
  <c r="H60" i="1"/>
  <c r="G60" i="1"/>
  <c r="F60" i="1"/>
  <c r="E60" i="1"/>
  <c r="D60" i="1"/>
  <c r="C60" i="1"/>
  <c r="B60" i="1"/>
  <c r="A60" i="1"/>
  <c r="K59" i="1"/>
  <c r="J59" i="1"/>
  <c r="I59" i="1"/>
  <c r="H59" i="1"/>
  <c r="G59" i="1"/>
  <c r="F59" i="1"/>
  <c r="E59" i="1"/>
  <c r="D59" i="1"/>
  <c r="C59" i="1"/>
  <c r="B59" i="1"/>
  <c r="A59" i="1"/>
  <c r="K58" i="1"/>
  <c r="J58" i="1"/>
  <c r="I58" i="1"/>
  <c r="H58" i="1"/>
  <c r="G58" i="1"/>
  <c r="F58" i="1"/>
  <c r="E58" i="1"/>
  <c r="D58" i="1"/>
  <c r="C58" i="1"/>
  <c r="B58" i="1"/>
  <c r="A58" i="1"/>
  <c r="K57" i="1"/>
  <c r="J57" i="1"/>
  <c r="I57" i="1"/>
  <c r="H57" i="1"/>
  <c r="G57" i="1"/>
  <c r="F57" i="1"/>
  <c r="E57" i="1"/>
  <c r="D57" i="1"/>
  <c r="C57" i="1"/>
  <c r="B57" i="1"/>
  <c r="A57" i="1"/>
  <c r="J56" i="1"/>
  <c r="I56" i="1"/>
  <c r="H56" i="1"/>
  <c r="G56" i="1"/>
  <c r="F56" i="1"/>
  <c r="E56" i="1"/>
  <c r="D56" i="1"/>
  <c r="C56" i="1"/>
  <c r="B56" i="1"/>
  <c r="A56" i="1"/>
  <c r="K55" i="1"/>
  <c r="J55" i="1"/>
  <c r="I55" i="1"/>
  <c r="H55" i="1"/>
  <c r="G55" i="1"/>
  <c r="F55" i="1"/>
  <c r="E55" i="1"/>
  <c r="D55" i="1"/>
  <c r="C55" i="1"/>
  <c r="B55" i="1"/>
  <c r="A55" i="1"/>
  <c r="K54" i="1"/>
  <c r="J54" i="1"/>
  <c r="I54" i="1"/>
  <c r="H54" i="1"/>
  <c r="G54" i="1"/>
  <c r="F54" i="1"/>
  <c r="E54" i="1"/>
  <c r="D54" i="1"/>
  <c r="C54" i="1"/>
  <c r="B54" i="1"/>
  <c r="A54" i="1"/>
  <c r="K53" i="1"/>
  <c r="J53" i="1"/>
  <c r="I53" i="1"/>
  <c r="H53" i="1"/>
  <c r="G53" i="1"/>
  <c r="F53" i="1"/>
  <c r="E53" i="1"/>
  <c r="D53" i="1"/>
  <c r="C53" i="1"/>
  <c r="B53" i="1"/>
  <c r="A53" i="1"/>
  <c r="K52" i="1"/>
  <c r="J52" i="1"/>
  <c r="I52" i="1"/>
  <c r="H52" i="1"/>
  <c r="G52" i="1"/>
  <c r="F52" i="1"/>
  <c r="E52" i="1"/>
  <c r="D52" i="1"/>
  <c r="C52" i="1"/>
  <c r="B52" i="1"/>
  <c r="A52" i="1"/>
  <c r="K51" i="1"/>
  <c r="J51" i="1"/>
  <c r="I51" i="1"/>
  <c r="H51" i="1"/>
  <c r="G51" i="1"/>
  <c r="F51" i="1"/>
  <c r="E51" i="1"/>
  <c r="D51" i="1"/>
  <c r="C51" i="1"/>
  <c r="B51" i="1"/>
  <c r="A51" i="1"/>
  <c r="K50" i="1"/>
  <c r="J50" i="1"/>
  <c r="I50" i="1"/>
  <c r="H50" i="1"/>
  <c r="G50" i="1"/>
  <c r="F50" i="1"/>
  <c r="E50" i="1"/>
  <c r="D50" i="1"/>
  <c r="C50" i="1"/>
  <c r="B50" i="1"/>
  <c r="A50" i="1"/>
  <c r="K49" i="1"/>
  <c r="J49" i="1"/>
  <c r="I49" i="1"/>
  <c r="H49" i="1"/>
  <c r="G49" i="1"/>
  <c r="F49" i="1"/>
  <c r="E49" i="1"/>
  <c r="D49" i="1"/>
  <c r="C49" i="1"/>
  <c r="B49" i="1"/>
  <c r="A49" i="1"/>
  <c r="K48" i="1"/>
  <c r="H48" i="1"/>
  <c r="G48" i="1"/>
  <c r="F48" i="1"/>
  <c r="E48" i="1"/>
  <c r="D48" i="1"/>
  <c r="C48" i="1"/>
  <c r="B48" i="1"/>
  <c r="A48" i="1"/>
  <c r="K47" i="1"/>
  <c r="H47" i="1"/>
  <c r="G47" i="1"/>
  <c r="F47" i="1"/>
  <c r="E47" i="1"/>
  <c r="D47" i="1"/>
  <c r="C47" i="1"/>
  <c r="B47" i="1"/>
  <c r="A47" i="1"/>
  <c r="K46" i="1"/>
  <c r="H46" i="1"/>
  <c r="G46" i="1"/>
  <c r="F46" i="1"/>
  <c r="E46" i="1"/>
  <c r="D46" i="1"/>
  <c r="C46" i="1"/>
  <c r="B46" i="1"/>
  <c r="A46" i="1"/>
  <c r="K45" i="1"/>
  <c r="H45" i="1"/>
  <c r="G45" i="1"/>
  <c r="F45" i="1"/>
  <c r="E45" i="1"/>
  <c r="D45" i="1"/>
  <c r="C45" i="1"/>
  <c r="B45" i="1"/>
  <c r="A45" i="1"/>
  <c r="K44" i="1"/>
  <c r="H44" i="1"/>
  <c r="G44" i="1"/>
  <c r="F44" i="1"/>
  <c r="E44" i="1"/>
  <c r="D44" i="1"/>
  <c r="C44" i="1"/>
  <c r="B44" i="1"/>
  <c r="A44" i="1"/>
  <c r="K43" i="1"/>
  <c r="H43" i="1"/>
  <c r="G43" i="1"/>
  <c r="F43" i="1"/>
  <c r="E43" i="1"/>
  <c r="D43" i="1"/>
  <c r="C43" i="1"/>
  <c r="B43" i="1"/>
  <c r="A43" i="1"/>
  <c r="K42" i="1"/>
  <c r="J42" i="1"/>
  <c r="I42" i="1"/>
  <c r="H42" i="1"/>
  <c r="G42" i="1"/>
  <c r="F42" i="1"/>
  <c r="E42" i="1"/>
  <c r="D42" i="1"/>
  <c r="C42" i="1"/>
  <c r="B42" i="1"/>
  <c r="A42" i="1"/>
  <c r="K41" i="1"/>
  <c r="J41" i="1"/>
  <c r="I41" i="1"/>
  <c r="H41" i="1"/>
  <c r="G41" i="1"/>
  <c r="F41" i="1"/>
  <c r="E41" i="1"/>
  <c r="D41" i="1"/>
  <c r="C41" i="1"/>
  <c r="B41" i="1"/>
  <c r="A41" i="1"/>
  <c r="K40" i="1"/>
  <c r="J40" i="1"/>
  <c r="I40" i="1"/>
  <c r="H40" i="1"/>
  <c r="G40" i="1"/>
  <c r="F40" i="1"/>
  <c r="E40" i="1"/>
  <c r="D40" i="1"/>
  <c r="C40" i="1"/>
  <c r="B40" i="1"/>
  <c r="A40" i="1"/>
  <c r="K39" i="1"/>
  <c r="J39" i="1"/>
  <c r="I39" i="1"/>
  <c r="H39" i="1"/>
  <c r="G39" i="1"/>
  <c r="F39" i="1"/>
  <c r="E39" i="1"/>
  <c r="D39" i="1"/>
  <c r="C39" i="1"/>
  <c r="B39" i="1"/>
  <c r="A39" i="1"/>
  <c r="K38" i="1"/>
  <c r="I38" i="1"/>
  <c r="H38" i="1"/>
  <c r="G38" i="1"/>
  <c r="F38" i="1"/>
  <c r="E38" i="1"/>
  <c r="D38" i="1"/>
  <c r="C38" i="1"/>
  <c r="B38" i="1"/>
  <c r="A38" i="1"/>
  <c r="K37" i="1"/>
  <c r="J37" i="1"/>
  <c r="I37" i="1"/>
  <c r="H37" i="1"/>
  <c r="G37" i="1"/>
  <c r="F37" i="1"/>
  <c r="E37" i="1"/>
  <c r="D37" i="1"/>
  <c r="C37" i="1"/>
  <c r="B37" i="1"/>
  <c r="A37" i="1"/>
  <c r="K36" i="1"/>
  <c r="H36" i="1"/>
  <c r="G36" i="1"/>
  <c r="F36" i="1"/>
  <c r="E36" i="1"/>
  <c r="D36" i="1"/>
  <c r="C36" i="1"/>
  <c r="B36" i="1"/>
  <c r="A36" i="1"/>
  <c r="K35" i="1"/>
  <c r="H35" i="1"/>
  <c r="G35" i="1"/>
  <c r="F35" i="1"/>
  <c r="E35" i="1"/>
  <c r="D35" i="1"/>
  <c r="C35" i="1"/>
  <c r="B35" i="1"/>
  <c r="A35" i="1"/>
  <c r="K34" i="1"/>
  <c r="H34" i="1"/>
  <c r="G34" i="1"/>
  <c r="F34" i="1"/>
  <c r="E34" i="1"/>
  <c r="D34" i="1"/>
  <c r="C34" i="1"/>
  <c r="B34" i="1"/>
  <c r="A34" i="1"/>
  <c r="K33" i="1"/>
  <c r="I33" i="1"/>
  <c r="H33" i="1"/>
  <c r="G33" i="1"/>
  <c r="F33" i="1"/>
  <c r="E33" i="1"/>
  <c r="D33" i="1"/>
  <c r="C33" i="1"/>
  <c r="B33" i="1"/>
  <c r="A33" i="1"/>
  <c r="K32" i="1"/>
  <c r="I32" i="1"/>
  <c r="H32" i="1"/>
  <c r="G32" i="1"/>
  <c r="F32" i="1"/>
  <c r="E32" i="1"/>
  <c r="D32" i="1"/>
  <c r="C32" i="1"/>
  <c r="B32" i="1"/>
  <c r="A32" i="1"/>
  <c r="K31" i="1"/>
  <c r="I31" i="1"/>
  <c r="H31" i="1"/>
  <c r="G31" i="1"/>
  <c r="F31" i="1"/>
  <c r="E31" i="1"/>
  <c r="D31" i="1"/>
  <c r="C31" i="1"/>
  <c r="B31" i="1"/>
  <c r="A31" i="1"/>
  <c r="K30" i="1"/>
  <c r="I30" i="1"/>
  <c r="H30" i="1"/>
  <c r="G30" i="1"/>
  <c r="F30" i="1"/>
  <c r="E30" i="1"/>
  <c r="D30" i="1"/>
  <c r="C30" i="1"/>
  <c r="B30" i="1"/>
  <c r="A30" i="1"/>
  <c r="K29" i="1"/>
  <c r="I29" i="1"/>
  <c r="H29" i="1"/>
  <c r="G29" i="1"/>
  <c r="F29" i="1"/>
  <c r="E29" i="1"/>
  <c r="D29" i="1"/>
  <c r="C29" i="1"/>
  <c r="B29" i="1"/>
  <c r="A29" i="1"/>
  <c r="K28" i="1"/>
  <c r="I28" i="1"/>
  <c r="H28" i="1"/>
  <c r="G28" i="1"/>
  <c r="F28" i="1"/>
  <c r="E28" i="1"/>
  <c r="D28" i="1"/>
  <c r="C28" i="1"/>
  <c r="B28" i="1"/>
  <c r="A28" i="1"/>
  <c r="K27" i="1"/>
  <c r="I27" i="1"/>
  <c r="H27" i="1"/>
  <c r="G27" i="1"/>
  <c r="F27" i="1"/>
  <c r="E27" i="1"/>
  <c r="D27" i="1"/>
  <c r="C27" i="1"/>
  <c r="B27" i="1"/>
  <c r="A27" i="1"/>
  <c r="K26" i="1"/>
  <c r="J26" i="1"/>
  <c r="I26" i="1"/>
  <c r="H26" i="1"/>
  <c r="G26" i="1"/>
  <c r="F26" i="1"/>
  <c r="E26" i="1"/>
  <c r="D26" i="1"/>
  <c r="C26" i="1"/>
  <c r="B26" i="1"/>
  <c r="A26" i="1"/>
  <c r="K25" i="1"/>
  <c r="J25" i="1"/>
  <c r="I25" i="1"/>
  <c r="H25" i="1"/>
  <c r="G25" i="1"/>
  <c r="F25" i="1"/>
  <c r="E25" i="1"/>
  <c r="D25" i="1"/>
  <c r="C25" i="1"/>
  <c r="B25" i="1"/>
  <c r="A25" i="1"/>
  <c r="K24" i="1"/>
  <c r="J24" i="1"/>
  <c r="I24" i="1"/>
  <c r="H24" i="1"/>
  <c r="G24" i="1"/>
  <c r="F24" i="1"/>
  <c r="E24" i="1"/>
  <c r="D24" i="1"/>
  <c r="C24" i="1"/>
  <c r="B24" i="1"/>
  <c r="A24" i="1"/>
  <c r="K23" i="1"/>
  <c r="J23" i="1"/>
  <c r="I23" i="1"/>
  <c r="H23" i="1"/>
  <c r="G23" i="1"/>
  <c r="F23" i="1"/>
  <c r="E23" i="1"/>
  <c r="D23" i="1"/>
  <c r="C23" i="1"/>
  <c r="B23" i="1"/>
  <c r="A23" i="1"/>
  <c r="K22" i="1"/>
  <c r="J22" i="1"/>
  <c r="I22" i="1"/>
  <c r="H22" i="1"/>
  <c r="G22" i="1"/>
  <c r="F22" i="1"/>
  <c r="E22" i="1"/>
  <c r="D22" i="1"/>
  <c r="C22" i="1"/>
  <c r="B22" i="1"/>
  <c r="A22" i="1"/>
  <c r="K21" i="1"/>
  <c r="J21" i="1"/>
  <c r="I21" i="1"/>
  <c r="H21" i="1"/>
  <c r="G21" i="1"/>
  <c r="F21" i="1"/>
  <c r="E21" i="1"/>
  <c r="D21" i="1"/>
  <c r="C21" i="1"/>
  <c r="B21" i="1"/>
  <c r="A21" i="1"/>
  <c r="K20" i="1"/>
  <c r="J20" i="1"/>
  <c r="I20" i="1"/>
  <c r="H20" i="1"/>
  <c r="G20" i="1"/>
  <c r="F20" i="1"/>
  <c r="E20" i="1"/>
  <c r="D20" i="1"/>
  <c r="C20" i="1"/>
  <c r="B20" i="1"/>
  <c r="A20" i="1"/>
  <c r="K19" i="1"/>
  <c r="J19" i="1"/>
  <c r="I19" i="1"/>
  <c r="H19" i="1"/>
  <c r="G19" i="1"/>
  <c r="F19" i="1"/>
  <c r="E19" i="1"/>
  <c r="D19" i="1"/>
  <c r="C19" i="1"/>
  <c r="B19" i="1"/>
  <c r="A19" i="1"/>
  <c r="K18" i="1"/>
  <c r="J18" i="1"/>
  <c r="I18" i="1"/>
  <c r="H18" i="1"/>
  <c r="G18" i="1"/>
  <c r="F18" i="1"/>
  <c r="E18" i="1"/>
  <c r="D18" i="1"/>
  <c r="C18" i="1"/>
  <c r="B18" i="1"/>
  <c r="A18" i="1"/>
  <c r="K17" i="1"/>
  <c r="J17" i="1"/>
  <c r="I17" i="1"/>
  <c r="H17" i="1"/>
  <c r="G17" i="1"/>
  <c r="F17" i="1"/>
  <c r="E17" i="1"/>
  <c r="D17" i="1"/>
  <c r="C17" i="1"/>
  <c r="B17" i="1"/>
  <c r="A17" i="1"/>
  <c r="K16" i="1"/>
  <c r="I16" i="1"/>
  <c r="H16" i="1"/>
  <c r="G16" i="1"/>
  <c r="F16" i="1"/>
  <c r="E16" i="1"/>
  <c r="D16" i="1"/>
  <c r="C16" i="1"/>
  <c r="B16" i="1"/>
  <c r="A16" i="1"/>
  <c r="K15" i="1"/>
  <c r="I15" i="1"/>
  <c r="H15" i="1"/>
  <c r="G15" i="1"/>
  <c r="F15" i="1"/>
  <c r="E15" i="1"/>
  <c r="D15" i="1"/>
  <c r="C15" i="1"/>
  <c r="B15" i="1"/>
  <c r="A15" i="1"/>
  <c r="K14" i="1"/>
  <c r="I14" i="1"/>
  <c r="H14" i="1"/>
  <c r="G14" i="1"/>
  <c r="F14" i="1"/>
  <c r="E14" i="1"/>
  <c r="D14" i="1"/>
  <c r="C14" i="1"/>
  <c r="B14" i="1"/>
  <c r="A14" i="1"/>
  <c r="K13" i="1"/>
  <c r="I13" i="1"/>
  <c r="H13" i="1"/>
  <c r="G13" i="1"/>
  <c r="F13" i="1"/>
  <c r="E13" i="1"/>
  <c r="D13" i="1"/>
  <c r="C13" i="1"/>
  <c r="B13" i="1"/>
  <c r="A13" i="1"/>
  <c r="K12" i="1"/>
  <c r="I12" i="1"/>
  <c r="H12" i="1"/>
  <c r="G12" i="1"/>
  <c r="F12" i="1"/>
  <c r="E12" i="1"/>
  <c r="D12" i="1"/>
  <c r="C12" i="1"/>
  <c r="B12" i="1"/>
  <c r="A12" i="1"/>
  <c r="K11" i="1"/>
  <c r="I11" i="1"/>
  <c r="H11" i="1"/>
  <c r="G11" i="1"/>
  <c r="F11" i="1"/>
  <c r="E11" i="1"/>
  <c r="D11" i="1"/>
  <c r="C11" i="1"/>
  <c r="B11" i="1"/>
  <c r="A11" i="1"/>
  <c r="K10" i="1"/>
  <c r="I10" i="1"/>
  <c r="H10" i="1"/>
  <c r="G10" i="1"/>
  <c r="F10" i="1"/>
  <c r="E10" i="1"/>
  <c r="D10" i="1"/>
  <c r="C10" i="1"/>
  <c r="B10" i="1"/>
  <c r="A10" i="1"/>
  <c r="K9" i="1"/>
  <c r="I9" i="1"/>
  <c r="H9" i="1"/>
  <c r="G9" i="1"/>
  <c r="F9" i="1"/>
  <c r="E9" i="1"/>
  <c r="D9" i="1"/>
  <c r="C9" i="1"/>
  <c r="B9" i="1"/>
  <c r="A9" i="1"/>
  <c r="K8" i="1"/>
  <c r="I8" i="1"/>
  <c r="H8" i="1"/>
  <c r="G8" i="1"/>
  <c r="F8" i="1"/>
  <c r="E8" i="1"/>
  <c r="D8" i="1"/>
  <c r="C8" i="1"/>
  <c r="B8" i="1"/>
  <c r="A8" i="1"/>
  <c r="K7" i="1"/>
  <c r="I7" i="1"/>
  <c r="H7" i="1"/>
  <c r="G7" i="1"/>
  <c r="F7" i="1"/>
  <c r="E7" i="1"/>
  <c r="D7" i="1"/>
  <c r="C7" i="1"/>
  <c r="B7" i="1"/>
  <c r="A7" i="1"/>
  <c r="K6" i="1"/>
  <c r="I6" i="1"/>
  <c r="H6" i="1"/>
  <c r="G6" i="1"/>
  <c r="F6" i="1"/>
  <c r="E6" i="1"/>
  <c r="D6" i="1"/>
  <c r="C6" i="1"/>
  <c r="B6" i="1"/>
  <c r="A6" i="1"/>
  <c r="K5" i="1"/>
  <c r="I5" i="1"/>
  <c r="H5" i="1"/>
  <c r="G5" i="1"/>
  <c r="F5" i="1"/>
  <c r="E5" i="1"/>
  <c r="D5" i="1"/>
  <c r="C5" i="1"/>
  <c r="B5" i="1"/>
  <c r="A5" i="1"/>
  <c r="K4" i="1"/>
  <c r="I4" i="1"/>
  <c r="H4" i="1"/>
  <c r="G4" i="1"/>
  <c r="F4" i="1"/>
  <c r="E4" i="1"/>
  <c r="D4" i="1"/>
  <c r="C4" i="1"/>
  <c r="B4" i="1"/>
  <c r="A4" i="1"/>
  <c r="K3" i="1"/>
  <c r="I3" i="1"/>
  <c r="H3" i="1"/>
  <c r="G3" i="1"/>
  <c r="F3" i="1"/>
  <c r="E3" i="1"/>
  <c r="D3" i="1"/>
  <c r="C3" i="1"/>
  <c r="B3" i="1"/>
  <c r="A3" i="1"/>
  <c r="K2" i="1"/>
  <c r="I2" i="1"/>
  <c r="H2" i="1"/>
  <c r="G2" i="1"/>
  <c r="F2" i="1"/>
  <c r="E2" i="1"/>
  <c r="D2" i="1"/>
  <c r="C2" i="1"/>
  <c r="B2" i="1"/>
  <c r="A2" i="1"/>
  <c r="A2" i="92" l="1" a="1"/>
  <c r="L19" i="92" s="1"/>
  <c r="Z85" i="2"/>
  <c r="AC200" i="2"/>
  <c r="AC259" i="2"/>
  <c r="Z66" i="2"/>
  <c r="Z110" i="2"/>
  <c r="AC66" i="2"/>
  <c r="Z340" i="2"/>
  <c r="AC483" i="2"/>
  <c r="Z24" i="2"/>
  <c r="Z123" i="2"/>
  <c r="AC323" i="2"/>
  <c r="AC59" i="2"/>
  <c r="Y214" i="2"/>
  <c r="AC170" i="2"/>
  <c r="Y403" i="2"/>
  <c r="Z269" i="2"/>
  <c r="Z156" i="2"/>
  <c r="Z403" i="2"/>
  <c r="Y473" i="2"/>
  <c r="Z251" i="2"/>
  <c r="Z18" i="2"/>
  <c r="Z72" i="2"/>
  <c r="AC53" i="2"/>
  <c r="AC72" i="2"/>
  <c r="AC163" i="2"/>
  <c r="Z186" i="2"/>
  <c r="AC18" i="2"/>
  <c r="Y92" i="2"/>
  <c r="AC236" i="2"/>
  <c r="AC307" i="2"/>
  <c r="AC194" i="2"/>
  <c r="Z316" i="2"/>
  <c r="Y125" i="2"/>
  <c r="Y308" i="2"/>
  <c r="Y20" i="2"/>
  <c r="AC261" i="2"/>
  <c r="AC145" i="2"/>
  <c r="Z15" i="2"/>
  <c r="Z21" i="2"/>
  <c r="AC50" i="2"/>
  <c r="AC56" i="2"/>
  <c r="AC62" i="2"/>
  <c r="Z69" i="2"/>
  <c r="AC75" i="2"/>
  <c r="Y82" i="2"/>
  <c r="Y107" i="2"/>
  <c r="AC113" i="2"/>
  <c r="Y120" i="2"/>
  <c r="AC126" i="2"/>
  <c r="Y160" i="2"/>
  <c r="Y167" i="2"/>
  <c r="Z174" i="2"/>
  <c r="Z210" i="2"/>
  <c r="Z247" i="2"/>
  <c r="Y255" i="2"/>
  <c r="Z318" i="2"/>
  <c r="Y326" i="2"/>
  <c r="Z415" i="2"/>
  <c r="Y29" i="2"/>
  <c r="Y105" i="2"/>
  <c r="AC214" i="2"/>
  <c r="Z291" i="2"/>
  <c r="Z465" i="2"/>
  <c r="Z79" i="2"/>
  <c r="AC111" i="2"/>
  <c r="AC222" i="2"/>
  <c r="Z332" i="2"/>
  <c r="Z30" i="2"/>
  <c r="AC92" i="2"/>
  <c r="Z131" i="2"/>
  <c r="AC253" i="2"/>
  <c r="AC395" i="2"/>
  <c r="Y14" i="2"/>
  <c r="Z43" i="2"/>
  <c r="Z74" i="2"/>
  <c r="Z125" i="2"/>
  <c r="Y181" i="2"/>
  <c r="Y343" i="2"/>
  <c r="AC37" i="2"/>
  <c r="Y69" i="2"/>
  <c r="Y174" i="2"/>
  <c r="Z224" i="2"/>
  <c r="Z405" i="2"/>
  <c r="AC15" i="2"/>
  <c r="AC69" i="2"/>
  <c r="Z95" i="2"/>
  <c r="Z204" i="2"/>
  <c r="Z287" i="2"/>
  <c r="Z311" i="2"/>
  <c r="Y45" i="2"/>
  <c r="Y76" i="2"/>
  <c r="Z89" i="2"/>
  <c r="AC95" i="2"/>
  <c r="Y102" i="2"/>
  <c r="Z108" i="2"/>
  <c r="Z121" i="2"/>
  <c r="Y147" i="2"/>
  <c r="Z154" i="2"/>
  <c r="Z161" i="2"/>
  <c r="Z183" i="2"/>
  <c r="Z198" i="2"/>
  <c r="Z218" i="2"/>
  <c r="AC226" i="2"/>
  <c r="Y234" i="2"/>
  <c r="Y256" i="2"/>
  <c r="Z264" i="2"/>
  <c r="Z271" i="2"/>
  <c r="Y279" i="2"/>
  <c r="Y399" i="2"/>
  <c r="AC426" i="2"/>
  <c r="Y497" i="2"/>
  <c r="M14" i="4"/>
  <c r="AC98" i="2"/>
  <c r="AC186" i="2"/>
  <c r="Y283" i="2"/>
  <c r="AC430" i="2"/>
  <c r="Z105" i="2"/>
  <c r="Y208" i="2"/>
  <c r="Z283" i="2"/>
  <c r="Y25" i="2"/>
  <c r="Y99" i="2"/>
  <c r="AC138" i="2"/>
  <c r="AC230" i="2"/>
  <c r="AC332" i="2"/>
  <c r="Z37" i="2"/>
  <c r="Y62" i="2"/>
  <c r="AC131" i="2"/>
  <c r="Y203" i="2"/>
  <c r="Y276" i="2"/>
  <c r="AC43" i="2"/>
  <c r="Z62" i="2"/>
  <c r="Z203" i="2"/>
  <c r="Y247" i="2"/>
  <c r="AC376" i="2"/>
  <c r="AC21" i="2"/>
  <c r="Y89" i="2"/>
  <c r="Z167" i="2"/>
  <c r="Y198" i="2"/>
  <c r="Y218" i="2"/>
  <c r="Z426" i="2"/>
  <c r="Z27" i="2"/>
  <c r="Z33" i="2"/>
  <c r="Y40" i="2"/>
  <c r="Y46" i="2"/>
  <c r="Z102" i="2"/>
  <c r="AC108" i="2"/>
  <c r="Y115" i="2"/>
  <c r="Y128" i="2"/>
  <c r="Z135" i="2"/>
  <c r="Y191" i="2"/>
  <c r="AC198" i="2"/>
  <c r="Z234" i="2"/>
  <c r="AC264" i="2"/>
  <c r="Y288" i="2"/>
  <c r="Y296" i="2"/>
  <c r="Z304" i="2"/>
  <c r="Y312" i="2"/>
  <c r="Z320" i="2"/>
  <c r="AC24" i="2"/>
  <c r="Y79" i="2"/>
  <c r="Y179" i="2"/>
  <c r="Y267" i="2"/>
  <c r="Z299" i="2"/>
  <c r="Y86" i="2"/>
  <c r="Z150" i="2"/>
  <c r="Z230" i="2"/>
  <c r="AC465" i="2"/>
  <c r="Y37" i="2"/>
  <c r="Z118" i="2"/>
  <c r="Y145" i="2"/>
  <c r="Y300" i="2"/>
  <c r="Z385" i="2"/>
  <c r="AC30" i="2"/>
  <c r="Y56" i="2"/>
  <c r="Y112" i="2"/>
  <c r="Z145" i="2"/>
  <c r="Z188" i="2"/>
  <c r="AC524" i="2"/>
  <c r="AC25" i="2"/>
  <c r="Z56" i="2"/>
  <c r="Y139" i="2"/>
  <c r="Y239" i="2"/>
  <c r="Z366" i="2"/>
  <c r="Y26" i="2"/>
  <c r="Z82" i="2"/>
  <c r="AC190" i="2"/>
  <c r="AC210" i="2"/>
  <c r="Z303" i="2"/>
  <c r="AC203" i="2"/>
  <c r="Y17" i="2"/>
  <c r="Y23" i="2"/>
  <c r="AC27" i="2"/>
  <c r="AC33" i="2"/>
  <c r="Z40" i="2"/>
  <c r="Z46" i="2"/>
  <c r="Y53" i="2"/>
  <c r="Y59" i="2"/>
  <c r="Y71" i="2"/>
  <c r="AC77" i="2"/>
  <c r="Y84" i="2"/>
  <c r="AC90" i="2"/>
  <c r="Z115" i="2"/>
  <c r="Y122" i="2"/>
  <c r="Z128" i="2"/>
  <c r="AC135" i="2"/>
  <c r="Y142" i="2"/>
  <c r="Z148" i="2"/>
  <c r="Z177" i="2"/>
  <c r="Z206" i="2"/>
  <c r="Y227" i="2"/>
  <c r="AC234" i="2"/>
  <c r="Z242" i="2"/>
  <c r="AC250" i="2"/>
  <c r="Y329" i="2"/>
  <c r="Z370" i="2"/>
  <c r="Z391" i="2"/>
  <c r="Z409" i="2"/>
  <c r="Z418" i="2"/>
  <c r="Y137" i="2"/>
  <c r="Z194" i="2"/>
  <c r="Y274" i="2"/>
  <c r="AC411" i="2"/>
  <c r="Z92" i="2"/>
  <c r="Y118" i="2"/>
  <c r="Z260" i="2"/>
  <c r="Y43" i="2"/>
  <c r="AC105" i="2"/>
  <c r="Y165" i="2"/>
  <c r="Z292" i="2"/>
  <c r="AC316" i="2"/>
  <c r="Z25" i="2"/>
  <c r="Y50" i="2"/>
  <c r="Z87" i="2"/>
  <c r="Z159" i="2"/>
  <c r="AC216" i="2"/>
  <c r="Z50" i="2"/>
  <c r="Z100" i="2"/>
  <c r="Y152" i="2"/>
  <c r="Y210" i="2"/>
  <c r="AC269" i="2"/>
  <c r="Y32" i="2"/>
  <c r="AC140" i="2"/>
  <c r="Y183" i="2"/>
  <c r="Z240" i="2"/>
  <c r="AC295" i="2"/>
  <c r="AC462" i="2"/>
  <c r="AC40" i="2"/>
  <c r="AC46" i="2"/>
  <c r="Z53" i="2"/>
  <c r="Z59" i="2"/>
  <c r="Y66" i="2"/>
  <c r="Y97" i="2"/>
  <c r="AC128" i="2"/>
  <c r="Z142" i="2"/>
  <c r="AC148" i="2"/>
  <c r="Y156" i="2"/>
  <c r="Z163" i="2"/>
  <c r="Z170" i="2"/>
  <c r="AC206" i="2"/>
  <c r="AC220" i="2"/>
  <c r="AC242" i="2"/>
  <c r="AC273" i="2"/>
  <c r="Y321" i="2"/>
  <c r="AC361" i="2"/>
  <c r="AC419" i="2"/>
  <c r="Z435" i="2"/>
  <c r="Y13" i="2"/>
  <c r="Y16" i="2"/>
  <c r="Y19" i="2"/>
  <c r="Y22" i="2"/>
  <c r="Y28" i="2"/>
  <c r="Y31" i="2"/>
  <c r="Y34" i="2"/>
  <c r="Y73" i="2"/>
  <c r="Z76" i="2"/>
  <c r="Y83" i="2"/>
  <c r="Z86" i="2"/>
  <c r="AC89" i="2"/>
  <c r="Y96" i="2"/>
  <c r="Z99" i="2"/>
  <c r="AC102" i="2"/>
  <c r="Y109" i="2"/>
  <c r="Z112" i="2"/>
  <c r="Y119" i="2"/>
  <c r="Z122" i="2"/>
  <c r="AC125" i="2"/>
  <c r="Y136" i="2"/>
  <c r="Z139" i="2"/>
  <c r="AC142" i="2"/>
  <c r="Y149" i="2"/>
  <c r="Y153" i="2"/>
  <c r="Z160" i="2"/>
  <c r="Y164" i="2"/>
  <c r="AC167" i="2"/>
  <c r="Y171" i="2"/>
  <c r="Y175" i="2"/>
  <c r="Y180" i="2"/>
  <c r="AC183" i="2"/>
  <c r="Y187" i="2"/>
  <c r="Z191" i="2"/>
  <c r="Y195" i="2"/>
  <c r="Y207" i="2"/>
  <c r="Y215" i="2"/>
  <c r="Z219" i="2"/>
  <c r="Y223" i="2"/>
  <c r="Z227" i="2"/>
  <c r="Y231" i="2"/>
  <c r="Z239" i="2"/>
  <c r="Y243" i="2"/>
  <c r="AC247" i="2"/>
  <c r="AC251" i="2"/>
  <c r="Z256" i="2"/>
  <c r="AC260" i="2"/>
  <c r="Y270" i="2"/>
  <c r="Z274" i="2"/>
  <c r="Z279" i="2"/>
  <c r="Z288" i="2"/>
  <c r="AC292" i="2"/>
  <c r="Z296" i="2"/>
  <c r="Z300" i="2"/>
  <c r="AC304" i="2"/>
  <c r="Z308" i="2"/>
  <c r="Z312" i="2"/>
  <c r="Z321" i="2"/>
  <c r="AC340" i="2"/>
  <c r="Y348" i="2"/>
  <c r="AC356" i="2"/>
  <c r="Z393" i="2"/>
  <c r="Z407" i="2"/>
  <c r="AC413" i="2"/>
  <c r="Y443" i="2"/>
  <c r="Y452" i="2"/>
  <c r="Y504" i="2"/>
  <c r="Z399" i="2"/>
  <c r="Y458" i="2"/>
  <c r="Z13" i="2"/>
  <c r="Z16" i="2"/>
  <c r="Z19" i="2"/>
  <c r="Z22" i="2"/>
  <c r="Z28" i="2"/>
  <c r="Z31" i="2"/>
  <c r="Z34" i="2"/>
  <c r="Y38" i="2"/>
  <c r="Y41" i="2"/>
  <c r="Y44" i="2"/>
  <c r="Y47" i="2"/>
  <c r="Y51" i="2"/>
  <c r="Y54" i="2"/>
  <c r="Y57" i="2"/>
  <c r="Y60" i="2"/>
  <c r="Y63" i="2"/>
  <c r="Y70" i="2"/>
  <c r="Z73" i="2"/>
  <c r="Y80" i="2"/>
  <c r="Z83" i="2"/>
  <c r="AC86" i="2"/>
  <c r="Y93" i="2"/>
  <c r="Z96" i="2"/>
  <c r="AC99" i="2"/>
  <c r="Y106" i="2"/>
  <c r="Z109" i="2"/>
  <c r="Y116" i="2"/>
  <c r="Z119" i="2"/>
  <c r="AC122" i="2"/>
  <c r="Y129" i="2"/>
  <c r="Y133" i="2"/>
  <c r="Z136" i="2"/>
  <c r="AC139" i="2"/>
  <c r="Y146" i="2"/>
  <c r="AC149" i="2"/>
  <c r="Z153" i="2"/>
  <c r="Y157" i="2"/>
  <c r="AC160" i="2"/>
  <c r="Z164" i="2"/>
  <c r="Z171" i="2"/>
  <c r="Z180" i="2"/>
  <c r="AC187" i="2"/>
  <c r="AC191" i="2"/>
  <c r="Z195" i="2"/>
  <c r="Z207" i="2"/>
  <c r="Y211" i="2"/>
  <c r="AC219" i="2"/>
  <c r="AC223" i="2"/>
  <c r="AC227" i="2"/>
  <c r="Z231" i="2"/>
  <c r="AC239" i="2"/>
  <c r="Z243" i="2"/>
  <c r="Z270" i="2"/>
  <c r="AC274" i="2"/>
  <c r="Z284" i="2"/>
  <c r="Z317" i="2"/>
  <c r="AC327" i="2"/>
  <c r="AC364" i="2"/>
  <c r="Y379" i="2"/>
  <c r="Y387" i="2"/>
  <c r="AC407" i="2"/>
  <c r="Y428" i="2"/>
  <c r="Z436" i="2"/>
  <c r="AC452" i="2"/>
  <c r="Y467" i="2"/>
  <c r="Z504" i="2"/>
  <c r="Y515" i="2"/>
  <c r="Y548" i="2"/>
  <c r="AC370" i="2"/>
  <c r="AC13" i="2"/>
  <c r="AC16" i="2"/>
  <c r="AC19" i="2"/>
  <c r="AC22" i="2"/>
  <c r="AC28" i="2"/>
  <c r="AC31" i="2"/>
  <c r="AC34" i="2"/>
  <c r="Z38" i="2"/>
  <c r="Z41" i="2"/>
  <c r="Z44" i="2"/>
  <c r="Z47" i="2"/>
  <c r="Z51" i="2"/>
  <c r="Z54" i="2"/>
  <c r="Z57" i="2"/>
  <c r="Z60" i="2"/>
  <c r="Z63" i="2"/>
  <c r="Y67" i="2"/>
  <c r="Z70" i="2"/>
  <c r="Y77" i="2"/>
  <c r="Z80" i="2"/>
  <c r="AC83" i="2"/>
  <c r="Y90" i="2"/>
  <c r="Z93" i="2"/>
  <c r="AC96" i="2"/>
  <c r="Y103" i="2"/>
  <c r="Z106" i="2"/>
  <c r="Y113" i="2"/>
  <c r="Z116" i="2"/>
  <c r="AC119" i="2"/>
  <c r="Y126" i="2"/>
  <c r="Z129" i="2"/>
  <c r="Z133" i="2"/>
  <c r="AC136" i="2"/>
  <c r="Y143" i="2"/>
  <c r="AC146" i="2"/>
  <c r="Z157" i="2"/>
  <c r="AC164" i="2"/>
  <c r="Y168" i="2"/>
  <c r="AC180" i="2"/>
  <c r="Y184" i="2"/>
  <c r="Y200" i="2"/>
  <c r="AC207" i="2"/>
  <c r="AC211" i="2"/>
  <c r="Y216" i="2"/>
  <c r="Y236" i="2"/>
  <c r="AC243" i="2"/>
  <c r="Z248" i="2"/>
  <c r="Z257" i="2"/>
  <c r="Y261" i="2"/>
  <c r="Z266" i="2"/>
  <c r="Y280" i="2"/>
  <c r="AC284" i="2"/>
  <c r="Z289" i="2"/>
  <c r="Y293" i="2"/>
  <c r="Y297" i="2"/>
  <c r="Z301" i="2"/>
  <c r="Y305" i="2"/>
  <c r="Y309" i="2"/>
  <c r="Z313" i="2"/>
  <c r="AC322" i="2"/>
  <c r="Y334" i="2"/>
  <c r="Z349" i="2"/>
  <c r="Z387" i="2"/>
  <c r="AC401" i="2"/>
  <c r="Z477" i="2"/>
  <c r="AC38" i="2"/>
  <c r="AC41" i="2"/>
  <c r="AC44" i="2"/>
  <c r="AC47" i="2"/>
  <c r="AC51" i="2"/>
  <c r="AC54" i="2"/>
  <c r="AC57" i="2"/>
  <c r="AC60" i="2"/>
  <c r="AC63" i="2"/>
  <c r="Z67" i="2"/>
  <c r="Y74" i="2"/>
  <c r="Z77" i="2"/>
  <c r="AC80" i="2"/>
  <c r="Y87" i="2"/>
  <c r="Z90" i="2"/>
  <c r="AC93" i="2"/>
  <c r="Y100" i="2"/>
  <c r="Z103" i="2"/>
  <c r="Y110" i="2"/>
  <c r="Z113" i="2"/>
  <c r="AC116" i="2"/>
  <c r="Y123" i="2"/>
  <c r="Z126" i="2"/>
  <c r="AC129" i="2"/>
  <c r="AC133" i="2"/>
  <c r="Y140" i="2"/>
  <c r="AC143" i="2"/>
  <c r="Y150" i="2"/>
  <c r="Y154" i="2"/>
  <c r="AC157" i="2"/>
  <c r="Y161" i="2"/>
  <c r="Z168" i="2"/>
  <c r="AC172" i="2"/>
  <c r="Y177" i="2"/>
  <c r="AC184" i="2"/>
  <c r="Y188" i="2"/>
  <c r="Y192" i="2"/>
  <c r="AC196" i="2"/>
  <c r="Z200" i="2"/>
  <c r="Y204" i="2"/>
  <c r="Z216" i="2"/>
  <c r="Y220" i="2"/>
  <c r="Y224" i="2"/>
  <c r="Y228" i="2"/>
  <c r="AC232" i="2"/>
  <c r="Z236" i="2"/>
  <c r="Y240" i="2"/>
  <c r="AC248" i="2"/>
  <c r="Y253" i="2"/>
  <c r="AC257" i="2"/>
  <c r="Z261" i="2"/>
  <c r="Y271" i="2"/>
  <c r="AC280" i="2"/>
  <c r="AC289" i="2"/>
  <c r="Z293" i="2"/>
  <c r="Z297" i="2"/>
  <c r="AC301" i="2"/>
  <c r="Z305" i="2"/>
  <c r="Z309" i="2"/>
  <c r="AC313" i="2"/>
  <c r="Y318" i="2"/>
  <c r="AC334" i="2"/>
  <c r="Y358" i="2"/>
  <c r="Y373" i="2"/>
  <c r="Z395" i="2"/>
  <c r="Y415" i="2"/>
  <c r="Z422" i="2"/>
  <c r="AC453" i="2"/>
  <c r="Y461" i="2"/>
  <c r="Z23" i="2"/>
  <c r="Y36" i="2"/>
  <c r="Y39" i="2"/>
  <c r="Y42" i="2"/>
  <c r="Z48" i="2"/>
  <c r="Y55" i="2"/>
  <c r="Y61" i="2"/>
  <c r="Y64" i="2"/>
  <c r="Y68" i="2"/>
  <c r="Z71" i="2"/>
  <c r="AC74" i="2"/>
  <c r="Y81" i="2"/>
  <c r="Z84" i="2"/>
  <c r="AC87" i="2"/>
  <c r="Y94" i="2"/>
  <c r="Z97" i="2"/>
  <c r="Y104" i="2"/>
  <c r="Z107" i="2"/>
  <c r="AC110" i="2"/>
  <c r="Y117" i="2"/>
  <c r="Z120" i="2"/>
  <c r="AC123" i="2"/>
  <c r="Y130" i="2"/>
  <c r="Y134" i="2"/>
  <c r="AC137" i="2"/>
  <c r="Y144" i="2"/>
  <c r="Z147" i="2"/>
  <c r="AC154" i="2"/>
  <c r="Y158" i="2"/>
  <c r="AC161" i="2"/>
  <c r="Z169" i="2"/>
  <c r="Y173" i="2"/>
  <c r="AC177" i="2"/>
  <c r="AC181" i="2"/>
  <c r="Y185" i="2"/>
  <c r="AC188" i="2"/>
  <c r="Y193" i="2"/>
  <c r="Y197" i="2"/>
  <c r="AC204" i="2"/>
  <c r="AC208" i="2"/>
  <c r="Y213" i="2"/>
  <c r="AC224" i="2"/>
  <c r="Y229" i="2"/>
  <c r="Y233" i="2"/>
  <c r="AC240" i="2"/>
  <c r="Z245" i="2"/>
  <c r="AC249" i="2"/>
  <c r="Y258" i="2"/>
  <c r="AC267" i="2"/>
  <c r="AC276" i="2"/>
  <c r="Z281" i="2"/>
  <c r="Z286" i="2"/>
  <c r="Y290" i="2"/>
  <c r="Y294" i="2"/>
  <c r="Z298" i="2"/>
  <c r="Y302" i="2"/>
  <c r="Y306" i="2"/>
  <c r="Z310" i="2"/>
  <c r="Z314" i="2"/>
  <c r="Z329" i="2"/>
  <c r="AC343" i="2"/>
  <c r="Z374" i="2"/>
  <c r="AC389" i="2"/>
  <c r="AC409" i="2"/>
  <c r="Y439" i="2"/>
  <c r="AC447" i="2"/>
  <c r="Y479" i="2"/>
  <c r="Y541" i="2"/>
  <c r="Z205" i="2"/>
  <c r="Z202" i="2"/>
  <c r="Z199" i="2"/>
  <c r="Z196" i="2"/>
  <c r="Z193" i="2"/>
  <c r="Z190" i="2"/>
  <c r="Z187" i="2"/>
  <c r="Z184" i="2"/>
  <c r="Z181" i="2"/>
  <c r="Z178" i="2"/>
  <c r="AC174" i="2"/>
  <c r="AC171" i="2"/>
  <c r="AC168" i="2"/>
  <c r="AC165" i="2"/>
  <c r="AC162" i="2"/>
  <c r="AC159" i="2"/>
  <c r="AC156" i="2"/>
  <c r="AC153" i="2"/>
  <c r="AC150" i="2"/>
  <c r="Z661" i="2"/>
  <c r="AC640" i="2"/>
  <c r="Z575" i="2"/>
  <c r="Y567" i="2"/>
  <c r="Y530" i="2"/>
  <c r="Z523" i="2"/>
  <c r="Z499" i="2"/>
  <c r="Z492" i="2"/>
  <c r="AC485" i="2"/>
  <c r="AC482" i="2"/>
  <c r="AC479" i="2"/>
  <c r="AC476" i="2"/>
  <c r="AC473" i="2"/>
  <c r="AC470" i="2"/>
  <c r="AC467" i="2"/>
  <c r="AC464" i="2"/>
  <c r="AC461" i="2"/>
  <c r="AC458" i="2"/>
  <c r="AC455" i="2"/>
  <c r="AC400" i="2"/>
  <c r="AC397" i="2"/>
  <c r="AC394" i="2"/>
  <c r="AC391" i="2"/>
  <c r="AC388" i="2"/>
  <c r="AC385" i="2"/>
  <c r="AC382" i="2"/>
  <c r="Y375" i="2"/>
  <c r="Y372" i="2"/>
  <c r="Y369" i="2"/>
  <c r="Y366" i="2"/>
  <c r="Y363" i="2"/>
  <c r="Z359" i="2"/>
  <c r="Z356" i="2"/>
  <c r="AC352" i="2"/>
  <c r="AC349" i="2"/>
  <c r="AC346" i="2"/>
  <c r="Y339" i="2"/>
  <c r="Z335" i="2"/>
  <c r="Y741" i="2"/>
  <c r="Z659" i="2"/>
  <c r="Z572" i="2"/>
  <c r="Z535" i="2"/>
  <c r="Y510" i="2"/>
  <c r="Z505" i="2"/>
  <c r="Y498" i="2"/>
  <c r="AC494" i="2"/>
  <c r="Y491" i="2"/>
  <c r="AC487" i="2"/>
  <c r="AC484" i="2"/>
  <c r="AC481" i="2"/>
  <c r="AC478" i="2"/>
  <c r="AC475" i="2"/>
  <c r="AC472" i="2"/>
  <c r="AC469" i="2"/>
  <c r="AC384" i="2"/>
  <c r="Y377" i="2"/>
  <c r="Y374" i="2"/>
  <c r="Y371" i="2"/>
  <c r="Y368" i="2"/>
  <c r="Y365" i="2"/>
  <c r="Z361" i="2"/>
  <c r="Z358" i="2"/>
  <c r="Z355" i="2"/>
  <c r="AC351" i="2"/>
  <c r="AC348" i="2"/>
  <c r="AC345" i="2"/>
  <c r="Y341" i="2"/>
  <c r="Y338" i="2"/>
  <c r="Z334" i="2"/>
  <c r="Z331" i="2"/>
  <c r="Z328" i="2"/>
  <c r="Z325" i="2"/>
  <c r="Z322" i="2"/>
  <c r="AC525" i="2"/>
  <c r="Y514" i="2"/>
  <c r="Y509" i="2"/>
  <c r="Y501" i="2"/>
  <c r="Z497" i="2"/>
  <c r="Y494" i="2"/>
  <c r="AC490" i="2"/>
  <c r="Y487" i="2"/>
  <c r="Y484" i="2"/>
  <c r="Y481" i="2"/>
  <c r="Y478" i="2"/>
  <c r="Y475" i="2"/>
  <c r="Y472" i="2"/>
  <c r="Y469" i="2"/>
  <c r="Y466" i="2"/>
  <c r="Y463" i="2"/>
  <c r="Y460" i="2"/>
  <c r="Y457" i="2"/>
  <c r="Y454" i="2"/>
  <c r="Y747" i="2"/>
  <c r="AC685" i="2"/>
  <c r="AC561" i="2"/>
  <c r="AC551" i="2"/>
  <c r="Z545" i="2"/>
  <c r="Y532" i="2"/>
  <c r="Z524" i="2"/>
  <c r="Y518" i="2"/>
  <c r="Y513" i="2"/>
  <c r="Y500" i="2"/>
  <c r="AC496" i="2"/>
  <c r="Z493" i="2"/>
  <c r="Z486" i="2"/>
  <c r="Z483" i="2"/>
  <c r="Z685" i="2"/>
  <c r="AC567" i="2"/>
  <c r="Z551" i="2"/>
  <c r="Y545" i="2"/>
  <c r="Y524" i="2"/>
  <c r="Z507" i="2"/>
  <c r="Z503" i="2"/>
  <c r="Z496" i="2"/>
  <c r="Y493" i="2"/>
  <c r="Z489" i="2"/>
  <c r="Y486" i="2"/>
  <c r="Y483" i="2"/>
  <c r="Y480" i="2"/>
  <c r="Y477" i="2"/>
  <c r="Y474" i="2"/>
  <c r="Y471" i="2"/>
  <c r="Y468" i="2"/>
  <c r="Y543" i="2"/>
  <c r="AC634" i="2"/>
  <c r="Y485" i="2"/>
  <c r="Z462" i="2"/>
  <c r="Z453" i="2"/>
  <c r="AC444" i="2"/>
  <c r="Z440" i="2"/>
  <c r="Y436" i="2"/>
  <c r="Z419" i="2"/>
  <c r="Y370" i="2"/>
  <c r="Y361" i="2"/>
  <c r="AC357" i="2"/>
  <c r="Z353" i="2"/>
  <c r="Y349" i="2"/>
  <c r="Y345" i="2"/>
  <c r="Y340" i="2"/>
  <c r="AC335" i="2"/>
  <c r="Y332" i="2"/>
  <c r="AC325" i="2"/>
  <c r="Y322" i="2"/>
  <c r="Y319" i="2"/>
  <c r="Y316" i="2"/>
  <c r="Y313" i="2"/>
  <c r="Y310" i="2"/>
  <c r="Y307" i="2"/>
  <c r="Y304" i="2"/>
  <c r="Y301" i="2"/>
  <c r="Y298" i="2"/>
  <c r="Y295" i="2"/>
  <c r="Y292" i="2"/>
  <c r="Y289" i="2"/>
  <c r="Y286" i="2"/>
  <c r="Y282" i="2"/>
  <c r="AC275" i="2"/>
  <c r="Z272" i="2"/>
  <c r="AC265" i="2"/>
  <c r="Z262" i="2"/>
  <c r="Y259" i="2"/>
  <c r="AC252" i="2"/>
  <c r="Z249" i="2"/>
  <c r="Y246" i="2"/>
  <c r="Y242" i="2"/>
  <c r="AC235" i="2"/>
  <c r="Y232" i="2"/>
  <c r="AC225" i="2"/>
  <c r="Z222" i="2"/>
  <c r="Y219" i="2"/>
  <c r="AC212" i="2"/>
  <c r="Z209" i="2"/>
  <c r="Y206" i="2"/>
  <c r="AC199" i="2"/>
  <c r="Y196" i="2"/>
  <c r="AC189" i="2"/>
  <c r="Z533" i="2"/>
  <c r="AC505" i="2"/>
  <c r="Z491" i="2"/>
  <c r="AC466" i="2"/>
  <c r="Y462" i="2"/>
  <c r="AC457" i="2"/>
  <c r="Y453" i="2"/>
  <c r="AC448" i="2"/>
  <c r="Z444" i="2"/>
  <c r="AC431" i="2"/>
  <c r="AC427" i="2"/>
  <c r="AC423" i="2"/>
  <c r="AC414" i="2"/>
  <c r="Y410" i="2"/>
  <c r="Z406" i="2"/>
  <c r="Z402" i="2"/>
  <c r="AC398" i="2"/>
  <c r="Z394" i="2"/>
  <c r="Z390" i="2"/>
  <c r="AC386" i="2"/>
  <c r="Z382" i="2"/>
  <c r="AC377" i="2"/>
  <c r="AC373" i="2"/>
  <c r="AC365" i="2"/>
  <c r="Z357" i="2"/>
  <c r="Y335" i="2"/>
  <c r="AC328" i="2"/>
  <c r="Y325" i="2"/>
  <c r="AC278" i="2"/>
  <c r="Z275" i="2"/>
  <c r="AC268" i="2"/>
  <c r="Z265" i="2"/>
  <c r="Y262" i="2"/>
  <c r="AC255" i="2"/>
  <c r="Z252" i="2"/>
  <c r="Y249" i="2"/>
  <c r="AC238" i="2"/>
  <c r="Y235" i="2"/>
  <c r="AC228" i="2"/>
  <c r="Z225" i="2"/>
  <c r="Y222" i="2"/>
  <c r="AC215" i="2"/>
  <c r="Z212" i="2"/>
  <c r="Y209" i="2"/>
  <c r="AC202" i="2"/>
  <c r="Y199" i="2"/>
  <c r="AC192" i="2"/>
  <c r="Z189" i="2"/>
  <c r="Y186" i="2"/>
  <c r="AC179" i="2"/>
  <c r="AC175" i="2"/>
  <c r="Z172" i="2"/>
  <c r="Y169" i="2"/>
  <c r="Z162" i="2"/>
  <c r="Y159" i="2"/>
  <c r="AC152" i="2"/>
  <c r="Z149" i="2"/>
  <c r="Z146" i="2"/>
  <c r="Z143" i="2"/>
  <c r="Z140" i="2"/>
  <c r="Z137" i="2"/>
  <c r="Z134" i="2"/>
  <c r="AC130" i="2"/>
  <c r="AC127" i="2"/>
  <c r="AC124" i="2"/>
  <c r="AC121" i="2"/>
  <c r="AC118" i="2"/>
  <c r="AC115" i="2"/>
  <c r="AC112" i="2"/>
  <c r="AC109" i="2"/>
  <c r="AC106" i="2"/>
  <c r="AC103" i="2"/>
  <c r="AC100" i="2"/>
  <c r="AC97" i="2"/>
  <c r="AC94" i="2"/>
  <c r="AC91" i="2"/>
  <c r="AC88" i="2"/>
  <c r="AC85" i="2"/>
  <c r="AC82" i="2"/>
  <c r="AC79" i="2"/>
  <c r="AC76" i="2"/>
  <c r="AC73" i="2"/>
  <c r="AC70" i="2"/>
  <c r="AC67" i="2"/>
  <c r="Y48" i="2"/>
  <c r="AC541" i="2"/>
  <c r="Z522" i="2"/>
  <c r="Z513" i="2"/>
  <c r="Z498" i="2"/>
  <c r="AC477" i="2"/>
  <c r="AC471" i="2"/>
  <c r="Y448" i="2"/>
  <c r="AC439" i="2"/>
  <c r="AC435" i="2"/>
  <c r="Y431" i="2"/>
  <c r="Z423" i="2"/>
  <c r="AC418" i="2"/>
  <c r="Z414" i="2"/>
  <c r="Y406" i="2"/>
  <c r="Y402" i="2"/>
  <c r="Z398" i="2"/>
  <c r="Y394" i="2"/>
  <c r="Y390" i="2"/>
  <c r="Z386" i="2"/>
  <c r="Y382" i="2"/>
  <c r="Z377" i="2"/>
  <c r="Z373" i="2"/>
  <c r="Z369" i="2"/>
  <c r="Z365" i="2"/>
  <c r="AC360" i="2"/>
  <c r="Y357" i="2"/>
  <c r="Z352" i="2"/>
  <c r="Z348" i="2"/>
  <c r="Z339" i="2"/>
  <c r="AC331" i="2"/>
  <c r="Y328" i="2"/>
  <c r="AC321" i="2"/>
  <c r="AC318" i="2"/>
  <c r="AC315" i="2"/>
  <c r="AC312" i="2"/>
  <c r="AC309" i="2"/>
  <c r="AC306" i="2"/>
  <c r="AC303" i="2"/>
  <c r="AC300" i="2"/>
  <c r="AC297" i="2"/>
  <c r="AC294" i="2"/>
  <c r="AC291" i="2"/>
  <c r="AC288" i="2"/>
  <c r="AC281" i="2"/>
  <c r="Z278" i="2"/>
  <c r="AC271" i="2"/>
  <c r="Z268" i="2"/>
  <c r="Y265" i="2"/>
  <c r="AC258" i="2"/>
  <c r="Z255" i="2"/>
  <c r="Y252" i="2"/>
  <c r="AC245" i="2"/>
  <c r="AC241" i="2"/>
  <c r="Y238" i="2"/>
  <c r="AC231" i="2"/>
  <c r="Z228" i="2"/>
  <c r="Y225" i="2"/>
  <c r="AC218" i="2"/>
  <c r="Z215" i="2"/>
  <c r="Y212" i="2"/>
  <c r="AC205" i="2"/>
  <c r="Y202" i="2"/>
  <c r="AC195" i="2"/>
  <c r="Z192" i="2"/>
  <c r="Y189" i="2"/>
  <c r="AC182" i="2"/>
  <c r="Z179" i="2"/>
  <c r="Z175" i="2"/>
  <c r="Y172" i="2"/>
  <c r="Z165" i="2"/>
  <c r="Y162" i="2"/>
  <c r="AC155" i="2"/>
  <c r="Z152" i="2"/>
  <c r="Y482" i="2"/>
  <c r="Y476" i="2"/>
  <c r="Y470" i="2"/>
  <c r="Y465" i="2"/>
  <c r="AC460" i="2"/>
  <c r="Y456" i="2"/>
  <c r="AC442" i="2"/>
  <c r="AC434" i="2"/>
  <c r="Y430" i="2"/>
  <c r="Y422" i="2"/>
  <c r="Y413" i="2"/>
  <c r="Y409" i="2"/>
  <c r="Y405" i="2"/>
  <c r="Z401" i="2"/>
  <c r="Y397" i="2"/>
  <c r="Y393" i="2"/>
  <c r="Z389" i="2"/>
  <c r="Y385" i="2"/>
  <c r="AC380" i="2"/>
  <c r="Z376" i="2"/>
  <c r="Z372" i="2"/>
  <c r="Z368" i="2"/>
  <c r="Z364" i="2"/>
  <c r="Y356" i="2"/>
  <c r="Z351" i="2"/>
  <c r="AC347" i="2"/>
  <c r="Z338" i="2"/>
  <c r="AC330" i="2"/>
  <c r="Z327" i="2"/>
  <c r="AC741" i="2"/>
  <c r="Z519" i="2"/>
  <c r="Z510" i="2"/>
  <c r="Z446" i="2"/>
  <c r="Z442" i="2"/>
  <c r="AC438" i="2"/>
  <c r="Y434" i="2"/>
  <c r="AC425" i="2"/>
  <c r="Z380" i="2"/>
  <c r="Y376" i="2"/>
  <c r="Y364" i="2"/>
  <c r="AC359" i="2"/>
  <c r="Y351" i="2"/>
  <c r="Z347" i="2"/>
  <c r="AC333" i="2"/>
  <c r="Z330" i="2"/>
  <c r="Y327" i="2"/>
  <c r="AC320" i="2"/>
  <c r="AC317" i="2"/>
  <c r="AC314" i="2"/>
  <c r="AC311" i="2"/>
  <c r="AC308" i="2"/>
  <c r="AC305" i="2"/>
  <c r="AC302" i="2"/>
  <c r="AC299" i="2"/>
  <c r="AC296" i="2"/>
  <c r="AC293" i="2"/>
  <c r="AC290" i="2"/>
  <c r="AC287" i="2"/>
  <c r="AC283" i="2"/>
  <c r="Z280" i="2"/>
  <c r="Y277" i="2"/>
  <c r="AC270" i="2"/>
  <c r="Z267" i="2"/>
  <c r="Y264" i="2"/>
  <c r="AC545" i="2"/>
  <c r="Z502" i="2"/>
  <c r="Y495" i="2"/>
  <c r="Y488" i="2"/>
  <c r="Y464" i="2"/>
  <c r="AC459" i="2"/>
  <c r="Y455" i="2"/>
  <c r="Z450" i="2"/>
  <c r="Y446" i="2"/>
  <c r="Y442" i="2"/>
  <c r="Z429" i="2"/>
  <c r="Z425" i="2"/>
  <c r="AC421" i="2"/>
  <c r="Z416" i="2"/>
  <c r="AC412" i="2"/>
  <c r="AC408" i="2"/>
  <c r="AC404" i="2"/>
  <c r="Z400" i="2"/>
  <c r="Z396" i="2"/>
  <c r="AC392" i="2"/>
  <c r="Z388" i="2"/>
  <c r="Z384" i="2"/>
  <c r="Y380" i="2"/>
  <c r="AC371" i="2"/>
  <c r="AC367" i="2"/>
  <c r="Y359" i="2"/>
  <c r="AC355" i="2"/>
  <c r="AC341" i="2"/>
  <c r="AC337" i="2"/>
  <c r="Z333" i="2"/>
  <c r="Y330" i="2"/>
  <c r="AC779" i="2"/>
  <c r="Z589" i="2"/>
  <c r="Z566" i="2"/>
  <c r="Y502" i="2"/>
  <c r="AC480" i="2"/>
  <c r="AC474" i="2"/>
  <c r="AC468" i="2"/>
  <c r="Z459" i="2"/>
  <c r="Z437" i="2"/>
  <c r="Z433" i="2"/>
  <c r="Y425" i="2"/>
  <c r="Z421" i="2"/>
  <c r="Y416" i="2"/>
  <c r="Y412" i="2"/>
  <c r="Z408" i="2"/>
  <c r="Z404" i="2"/>
  <c r="Y400" i="2"/>
  <c r="Y396" i="2"/>
  <c r="Z392" i="2"/>
  <c r="Y388" i="2"/>
  <c r="Y384" i="2"/>
  <c r="Z375" i="2"/>
  <c r="Z371" i="2"/>
  <c r="Z367" i="2"/>
  <c r="Z363" i="2"/>
  <c r="Y355" i="2"/>
  <c r="AC350" i="2"/>
  <c r="Z346" i="2"/>
  <c r="Z341" i="2"/>
  <c r="Z337" i="2"/>
  <c r="Y333" i="2"/>
  <c r="AC326" i="2"/>
  <c r="Z323" i="2"/>
  <c r="Y320" i="2"/>
  <c r="Y317" i="2"/>
  <c r="Y314" i="2"/>
  <c r="Y599" i="2"/>
  <c r="AC536" i="2"/>
  <c r="Z508" i="2"/>
  <c r="Z480" i="2"/>
  <c r="Z474" i="2"/>
  <c r="Z468" i="2"/>
  <c r="AC463" i="2"/>
  <c r="Y459" i="2"/>
  <c r="AC454" i="2"/>
  <c r="AC449" i="2"/>
  <c r="AC445" i="2"/>
  <c r="AC441" i="2"/>
  <c r="Y437" i="2"/>
  <c r="AC428" i="2"/>
  <c r="AC379" i="2"/>
  <c r="Y367" i="2"/>
  <c r="AC358" i="2"/>
  <c r="Z350" i="2"/>
  <c r="Y346" i="2"/>
  <c r="Y337" i="2"/>
  <c r="AC329" i="2"/>
  <c r="Z326" i="2"/>
  <c r="Y323" i="2"/>
  <c r="AC279" i="2"/>
  <c r="Z276" i="2"/>
  <c r="Y273" i="2"/>
  <c r="AC266" i="2"/>
  <c r="Z263" i="2"/>
  <c r="AC256" i="2"/>
  <c r="Z253" i="2"/>
  <c r="Y886" i="2"/>
  <c r="Y737" i="2"/>
  <c r="Z543" i="2"/>
  <c r="AC493" i="2"/>
  <c r="AC486" i="2"/>
  <c r="Z449" i="2"/>
  <c r="Y445" i="2"/>
  <c r="AC432" i="2"/>
  <c r="Z428" i="2"/>
  <c r="AC424" i="2"/>
  <c r="Z17" i="2"/>
  <c r="Z29" i="2"/>
  <c r="Y52" i="2"/>
  <c r="W51" i="1"/>
  <c r="AC14" i="2"/>
  <c r="AC17" i="2"/>
  <c r="AC20" i="2"/>
  <c r="AC23" i="2"/>
  <c r="AC26" i="2"/>
  <c r="AC29" i="2"/>
  <c r="AC32" i="2"/>
  <c r="Z36" i="2"/>
  <c r="Z39" i="2"/>
  <c r="Z42" i="2"/>
  <c r="Z45" i="2"/>
  <c r="AC48" i="2"/>
  <c r="Z52" i="2"/>
  <c r="Z55" i="2"/>
  <c r="Z58" i="2"/>
  <c r="Z61" i="2"/>
  <c r="Z64" i="2"/>
  <c r="Z68" i="2"/>
  <c r="AC71" i="2"/>
  <c r="Y78" i="2"/>
  <c r="Z81" i="2"/>
  <c r="AC84" i="2"/>
  <c r="Y91" i="2"/>
  <c r="Z94" i="2"/>
  <c r="Y101" i="2"/>
  <c r="Z104" i="2"/>
  <c r="AC107" i="2"/>
  <c r="Y114" i="2"/>
  <c r="Z117" i="2"/>
  <c r="AC120" i="2"/>
  <c r="Y127" i="2"/>
  <c r="Z130" i="2"/>
  <c r="AC134" i="2"/>
  <c r="Y141" i="2"/>
  <c r="Z144" i="2"/>
  <c r="AC147" i="2"/>
  <c r="Y151" i="2"/>
  <c r="Z158" i="2"/>
  <c r="Y166" i="2"/>
  <c r="AC169" i="2"/>
  <c r="Z173" i="2"/>
  <c r="Z185" i="2"/>
  <c r="AC193" i="2"/>
  <c r="Z197" i="2"/>
  <c r="Y201" i="2"/>
  <c r="Z213" i="2"/>
  <c r="Y217" i="2"/>
  <c r="Y221" i="2"/>
  <c r="AC229" i="2"/>
  <c r="Z233" i="2"/>
  <c r="Y237" i="2"/>
  <c r="Z254" i="2"/>
  <c r="Z258" i="2"/>
  <c r="AC262" i="2"/>
  <c r="AC272" i="2"/>
  <c r="AC286" i="2"/>
  <c r="Z290" i="2"/>
  <c r="Z294" i="2"/>
  <c r="AC298" i="2"/>
  <c r="Z302" i="2"/>
  <c r="Z306" i="2"/>
  <c r="AC310" i="2"/>
  <c r="Z319" i="2"/>
  <c r="Y324" i="2"/>
  <c r="Y352" i="2"/>
  <c r="Y360" i="2"/>
  <c r="AC374" i="2"/>
  <c r="Z383" i="2"/>
  <c r="Y424" i="2"/>
  <c r="Z439" i="2"/>
  <c r="Z471" i="2"/>
  <c r="Y490" i="2"/>
  <c r="W47" i="1"/>
  <c r="Z20" i="2"/>
  <c r="Z32" i="2"/>
  <c r="Y58" i="2"/>
  <c r="T20" i="1"/>
  <c r="AC36" i="2"/>
  <c r="AC39" i="2"/>
  <c r="AC42" i="2"/>
  <c r="AC45" i="2"/>
  <c r="AC52" i="2"/>
  <c r="AC55" i="2"/>
  <c r="AC58" i="2"/>
  <c r="AC61" i="2"/>
  <c r="AC64" i="2"/>
  <c r="AC68" i="2"/>
  <c r="Y75" i="2"/>
  <c r="Z78" i="2"/>
  <c r="AC81" i="2"/>
  <c r="Y88" i="2"/>
  <c r="Z91" i="2"/>
  <c r="Y98" i="2"/>
  <c r="Z101" i="2"/>
  <c r="AC104" i="2"/>
  <c r="Y111" i="2"/>
  <c r="Z114" i="2"/>
  <c r="AC117" i="2"/>
  <c r="Y124" i="2"/>
  <c r="Z127" i="2"/>
  <c r="Y138" i="2"/>
  <c r="Z141" i="2"/>
  <c r="AC144" i="2"/>
  <c r="Z151" i="2"/>
  <c r="Y155" i="2"/>
  <c r="AC158" i="2"/>
  <c r="Z166" i="2"/>
  <c r="AC173" i="2"/>
  <c r="Y178" i="2"/>
  <c r="Y182" i="2"/>
  <c r="AC185" i="2"/>
  <c r="AC197" i="2"/>
  <c r="Z201" i="2"/>
  <c r="Y205" i="2"/>
  <c r="AC209" i="2"/>
  <c r="AC213" i="2"/>
  <c r="AC217" i="2"/>
  <c r="Z221" i="2"/>
  <c r="AC233" i="2"/>
  <c r="Z237" i="2"/>
  <c r="Y241" i="2"/>
  <c r="Z246" i="2"/>
  <c r="Y250" i="2"/>
  <c r="AC254" i="2"/>
  <c r="Y268" i="2"/>
  <c r="Z277" i="2"/>
  <c r="Z282" i="2"/>
  <c r="Y315" i="2"/>
  <c r="AC319" i="2"/>
  <c r="Z324" i="2"/>
  <c r="Z360" i="2"/>
  <c r="AC368" i="2"/>
  <c r="AC383" i="2"/>
  <c r="Z397" i="2"/>
  <c r="Z432" i="2"/>
  <c r="Z456" i="2"/>
  <c r="Z490" i="2"/>
  <c r="Z500" i="2"/>
  <c r="Z14" i="2"/>
  <c r="Z26" i="2"/>
  <c r="W49" i="1"/>
  <c r="Y15" i="2"/>
  <c r="Y18" i="2"/>
  <c r="Y21" i="2"/>
  <c r="Y24" i="2"/>
  <c r="Y27" i="2"/>
  <c r="Y30" i="2"/>
  <c r="Y33" i="2"/>
  <c r="Y72" i="2"/>
  <c r="Z75" i="2"/>
  <c r="AC78" i="2"/>
  <c r="Y85" i="2"/>
  <c r="Z88" i="2"/>
  <c r="Y95" i="2"/>
  <c r="Z98" i="2"/>
  <c r="AC101" i="2"/>
  <c r="Y108" i="2"/>
  <c r="Z111" i="2"/>
  <c r="AC114" i="2"/>
  <c r="Y121" i="2"/>
  <c r="Z124" i="2"/>
  <c r="Y131" i="2"/>
  <c r="Y135" i="2"/>
  <c r="Z138" i="2"/>
  <c r="AC141" i="2"/>
  <c r="Y148" i="2"/>
  <c r="AC151" i="2"/>
  <c r="Z155" i="2"/>
  <c r="Y163" i="2"/>
  <c r="AC166" i="2"/>
  <c r="Y170" i="2"/>
  <c r="AC178" i="2"/>
  <c r="Z182" i="2"/>
  <c r="Y190" i="2"/>
  <c r="Y194" i="2"/>
  <c r="AC201" i="2"/>
  <c r="AC221" i="2"/>
  <c r="Y226" i="2"/>
  <c r="Y230" i="2"/>
  <c r="AC237" i="2"/>
  <c r="AC246" i="2"/>
  <c r="Z250" i="2"/>
  <c r="Z259" i="2"/>
  <c r="AC263" i="2"/>
  <c r="Z273" i="2"/>
  <c r="AC277" i="2"/>
  <c r="AC282" i="2"/>
  <c r="Y287" i="2"/>
  <c r="Y291" i="2"/>
  <c r="Z295" i="2"/>
  <c r="Y299" i="2"/>
  <c r="Y303" i="2"/>
  <c r="Z307" i="2"/>
  <c r="Y311" i="2"/>
  <c r="Z315" i="2"/>
  <c r="AC324" i="2"/>
  <c r="Y331" i="2"/>
  <c r="AC338" i="2"/>
  <c r="Z345" i="2"/>
  <c r="AC353" i="2"/>
  <c r="Y391" i="2"/>
  <c r="Z411" i="2"/>
  <c r="Y418" i="2"/>
  <c r="AC440" i="2"/>
  <c r="Y449" i="2"/>
  <c r="AC456" i="2"/>
  <c r="AC711" i="2"/>
  <c r="Y640" i="2"/>
  <c r="AC514" i="2"/>
  <c r="Z541" i="2"/>
  <c r="Z817" i="2"/>
  <c r="Z874" i="2"/>
  <c r="M12" i="12"/>
  <c r="AC772" i="2"/>
  <c r="M12" i="13"/>
  <c r="Y546" i="2"/>
  <c r="Z563" i="2"/>
  <c r="Z599" i="2"/>
  <c r="Y711" i="2"/>
  <c r="M15" i="4"/>
  <c r="AC387" i="2"/>
  <c r="AC390" i="2"/>
  <c r="AC393" i="2"/>
  <c r="AC396" i="2"/>
  <c r="AC399" i="2"/>
  <c r="AC402" i="2"/>
  <c r="AC405" i="2"/>
  <c r="Z412" i="2"/>
  <c r="AC415" i="2"/>
  <c r="Y419" i="2"/>
  <c r="AC422" i="2"/>
  <c r="AC429" i="2"/>
  <c r="Y433" i="2"/>
  <c r="AC436" i="2"/>
  <c r="AC443" i="2"/>
  <c r="Z447" i="2"/>
  <c r="AC450" i="2"/>
  <c r="Z454" i="2"/>
  <c r="Z457" i="2"/>
  <c r="Z460" i="2"/>
  <c r="Z463" i="2"/>
  <c r="Z466" i="2"/>
  <c r="Z469" i="2"/>
  <c r="Z472" i="2"/>
  <c r="Z475" i="2"/>
  <c r="Z478" i="2"/>
  <c r="Z481" i="2"/>
  <c r="Z484" i="2"/>
  <c r="Z487" i="2"/>
  <c r="Z494" i="2"/>
  <c r="Z501" i="2"/>
  <c r="Y505" i="2"/>
  <c r="Z514" i="2"/>
  <c r="Z520" i="2"/>
  <c r="AC542" i="2"/>
  <c r="Z581" i="2"/>
  <c r="AC599" i="2"/>
  <c r="AC845" i="2"/>
  <c r="M13" i="4"/>
  <c r="M13" i="13"/>
  <c r="M23" i="32"/>
  <c r="AC403" i="2"/>
  <c r="AC406" i="2"/>
  <c r="Z413" i="2"/>
  <c r="AC416" i="2"/>
  <c r="Z420" i="2"/>
  <c r="Z427" i="2"/>
  <c r="Z434" i="2"/>
  <c r="AC437" i="2"/>
  <c r="Z441" i="2"/>
  <c r="Z448" i="2"/>
  <c r="Z452" i="2"/>
  <c r="Z455" i="2"/>
  <c r="Z458" i="2"/>
  <c r="Z461" i="2"/>
  <c r="Z464" i="2"/>
  <c r="Z467" i="2"/>
  <c r="Z470" i="2"/>
  <c r="Z473" i="2"/>
  <c r="Z476" i="2"/>
  <c r="Z479" i="2"/>
  <c r="Z482" i="2"/>
  <c r="Z485" i="2"/>
  <c r="Z488" i="2"/>
  <c r="Y492" i="2"/>
  <c r="Z495" i="2"/>
  <c r="Y499" i="2"/>
  <c r="AC502" i="2"/>
  <c r="Y506" i="2"/>
  <c r="Z511" i="2"/>
  <c r="Z516" i="2"/>
  <c r="AC543" i="2"/>
  <c r="AC558" i="2"/>
  <c r="Z584" i="2"/>
  <c r="Z640" i="2"/>
  <c r="Y661" i="2"/>
  <c r="Z872" i="2"/>
  <c r="Z208" i="2"/>
  <c r="Z211" i="2"/>
  <c r="Z214" i="2"/>
  <c r="Z217" i="2"/>
  <c r="Z220" i="2"/>
  <c r="Z223" i="2"/>
  <c r="Z226" i="2"/>
  <c r="Z229" i="2"/>
  <c r="Z232" i="2"/>
  <c r="Z235" i="2"/>
  <c r="Z238" i="2"/>
  <c r="Z241" i="2"/>
  <c r="Y245" i="2"/>
  <c r="Y248" i="2"/>
  <c r="Y251" i="2"/>
  <c r="Y254" i="2"/>
  <c r="Y257" i="2"/>
  <c r="Y260" i="2"/>
  <c r="Y263" i="2"/>
  <c r="Y266" i="2"/>
  <c r="Y269" i="2"/>
  <c r="Y272" i="2"/>
  <c r="Y275" i="2"/>
  <c r="Y278" i="2"/>
  <c r="Y281" i="2"/>
  <c r="Y284" i="2"/>
  <c r="AC339" i="2"/>
  <c r="Z343" i="2"/>
  <c r="Y347" i="2"/>
  <c r="Y350" i="2"/>
  <c r="Y353" i="2"/>
  <c r="AC363" i="2"/>
  <c r="AC366" i="2"/>
  <c r="AC369" i="2"/>
  <c r="AC372" i="2"/>
  <c r="AC375" i="2"/>
  <c r="Z379" i="2"/>
  <c r="Y383" i="2"/>
  <c r="Y386" i="2"/>
  <c r="Y389" i="2"/>
  <c r="Y392" i="2"/>
  <c r="Y395" i="2"/>
  <c r="Y398" i="2"/>
  <c r="Y401" i="2"/>
  <c r="Y404" i="2"/>
  <c r="Y407" i="2"/>
  <c r="Z410" i="2"/>
  <c r="AC417" i="2"/>
  <c r="Y421" i="2"/>
  <c r="Z424" i="2"/>
  <c r="Z431" i="2"/>
  <c r="Z438" i="2"/>
  <c r="Z445" i="2"/>
  <c r="Y489" i="2"/>
  <c r="Y496" i="2"/>
  <c r="AC499" i="2"/>
  <c r="Y503" i="2"/>
  <c r="Y507" i="2"/>
  <c r="Y512" i="2"/>
  <c r="Z517" i="2"/>
  <c r="Y551" i="2"/>
  <c r="Z567" i="2"/>
  <c r="AC596" i="2"/>
  <c r="AC661" i="2"/>
  <c r="Y685" i="2"/>
  <c r="T414" i="1"/>
  <c r="W17" i="1"/>
  <c r="W42" i="1"/>
  <c r="W15" i="1"/>
  <c r="W14" i="1"/>
  <c r="W13" i="1"/>
  <c r="W12" i="1"/>
  <c r="W10" i="1"/>
  <c r="W8" i="1"/>
  <c r="W6" i="1"/>
  <c r="W4" i="1"/>
  <c r="W2" i="1"/>
  <c r="W16" i="1"/>
  <c r="W11" i="1"/>
  <c r="W9" i="1"/>
  <c r="W7" i="1"/>
  <c r="W5" i="1"/>
  <c r="W3" i="1"/>
  <c r="W41" i="1"/>
  <c r="W40" i="1"/>
  <c r="W29" i="1"/>
  <c r="W28" i="1"/>
  <c r="W31" i="1"/>
  <c r="W43" i="1"/>
  <c r="W32" i="1"/>
  <c r="W27" i="1"/>
  <c r="W39" i="1"/>
  <c r="W25" i="1"/>
  <c r="W20" i="1"/>
  <c r="W18" i="1"/>
  <c r="W33" i="1"/>
  <c r="W26" i="1"/>
  <c r="W44" i="1"/>
  <c r="W34" i="1"/>
  <c r="W30" i="1"/>
  <c r="W22" i="1"/>
  <c r="W24" i="1"/>
  <c r="T475" i="1"/>
  <c r="T204" i="1"/>
  <c r="T348" i="1"/>
  <c r="T468" i="1"/>
  <c r="T521" i="1"/>
  <c r="T472" i="1"/>
  <c r="T288" i="1"/>
  <c r="T421" i="1"/>
  <c r="W19" i="1"/>
  <c r="T213" i="1"/>
  <c r="T201" i="1"/>
  <c r="T11" i="1"/>
  <c r="T200" i="1"/>
  <c r="T467" i="1"/>
  <c r="T672" i="1"/>
  <c r="W50" i="1"/>
  <c r="T422" i="1"/>
  <c r="W46" i="1"/>
  <c r="T44" i="1"/>
  <c r="T342" i="1"/>
  <c r="T4" i="1"/>
  <c r="W36" i="1"/>
  <c r="W48" i="1"/>
  <c r="W35" i="1"/>
  <c r="W37" i="1"/>
  <c r="W38" i="1"/>
  <c r="T47" i="1"/>
  <c r="T262" i="1"/>
  <c r="T310" i="1"/>
  <c r="T281" i="1"/>
  <c r="T334" i="1"/>
  <c r="W21" i="1"/>
  <c r="W45" i="1"/>
  <c r="T258" i="1"/>
  <c r="T326" i="1"/>
  <c r="T143" i="1"/>
  <c r="T325" i="1"/>
  <c r="T417" i="1"/>
  <c r="T420" i="1"/>
  <c r="T712" i="1"/>
  <c r="T711" i="1"/>
  <c r="T710" i="1"/>
  <c r="T716" i="1"/>
  <c r="T714" i="1"/>
  <c r="T575" i="1"/>
  <c r="T74" i="1"/>
  <c r="W23" i="1"/>
  <c r="T296" i="1"/>
  <c r="T474" i="1"/>
  <c r="T481" i="1"/>
  <c r="T413" i="1"/>
  <c r="T230" i="1"/>
  <c r="T345" i="1"/>
  <c r="T401" i="1"/>
  <c r="T488" i="1"/>
  <c r="T497" i="1"/>
  <c r="T726" i="1"/>
  <c r="T727" i="1"/>
  <c r="T737" i="1"/>
  <c r="T27" i="1"/>
  <c r="T182" i="1"/>
  <c r="T265" i="1"/>
  <c r="T9" i="1"/>
  <c r="T121" i="1"/>
  <c r="T308" i="1"/>
  <c r="T344" i="1"/>
  <c r="T361" i="1"/>
  <c r="T487" i="1"/>
  <c r="T609" i="1"/>
  <c r="T638" i="1"/>
  <c r="T691" i="1"/>
  <c r="T694" i="1"/>
  <c r="T697" i="1"/>
  <c r="T701" i="1"/>
  <c r="T704" i="1"/>
  <c r="T705" i="1"/>
  <c r="T706" i="1"/>
  <c r="T725" i="1"/>
  <c r="T795" i="1"/>
  <c r="T828" i="1"/>
  <c r="T843" i="1"/>
  <c r="T208" i="1"/>
  <c r="T259" i="1"/>
  <c r="T263" i="1"/>
  <c r="T495" i="1"/>
  <c r="T608" i="1"/>
  <c r="T723" i="1"/>
  <c r="T724" i="1"/>
  <c r="T784" i="1"/>
  <c r="T811" i="1"/>
  <c r="T844" i="1"/>
  <c r="T87" i="1"/>
  <c r="T92" i="1"/>
  <c r="T93" i="1"/>
  <c r="T98" i="1"/>
  <c r="T101" i="1"/>
  <c r="T104" i="1"/>
  <c r="T109" i="1"/>
  <c r="T205" i="1"/>
  <c r="T206" i="1"/>
  <c r="T289" i="1"/>
  <c r="T426" i="1"/>
  <c r="T432" i="1"/>
  <c r="T524" i="1"/>
  <c r="T718" i="1"/>
  <c r="T719" i="1"/>
  <c r="T782" i="1"/>
  <c r="T797" i="1"/>
  <c r="T830" i="1"/>
  <c r="T845" i="1"/>
  <c r="T781" i="1"/>
  <c r="T779" i="1"/>
  <c r="T794" i="1"/>
  <c r="T817" i="1"/>
  <c r="D903" i="1"/>
  <c r="T349" i="1" s="1"/>
  <c r="T261" i="1"/>
  <c r="T510" i="1"/>
  <c r="T519" i="1"/>
  <c r="T671" i="1"/>
  <c r="T755" i="1"/>
  <c r="T756" i="1"/>
  <c r="T509" i="1"/>
  <c r="T43" i="1"/>
  <c r="T411" i="1"/>
  <c r="T531" i="1"/>
  <c r="T533" i="1"/>
  <c r="T536" i="1"/>
  <c r="T537" i="1"/>
  <c r="T538" i="1"/>
  <c r="T547" i="1"/>
  <c r="T550" i="1"/>
  <c r="T556" i="1"/>
  <c r="T559" i="1"/>
  <c r="T564" i="1"/>
  <c r="T565" i="1"/>
  <c r="T566" i="1"/>
  <c r="T568" i="1"/>
  <c r="T569" i="1"/>
  <c r="T571" i="1"/>
  <c r="T663" i="1"/>
  <c r="T741" i="1"/>
  <c r="T826" i="1"/>
  <c r="T640" i="1"/>
  <c r="T634" i="1"/>
  <c r="T619" i="1"/>
  <c r="T469" i="1"/>
  <c r="T463" i="1"/>
  <c r="T397" i="1"/>
  <c r="T393" i="1"/>
  <c r="T380" i="1"/>
  <c r="T377" i="1"/>
  <c r="T370" i="1"/>
  <c r="T366" i="1"/>
  <c r="T328" i="1"/>
  <c r="T179" i="1"/>
  <c r="T178" i="1"/>
  <c r="T177" i="1"/>
  <c r="T175" i="1"/>
  <c r="T168" i="1"/>
  <c r="T165" i="1"/>
  <c r="T164" i="1"/>
  <c r="T161" i="1"/>
  <c r="T152" i="1"/>
  <c r="T147" i="1"/>
  <c r="T138" i="1"/>
  <c r="T223" i="1"/>
  <c r="T196" i="1"/>
  <c r="T126" i="1"/>
  <c r="T449" i="1"/>
  <c r="T319" i="1"/>
  <c r="T295" i="1"/>
  <c r="T849" i="1"/>
  <c r="T658" i="1"/>
  <c r="T654" i="1"/>
  <c r="T622" i="1"/>
  <c r="T491" i="1"/>
  <c r="T408" i="1"/>
  <c r="T287" i="1"/>
  <c r="T836" i="1"/>
  <c r="T800" i="1"/>
  <c r="T771" i="1"/>
  <c r="T770" i="1"/>
  <c r="T733" i="1"/>
  <c r="T604" i="1"/>
  <c r="T595" i="1"/>
  <c r="T586" i="1"/>
  <c r="T450" i="1"/>
  <c r="T441" i="1"/>
  <c r="T129" i="1"/>
  <c r="T135" i="1"/>
  <c r="T180" i="1"/>
  <c r="T237" i="1"/>
  <c r="T466" i="1"/>
  <c r="T234" i="1"/>
  <c r="T231" i="1"/>
  <c r="T611" i="1"/>
  <c r="AC811" i="2"/>
  <c r="AC508" i="2"/>
  <c r="AC511" i="2"/>
  <c r="AC517" i="2"/>
  <c r="AC520" i="2"/>
  <c r="Y527" i="2"/>
  <c r="Z530" i="2"/>
  <c r="AC533" i="2"/>
  <c r="Y540" i="2"/>
  <c r="AC548" i="2"/>
  <c r="Y553" i="2"/>
  <c r="AC563" i="2"/>
  <c r="Y577" i="2"/>
  <c r="Y586" i="2"/>
  <c r="AC591" i="2"/>
  <c r="Z604" i="2"/>
  <c r="Z610" i="2"/>
  <c r="AC617" i="2"/>
  <c r="Z642" i="2"/>
  <c r="AC675" i="2"/>
  <c r="Y692" i="2"/>
  <c r="Y721" i="2"/>
  <c r="Y783" i="2"/>
  <c r="AC793" i="2"/>
  <c r="Y849" i="2"/>
  <c r="Z527" i="2"/>
  <c r="AC530" i="2"/>
  <c r="Y537" i="2"/>
  <c r="Z540" i="2"/>
  <c r="Y544" i="2"/>
  <c r="AC559" i="2"/>
  <c r="Y573" i="2"/>
  <c r="Z577" i="2"/>
  <c r="Y582" i="2"/>
  <c r="Z586" i="2"/>
  <c r="Y668" i="2"/>
  <c r="AC763" i="2"/>
  <c r="Z823" i="2"/>
  <c r="AC868" i="2"/>
  <c r="AC880" i="2"/>
  <c r="Y521" i="2"/>
  <c r="AC527" i="2"/>
  <c r="Y534" i="2"/>
  <c r="Z537" i="2"/>
  <c r="Y549" i="2"/>
  <c r="Y554" i="2"/>
  <c r="Z564" i="2"/>
  <c r="Z573" i="2"/>
  <c r="Z582" i="2"/>
  <c r="Z592" i="2"/>
  <c r="Y598" i="2"/>
  <c r="Z605" i="2"/>
  <c r="AC618" i="2"/>
  <c r="Y628" i="2"/>
  <c r="Y693" i="2"/>
  <c r="Z804" i="2"/>
  <c r="AC851" i="2"/>
  <c r="Z882" i="2"/>
  <c r="AC889" i="2"/>
  <c r="Z506" i="2"/>
  <c r="Z509" i="2"/>
  <c r="Z512" i="2"/>
  <c r="Z515" i="2"/>
  <c r="Z518" i="2"/>
  <c r="Z521" i="2"/>
  <c r="Y531" i="2"/>
  <c r="Z534" i="2"/>
  <c r="AC537" i="2"/>
  <c r="Z560" i="2"/>
  <c r="AC564" i="2"/>
  <c r="Z569" i="2"/>
  <c r="Z578" i="2"/>
  <c r="AC587" i="2"/>
  <c r="AC592" i="2"/>
  <c r="Y612" i="2"/>
  <c r="Y629" i="2"/>
  <c r="AC644" i="2"/>
  <c r="Z669" i="2"/>
  <c r="Y703" i="2"/>
  <c r="Y734" i="2"/>
  <c r="Y743" i="2"/>
  <c r="Z795" i="2"/>
  <c r="AC815" i="2"/>
  <c r="Z870" i="2"/>
  <c r="AC488" i="2"/>
  <c r="AC491" i="2"/>
  <c r="AC497" i="2"/>
  <c r="AC500" i="2"/>
  <c r="AC503" i="2"/>
  <c r="AC506" i="2"/>
  <c r="AC509" i="2"/>
  <c r="AC512" i="2"/>
  <c r="AC515" i="2"/>
  <c r="AC518" i="2"/>
  <c r="AC521" i="2"/>
  <c r="Y528" i="2"/>
  <c r="Z531" i="2"/>
  <c r="AC534" i="2"/>
  <c r="Y550" i="2"/>
  <c r="Y555" i="2"/>
  <c r="AC560" i="2"/>
  <c r="Y574" i="2"/>
  <c r="Y583" i="2"/>
  <c r="Y606" i="2"/>
  <c r="Z619" i="2"/>
  <c r="Y655" i="2"/>
  <c r="Y724" i="2"/>
  <c r="Z777" i="2"/>
  <c r="Z827" i="2"/>
  <c r="Y525" i="2"/>
  <c r="Z528" i="2"/>
  <c r="AC531" i="2"/>
  <c r="Y538" i="2"/>
  <c r="AC565" i="2"/>
  <c r="Y570" i="2"/>
  <c r="Z574" i="2"/>
  <c r="Y579" i="2"/>
  <c r="Z583" i="2"/>
  <c r="Z593" i="2"/>
  <c r="Y639" i="2"/>
  <c r="AC645" i="2"/>
  <c r="AC695" i="2"/>
  <c r="AC704" i="2"/>
  <c r="Y713" i="2"/>
  <c r="Z756" i="2"/>
  <c r="Z858" i="2"/>
  <c r="Y516" i="2"/>
  <c r="Y519" i="2"/>
  <c r="Y522" i="2"/>
  <c r="Z525" i="2"/>
  <c r="AC528" i="2"/>
  <c r="Y535" i="2"/>
  <c r="Z538" i="2"/>
  <c r="Y542" i="2"/>
  <c r="Y556" i="2"/>
  <c r="Z561" i="2"/>
  <c r="Z570" i="2"/>
  <c r="Z579" i="2"/>
  <c r="Y589" i="2"/>
  <c r="AC593" i="2"/>
  <c r="Z607" i="2"/>
  <c r="Z614" i="2"/>
  <c r="Z631" i="2"/>
  <c r="Y656" i="2"/>
  <c r="AC662" i="2"/>
  <c r="Z671" i="2"/>
  <c r="Y680" i="2"/>
  <c r="Y688" i="2"/>
  <c r="AC725" i="2"/>
  <c r="Z767" i="2"/>
  <c r="AC788" i="2"/>
  <c r="AC621" i="2"/>
  <c r="Z618" i="2"/>
  <c r="Y615" i="2"/>
  <c r="Y608" i="2"/>
  <c r="Y605" i="2"/>
  <c r="AC594" i="2"/>
  <c r="Z591" i="2"/>
  <c r="Y587" i="2"/>
  <c r="Y584" i="2"/>
  <c r="Y581" i="2"/>
  <c r="Y578" i="2"/>
  <c r="Y575" i="2"/>
  <c r="Y572" i="2"/>
  <c r="Y569" i="2"/>
  <c r="Z565" i="2"/>
  <c r="Z562" i="2"/>
  <c r="Z559" i="2"/>
  <c r="Y450" i="2"/>
  <c r="Y447" i="2"/>
  <c r="Y444" i="2"/>
  <c r="Y441" i="2"/>
  <c r="Y438" i="2"/>
  <c r="Y435" i="2"/>
  <c r="Y432" i="2"/>
  <c r="Y429" i="2"/>
  <c r="Y426" i="2"/>
  <c r="Y423" i="2"/>
  <c r="Y420" i="2"/>
  <c r="Y417" i="2"/>
  <c r="Y414" i="2"/>
  <c r="Y411" i="2"/>
  <c r="Y408" i="2"/>
  <c r="AC733" i="2"/>
  <c r="Y729" i="2"/>
  <c r="AC720" i="2"/>
  <c r="AC716" i="2"/>
  <c r="AC712" i="2"/>
  <c r="Y708" i="2"/>
  <c r="Y704" i="2"/>
  <c r="Y700" i="2"/>
  <c r="Y696" i="2"/>
  <c r="AC692" i="2"/>
  <c r="Y684" i="2"/>
  <c r="AC679" i="2"/>
  <c r="Z676" i="2"/>
  <c r="AC668" i="2"/>
  <c r="Z665" i="2"/>
  <c r="Y662" i="2"/>
  <c r="AC655" i="2"/>
  <c r="Z652" i="2"/>
  <c r="Z648" i="2"/>
  <c r="Y645" i="2"/>
  <c r="AC638" i="2"/>
  <c r="Y635" i="2"/>
  <c r="AC628" i="2"/>
  <c r="Z625" i="2"/>
  <c r="Z621" i="2"/>
  <c r="Y618" i="2"/>
  <c r="AC601" i="2"/>
  <c r="AC597" i="2"/>
  <c r="Z594" i="2"/>
  <c r="Y565" i="2"/>
  <c r="Y562" i="2"/>
  <c r="Y559" i="2"/>
  <c r="AC555" i="2"/>
  <c r="AC552" i="2"/>
  <c r="AC549" i="2"/>
  <c r="AC546" i="2"/>
  <c r="AC540" i="2"/>
  <c r="Y746" i="2"/>
  <c r="Z737" i="2"/>
  <c r="Y733" i="2"/>
  <c r="AC724" i="2"/>
  <c r="Y720" i="2"/>
  <c r="Y716" i="2"/>
  <c r="Y712" i="2"/>
  <c r="Z692" i="2"/>
  <c r="AC688" i="2"/>
  <c r="Z679" i="2"/>
  <c r="AC671" i="2"/>
  <c r="Z668" i="2"/>
  <c r="Y665" i="2"/>
  <c r="AC658" i="2"/>
  <c r="Z655" i="2"/>
  <c r="Y652" i="2"/>
  <c r="Y648" i="2"/>
  <c r="AC641" i="2"/>
  <c r="Y638" i="2"/>
  <c r="AC631" i="2"/>
  <c r="Z628" i="2"/>
  <c r="Y625" i="2"/>
  <c r="Y621" i="2"/>
  <c r="AC614" i="2"/>
  <c r="AC610" i="2"/>
  <c r="AC607" i="2"/>
  <c r="AC604" i="2"/>
  <c r="Z601" i="2"/>
  <c r="Z597" i="2"/>
  <c r="AC590" i="2"/>
  <c r="AC586" i="2"/>
  <c r="AC583" i="2"/>
  <c r="AC580" i="2"/>
  <c r="AC577" i="2"/>
  <c r="AC574" i="2"/>
  <c r="AC571" i="2"/>
  <c r="Z555" i="2"/>
  <c r="Z552" i="2"/>
  <c r="Z549" i="2"/>
  <c r="Z546" i="2"/>
  <c r="Z880" i="2"/>
  <c r="Y874" i="2"/>
  <c r="Z868" i="2"/>
  <c r="Y862" i="2"/>
  <c r="AC855" i="2"/>
  <c r="Z843" i="2"/>
  <c r="Z837" i="2"/>
  <c r="Z815" i="2"/>
  <c r="Z809" i="2"/>
  <c r="Z793" i="2"/>
  <c r="Y777" i="2"/>
  <c r="Z761" i="2"/>
  <c r="Y750" i="2"/>
  <c r="AC745" i="2"/>
  <c r="Y732" i="2"/>
  <c r="Z728" i="2"/>
  <c r="AC719" i="2"/>
  <c r="AC715" i="2"/>
  <c r="Z707" i="2"/>
  <c r="Y699" i="2"/>
  <c r="Z695" i="2"/>
  <c r="AC678" i="2"/>
  <c r="Z675" i="2"/>
  <c r="Y671" i="2"/>
  <c r="AC664" i="2"/>
  <c r="Y658" i="2"/>
  <c r="AC651" i="2"/>
  <c r="AC647" i="2"/>
  <c r="Y644" i="2"/>
  <c r="AC637" i="2"/>
  <c r="Z634" i="2"/>
  <c r="Y631" i="2"/>
  <c r="AC620" i="2"/>
  <c r="Z617" i="2"/>
  <c r="Y614" i="2"/>
  <c r="Y610" i="2"/>
  <c r="Y607" i="2"/>
  <c r="Y604" i="2"/>
  <c r="Y837" i="2"/>
  <c r="Z831" i="2"/>
  <c r="Z825" i="2"/>
  <c r="AC820" i="2"/>
  <c r="AC803" i="2"/>
  <c r="AC787" i="2"/>
  <c r="Z771" i="2"/>
  <c r="AC755" i="2"/>
  <c r="Z749" i="2"/>
  <c r="Y745" i="2"/>
  <c r="AC736" i="2"/>
  <c r="Y728" i="2"/>
  <c r="Y723" i="2"/>
  <c r="Z719" i="2"/>
  <c r="Y715" i="2"/>
  <c r="AC702" i="2"/>
  <c r="Y695" i="2"/>
  <c r="AC691" i="2"/>
  <c r="Y687" i="2"/>
  <c r="Z678" i="2"/>
  <c r="Y675" i="2"/>
  <c r="AC667" i="2"/>
  <c r="Z664" i="2"/>
  <c r="AC654" i="2"/>
  <c r="Z651" i="2"/>
  <c r="Y647" i="2"/>
  <c r="Z637" i="2"/>
  <c r="Y634" i="2"/>
  <c r="AC627" i="2"/>
  <c r="AC623" i="2"/>
  <c r="Z620" i="2"/>
  <c r="Y617" i="2"/>
  <c r="AC603" i="2"/>
  <c r="Z596" i="2"/>
  <c r="Y593" i="2"/>
  <c r="Y564" i="2"/>
  <c r="Y561" i="2"/>
  <c r="Y558" i="2"/>
  <c r="AC554" i="2"/>
  <c r="Z787" i="2"/>
  <c r="AC781" i="2"/>
  <c r="AC776" i="2"/>
  <c r="Y771" i="2"/>
  <c r="Z765" i="2"/>
  <c r="AC760" i="2"/>
  <c r="Z755" i="2"/>
  <c r="Y749" i="2"/>
  <c r="AC740" i="2"/>
  <c r="AC731" i="2"/>
  <c r="Y719" i="2"/>
  <c r="AC706" i="2"/>
  <c r="Y702" i="2"/>
  <c r="AC698" i="2"/>
  <c r="AC681" i="2"/>
  <c r="Y678" i="2"/>
  <c r="AC670" i="2"/>
  <c r="Z667" i="2"/>
  <c r="Y664" i="2"/>
  <c r="AC657" i="2"/>
  <c r="Z654" i="2"/>
  <c r="AC643" i="2"/>
  <c r="Y637" i="2"/>
  <c r="AC630" i="2"/>
  <c r="Z627" i="2"/>
  <c r="Z623" i="2"/>
  <c r="Y620" i="2"/>
  <c r="Z613" i="2"/>
  <c r="AC609" i="2"/>
  <c r="AC606" i="2"/>
  <c r="Z603" i="2"/>
  <c r="Y596" i="2"/>
  <c r="AC589" i="2"/>
  <c r="AC585" i="2"/>
  <c r="AC582" i="2"/>
  <c r="AC579" i="2"/>
  <c r="AC576" i="2"/>
  <c r="AC573" i="2"/>
  <c r="AC570" i="2"/>
  <c r="Z554" i="2"/>
  <c r="Z548" i="2"/>
  <c r="Z542" i="2"/>
  <c r="AC847" i="2"/>
  <c r="AC841" i="2"/>
  <c r="AC836" i="2"/>
  <c r="Z819" i="2"/>
  <c r="Y813" i="2"/>
  <c r="Z797" i="2"/>
  <c r="Z781" i="2"/>
  <c r="Y765" i="2"/>
  <c r="AC744" i="2"/>
  <c r="Z740" i="2"/>
  <c r="AC735" i="2"/>
  <c r="Z731" i="2"/>
  <c r="Y727" i="2"/>
  <c r="AC722" i="2"/>
  <c r="AC714" i="2"/>
  <c r="Z710" i="2"/>
  <c r="Y706" i="2"/>
  <c r="Y698" i="2"/>
  <c r="AC694" i="2"/>
  <c r="AC690" i="2"/>
  <c r="Z681" i="2"/>
  <c r="Z670" i="2"/>
  <c r="Y667" i="2"/>
  <c r="AC660" i="2"/>
  <c r="Z657" i="2"/>
  <c r="AC646" i="2"/>
  <c r="Z643" i="2"/>
  <c r="AC633" i="2"/>
  <c r="Z630" i="2"/>
  <c r="Y627" i="2"/>
  <c r="Y623" i="2"/>
  <c r="Z616" i="2"/>
  <c r="Y613" i="2"/>
  <c r="Z609" i="2"/>
  <c r="Z606" i="2"/>
  <c r="Y603" i="2"/>
  <c r="Z878" i="2"/>
  <c r="Z860" i="2"/>
  <c r="AC853" i="2"/>
  <c r="Z847" i="2"/>
  <c r="Z841" i="2"/>
  <c r="AC824" i="2"/>
  <c r="Y819" i="2"/>
  <c r="Z807" i="2"/>
  <c r="AC791" i="2"/>
  <c r="AC775" i="2"/>
  <c r="Z759" i="2"/>
  <c r="AC748" i="2"/>
  <c r="Y744" i="2"/>
  <c r="Y735" i="2"/>
  <c r="Z722" i="2"/>
  <c r="AC718" i="2"/>
  <c r="Y710" i="2"/>
  <c r="AC701" i="2"/>
  <c r="Y694" i="2"/>
  <c r="Y690" i="2"/>
  <c r="Y681" i="2"/>
  <c r="AC677" i="2"/>
  <c r="AC673" i="2"/>
  <c r="Y670" i="2"/>
  <c r="AC663" i="2"/>
  <c r="Z660" i="2"/>
  <c r="AC653" i="2"/>
  <c r="AC649" i="2"/>
  <c r="Z646" i="2"/>
  <c r="Y643" i="2"/>
  <c r="AC636" i="2"/>
  <c r="Z633" i="2"/>
  <c r="Y630" i="2"/>
  <c r="AC739" i="2"/>
  <c r="AC730" i="2"/>
  <c r="AC726" i="2"/>
  <c r="Y722" i="2"/>
  <c r="Y718" i="2"/>
  <c r="AC713" i="2"/>
  <c r="Y705" i="2"/>
  <c r="Z701" i="2"/>
  <c r="AC697" i="2"/>
  <c r="AC680" i="2"/>
  <c r="Z677" i="2"/>
  <c r="Z673" i="2"/>
  <c r="AC666" i="2"/>
  <c r="Z663" i="2"/>
  <c r="AC656" i="2"/>
  <c r="Z653" i="2"/>
  <c r="Z649" i="2"/>
  <c r="Y646" i="2"/>
  <c r="AC639" i="2"/>
  <c r="Z636" i="2"/>
  <c r="Y633" i="2"/>
  <c r="AC626" i="2"/>
  <c r="Z622" i="2"/>
  <c r="Y619" i="2"/>
  <c r="AC612" i="2"/>
  <c r="AC602" i="2"/>
  <c r="AC598" i="2"/>
  <c r="Z595" i="2"/>
  <c r="Y592" i="2"/>
  <c r="Y566" i="2"/>
  <c r="Y563" i="2"/>
  <c r="Y560" i="2"/>
  <c r="AC556" i="2"/>
  <c r="AC553" i="2"/>
  <c r="AC550" i="2"/>
  <c r="AC547" i="2"/>
  <c r="AC544" i="2"/>
  <c r="AC538" i="2"/>
  <c r="AC535" i="2"/>
  <c r="AC532" i="2"/>
  <c r="AC529" i="2"/>
  <c r="AC526" i="2"/>
  <c r="AC523" i="2"/>
  <c r="Z743" i="2"/>
  <c r="Y739" i="2"/>
  <c r="Z734" i="2"/>
  <c r="Y730" i="2"/>
  <c r="Y726" i="2"/>
  <c r="AC717" i="2"/>
  <c r="Z713" i="2"/>
  <c r="AC709" i="2"/>
  <c r="Y701" i="2"/>
  <c r="Y697" i="2"/>
  <c r="AC693" i="2"/>
  <c r="AC689" i="2"/>
  <c r="Z680" i="2"/>
  <c r="Y677" i="2"/>
  <c r="AC669" i="2"/>
  <c r="Z666" i="2"/>
  <c r="AC659" i="2"/>
  <c r="Z656" i="2"/>
  <c r="Y653" i="2"/>
  <c r="Y649" i="2"/>
  <c r="AC642" i="2"/>
  <c r="Z639" i="2"/>
  <c r="Y636" i="2"/>
  <c r="AC629" i="2"/>
  <c r="Y626" i="2"/>
  <c r="Y622" i="2"/>
  <c r="AC615" i="2"/>
  <c r="Z612" i="2"/>
  <c r="AC608" i="2"/>
  <c r="AC605" i="2"/>
  <c r="Z602" i="2"/>
  <c r="Z598" i="2"/>
  <c r="Y595" i="2"/>
  <c r="AC584" i="2"/>
  <c r="AC581" i="2"/>
  <c r="AC578" i="2"/>
  <c r="AC575" i="2"/>
  <c r="AC572" i="2"/>
  <c r="AC569" i="2"/>
  <c r="Z556" i="2"/>
  <c r="Z553" i="2"/>
  <c r="Z550" i="2"/>
  <c r="Z547" i="2"/>
  <c r="Z544" i="2"/>
  <c r="M12" i="4"/>
  <c r="L41" i="4"/>
  <c r="AC489" i="2"/>
  <c r="AC492" i="2"/>
  <c r="AC495" i="2"/>
  <c r="AC498" i="2"/>
  <c r="AC501" i="2"/>
  <c r="AC504" i="2"/>
  <c r="AC507" i="2"/>
  <c r="AC510" i="2"/>
  <c r="AC513" i="2"/>
  <c r="AC516" i="2"/>
  <c r="AC519" i="2"/>
  <c r="AC522" i="2"/>
  <c r="Y529" i="2"/>
  <c r="Z532" i="2"/>
  <c r="Y539" i="2"/>
  <c r="Y557" i="2"/>
  <c r="AC566" i="2"/>
  <c r="Y571" i="2"/>
  <c r="Y580" i="2"/>
  <c r="Y601" i="2"/>
  <c r="Z608" i="2"/>
  <c r="Z615" i="2"/>
  <c r="AC632" i="2"/>
  <c r="AC672" i="2"/>
  <c r="Z689" i="2"/>
  <c r="Z799" i="2"/>
  <c r="AC809" i="2"/>
  <c r="AC410" i="2"/>
  <c r="Z417" i="2"/>
  <c r="AC420" i="2"/>
  <c r="Y427" i="2"/>
  <c r="Z430" i="2"/>
  <c r="AC433" i="2"/>
  <c r="Y440" i="2"/>
  <c r="Z443" i="2"/>
  <c r="AC446" i="2"/>
  <c r="Y526" i="2"/>
  <c r="Z529" i="2"/>
  <c r="Y536" i="2"/>
  <c r="Z539" i="2"/>
  <c r="Y547" i="2"/>
  <c r="AC562" i="2"/>
  <c r="Z571" i="2"/>
  <c r="Y576" i="2"/>
  <c r="Z580" i="2"/>
  <c r="Y585" i="2"/>
  <c r="Y590" i="2"/>
  <c r="AC595" i="2"/>
  <c r="Z658" i="2"/>
  <c r="Z683" i="2"/>
  <c r="AC707" i="2"/>
  <c r="Y717" i="2"/>
  <c r="AC728" i="2"/>
  <c r="Z862" i="2"/>
  <c r="Y877" i="2"/>
  <c r="Y508" i="2"/>
  <c r="Y511" i="2"/>
  <c r="Y517" i="2"/>
  <c r="Y520" i="2"/>
  <c r="Y523" i="2"/>
  <c r="Z526" i="2"/>
  <c r="Y533" i="2"/>
  <c r="Z536" i="2"/>
  <c r="AC539" i="2"/>
  <c r="Y552" i="2"/>
  <c r="Z558" i="2"/>
  <c r="Z576" i="2"/>
  <c r="Z585" i="2"/>
  <c r="Z590" i="2"/>
  <c r="Y602" i="2"/>
  <c r="Y609" i="2"/>
  <c r="Y616" i="2"/>
  <c r="Y641" i="2"/>
  <c r="AC699" i="2"/>
  <c r="AC750" i="2"/>
  <c r="AC761" i="2"/>
  <c r="Z821" i="2"/>
  <c r="AC832" i="2"/>
  <c r="Y753" i="2"/>
  <c r="B759" i="2"/>
  <c r="Z769" i="2"/>
  <c r="Z785" i="2"/>
  <c r="Y801" i="2"/>
  <c r="AC817" i="2"/>
  <c r="AC823" i="2"/>
  <c r="Z829" i="2"/>
  <c r="Z835" i="2"/>
  <c r="Z840" i="2"/>
  <c r="Y865" i="2"/>
  <c r="AC877" i="2"/>
  <c r="Y889" i="2"/>
  <c r="B904" i="2"/>
  <c r="B924" i="2"/>
  <c r="B944" i="2"/>
  <c r="B967" i="2"/>
  <c r="B1093" i="2"/>
  <c r="Y748" i="2"/>
  <c r="Z753" i="2"/>
  <c r="Y759" i="2"/>
  <c r="AC764" i="2"/>
  <c r="AC769" i="2"/>
  <c r="Z775" i="2"/>
  <c r="Z780" i="2"/>
  <c r="AC785" i="2"/>
  <c r="Z791" i="2"/>
  <c r="AC796" i="2"/>
  <c r="Z801" i="2"/>
  <c r="Y807" i="2"/>
  <c r="AC812" i="2"/>
  <c r="AC829" i="2"/>
  <c r="AC835" i="2"/>
  <c r="Y853" i="2"/>
  <c r="Y859" i="2"/>
  <c r="AC865" i="2"/>
  <c r="Y871" i="2"/>
  <c r="Y883" i="2"/>
  <c r="B970" i="2"/>
  <c r="B988" i="2"/>
  <c r="B1065" i="2"/>
  <c r="B1017" i="2"/>
  <c r="B1085" i="2"/>
  <c r="B857" i="2"/>
  <c r="B1071" i="2"/>
  <c r="B939" i="2"/>
  <c r="B1044" i="2"/>
  <c r="B872" i="2"/>
  <c r="B851" i="2"/>
  <c r="B827" i="2"/>
  <c r="B1014" i="2"/>
  <c r="B942" i="2"/>
  <c r="B1154" i="2"/>
  <c r="B718" i="2"/>
  <c r="B1125" i="2"/>
  <c r="B1029" i="2"/>
  <c r="B957" i="2"/>
  <c r="B945" i="2"/>
  <c r="B1013" i="2"/>
  <c r="B1095" i="2"/>
  <c r="B1059" i="2"/>
  <c r="B1047" i="2"/>
  <c r="B927" i="2"/>
  <c r="B891" i="2"/>
  <c r="B1128" i="2"/>
  <c r="B1015" i="2"/>
  <c r="B1002" i="2"/>
  <c r="B973" i="2"/>
  <c r="B928" i="2"/>
  <c r="B843" i="2"/>
  <c r="B835" i="2"/>
  <c r="B1127" i="2"/>
  <c r="B1099" i="2"/>
  <c r="B958" i="2"/>
  <c r="B912" i="2"/>
  <c r="B876" i="2"/>
  <c r="B1140" i="2"/>
  <c r="B1111" i="2"/>
  <c r="B925" i="2"/>
  <c r="B1094" i="2"/>
  <c r="B1068" i="2"/>
  <c r="B1090" i="2"/>
  <c r="B1020" i="2"/>
  <c r="B964" i="2"/>
  <c r="B948" i="2"/>
  <c r="B918" i="2"/>
  <c r="B1129" i="2"/>
  <c r="B1053" i="2"/>
  <c r="B1072" i="2"/>
  <c r="B868" i="2"/>
  <c r="B998" i="2"/>
  <c r="B1118" i="2"/>
  <c r="B1104" i="2"/>
  <c r="B1006" i="2"/>
  <c r="B1144" i="2"/>
  <c r="B1161" i="2"/>
  <c r="B1113" i="2"/>
  <c r="B1037" i="2"/>
  <c r="B1001" i="2"/>
  <c r="B1035" i="2"/>
  <c r="B1114" i="2"/>
  <c r="B898" i="2"/>
  <c r="B819" i="2"/>
  <c r="B604" i="2"/>
  <c r="B601" i="2"/>
  <c r="B1070" i="2"/>
  <c r="B956" i="2"/>
  <c r="B1039" i="2"/>
  <c r="B982" i="2"/>
  <c r="B968" i="2"/>
  <c r="B1160" i="2"/>
  <c r="B1033" i="2"/>
  <c r="Y597" i="2"/>
  <c r="Y594" i="2"/>
  <c r="Y591" i="2"/>
  <c r="Z587" i="2"/>
  <c r="Z782" i="2"/>
  <c r="Z778" i="2"/>
  <c r="Y774" i="2"/>
  <c r="Z770" i="2"/>
  <c r="Z766" i="2"/>
  <c r="Y762" i="2"/>
  <c r="Z758" i="2"/>
  <c r="Z754" i="2"/>
  <c r="AC874" i="2"/>
  <c r="Y714" i="2"/>
  <c r="AC710" i="2"/>
  <c r="Y707" i="2"/>
  <c r="AC703" i="2"/>
  <c r="Z866" i="2"/>
  <c r="B873" i="2"/>
  <c r="Z884" i="2"/>
  <c r="B991" i="2"/>
  <c r="B1117" i="2"/>
  <c r="Z792" i="2"/>
  <c r="AC797" i="2"/>
  <c r="Z803" i="2"/>
  <c r="AC808" i="2"/>
  <c r="Z813" i="2"/>
  <c r="Y825" i="2"/>
  <c r="Y831" i="2"/>
  <c r="B837" i="2"/>
  <c r="Y854" i="2"/>
  <c r="Y861" i="2"/>
  <c r="Y873" i="2"/>
  <c r="Y879" i="2"/>
  <c r="B974" i="2"/>
  <c r="B1064" i="2"/>
  <c r="B1159" i="2"/>
  <c r="Y843" i="2"/>
  <c r="AC848" i="2"/>
  <c r="Z854" i="2"/>
  <c r="Y867" i="2"/>
  <c r="Y885" i="2"/>
  <c r="B952" i="2"/>
  <c r="B1066" i="2"/>
  <c r="Z889" i="2"/>
  <c r="B941" i="2"/>
  <c r="B1131" i="2"/>
  <c r="B929" i="2"/>
  <c r="B1148" i="2"/>
  <c r="B921" i="2"/>
  <c r="B909" i="2"/>
  <c r="B905" i="2"/>
  <c r="B903" i="2"/>
  <c r="B750" i="2"/>
  <c r="B860" i="2"/>
  <c r="B954" i="2"/>
  <c r="B908" i="2"/>
  <c r="B1041" i="2"/>
  <c r="B1097" i="2"/>
  <c r="B959" i="2"/>
  <c r="B864" i="2"/>
  <c r="B911" i="2"/>
  <c r="B1152" i="2"/>
  <c r="B981" i="2"/>
  <c r="B855" i="2"/>
  <c r="B1109" i="2"/>
  <c r="B989" i="2"/>
  <c r="B893" i="2"/>
  <c r="B999" i="2"/>
  <c r="B987" i="2"/>
  <c r="B963" i="2"/>
  <c r="B747" i="2"/>
  <c r="B726" i="2"/>
  <c r="B1058" i="2"/>
  <c r="B943" i="2"/>
  <c r="B815" i="2"/>
  <c r="B1141" i="2"/>
  <c r="B985" i="2"/>
  <c r="B888" i="2"/>
  <c r="B984" i="2"/>
  <c r="B1081" i="2"/>
  <c r="B1024" i="2"/>
  <c r="B1010" i="2"/>
  <c r="B1063" i="2"/>
  <c r="B853" i="2"/>
  <c r="AC767" i="2"/>
  <c r="B773" i="2"/>
  <c r="Z783" i="2"/>
  <c r="AC799" i="2"/>
  <c r="AC821" i="2"/>
  <c r="AC827" i="2"/>
  <c r="AC844" i="2"/>
  <c r="Z849" i="2"/>
  <c r="Y856" i="2"/>
  <c r="AC862" i="2"/>
  <c r="B869" i="2"/>
  <c r="B875" i="2"/>
  <c r="B881" i="2"/>
  <c r="Z886" i="2"/>
  <c r="B919" i="2"/>
  <c r="B936" i="2"/>
  <c r="B961" i="2"/>
  <c r="B1124" i="2"/>
  <c r="AC737" i="2"/>
  <c r="AC742" i="2"/>
  <c r="Z746" i="2"/>
  <c r="Y751" i="2"/>
  <c r="Z757" i="2"/>
  <c r="B768" i="2"/>
  <c r="Z773" i="2"/>
  <c r="Y789" i="2"/>
  <c r="Z805" i="2"/>
  <c r="Z816" i="2"/>
  <c r="Z833" i="2"/>
  <c r="Z839" i="2"/>
  <c r="B845" i="2"/>
  <c r="B858" i="2"/>
  <c r="B863" i="2"/>
  <c r="Z876" i="2"/>
  <c r="B882" i="2"/>
  <c r="B887" i="2"/>
  <c r="B900" i="2"/>
  <c r="B920" i="2"/>
  <c r="B997" i="2"/>
  <c r="B1074" i="2"/>
  <c r="AC625" i="2"/>
  <c r="B629" i="2"/>
  <c r="Y632" i="2"/>
  <c r="AC635" i="2"/>
  <c r="Y642" i="2"/>
  <c r="Z645" i="2"/>
  <c r="AC648" i="2"/>
  <c r="AC652" i="2"/>
  <c r="Y659" i="2"/>
  <c r="Z662" i="2"/>
  <c r="AC665" i="2"/>
  <c r="Z672" i="2"/>
  <c r="AC676" i="2"/>
  <c r="Z684" i="2"/>
  <c r="Y689" i="2"/>
  <c r="AC696" i="2"/>
  <c r="AC700" i="2"/>
  <c r="Z704" i="2"/>
  <c r="AC708" i="2"/>
  <c r="B717" i="2"/>
  <c r="B721" i="2"/>
  <c r="Z725" i="2"/>
  <c r="AC729" i="2"/>
  <c r="B734" i="2"/>
  <c r="Y738" i="2"/>
  <c r="AC746" i="2"/>
  <c r="AC757" i="2"/>
  <c r="Z763" i="2"/>
  <c r="Z768" i="2"/>
  <c r="AC773" i="2"/>
  <c r="Z779" i="2"/>
  <c r="AC784" i="2"/>
  <c r="Z789" i="2"/>
  <c r="Y795" i="2"/>
  <c r="AC800" i="2"/>
  <c r="AC805" i="2"/>
  <c r="Z811" i="2"/>
  <c r="Z828" i="2"/>
  <c r="AC833" i="2"/>
  <c r="AC839" i="2"/>
  <c r="Z845" i="2"/>
  <c r="Z851" i="2"/>
  <c r="Y858" i="2"/>
  <c r="Z864" i="2"/>
  <c r="Y870" i="2"/>
  <c r="Y882" i="2"/>
  <c r="Z888" i="2"/>
  <c r="B901" i="2"/>
  <c r="B938" i="2"/>
  <c r="B980" i="2"/>
  <c r="B1021" i="2"/>
  <c r="B1091" i="2"/>
  <c r="B1130" i="2"/>
  <c r="N18" i="32"/>
  <c r="M18" i="32"/>
  <c r="AC721" i="2"/>
  <c r="Y725" i="2"/>
  <c r="AC732" i="2"/>
  <c r="Y736" i="2"/>
  <c r="Y740" i="2"/>
  <c r="AC743" i="2"/>
  <c r="AC747" i="2"/>
  <c r="AC751" i="2"/>
  <c r="Y756" i="2"/>
  <c r="Z760" i="2"/>
  <c r="Z764" i="2"/>
  <c r="Y768" i="2"/>
  <c r="Z772" i="2"/>
  <c r="Z776" i="2"/>
  <c r="Y780" i="2"/>
  <c r="Z784" i="2"/>
  <c r="Z788" i="2"/>
  <c r="Y792" i="2"/>
  <c r="Z796" i="2"/>
  <c r="Z800" i="2"/>
  <c r="Y804" i="2"/>
  <c r="Z808" i="2"/>
  <c r="Z812" i="2"/>
  <c r="Y816" i="2"/>
  <c r="Z820" i="2"/>
  <c r="Z824" i="2"/>
  <c r="Y828" i="2"/>
  <c r="Z832" i="2"/>
  <c r="Z836" i="2"/>
  <c r="Y840" i="2"/>
  <c r="Z844" i="2"/>
  <c r="Z848" i="2"/>
  <c r="AC856" i="2"/>
  <c r="Z861" i="2"/>
  <c r="Z865" i="2"/>
  <c r="Z869" i="2"/>
  <c r="Z873" i="2"/>
  <c r="Z877" i="2"/>
  <c r="Z881" i="2"/>
  <c r="Z885" i="2"/>
  <c r="AC888" i="2"/>
  <c r="AC885" i="2"/>
  <c r="AC882" i="2"/>
  <c r="AC879" i="2"/>
  <c r="AC876" i="2"/>
  <c r="AC873" i="2"/>
  <c r="AC870" i="2"/>
  <c r="AC867" i="2"/>
  <c r="AC864" i="2"/>
  <c r="AC861" i="2"/>
  <c r="AC858" i="2"/>
  <c r="Y851" i="2"/>
  <c r="Y848" i="2"/>
  <c r="Y845" i="2"/>
  <c r="Y842" i="2"/>
  <c r="Y839" i="2"/>
  <c r="Y836" i="2"/>
  <c r="Y833" i="2"/>
  <c r="Y830" i="2"/>
  <c r="Y827" i="2"/>
  <c r="Y824" i="2"/>
  <c r="Y821" i="2"/>
  <c r="Y818" i="2"/>
  <c r="Y815" i="2"/>
  <c r="Y812" i="2"/>
  <c r="Y809" i="2"/>
  <c r="Y806" i="2"/>
  <c r="Y803" i="2"/>
  <c r="Y800" i="2"/>
  <c r="Y797" i="2"/>
  <c r="Y794" i="2"/>
  <c r="Y791" i="2"/>
  <c r="Y788" i="2"/>
  <c r="Y785" i="2"/>
  <c r="Y782" i="2"/>
  <c r="Y779" i="2"/>
  <c r="Y776" i="2"/>
  <c r="Y773" i="2"/>
  <c r="Y770" i="2"/>
  <c r="Y767" i="2"/>
  <c r="Y764" i="2"/>
  <c r="Y761" i="2"/>
  <c r="Y758" i="2"/>
  <c r="Y755" i="2"/>
  <c r="Z751" i="2"/>
  <c r="Z748" i="2"/>
  <c r="Z745" i="2"/>
  <c r="Z742" i="2"/>
  <c r="Z739" i="2"/>
  <c r="Z736" i="2"/>
  <c r="Z733" i="2"/>
  <c r="Z730" i="2"/>
  <c r="Z727" i="2"/>
  <c r="Z724" i="2"/>
  <c r="Z721" i="2"/>
  <c r="Z718" i="2"/>
  <c r="Z715" i="2"/>
  <c r="Z712" i="2"/>
  <c r="Z709" i="2"/>
  <c r="Z706" i="2"/>
  <c r="Z703" i="2"/>
  <c r="Z700" i="2"/>
  <c r="Z697" i="2"/>
  <c r="Z694" i="2"/>
  <c r="Z691" i="2"/>
  <c r="Z688" i="2"/>
  <c r="AC684" i="2"/>
  <c r="AC887" i="2"/>
  <c r="AC884" i="2"/>
  <c r="AC881" i="2"/>
  <c r="AC878" i="2"/>
  <c r="AC875" i="2"/>
  <c r="AC872" i="2"/>
  <c r="AC869" i="2"/>
  <c r="AC866" i="2"/>
  <c r="AC863" i="2"/>
  <c r="AC860" i="2"/>
  <c r="Y850" i="2"/>
  <c r="Y847" i="2"/>
  <c r="Y844" i="2"/>
  <c r="Y841" i="2"/>
  <c r="Y838" i="2"/>
  <c r="Y835" i="2"/>
  <c r="Y832" i="2"/>
  <c r="Y829" i="2"/>
  <c r="Y826" i="2"/>
  <c r="Y823" i="2"/>
  <c r="Y820" i="2"/>
  <c r="Y817" i="2"/>
  <c r="Y814" i="2"/>
  <c r="Y811" i="2"/>
  <c r="Y808" i="2"/>
  <c r="Y805" i="2"/>
  <c r="Y802" i="2"/>
  <c r="Y799" i="2"/>
  <c r="Y796" i="2"/>
  <c r="Y793" i="2"/>
  <c r="Y790" i="2"/>
  <c r="Y787" i="2"/>
  <c r="Y784" i="2"/>
  <c r="Y781" i="2"/>
  <c r="Y778" i="2"/>
  <c r="Y775" i="2"/>
  <c r="Y772" i="2"/>
  <c r="Y769" i="2"/>
  <c r="Y766" i="2"/>
  <c r="Y763" i="2"/>
  <c r="Y760" i="2"/>
  <c r="Y757" i="2"/>
  <c r="Y754" i="2"/>
  <c r="Z750" i="2"/>
  <c r="Z747" i="2"/>
  <c r="Z744" i="2"/>
  <c r="Z741" i="2"/>
  <c r="Z738" i="2"/>
  <c r="Z735" i="2"/>
  <c r="Z732" i="2"/>
  <c r="Z729" i="2"/>
  <c r="Z726" i="2"/>
  <c r="Z723" i="2"/>
  <c r="Z720" i="2"/>
  <c r="Z717" i="2"/>
  <c r="Z714" i="2"/>
  <c r="Z711" i="2"/>
  <c r="Z708" i="2"/>
  <c r="Z705" i="2"/>
  <c r="Z702" i="2"/>
  <c r="Z699" i="2"/>
  <c r="Z696" i="2"/>
  <c r="Z693" i="2"/>
  <c r="Z690" i="2"/>
  <c r="Z687" i="2"/>
  <c r="AC683" i="2"/>
  <c r="Y673" i="2"/>
  <c r="Y887" i="2"/>
  <c r="Y884" i="2"/>
  <c r="Y881" i="2"/>
  <c r="Y878" i="2"/>
  <c r="Y875" i="2"/>
  <c r="Y872" i="2"/>
  <c r="Y869" i="2"/>
  <c r="Y866" i="2"/>
  <c r="Y863" i="2"/>
  <c r="Y860" i="2"/>
  <c r="Z856" i="2"/>
  <c r="Z853" i="2"/>
  <c r="AC849" i="2"/>
  <c r="AC846" i="2"/>
  <c r="AC843" i="2"/>
  <c r="AC840" i="2"/>
  <c r="AC837" i="2"/>
  <c r="AC834" i="2"/>
  <c r="AC831" i="2"/>
  <c r="AC828" i="2"/>
  <c r="AC825" i="2"/>
  <c r="AC822" i="2"/>
  <c r="AC819" i="2"/>
  <c r="AC816" i="2"/>
  <c r="AC813" i="2"/>
  <c r="AC810" i="2"/>
  <c r="AC807" i="2"/>
  <c r="AC804" i="2"/>
  <c r="AC801" i="2"/>
  <c r="AC798" i="2"/>
  <c r="AC795" i="2"/>
  <c r="AC792" i="2"/>
  <c r="AC789" i="2"/>
  <c r="AC786" i="2"/>
  <c r="AC783" i="2"/>
  <c r="AC780" i="2"/>
  <c r="AC777" i="2"/>
  <c r="AC774" i="2"/>
  <c r="AC771" i="2"/>
  <c r="AC768" i="2"/>
  <c r="AC765" i="2"/>
  <c r="AC762" i="2"/>
  <c r="AC759" i="2"/>
  <c r="AC756" i="2"/>
  <c r="AC753" i="2"/>
  <c r="M57" i="5"/>
  <c r="AC886" i="2"/>
  <c r="Y786" i="2"/>
  <c r="Z790" i="2"/>
  <c r="Z794" i="2"/>
  <c r="Y798" i="2"/>
  <c r="Z802" i="2"/>
  <c r="Z806" i="2"/>
  <c r="Y810" i="2"/>
  <c r="Z814" i="2"/>
  <c r="Z818" i="2"/>
  <c r="Y822" i="2"/>
  <c r="Z826" i="2"/>
  <c r="Z830" i="2"/>
  <c r="Y834" i="2"/>
  <c r="Z838" i="2"/>
  <c r="Z842" i="2"/>
  <c r="Y846" i="2"/>
  <c r="Z850" i="2"/>
  <c r="AC854" i="2"/>
  <c r="Z859" i="2"/>
  <c r="Z863" i="2"/>
  <c r="Z867" i="2"/>
  <c r="Z871" i="2"/>
  <c r="Z875" i="2"/>
  <c r="Z879" i="2"/>
  <c r="Z883" i="2"/>
  <c r="Z887" i="2"/>
  <c r="AC613" i="2"/>
  <c r="AC616" i="2"/>
  <c r="AC619" i="2"/>
  <c r="AC622" i="2"/>
  <c r="Z626" i="2"/>
  <c r="Z629" i="2"/>
  <c r="Z632" i="2"/>
  <c r="Z635" i="2"/>
  <c r="Z638" i="2"/>
  <c r="Z641" i="2"/>
  <c r="Z644" i="2"/>
  <c r="Z647" i="2"/>
  <c r="Y651" i="2"/>
  <c r="Y654" i="2"/>
  <c r="Y657" i="2"/>
  <c r="Y660" i="2"/>
  <c r="Y663" i="2"/>
  <c r="Y666" i="2"/>
  <c r="Y669" i="2"/>
  <c r="Y672" i="2"/>
  <c r="Y676" i="2"/>
  <c r="Y679" i="2"/>
  <c r="Y683" i="2"/>
  <c r="AC687" i="2"/>
  <c r="Y691" i="2"/>
  <c r="Z698" i="2"/>
  <c r="AC705" i="2"/>
  <c r="Y709" i="2"/>
  <c r="Z716" i="2"/>
  <c r="AC723" i="2"/>
  <c r="AC727" i="2"/>
  <c r="Y731" i="2"/>
  <c r="AC734" i="2"/>
  <c r="AC738" i="2"/>
  <c r="Y742" i="2"/>
  <c r="AC749" i="2"/>
  <c r="AC754" i="2"/>
  <c r="AC758" i="2"/>
  <c r="Z762" i="2"/>
  <c r="AC766" i="2"/>
  <c r="AC770" i="2"/>
  <c r="Z774" i="2"/>
  <c r="AC778" i="2"/>
  <c r="AC782" i="2"/>
  <c r="Z786" i="2"/>
  <c r="AC790" i="2"/>
  <c r="AC794" i="2"/>
  <c r="Z798" i="2"/>
  <c r="AC802" i="2"/>
  <c r="AC806" i="2"/>
  <c r="Z810" i="2"/>
  <c r="AC814" i="2"/>
  <c r="AC818" i="2"/>
  <c r="Z822" i="2"/>
  <c r="AC826" i="2"/>
  <c r="AC830" i="2"/>
  <c r="Z834" i="2"/>
  <c r="AC838" i="2"/>
  <c r="AC842" i="2"/>
  <c r="Z846" i="2"/>
  <c r="AC850" i="2"/>
  <c r="Y855" i="2"/>
  <c r="AC859" i="2"/>
  <c r="AC871" i="2"/>
  <c r="AC883" i="2"/>
  <c r="B1084" i="2"/>
  <c r="B1145" i="2"/>
  <c r="B953" i="2"/>
  <c r="B951" i="2"/>
  <c r="Z855" i="2"/>
  <c r="Y864" i="2"/>
  <c r="Y868" i="2"/>
  <c r="Y876" i="2"/>
  <c r="Y880" i="2"/>
  <c r="Y888" i="2"/>
  <c r="B1142" i="2"/>
  <c r="T458" i="1" l="1"/>
  <c r="T612" i="1"/>
  <c r="T851" i="1"/>
  <c r="T734" i="1"/>
  <c r="T444" i="1"/>
  <c r="T514" i="1"/>
  <c r="T256" i="1"/>
  <c r="T623" i="1"/>
  <c r="T158" i="1"/>
  <c r="T546" i="1"/>
  <c r="T447" i="1"/>
  <c r="T667" i="1"/>
  <c r="L7" i="92"/>
  <c r="L15" i="92"/>
  <c r="L23" i="92"/>
  <c r="L27" i="92"/>
  <c r="L31" i="92"/>
  <c r="L35" i="92"/>
  <c r="L39" i="92"/>
  <c r="L43" i="92"/>
  <c r="L47" i="92"/>
  <c r="L51" i="92"/>
  <c r="L55" i="92"/>
  <c r="L59" i="92"/>
  <c r="L63" i="92"/>
  <c r="L67" i="92"/>
  <c r="L71" i="92"/>
  <c r="L75" i="92"/>
  <c r="L79" i="92"/>
  <c r="L83" i="92"/>
  <c r="L87" i="92"/>
  <c r="L91" i="92"/>
  <c r="L95" i="92"/>
  <c r="L99" i="92"/>
  <c r="L103" i="92"/>
  <c r="L107" i="92"/>
  <c r="L111" i="92"/>
  <c r="L115" i="92"/>
  <c r="L119" i="92"/>
  <c r="L123" i="92"/>
  <c r="L127" i="92"/>
  <c r="L131" i="92"/>
  <c r="L135" i="92"/>
  <c r="L139" i="92"/>
  <c r="L143" i="92"/>
  <c r="L147" i="92"/>
  <c r="L151" i="92"/>
  <c r="L155" i="92"/>
  <c r="L159" i="92"/>
  <c r="L163" i="92"/>
  <c r="L167" i="92"/>
  <c r="L171" i="92"/>
  <c r="L175" i="92"/>
  <c r="L179" i="92"/>
  <c r="L183" i="92"/>
  <c r="L187" i="92"/>
  <c r="L191" i="92"/>
  <c r="L195" i="92"/>
  <c r="L199" i="92"/>
  <c r="L203" i="92"/>
  <c r="L207" i="92"/>
  <c r="L211" i="92"/>
  <c r="L219" i="92"/>
  <c r="L223" i="92"/>
  <c r="L227" i="92"/>
  <c r="L231" i="92"/>
  <c r="L235" i="92"/>
  <c r="L239" i="92"/>
  <c r="L243" i="92"/>
  <c r="L247" i="92"/>
  <c r="L251" i="92"/>
  <c r="L255" i="92"/>
  <c r="L259" i="92"/>
  <c r="L263" i="92"/>
  <c r="L267" i="92"/>
  <c r="L271" i="92"/>
  <c r="L275" i="92"/>
  <c r="L279" i="92"/>
  <c r="L283" i="92"/>
  <c r="L287" i="92"/>
  <c r="L291" i="92"/>
  <c r="L295" i="92"/>
  <c r="L299" i="92"/>
  <c r="L303" i="92"/>
  <c r="L307" i="92"/>
  <c r="L311" i="92"/>
  <c r="L315" i="92"/>
  <c r="L319" i="92"/>
  <c r="L323" i="92"/>
  <c r="L327" i="92"/>
  <c r="L331" i="92"/>
  <c r="L335" i="92"/>
  <c r="L339" i="92"/>
  <c r="M3" i="92"/>
  <c r="M7" i="92"/>
  <c r="M11" i="92"/>
  <c r="M15" i="92"/>
  <c r="M19" i="92"/>
  <c r="M23" i="92"/>
  <c r="M27" i="92"/>
  <c r="M31" i="92"/>
  <c r="M35" i="92"/>
  <c r="M39" i="92"/>
  <c r="M43" i="92"/>
  <c r="M47" i="92"/>
  <c r="M51" i="92"/>
  <c r="M55" i="92"/>
  <c r="M59" i="92"/>
  <c r="M63" i="92"/>
  <c r="M67" i="92"/>
  <c r="M71" i="92"/>
  <c r="M75" i="92"/>
  <c r="M79" i="92"/>
  <c r="M83" i="92"/>
  <c r="M87" i="92"/>
  <c r="M91" i="92"/>
  <c r="M95" i="92"/>
  <c r="M99" i="92"/>
  <c r="M103" i="92"/>
  <c r="M107" i="92"/>
  <c r="N3" i="92"/>
  <c r="M8" i="92"/>
  <c r="L13" i="92"/>
  <c r="N17" i="92"/>
  <c r="M22" i="92"/>
  <c r="N27" i="92"/>
  <c r="M32" i="92"/>
  <c r="L37" i="92"/>
  <c r="N41" i="92"/>
  <c r="M46" i="92"/>
  <c r="N51" i="92"/>
  <c r="M56" i="92"/>
  <c r="L61" i="92"/>
  <c r="N65" i="92"/>
  <c r="M70" i="92"/>
  <c r="N75" i="92"/>
  <c r="M80" i="92"/>
  <c r="L85" i="92"/>
  <c r="N89" i="92"/>
  <c r="M94" i="92"/>
  <c r="N99" i="92"/>
  <c r="M104" i="92"/>
  <c r="L109" i="92"/>
  <c r="M113" i="92"/>
  <c r="N117" i="92"/>
  <c r="L122" i="92"/>
  <c r="M126" i="92"/>
  <c r="N130" i="92"/>
  <c r="M135" i="92"/>
  <c r="N139" i="92"/>
  <c r="L144" i="92"/>
  <c r="M148" i="92"/>
  <c r="N152" i="92"/>
  <c r="L157" i="92"/>
  <c r="M161" i="92"/>
  <c r="N165" i="92"/>
  <c r="L170" i="92"/>
  <c r="M174" i="92"/>
  <c r="N178" i="92"/>
  <c r="M183" i="92"/>
  <c r="N187" i="92"/>
  <c r="L192" i="92"/>
  <c r="M196" i="92"/>
  <c r="N200" i="92"/>
  <c r="L205" i="92"/>
  <c r="M209" i="92"/>
  <c r="N213" i="92"/>
  <c r="L218" i="92"/>
  <c r="M222" i="92"/>
  <c r="N226" i="92"/>
  <c r="M231" i="92"/>
  <c r="N235" i="92"/>
  <c r="L240" i="92"/>
  <c r="M244" i="92"/>
  <c r="N248" i="92"/>
  <c r="L253" i="92"/>
  <c r="M257" i="92"/>
  <c r="N261" i="92"/>
  <c r="L266" i="92"/>
  <c r="M270" i="92"/>
  <c r="N274" i="92"/>
  <c r="M279" i="92"/>
  <c r="N283" i="92"/>
  <c r="L288" i="92"/>
  <c r="M292" i="92"/>
  <c r="N296" i="92"/>
  <c r="L301" i="92"/>
  <c r="M305" i="92"/>
  <c r="N309" i="92"/>
  <c r="L314" i="92"/>
  <c r="M318" i="92"/>
  <c r="N322" i="92"/>
  <c r="M327" i="92"/>
  <c r="N331" i="92"/>
  <c r="L336" i="92"/>
  <c r="M340" i="92"/>
  <c r="M344" i="92"/>
  <c r="M348" i="92"/>
  <c r="M352" i="92"/>
  <c r="M356" i="92"/>
  <c r="M360" i="92"/>
  <c r="M364" i="92"/>
  <c r="M368" i="92"/>
  <c r="M372" i="92"/>
  <c r="M376" i="92"/>
  <c r="M380" i="92"/>
  <c r="M384" i="92"/>
  <c r="M388" i="92"/>
  <c r="M392" i="92"/>
  <c r="M396" i="92"/>
  <c r="M400" i="92"/>
  <c r="M404" i="92"/>
  <c r="M408" i="92"/>
  <c r="M412" i="92"/>
  <c r="M416" i="92"/>
  <c r="M420" i="92"/>
  <c r="M424" i="92"/>
  <c r="M428" i="92"/>
  <c r="M432" i="92"/>
  <c r="M436" i="92"/>
  <c r="M440" i="92"/>
  <c r="M444" i="92"/>
  <c r="M448" i="92"/>
  <c r="M452" i="92"/>
  <c r="M456" i="92"/>
  <c r="M460" i="92"/>
  <c r="M464" i="92"/>
  <c r="M468" i="92"/>
  <c r="M472" i="92"/>
  <c r="M476" i="92"/>
  <c r="M480" i="92"/>
  <c r="M484" i="92"/>
  <c r="M488" i="92"/>
  <c r="M492" i="92"/>
  <c r="M496" i="92"/>
  <c r="M500" i="92"/>
  <c r="M504" i="92"/>
  <c r="M508" i="92"/>
  <c r="M512" i="92"/>
  <c r="M516" i="92"/>
  <c r="M520" i="92"/>
  <c r="M524" i="92"/>
  <c r="M528" i="92"/>
  <c r="M532" i="92"/>
  <c r="M536" i="92"/>
  <c r="M540" i="92"/>
  <c r="M544" i="92"/>
  <c r="M548" i="92"/>
  <c r="M552" i="92"/>
  <c r="M556" i="92"/>
  <c r="M560" i="92"/>
  <c r="M564" i="92"/>
  <c r="M568" i="92"/>
  <c r="M572" i="92"/>
  <c r="M576" i="92"/>
  <c r="M580" i="92"/>
  <c r="M584" i="92"/>
  <c r="M588" i="92"/>
  <c r="M592" i="92"/>
  <c r="M596" i="92"/>
  <c r="M600" i="92"/>
  <c r="M604" i="92"/>
  <c r="M608" i="92"/>
  <c r="M612" i="92"/>
  <c r="M616" i="92"/>
  <c r="M620" i="92"/>
  <c r="M624" i="92"/>
  <c r="M628" i="92"/>
  <c r="M632" i="92"/>
  <c r="M636" i="92"/>
  <c r="M640" i="92"/>
  <c r="M644" i="92"/>
  <c r="M648" i="92"/>
  <c r="M652" i="92"/>
  <c r="M656" i="92"/>
  <c r="M660" i="92"/>
  <c r="M664" i="92"/>
  <c r="M668" i="92"/>
  <c r="M672" i="92"/>
  <c r="M676" i="92"/>
  <c r="M680" i="92"/>
  <c r="M684" i="92"/>
  <c r="M688" i="92"/>
  <c r="M692" i="92"/>
  <c r="M696" i="92"/>
  <c r="M700" i="92"/>
  <c r="M704" i="92"/>
  <c r="M708" i="92"/>
  <c r="M712" i="92"/>
  <c r="M716" i="92"/>
  <c r="N5" i="92"/>
  <c r="M10" i="92"/>
  <c r="N15" i="92"/>
  <c r="L4" i="92"/>
  <c r="M9" i="92"/>
  <c r="N14" i="92"/>
  <c r="N20" i="92"/>
  <c r="N25" i="92"/>
  <c r="N30" i="92"/>
  <c r="M36" i="92"/>
  <c r="M41" i="92"/>
  <c r="N46" i="92"/>
  <c r="M52" i="92"/>
  <c r="M57" i="92"/>
  <c r="M62" i="92"/>
  <c r="L68" i="92"/>
  <c r="L73" i="92"/>
  <c r="L78" i="92"/>
  <c r="N83" i="92"/>
  <c r="N88" i="92"/>
  <c r="N93" i="92"/>
  <c r="N98" i="92"/>
  <c r="N104" i="92"/>
  <c r="N109" i="92"/>
  <c r="M114" i="92"/>
  <c r="M119" i="92"/>
  <c r="L124" i="92"/>
  <c r="N128" i="92"/>
  <c r="M133" i="92"/>
  <c r="L138" i="92"/>
  <c r="N142" i="92"/>
  <c r="N147" i="92"/>
  <c r="M152" i="92"/>
  <c r="M157" i="92"/>
  <c r="L162" i="92"/>
  <c r="N166" i="92"/>
  <c r="N171" i="92"/>
  <c r="M176" i="92"/>
  <c r="L181" i="92"/>
  <c r="N185" i="92"/>
  <c r="M190" i="92"/>
  <c r="M195" i="92"/>
  <c r="L200" i="92"/>
  <c r="N204" i="92"/>
  <c r="N209" i="92"/>
  <c r="M214" i="92"/>
  <c r="M219" i="92"/>
  <c r="L224" i="92"/>
  <c r="N228" i="92"/>
  <c r="M233" i="92"/>
  <c r="L238" i="92"/>
  <c r="N242" i="92"/>
  <c r="N247" i="92"/>
  <c r="M252" i="92"/>
  <c r="L257" i="92"/>
  <c r="L262" i="92"/>
  <c r="N266" i="92"/>
  <c r="N271" i="92"/>
  <c r="M276" i="92"/>
  <c r="L281" i="92"/>
  <c r="N285" i="92"/>
  <c r="M290" i="92"/>
  <c r="M295" i="92"/>
  <c r="L300" i="92"/>
  <c r="N304" i="92"/>
  <c r="M309" i="92"/>
  <c r="M314" i="92"/>
  <c r="M319" i="92"/>
  <c r="L324" i="92"/>
  <c r="N328" i="92"/>
  <c r="M333" i="92"/>
  <c r="L338" i="92"/>
  <c r="N342" i="92"/>
  <c r="L347" i="92"/>
  <c r="M351" i="92"/>
  <c r="N355" i="92"/>
  <c r="L360" i="92"/>
  <c r="N364" i="92"/>
  <c r="L369" i="92"/>
  <c r="M373" i="92"/>
  <c r="N377" i="92"/>
  <c r="L382" i="92"/>
  <c r="M386" i="92"/>
  <c r="N390" i="92"/>
  <c r="L395" i="92"/>
  <c r="M399" i="92"/>
  <c r="N403" i="92"/>
  <c r="L408" i="92"/>
  <c r="N412" i="92"/>
  <c r="M4" i="92"/>
  <c r="N9" i="92"/>
  <c r="L16" i="92"/>
  <c r="L21" i="92"/>
  <c r="L26" i="92"/>
  <c r="N31" i="92"/>
  <c r="N36" i="92"/>
  <c r="L42" i="92"/>
  <c r="N47" i="92"/>
  <c r="N52" i="92"/>
  <c r="N57" i="92"/>
  <c r="N62" i="92"/>
  <c r="M68" i="92"/>
  <c r="M73" i="92"/>
  <c r="M78" i="92"/>
  <c r="L84" i="92"/>
  <c r="L89" i="92"/>
  <c r="L94" i="92"/>
  <c r="L100" i="92"/>
  <c r="L105" i="92"/>
  <c r="L110" i="92"/>
  <c r="N114" i="92"/>
  <c r="N119" i="92"/>
  <c r="M124" i="92"/>
  <c r="L129" i="92"/>
  <c r="N133" i="92"/>
  <c r="M138" i="92"/>
  <c r="M143" i="92"/>
  <c r="L148" i="92"/>
  <c r="L153" i="92"/>
  <c r="N157" i="92"/>
  <c r="M162" i="92"/>
  <c r="M167" i="92"/>
  <c r="L172" i="92"/>
  <c r="N176" i="92"/>
  <c r="M181" i="92"/>
  <c r="L186" i="92"/>
  <c r="N190" i="92"/>
  <c r="N195" i="92"/>
  <c r="M200" i="92"/>
  <c r="M205" i="92"/>
  <c r="L210" i="92"/>
  <c r="N214" i="92"/>
  <c r="N219" i="92"/>
  <c r="M224" i="92"/>
  <c r="L229" i="92"/>
  <c r="N233" i="92"/>
  <c r="M238" i="92"/>
  <c r="M243" i="92"/>
  <c r="L248" i="92"/>
  <c r="N252" i="92"/>
  <c r="N257" i="92"/>
  <c r="M262" i="92"/>
  <c r="M267" i="92"/>
  <c r="L272" i="92"/>
  <c r="N276" i="92"/>
  <c r="M281" i="92"/>
  <c r="L286" i="92"/>
  <c r="N290" i="92"/>
  <c r="N295" i="92"/>
  <c r="M300" i="92"/>
  <c r="L305" i="92"/>
  <c r="L310" i="92"/>
  <c r="N314" i="92"/>
  <c r="N319" i="92"/>
  <c r="M324" i="92"/>
  <c r="L329" i="92"/>
  <c r="N333" i="92"/>
  <c r="M338" i="92"/>
  <c r="L343" i="92"/>
  <c r="M347" i="92"/>
  <c r="N351" i="92"/>
  <c r="L356" i="92"/>
  <c r="N360" i="92"/>
  <c r="L365" i="92"/>
  <c r="M369" i="92"/>
  <c r="N373" i="92"/>
  <c r="L378" i="92"/>
  <c r="M382" i="92"/>
  <c r="N386" i="92"/>
  <c r="L391" i="92"/>
  <c r="M395" i="92"/>
  <c r="N399" i="92"/>
  <c r="L404" i="92"/>
  <c r="N408" i="92"/>
  <c r="N4" i="92"/>
  <c r="L10" i="92"/>
  <c r="M16" i="92"/>
  <c r="M21" i="92"/>
  <c r="M26" i="92"/>
  <c r="L32" i="92"/>
  <c r="M37" i="92"/>
  <c r="M42" i="92"/>
  <c r="L48" i="92"/>
  <c r="L53" i="92"/>
  <c r="L58" i="92"/>
  <c r="N63" i="92"/>
  <c r="N68" i="92"/>
  <c r="N73" i="92"/>
  <c r="N78" i="92"/>
  <c r="M84" i="92"/>
  <c r="M89" i="92"/>
  <c r="N94" i="92"/>
  <c r="M100" i="92"/>
  <c r="M105" i="92"/>
  <c r="M110" i="92"/>
  <c r="M115" i="92"/>
  <c r="L120" i="92"/>
  <c r="N124" i="92"/>
  <c r="M129" i="92"/>
  <c r="L134" i="92"/>
  <c r="N138" i="92"/>
  <c r="N143" i="92"/>
  <c r="N148" i="92"/>
  <c r="M153" i="92"/>
  <c r="L158" i="92"/>
  <c r="N162" i="92"/>
  <c r="N167" i="92"/>
  <c r="M172" i="92"/>
  <c r="L177" i="92"/>
  <c r="N181" i="92"/>
  <c r="M186" i="92"/>
  <c r="M191" i="92"/>
  <c r="L196" i="92"/>
  <c r="L201" i="92"/>
  <c r="N205" i="92"/>
  <c r="M210" i="92"/>
  <c r="L5" i="92"/>
  <c r="M12" i="92"/>
  <c r="N19" i="92"/>
  <c r="N26" i="92"/>
  <c r="N33" i="92"/>
  <c r="M40" i="92"/>
  <c r="M48" i="92"/>
  <c r="M54" i="92"/>
  <c r="M61" i="92"/>
  <c r="L69" i="92"/>
  <c r="L76" i="92"/>
  <c r="L82" i="92"/>
  <c r="L90" i="92"/>
  <c r="N96" i="92"/>
  <c r="N102" i="92"/>
  <c r="N110" i="92"/>
  <c r="N116" i="92"/>
  <c r="N122" i="92"/>
  <c r="N129" i="92"/>
  <c r="L136" i="92"/>
  <c r="N141" i="92"/>
  <c r="L149" i="92"/>
  <c r="N154" i="92"/>
  <c r="N160" i="92"/>
  <c r="L168" i="92"/>
  <c r="N173" i="92"/>
  <c r="L180" i="92"/>
  <c r="N186" i="92"/>
  <c r="L193" i="92"/>
  <c r="N198" i="92"/>
  <c r="L206" i="92"/>
  <c r="L212" i="92"/>
  <c r="M217" i="92"/>
  <c r="M223" i="92"/>
  <c r="M229" i="92"/>
  <c r="N234" i="92"/>
  <c r="N240" i="92"/>
  <c r="L246" i="92"/>
  <c r="N251" i="92"/>
  <c r="L258" i="92"/>
  <c r="N263" i="92"/>
  <c r="L269" i="92"/>
  <c r="M274" i="92"/>
  <c r="M280" i="92"/>
  <c r="M286" i="92"/>
  <c r="L292" i="92"/>
  <c r="N297" i="92"/>
  <c r="M303" i="92"/>
  <c r="N308" i="92"/>
  <c r="M315" i="92"/>
  <c r="N320" i="92"/>
  <c r="L326" i="92"/>
  <c r="L332" i="92"/>
  <c r="M337" i="92"/>
  <c r="M343" i="92"/>
  <c r="N348" i="92"/>
  <c r="N353" i="92"/>
  <c r="N358" i="92"/>
  <c r="N363" i="92"/>
  <c r="N369" i="92"/>
  <c r="N374" i="92"/>
  <c r="N379" i="92"/>
  <c r="L385" i="92"/>
  <c r="L390" i="92"/>
  <c r="N395" i="92"/>
  <c r="L401" i="92"/>
  <c r="L406" i="92"/>
  <c r="L411" i="92"/>
  <c r="N415" i="92"/>
  <c r="L420" i="92"/>
  <c r="N424" i="92"/>
  <c r="L429" i="92"/>
  <c r="M433" i="92"/>
  <c r="N437" i="92"/>
  <c r="L442" i="92"/>
  <c r="M446" i="92"/>
  <c r="N450" i="92"/>
  <c r="L455" i="92"/>
  <c r="M459" i="92"/>
  <c r="N463" i="92"/>
  <c r="L468" i="92"/>
  <c r="N472" i="92"/>
  <c r="L477" i="92"/>
  <c r="M481" i="92"/>
  <c r="N485" i="92"/>
  <c r="L490" i="92"/>
  <c r="M494" i="92"/>
  <c r="N498" i="92"/>
  <c r="M507" i="92"/>
  <c r="N511" i="92"/>
  <c r="N520" i="92"/>
  <c r="L525" i="92"/>
  <c r="M529" i="92"/>
  <c r="N533" i="92"/>
  <c r="L538" i="92"/>
  <c r="M542" i="92"/>
  <c r="N546" i="92"/>
  <c r="L551" i="92"/>
  <c r="M555" i="92"/>
  <c r="N559" i="92"/>
  <c r="L564" i="92"/>
  <c r="N568" i="92"/>
  <c r="L573" i="92"/>
  <c r="M577" i="92"/>
  <c r="N581" i="92"/>
  <c r="L586" i="92"/>
  <c r="M590" i="92"/>
  <c r="N594" i="92"/>
  <c r="L599" i="92"/>
  <c r="M603" i="92"/>
  <c r="N607" i="92"/>
  <c r="L612" i="92"/>
  <c r="N616" i="92"/>
  <c r="L621" i="92"/>
  <c r="M625" i="92"/>
  <c r="N629" i="92"/>
  <c r="L634" i="92"/>
  <c r="M5" i="92"/>
  <c r="N12" i="92"/>
  <c r="L20" i="92"/>
  <c r="L28" i="92"/>
  <c r="L34" i="92"/>
  <c r="N40" i="92"/>
  <c r="N48" i="92"/>
  <c r="N54" i="92"/>
  <c r="N61" i="92"/>
  <c r="M69" i="92"/>
  <c r="M76" i="92"/>
  <c r="M82" i="92"/>
  <c r="M90" i="92"/>
  <c r="L97" i="92"/>
  <c r="N103" i="92"/>
  <c r="M111" i="92"/>
  <c r="L117" i="92"/>
  <c r="M123" i="92"/>
  <c r="L130" i="92"/>
  <c r="M136" i="92"/>
  <c r="L142" i="92"/>
  <c r="M149" i="92"/>
  <c r="M155" i="92"/>
  <c r="L161" i="92"/>
  <c r="M168" i="92"/>
  <c r="L174" i="92"/>
  <c r="M180" i="92"/>
  <c r="M187" i="92"/>
  <c r="M193" i="92"/>
  <c r="M199" i="92"/>
  <c r="M206" i="92"/>
  <c r="M212" i="92"/>
  <c r="N217" i="92"/>
  <c r="N223" i="92"/>
  <c r="N229" i="92"/>
  <c r="M235" i="92"/>
  <c r="L241" i="92"/>
  <c r="M246" i="92"/>
  <c r="L252" i="92"/>
  <c r="M258" i="92"/>
  <c r="L264" i="92"/>
  <c r="M269" i="92"/>
  <c r="M275" i="92"/>
  <c r="N280" i="92"/>
  <c r="N286" i="92"/>
  <c r="N292" i="92"/>
  <c r="L298" i="92"/>
  <c r="N303" i="92"/>
  <c r="L309" i="92"/>
  <c r="N315" i="92"/>
  <c r="L321" i="92"/>
  <c r="M326" i="92"/>
  <c r="M332" i="92"/>
  <c r="N337" i="92"/>
  <c r="N343" i="92"/>
  <c r="L349" i="92"/>
  <c r="L354" i="92"/>
  <c r="L359" i="92"/>
  <c r="L364" i="92"/>
  <c r="L370" i="92"/>
  <c r="L375" i="92"/>
  <c r="L380" i="92"/>
  <c r="M385" i="92"/>
  <c r="M390" i="92"/>
  <c r="L396" i="92"/>
  <c r="M401" i="92"/>
  <c r="M406" i="92"/>
  <c r="M411" i="92"/>
  <c r="L416" i="92"/>
  <c r="N420" i="92"/>
  <c r="L425" i="92"/>
  <c r="M429" i="92"/>
  <c r="N433" i="92"/>
  <c r="L438" i="92"/>
  <c r="M442" i="92"/>
  <c r="N446" i="92"/>
  <c r="L451" i="92"/>
  <c r="M455" i="92"/>
  <c r="N459" i="92"/>
  <c r="L464" i="92"/>
  <c r="N468" i="92"/>
  <c r="L473" i="92"/>
  <c r="M477" i="92"/>
  <c r="N481" i="92"/>
  <c r="L486" i="92"/>
  <c r="M490" i="92"/>
  <c r="N494" i="92"/>
  <c r="M503" i="92"/>
  <c r="N507" i="92"/>
  <c r="N516" i="92"/>
  <c r="L521" i="92"/>
  <c r="M525" i="92"/>
  <c r="N529" i="92"/>
  <c r="L534" i="92"/>
  <c r="M538" i="92"/>
  <c r="N542" i="92"/>
  <c r="L547" i="92"/>
  <c r="M551" i="92"/>
  <c r="N555" i="92"/>
  <c r="L560" i="92"/>
  <c r="N564" i="92"/>
  <c r="L569" i="92"/>
  <c r="M573" i="92"/>
  <c r="N577" i="92"/>
  <c r="L582" i="92"/>
  <c r="M586" i="92"/>
  <c r="N590" i="92"/>
  <c r="L595" i="92"/>
  <c r="M599" i="92"/>
  <c r="N603" i="92"/>
  <c r="L608" i="92"/>
  <c r="N612" i="92"/>
  <c r="L617" i="92"/>
  <c r="M621" i="92"/>
  <c r="N625" i="92"/>
  <c r="L630" i="92"/>
  <c r="M634" i="92"/>
  <c r="L6" i="92"/>
  <c r="M13" i="92"/>
  <c r="M20" i="92"/>
  <c r="M28" i="92"/>
  <c r="M34" i="92"/>
  <c r="L41" i="92"/>
  <c r="L49" i="92"/>
  <c r="N55" i="92"/>
  <c r="L62" i="92"/>
  <c r="N69" i="92"/>
  <c r="N76" i="92"/>
  <c r="N82" i="92"/>
  <c r="N90" i="92"/>
  <c r="M97" i="92"/>
  <c r="L104" i="92"/>
  <c r="N111" i="92"/>
  <c r="M117" i="92"/>
  <c r="N123" i="92"/>
  <c r="M130" i="92"/>
  <c r="N136" i="92"/>
  <c r="M142" i="92"/>
  <c r="N149" i="92"/>
  <c r="N155" i="92"/>
  <c r="N161" i="92"/>
  <c r="N168" i="92"/>
  <c r="N174" i="92"/>
  <c r="N180" i="92"/>
  <c r="L188" i="92"/>
  <c r="N193" i="92"/>
  <c r="N199" i="92"/>
  <c r="N206" i="92"/>
  <c r="N212" i="92"/>
  <c r="M218" i="92"/>
  <c r="N224" i="92"/>
  <c r="L230" i="92"/>
  <c r="L236" i="92"/>
  <c r="M241" i="92"/>
  <c r="N246" i="92"/>
  <c r="M253" i="92"/>
  <c r="N258" i="92"/>
  <c r="M264" i="92"/>
  <c r="N269" i="92"/>
  <c r="N275" i="92"/>
  <c r="N281" i="92"/>
  <c r="M287" i="92"/>
  <c r="L293" i="92"/>
  <c r="M298" i="92"/>
  <c r="L304" i="92"/>
  <c r="M310" i="92"/>
  <c r="L316" i="92"/>
  <c r="M321" i="92"/>
  <c r="N326" i="92"/>
  <c r="N332" i="92"/>
  <c r="N338" i="92"/>
  <c r="L344" i="92"/>
  <c r="M349" i="92"/>
  <c r="M354" i="92"/>
  <c r="M359" i="92"/>
  <c r="M365" i="92"/>
  <c r="M370" i="92"/>
  <c r="M375" i="92"/>
  <c r="N380" i="92"/>
  <c r="N385" i="92"/>
  <c r="M391" i="92"/>
  <c r="N396" i="92"/>
  <c r="N401" i="92"/>
  <c r="N406" i="92"/>
  <c r="N411" i="92"/>
  <c r="N416" i="92"/>
  <c r="L421" i="92"/>
  <c r="M425" i="92"/>
  <c r="N429" i="92"/>
  <c r="L434" i="92"/>
  <c r="M438" i="92"/>
  <c r="N442" i="92"/>
  <c r="L447" i="92"/>
  <c r="M451" i="92"/>
  <c r="N455" i="92"/>
  <c r="L460" i="92"/>
  <c r="N464" i="92"/>
  <c r="L469" i="92"/>
  <c r="M473" i="92"/>
  <c r="N477" i="92"/>
  <c r="L482" i="92"/>
  <c r="M486" i="92"/>
  <c r="M6" i="92"/>
  <c r="N13" i="92"/>
  <c r="N21" i="92"/>
  <c r="N28" i="92"/>
  <c r="N34" i="92"/>
  <c r="N42" i="92"/>
  <c r="M49" i="92"/>
  <c r="L56" i="92"/>
  <c r="L64" i="92"/>
  <c r="L70" i="92"/>
  <c r="L77" i="92"/>
  <c r="N84" i="92"/>
  <c r="N91" i="92"/>
  <c r="N97" i="92"/>
  <c r="N105" i="92"/>
  <c r="L112" i="92"/>
  <c r="L118" i="92"/>
  <c r="L125" i="92"/>
  <c r="M131" i="92"/>
  <c r="L137" i="92"/>
  <c r="N6" i="92"/>
  <c r="L14" i="92"/>
  <c r="L22" i="92"/>
  <c r="L29" i="92"/>
  <c r="N35" i="92"/>
  <c r="N43" i="92"/>
  <c r="N49" i="92"/>
  <c r="N56" i="92"/>
  <c r="M64" i="92"/>
  <c r="N70" i="92"/>
  <c r="M77" i="92"/>
  <c r="M85" i="92"/>
  <c r="L92" i="92"/>
  <c r="L98" i="92"/>
  <c r="L106" i="92"/>
  <c r="M112" i="92"/>
  <c r="M118" i="92"/>
  <c r="M125" i="92"/>
  <c r="N131" i="92"/>
  <c r="N7" i="92"/>
  <c r="M14" i="92"/>
  <c r="N22" i="92"/>
  <c r="M29" i="92"/>
  <c r="L36" i="92"/>
  <c r="L44" i="92"/>
  <c r="L50" i="92"/>
  <c r="L57" i="92"/>
  <c r="N64" i="92"/>
  <c r="N71" i="92"/>
  <c r="N77" i="92"/>
  <c r="N85" i="92"/>
  <c r="M92" i="92"/>
  <c r="M98" i="92"/>
  <c r="M106" i="92"/>
  <c r="N112" i="92"/>
  <c r="N118" i="92"/>
  <c r="N125" i="92"/>
  <c r="L132" i="92"/>
  <c r="N137" i="92"/>
  <c r="L145" i="92"/>
  <c r="N150" i="92"/>
  <c r="N156" i="92"/>
  <c r="L164" i="92"/>
  <c r="N169" i="92"/>
  <c r="L176" i="92"/>
  <c r="N182" i="92"/>
  <c r="L189" i="92"/>
  <c r="N194" i="92"/>
  <c r="L202" i="92"/>
  <c r="L208" i="92"/>
  <c r="L214" i="92"/>
  <c r="M220" i="92"/>
  <c r="N225" i="92"/>
  <c r="N231" i="92"/>
  <c r="L237" i="92"/>
  <c r="M242" i="92"/>
  <c r="L249" i="92"/>
  <c r="M254" i="92"/>
  <c r="L260" i="92"/>
  <c r="M265" i="92"/>
  <c r="M271" i="92"/>
  <c r="M277" i="92"/>
  <c r="N282" i="92"/>
  <c r="N288" i="92"/>
  <c r="L294" i="92"/>
  <c r="N299" i="92"/>
  <c r="L306" i="92"/>
  <c r="N311" i="92"/>
  <c r="L317" i="92"/>
  <c r="L8" i="92"/>
  <c r="N23" i="92"/>
  <c r="N37" i="92"/>
  <c r="M50" i="92"/>
  <c r="L65" i="92"/>
  <c r="N79" i="92"/>
  <c r="N92" i="92"/>
  <c r="N106" i="92"/>
  <c r="M120" i="92"/>
  <c r="M132" i="92"/>
  <c r="M141" i="92"/>
  <c r="N151" i="92"/>
  <c r="M160" i="92"/>
  <c r="N170" i="92"/>
  <c r="N179" i="92"/>
  <c r="N189" i="92"/>
  <c r="M198" i="92"/>
  <c r="N208" i="92"/>
  <c r="L217" i="92"/>
  <c r="M226" i="92"/>
  <c r="M234" i="92"/>
  <c r="L244" i="92"/>
  <c r="M251" i="92"/>
  <c r="N260" i="92"/>
  <c r="N268" i="92"/>
  <c r="L278" i="92"/>
  <c r="M285" i="92"/>
  <c r="N294" i="92"/>
  <c r="N302" i="92"/>
  <c r="M312" i="92"/>
  <c r="M320" i="92"/>
  <c r="M328" i="92"/>
  <c r="N335" i="92"/>
  <c r="M342" i="92"/>
  <c r="M350" i="92"/>
  <c r="M357" i="92"/>
  <c r="M363" i="92"/>
  <c r="M371" i="92"/>
  <c r="M378" i="92"/>
  <c r="N384" i="92"/>
  <c r="N392" i="92"/>
  <c r="N398" i="92"/>
  <c r="N405" i="92"/>
  <c r="M413" i="92"/>
  <c r="N418" i="92"/>
  <c r="L424" i="92"/>
  <c r="N430" i="92"/>
  <c r="L436" i="92"/>
  <c r="N441" i="92"/>
  <c r="L448" i="92"/>
  <c r="N453" i="92"/>
  <c r="L459" i="92"/>
  <c r="N465" i="92"/>
  <c r="L471" i="92"/>
  <c r="N476" i="92"/>
  <c r="L483" i="92"/>
  <c r="N488" i="92"/>
  <c r="N493" i="92"/>
  <c r="M499" i="92"/>
  <c r="N504" i="92"/>
  <c r="N509" i="92"/>
  <c r="N514" i="92"/>
  <c r="N519" i="92"/>
  <c r="N525" i="92"/>
  <c r="N530" i="92"/>
  <c r="N535" i="92"/>
  <c r="L541" i="92"/>
  <c r="L546" i="92"/>
  <c r="N551" i="92"/>
  <c r="L557" i="92"/>
  <c r="L562" i="92"/>
  <c r="L567" i="92"/>
  <c r="L572" i="92"/>
  <c r="L578" i="92"/>
  <c r="L583" i="92"/>
  <c r="L588" i="92"/>
  <c r="M593" i="92"/>
  <c r="M598" i="92"/>
  <c r="L604" i="92"/>
  <c r="M609" i="92"/>
  <c r="M614" i="92"/>
  <c r="M619" i="92"/>
  <c r="N624" i="92"/>
  <c r="M630" i="92"/>
  <c r="M635" i="92"/>
  <c r="N639" i="92"/>
  <c r="L644" i="92"/>
  <c r="N648" i="92"/>
  <c r="L653" i="92"/>
  <c r="M657" i="92"/>
  <c r="N661" i="92"/>
  <c r="L666" i="92"/>
  <c r="M670" i="92"/>
  <c r="N674" i="92"/>
  <c r="L679" i="92"/>
  <c r="M683" i="92"/>
  <c r="N687" i="92"/>
  <c r="L692" i="92"/>
  <c r="N696" i="92"/>
  <c r="L701" i="92"/>
  <c r="M705" i="92"/>
  <c r="N709" i="92"/>
  <c r="L714" i="92"/>
  <c r="M718" i="92"/>
  <c r="M722" i="92"/>
  <c r="M726" i="92"/>
  <c r="M730" i="92"/>
  <c r="M734" i="92"/>
  <c r="M738" i="92"/>
  <c r="M742" i="92"/>
  <c r="M746" i="92"/>
  <c r="M750" i="92"/>
  <c r="M754" i="92"/>
  <c r="M758" i="92"/>
  <c r="M762" i="92"/>
  <c r="M766" i="92"/>
  <c r="M770" i="92"/>
  <c r="M774" i="92"/>
  <c r="M778" i="92"/>
  <c r="M782" i="92"/>
  <c r="M786" i="92"/>
  <c r="M790" i="92"/>
  <c r="M794" i="92"/>
  <c r="M798" i="92"/>
  <c r="M802" i="92"/>
  <c r="M806" i="92"/>
  <c r="M810" i="92"/>
  <c r="M814" i="92"/>
  <c r="M818" i="92"/>
  <c r="M822" i="92"/>
  <c r="M826" i="92"/>
  <c r="M830" i="92"/>
  <c r="M834" i="92"/>
  <c r="M838" i="92"/>
  <c r="M842" i="92"/>
  <c r="M846" i="92"/>
  <c r="M850" i="92"/>
  <c r="M854" i="92"/>
  <c r="M858" i="92"/>
  <c r="M862" i="92"/>
  <c r="M866" i="92"/>
  <c r="M870" i="92"/>
  <c r="M874" i="92"/>
  <c r="M878" i="92"/>
  <c r="M882" i="92"/>
  <c r="M886" i="92"/>
  <c r="M890" i="92"/>
  <c r="M894" i="92"/>
  <c r="M898" i="92"/>
  <c r="M902" i="92"/>
  <c r="M906" i="92"/>
  <c r="M910" i="92"/>
  <c r="M914" i="92"/>
  <c r="M918" i="92"/>
  <c r="M922" i="92"/>
  <c r="M926" i="92"/>
  <c r="M930" i="92"/>
  <c r="M934" i="92"/>
  <c r="M938" i="92"/>
  <c r="M942" i="92"/>
  <c r="M946" i="92"/>
  <c r="M950" i="92"/>
  <c r="M954" i="92"/>
  <c r="M958" i="92"/>
  <c r="M962" i="92"/>
  <c r="M966" i="92"/>
  <c r="M970" i="92"/>
  <c r="M974" i="92"/>
  <c r="M978" i="92"/>
  <c r="M982" i="92"/>
  <c r="M986" i="92"/>
  <c r="N8" i="92"/>
  <c r="L24" i="92"/>
  <c r="L38" i="92"/>
  <c r="N50" i="92"/>
  <c r="M65" i="92"/>
  <c r="L80" i="92"/>
  <c r="L93" i="92"/>
  <c r="N107" i="92"/>
  <c r="N120" i="92"/>
  <c r="N132" i="92"/>
  <c r="M144" i="92"/>
  <c r="L152" i="92"/>
  <c r="M163" i="92"/>
  <c r="M171" i="92"/>
  <c r="L182" i="92"/>
  <c r="L190" i="92"/>
  <c r="M201" i="92"/>
  <c r="L209" i="92"/>
  <c r="N218" i="92"/>
  <c r="M227" i="92"/>
  <c r="M236" i="92"/>
  <c r="N244" i="92"/>
  <c r="N253" i="92"/>
  <c r="L261" i="92"/>
  <c r="L270" i="92"/>
  <c r="M278" i="92"/>
  <c r="N287" i="92"/>
  <c r="L296" i="92"/>
  <c r="M304" i="92"/>
  <c r="N312" i="92"/>
  <c r="N321" i="92"/>
  <c r="M329" i="92"/>
  <c r="M336" i="92"/>
  <c r="N344" i="92"/>
  <c r="N350" i="92"/>
  <c r="N357" i="92"/>
  <c r="N365" i="92"/>
  <c r="N371" i="92"/>
  <c r="N378" i="92"/>
  <c r="L386" i="92"/>
  <c r="L393" i="92"/>
  <c r="L399" i="92"/>
  <c r="L407" i="92"/>
  <c r="N413" i="92"/>
  <c r="L419" i="92"/>
  <c r="N425" i="92"/>
  <c r="L431" i="92"/>
  <c r="N436" i="92"/>
  <c r="L443" i="92"/>
  <c r="N448" i="92"/>
  <c r="L454" i="92"/>
  <c r="N460" i="92"/>
  <c r="L466" i="92"/>
  <c r="M471" i="92"/>
  <c r="L478" i="92"/>
  <c r="M483" i="92"/>
  <c r="L489" i="92"/>
  <c r="L494" i="92"/>
  <c r="N499" i="92"/>
  <c r="L520" i="92"/>
  <c r="L526" i="92"/>
  <c r="L531" i="92"/>
  <c r="L536" i="92"/>
  <c r="M541" i="92"/>
  <c r="M546" i="92"/>
  <c r="L552" i="92"/>
  <c r="M557" i="92"/>
  <c r="M562" i="92"/>
  <c r="M567" i="92"/>
  <c r="N572" i="92"/>
  <c r="M578" i="92"/>
  <c r="M583" i="92"/>
  <c r="N588" i="92"/>
  <c r="N593" i="92"/>
  <c r="N598" i="92"/>
  <c r="N604" i="92"/>
  <c r="N609" i="92"/>
  <c r="N614" i="92"/>
  <c r="N619" i="92"/>
  <c r="L625" i="92"/>
  <c r="N630" i="92"/>
  <c r="N635" i="92"/>
  <c r="L640" i="92"/>
  <c r="N644" i="92"/>
  <c r="L649" i="92"/>
  <c r="M653" i="92"/>
  <c r="N657" i="92"/>
  <c r="L662" i="92"/>
  <c r="M666" i="92"/>
  <c r="N670" i="92"/>
  <c r="L675" i="92"/>
  <c r="M679" i="92"/>
  <c r="N683" i="92"/>
  <c r="L688" i="92"/>
  <c r="N692" i="92"/>
  <c r="L697" i="92"/>
  <c r="M701" i="92"/>
  <c r="N705" i="92"/>
  <c r="L710" i="92"/>
  <c r="M714" i="92"/>
  <c r="N718" i="92"/>
  <c r="N722" i="92"/>
  <c r="N726" i="92"/>
  <c r="N730" i="92"/>
  <c r="N734" i="92"/>
  <c r="N738" i="92"/>
  <c r="N742" i="92"/>
  <c r="N746" i="92"/>
  <c r="N750" i="92"/>
  <c r="N754" i="92"/>
  <c r="N758" i="92"/>
  <c r="N762" i="92"/>
  <c r="N766" i="92"/>
  <c r="N770" i="92"/>
  <c r="N774" i="92"/>
  <c r="N778" i="92"/>
  <c r="N782" i="92"/>
  <c r="N786" i="92"/>
  <c r="N790" i="92"/>
  <c r="N794" i="92"/>
  <c r="N798" i="92"/>
  <c r="N802" i="92"/>
  <c r="N806" i="92"/>
  <c r="N810" i="92"/>
  <c r="N814" i="92"/>
  <c r="N818" i="92"/>
  <c r="N822" i="92"/>
  <c r="N826" i="92"/>
  <c r="N830" i="92"/>
  <c r="N834" i="92"/>
  <c r="N838" i="92"/>
  <c r="N842" i="92"/>
  <c r="N846" i="92"/>
  <c r="N850" i="92"/>
  <c r="N854" i="92"/>
  <c r="N858" i="92"/>
  <c r="N862" i="92"/>
  <c r="N866" i="92"/>
  <c r="N870" i="92"/>
  <c r="N874" i="92"/>
  <c r="N878" i="92"/>
  <c r="N882" i="92"/>
  <c r="N886" i="92"/>
  <c r="N890" i="92"/>
  <c r="N894" i="92"/>
  <c r="N898" i="92"/>
  <c r="N902" i="92"/>
  <c r="N906" i="92"/>
  <c r="N910" i="92"/>
  <c r="N914" i="92"/>
  <c r="N918" i="92"/>
  <c r="N922" i="92"/>
  <c r="N926" i="92"/>
  <c r="N930" i="92"/>
  <c r="N934" i="92"/>
  <c r="N938" i="92"/>
  <c r="N942" i="92"/>
  <c r="N946" i="92"/>
  <c r="N950" i="92"/>
  <c r="N954" i="92"/>
  <c r="N958" i="92"/>
  <c r="N962" i="92"/>
  <c r="N966" i="92"/>
  <c r="N970" i="92"/>
  <c r="N974" i="92"/>
  <c r="N978" i="92"/>
  <c r="N982" i="92"/>
  <c r="L9" i="92"/>
  <c r="M24" i="92"/>
  <c r="M38" i="92"/>
  <c r="L52" i="92"/>
  <c r="L66" i="92"/>
  <c r="N80" i="92"/>
  <c r="M93" i="92"/>
  <c r="L108" i="92"/>
  <c r="L121" i="92"/>
  <c r="L133" i="92"/>
  <c r="N144" i="92"/>
  <c r="N153" i="92"/>
  <c r="N163" i="92"/>
  <c r="N172" i="92"/>
  <c r="M182" i="92"/>
  <c r="N191" i="92"/>
  <c r="N201" i="92"/>
  <c r="N210" i="92"/>
  <c r="L220" i="92"/>
  <c r="N227" i="92"/>
  <c r="N236" i="92"/>
  <c r="L245" i="92"/>
  <c r="L254" i="92"/>
  <c r="M261" i="92"/>
  <c r="N270" i="92"/>
  <c r="N278" i="92"/>
  <c r="M288" i="92"/>
  <c r="M296" i="92"/>
  <c r="N305" i="92"/>
  <c r="L313" i="92"/>
  <c r="L322" i="92"/>
  <c r="N329" i="92"/>
  <c r="N336" i="92"/>
  <c r="L345" i="92"/>
  <c r="L351" i="92"/>
  <c r="L358" i="92"/>
  <c r="L366" i="92"/>
  <c r="L372" i="92"/>
  <c r="L379" i="92"/>
  <c r="L387" i="92"/>
  <c r="M393" i="92"/>
  <c r="L400" i="92"/>
  <c r="M407" i="92"/>
  <c r="L414" i="92"/>
  <c r="M419" i="92"/>
  <c r="L426" i="92"/>
  <c r="M431" i="92"/>
  <c r="L437" i="92"/>
  <c r="M443" i="92"/>
  <c r="L449" i="92"/>
  <c r="M454" i="92"/>
  <c r="L461" i="92"/>
  <c r="M466" i="92"/>
  <c r="N471" i="92"/>
  <c r="M478" i="92"/>
  <c r="N483" i="92"/>
  <c r="M489" i="92"/>
  <c r="L495" i="92"/>
  <c r="M505" i="92"/>
  <c r="M510" i="92"/>
  <c r="M515" i="92"/>
  <c r="M521" i="92"/>
  <c r="M526" i="92"/>
  <c r="M531" i="92"/>
  <c r="N536" i="92"/>
  <c r="N541" i="92"/>
  <c r="M547" i="92"/>
  <c r="N552" i="92"/>
  <c r="N557" i="92"/>
  <c r="N562" i="92"/>
  <c r="N567" i="92"/>
  <c r="N573" i="92"/>
  <c r="N578" i="92"/>
  <c r="N583" i="92"/>
  <c r="L589" i="92"/>
  <c r="L594" i="92"/>
  <c r="N599" i="92"/>
  <c r="L605" i="92"/>
  <c r="L610" i="92"/>
  <c r="L615" i="92"/>
  <c r="L620" i="92"/>
  <c r="L626" i="92"/>
  <c r="L631" i="92"/>
  <c r="L636" i="92"/>
  <c r="N640" i="92"/>
  <c r="L645" i="92"/>
  <c r="M649" i="92"/>
  <c r="N653" i="92"/>
  <c r="L658" i="92"/>
  <c r="M662" i="92"/>
  <c r="N666" i="92"/>
  <c r="L671" i="92"/>
  <c r="M675" i="92"/>
  <c r="N679" i="92"/>
  <c r="L684" i="92"/>
  <c r="N688" i="92"/>
  <c r="L693" i="92"/>
  <c r="M697" i="92"/>
  <c r="N701" i="92"/>
  <c r="L706" i="92"/>
  <c r="M710" i="92"/>
  <c r="N714" i="92"/>
  <c r="L719" i="92"/>
  <c r="L723" i="92"/>
  <c r="L727" i="92"/>
  <c r="L731" i="92"/>
  <c r="L735" i="92"/>
  <c r="L739" i="92"/>
  <c r="L743" i="92"/>
  <c r="N11" i="92"/>
  <c r="L25" i="92"/>
  <c r="N39" i="92"/>
  <c r="N53" i="92"/>
  <c r="N66" i="92"/>
  <c r="M81" i="92"/>
  <c r="L96" i="92"/>
  <c r="N108" i="92"/>
  <c r="N121" i="92"/>
  <c r="N134" i="92"/>
  <c r="N145" i="92"/>
  <c r="M154" i="92"/>
  <c r="N164" i="92"/>
  <c r="M173" i="92"/>
  <c r="L184" i="92"/>
  <c r="N192" i="92"/>
  <c r="N202" i="92"/>
  <c r="N211" i="92"/>
  <c r="L221" i="92"/>
  <c r="M228" i="92"/>
  <c r="N237" i="92"/>
  <c r="N245" i="92"/>
  <c r="M255" i="92"/>
  <c r="M263" i="92"/>
  <c r="N272" i="92"/>
  <c r="L280" i="92"/>
  <c r="M289" i="92"/>
  <c r="M297" i="92"/>
  <c r="N306" i="92"/>
  <c r="N313" i="92"/>
  <c r="M323" i="92"/>
  <c r="M330" i="92"/>
  <c r="M339" i="92"/>
  <c r="N345" i="92"/>
  <c r="N352" i="92"/>
  <c r="N359" i="92"/>
  <c r="N366" i="92"/>
  <c r="L373" i="92"/>
  <c r="L381" i="92"/>
  <c r="N387" i="92"/>
  <c r="L394" i="92"/>
  <c r="L402" i="92"/>
  <c r="L409" i="92"/>
  <c r="N414" i="92"/>
  <c r="M421" i="92"/>
  <c r="N426" i="92"/>
  <c r="L432" i="92"/>
  <c r="N438" i="92"/>
  <c r="L444" i="92"/>
  <c r="N449" i="92"/>
  <c r="L456" i="92"/>
  <c r="N461" i="92"/>
  <c r="L467" i="92"/>
  <c r="N473" i="92"/>
  <c r="L479" i="92"/>
  <c r="N484" i="92"/>
  <c r="N490" i="92"/>
  <c r="N495" i="92"/>
  <c r="L522" i="92"/>
  <c r="L527" i="92"/>
  <c r="L532" i="92"/>
  <c r="L12" i="92"/>
  <c r="M25" i="92"/>
  <c r="L40" i="92"/>
  <c r="L54" i="92"/>
  <c r="N67" i="92"/>
  <c r="N81" i="92"/>
  <c r="M96" i="92"/>
  <c r="M109" i="92"/>
  <c r="M122" i="92"/>
  <c r="N135" i="92"/>
  <c r="L146" i="92"/>
  <c r="L156" i="92"/>
  <c r="L165" i="92"/>
  <c r="M175" i="92"/>
  <c r="M184" i="92"/>
  <c r="L194" i="92"/>
  <c r="M203" i="92"/>
  <c r="L213" i="92"/>
  <c r="M221" i="92"/>
  <c r="M230" i="92"/>
  <c r="N238" i="92"/>
  <c r="M247" i="92"/>
  <c r="N255" i="92"/>
  <c r="N264" i="92"/>
  <c r="L273" i="92"/>
  <c r="L282" i="92"/>
  <c r="N289" i="92"/>
  <c r="N298" i="92"/>
  <c r="M307" i="92"/>
  <c r="M316" i="92"/>
  <c r="N323" i="92"/>
  <c r="N330" i="92"/>
  <c r="N339" i="92"/>
  <c r="L346" i="92"/>
  <c r="L353" i="92"/>
  <c r="L361" i="92"/>
  <c r="L367" i="92"/>
  <c r="L374" i="92"/>
  <c r="M381" i="92"/>
  <c r="L388" i="92"/>
  <c r="M394" i="92"/>
  <c r="M402" i="92"/>
  <c r="M409" i="92"/>
  <c r="L415" i="92"/>
  <c r="N421" i="92"/>
  <c r="L427" i="92"/>
  <c r="N432" i="92"/>
  <c r="L439" i="92"/>
  <c r="N444" i="92"/>
  <c r="L450" i="92"/>
  <c r="N456" i="92"/>
  <c r="L462" i="92"/>
  <c r="M467" i="92"/>
  <c r="L474" i="92"/>
  <c r="M479" i="92"/>
  <c r="L485" i="92"/>
  <c r="L491" i="92"/>
  <c r="N16" i="92"/>
  <c r="N29" i="92"/>
  <c r="M44" i="92"/>
  <c r="M58" i="92"/>
  <c r="L72" i="92"/>
  <c r="L86" i="92"/>
  <c r="N100" i="92"/>
  <c r="L113" i="92"/>
  <c r="L126" i="92"/>
  <c r="M137" i="92"/>
  <c r="M146" i="92"/>
  <c r="M156" i="92"/>
  <c r="M165" i="92"/>
  <c r="N175" i="92"/>
  <c r="N184" i="92"/>
  <c r="M194" i="92"/>
  <c r="N203" i="92"/>
  <c r="M213" i="92"/>
  <c r="N221" i="92"/>
  <c r="N230" i="92"/>
  <c r="M239" i="92"/>
  <c r="M248" i="92"/>
  <c r="L256" i="92"/>
  <c r="L265" i="92"/>
  <c r="M273" i="92"/>
  <c r="M282" i="92"/>
  <c r="L290" i="92"/>
  <c r="M299" i="92"/>
  <c r="N307" i="92"/>
  <c r="N316" i="92"/>
  <c r="N324" i="92"/>
  <c r="M331" i="92"/>
  <c r="L340" i="92"/>
  <c r="M346" i="92"/>
  <c r="M353" i="92"/>
  <c r="M361" i="92"/>
  <c r="M367" i="92"/>
  <c r="M374" i="92"/>
  <c r="N381" i="92"/>
  <c r="N388" i="92"/>
  <c r="L17" i="92"/>
  <c r="L30" i="92"/>
  <c r="N44" i="92"/>
  <c r="N58" i="92"/>
  <c r="M72" i="92"/>
  <c r="M17" i="92"/>
  <c r="L18" i="92"/>
  <c r="N32" i="92"/>
  <c r="M45" i="92"/>
  <c r="L60" i="92"/>
  <c r="L74" i="92"/>
  <c r="N87" i="92"/>
  <c r="N101" i="92"/>
  <c r="N115" i="92"/>
  <c r="N127" i="92"/>
  <c r="M140" i="92"/>
  <c r="L150" i="92"/>
  <c r="M159" i="92"/>
  <c r="L169" i="92"/>
  <c r="L178" i="92"/>
  <c r="M188" i="92"/>
  <c r="M197" i="92"/>
  <c r="M207" i="92"/>
  <c r="L216" i="92"/>
  <c r="L225" i="92"/>
  <c r="N232" i="92"/>
  <c r="N241" i="92"/>
  <c r="L250" i="92"/>
  <c r="M259" i="92"/>
  <c r="N267" i="92"/>
  <c r="L276" i="92"/>
  <c r="M284" i="92"/>
  <c r="M293" i="92"/>
  <c r="N301" i="92"/>
  <c r="N310" i="92"/>
  <c r="L318" i="92"/>
  <c r="N325" i="92"/>
  <c r="M334" i="92"/>
  <c r="M341" i="92"/>
  <c r="L348" i="92"/>
  <c r="M355" i="92"/>
  <c r="M362" i="92"/>
  <c r="N368" i="92"/>
  <c r="N376" i="92"/>
  <c r="M383" i="92"/>
  <c r="N389" i="92"/>
  <c r="N10" i="92"/>
  <c r="N59" i="92"/>
  <c r="N95" i="92"/>
  <c r="M127" i="92"/>
  <c r="M151" i="92"/>
  <c r="M177" i="92"/>
  <c r="N197" i="92"/>
  <c r="N220" i="92"/>
  <c r="M240" i="92"/>
  <c r="M260" i="92"/>
  <c r="M283" i="92"/>
  <c r="L302" i="92"/>
  <c r="M322" i="92"/>
  <c r="L341" i="92"/>
  <c r="L357" i="92"/>
  <c r="N375" i="92"/>
  <c r="N391" i="92"/>
  <c r="M403" i="92"/>
  <c r="M415" i="92"/>
  <c r="N423" i="92"/>
  <c r="L435" i="92"/>
  <c r="M445" i="92"/>
  <c r="N454" i="92"/>
  <c r="L465" i="92"/>
  <c r="L475" i="92"/>
  <c r="M485" i="92"/>
  <c r="M493" i="92"/>
  <c r="M509" i="92"/>
  <c r="L518" i="92"/>
  <c r="N524" i="92"/>
  <c r="M533" i="92"/>
  <c r="L540" i="92"/>
  <c r="L548" i="92"/>
  <c r="M554" i="92"/>
  <c r="M561" i="92"/>
  <c r="M569" i="92"/>
  <c r="M575" i="92"/>
  <c r="M582" i="92"/>
  <c r="N589" i="92"/>
  <c r="N596" i="92"/>
  <c r="N602" i="92"/>
  <c r="N610" i="92"/>
  <c r="N617" i="92"/>
  <c r="N623" i="92"/>
  <c r="N631" i="92"/>
  <c r="L638" i="92"/>
  <c r="M643" i="92"/>
  <c r="L650" i="92"/>
  <c r="M655" i="92"/>
  <c r="L661" i="92"/>
  <c r="M667" i="92"/>
  <c r="L673" i="92"/>
  <c r="M678" i="92"/>
  <c r="L685" i="92"/>
  <c r="M690" i="92"/>
  <c r="N695" i="92"/>
  <c r="M702" i="92"/>
  <c r="N707" i="92"/>
  <c r="M713" i="92"/>
  <c r="N719" i="92"/>
  <c r="N724" i="92"/>
  <c r="N729" i="92"/>
  <c r="N735" i="92"/>
  <c r="N740" i="92"/>
  <c r="N745" i="92"/>
  <c r="L751" i="92"/>
  <c r="N755" i="92"/>
  <c r="M760" i="92"/>
  <c r="L765" i="92"/>
  <c r="N769" i="92"/>
  <c r="L775" i="92"/>
  <c r="N779" i="92"/>
  <c r="M784" i="92"/>
  <c r="L789" i="92"/>
  <c r="N793" i="92"/>
  <c r="L799" i="92"/>
  <c r="N803" i="92"/>
  <c r="M808" i="92"/>
  <c r="L813" i="92"/>
  <c r="N817" i="92"/>
  <c r="L823" i="92"/>
  <c r="N827" i="92"/>
  <c r="M832" i="92"/>
  <c r="L837" i="92"/>
  <c r="N841" i="92"/>
  <c r="L847" i="92"/>
  <c r="N851" i="92"/>
  <c r="M856" i="92"/>
  <c r="L861" i="92"/>
  <c r="N865" i="92"/>
  <c r="L871" i="92"/>
  <c r="N875" i="92"/>
  <c r="M880" i="92"/>
  <c r="N889" i="92"/>
  <c r="N899" i="92"/>
  <c r="M904" i="92"/>
  <c r="L909" i="92"/>
  <c r="N913" i="92"/>
  <c r="L919" i="92"/>
  <c r="N923" i="92"/>
  <c r="M928" i="92"/>
  <c r="N937" i="92"/>
  <c r="L943" i="92"/>
  <c r="N947" i="92"/>
  <c r="M952" i="92"/>
  <c r="L957" i="92"/>
  <c r="N961" i="92"/>
  <c r="L967" i="92"/>
  <c r="N971" i="92"/>
  <c r="M976" i="92"/>
  <c r="L981" i="92"/>
  <c r="N985" i="92"/>
  <c r="L990" i="92"/>
  <c r="L994" i="92"/>
  <c r="L998" i="92"/>
  <c r="L1002" i="92"/>
  <c r="L1006" i="92"/>
  <c r="L1010" i="92"/>
  <c r="L1014" i="92"/>
  <c r="L1018" i="92"/>
  <c r="L1022" i="92"/>
  <c r="L1026" i="92"/>
  <c r="L1030" i="92"/>
  <c r="L1034" i="92"/>
  <c r="L1038" i="92"/>
  <c r="L1042" i="92"/>
  <c r="L1046" i="92"/>
  <c r="L1050" i="92"/>
  <c r="L1054" i="92"/>
  <c r="L1058" i="92"/>
  <c r="L1062" i="92"/>
  <c r="L1066" i="92"/>
  <c r="L1070" i="92"/>
  <c r="L1074" i="92"/>
  <c r="L1078" i="92"/>
  <c r="L1082" i="92"/>
  <c r="L1086" i="92"/>
  <c r="L1090" i="92"/>
  <c r="L1094" i="92"/>
  <c r="L1098" i="92"/>
  <c r="L1102" i="92"/>
  <c r="L1106" i="92"/>
  <c r="L1110" i="92"/>
  <c r="L1114" i="92"/>
  <c r="L1118" i="92"/>
  <c r="L1122" i="92"/>
  <c r="L1126" i="92"/>
  <c r="L1130" i="92"/>
  <c r="L1134" i="92"/>
  <c r="L1138" i="92"/>
  <c r="L1142" i="92"/>
  <c r="L1146" i="92"/>
  <c r="L1150" i="92"/>
  <c r="L1154" i="92"/>
  <c r="L1158" i="92"/>
  <c r="L1162" i="92"/>
  <c r="M18" i="92"/>
  <c r="M60" i="92"/>
  <c r="L101" i="92"/>
  <c r="L128" i="92"/>
  <c r="L154" i="92"/>
  <c r="N177" i="92"/>
  <c r="L198" i="92"/>
  <c r="L222" i="92"/>
  <c r="L242" i="92"/>
  <c r="N262" i="92"/>
  <c r="L284" i="92"/>
  <c r="M302" i="92"/>
  <c r="L325" i="92"/>
  <c r="N341" i="92"/>
  <c r="M358" i="92"/>
  <c r="L376" i="92"/>
  <c r="L392" i="92"/>
  <c r="N404" i="92"/>
  <c r="L417" i="92"/>
  <c r="M426" i="92"/>
  <c r="M435" i="92"/>
  <c r="N445" i="92"/>
  <c r="L457" i="92"/>
  <c r="M465" i="92"/>
  <c r="M475" i="92"/>
  <c r="N486" i="92"/>
  <c r="M495" i="92"/>
  <c r="M502" i="92"/>
  <c r="N510" i="92"/>
  <c r="M518" i="92"/>
  <c r="N526" i="92"/>
  <c r="M534" i="92"/>
  <c r="N540" i="92"/>
  <c r="N548" i="92"/>
  <c r="N554" i="92"/>
  <c r="N561" i="92"/>
  <c r="N569" i="92"/>
  <c r="N575" i="92"/>
  <c r="N582" i="92"/>
  <c r="L590" i="92"/>
  <c r="L597" i="92"/>
  <c r="L603" i="92"/>
  <c r="L611" i="92"/>
  <c r="L618" i="92"/>
  <c r="L624" i="92"/>
  <c r="L632" i="92"/>
  <c r="M638" i="92"/>
  <c r="N643" i="92"/>
  <c r="M650" i="92"/>
  <c r="N655" i="92"/>
  <c r="M661" i="92"/>
  <c r="N667" i="92"/>
  <c r="M673" i="92"/>
  <c r="N678" i="92"/>
  <c r="M685" i="92"/>
  <c r="N690" i="92"/>
  <c r="L696" i="92"/>
  <c r="N702" i="92"/>
  <c r="L708" i="92"/>
  <c r="N713" i="92"/>
  <c r="L720" i="92"/>
  <c r="L725" i="92"/>
  <c r="L730" i="92"/>
  <c r="L736" i="92"/>
  <c r="L741" i="92"/>
  <c r="L746" i="92"/>
  <c r="M751" i="92"/>
  <c r="L756" i="92"/>
  <c r="N760" i="92"/>
  <c r="M765" i="92"/>
  <c r="L770" i="92"/>
  <c r="M775" i="92"/>
  <c r="L780" i="92"/>
  <c r="N784" i="92"/>
  <c r="M789" i="92"/>
  <c r="L794" i="92"/>
  <c r="M799" i="92"/>
  <c r="L804" i="92"/>
  <c r="N808" i="92"/>
  <c r="M813" i="92"/>
  <c r="L818" i="92"/>
  <c r="M823" i="92"/>
  <c r="L828" i="92"/>
  <c r="N832" i="92"/>
  <c r="M837" i="92"/>
  <c r="L842" i="92"/>
  <c r="M847" i="92"/>
  <c r="L852" i="92"/>
  <c r="N856" i="92"/>
  <c r="M861" i="92"/>
  <c r="L866" i="92"/>
  <c r="M871" i="92"/>
  <c r="L876" i="92"/>
  <c r="N880" i="92"/>
  <c r="M885" i="92"/>
  <c r="M895" i="92"/>
  <c r="N904" i="92"/>
  <c r="M909" i="92"/>
  <c r="L914" i="92"/>
  <c r="M919" i="92"/>
  <c r="L924" i="92"/>
  <c r="N928" i="92"/>
  <c r="M933" i="92"/>
  <c r="L938" i="92"/>
  <c r="M943" i="92"/>
  <c r="L948" i="92"/>
  <c r="N952" i="92"/>
  <c r="M957" i="92"/>
  <c r="L962" i="92"/>
  <c r="M967" i="92"/>
  <c r="L972" i="92"/>
  <c r="N976" i="92"/>
  <c r="M981" i="92"/>
  <c r="L986" i="92"/>
  <c r="M990" i="92"/>
  <c r="M994" i="92"/>
  <c r="M998" i="92"/>
  <c r="M1002" i="92"/>
  <c r="M1006" i="92"/>
  <c r="M1010" i="92"/>
  <c r="M1014" i="92"/>
  <c r="M1018" i="92"/>
  <c r="M1022" i="92"/>
  <c r="M1026" i="92"/>
  <c r="M1030" i="92"/>
  <c r="M1034" i="92"/>
  <c r="M1038" i="92"/>
  <c r="M1042" i="92"/>
  <c r="M1046" i="92"/>
  <c r="M1050" i="92"/>
  <c r="M1054" i="92"/>
  <c r="M1058" i="92"/>
  <c r="M1062" i="92"/>
  <c r="M1066" i="92"/>
  <c r="M1070" i="92"/>
  <c r="M1074" i="92"/>
  <c r="M1078" i="92"/>
  <c r="M1082" i="92"/>
  <c r="M1086" i="92"/>
  <c r="M1090" i="92"/>
  <c r="M1094" i="92"/>
  <c r="M1098" i="92"/>
  <c r="M1102" i="92"/>
  <c r="M1106" i="92"/>
  <c r="M1110" i="92"/>
  <c r="M1114" i="92"/>
  <c r="M1118" i="92"/>
  <c r="M1122" i="92"/>
  <c r="M1126" i="92"/>
  <c r="M1130" i="92"/>
  <c r="M1134" i="92"/>
  <c r="M1138" i="92"/>
  <c r="M1142" i="92"/>
  <c r="M1146" i="92"/>
  <c r="M1150" i="92"/>
  <c r="M1154" i="92"/>
  <c r="M1158" i="92"/>
  <c r="M1162" i="92"/>
  <c r="N18" i="92"/>
  <c r="N60" i="92"/>
  <c r="M101" i="92"/>
  <c r="M128" i="92"/>
  <c r="M158" i="92"/>
  <c r="M178" i="92"/>
  <c r="M202" i="92"/>
  <c r="N222" i="92"/>
  <c r="N243" i="92"/>
  <c r="N265" i="92"/>
  <c r="N284" i="92"/>
  <c r="M306" i="92"/>
  <c r="M325" i="92"/>
  <c r="L342" i="92"/>
  <c r="N361" i="92"/>
  <c r="L377" i="92"/>
  <c r="N393" i="92"/>
  <c r="L405" i="92"/>
  <c r="M417" i="92"/>
  <c r="M427" i="92"/>
  <c r="N435" i="92"/>
  <c r="L446" i="92"/>
  <c r="M457" i="92"/>
  <c r="N466" i="92"/>
  <c r="N475" i="92"/>
  <c r="L487" i="92"/>
  <c r="L496" i="92"/>
  <c r="N502" i="92"/>
  <c r="M511" i="92"/>
  <c r="N518" i="92"/>
  <c r="M527" i="92"/>
  <c r="N534" i="92"/>
  <c r="L542" i="92"/>
  <c r="L549" i="92"/>
  <c r="L555" i="92"/>
  <c r="L563" i="92"/>
  <c r="L570" i="92"/>
  <c r="L576" i="92"/>
  <c r="L584" i="92"/>
  <c r="L591" i="92"/>
  <c r="M597" i="92"/>
  <c r="M605" i="92"/>
  <c r="M611" i="92"/>
  <c r="M618" i="92"/>
  <c r="M626" i="92"/>
  <c r="N632" i="92"/>
  <c r="N638" i="92"/>
  <c r="M645" i="92"/>
  <c r="N650" i="92"/>
  <c r="L656" i="92"/>
  <c r="N662" i="92"/>
  <c r="L668" i="92"/>
  <c r="N673" i="92"/>
  <c r="L680" i="92"/>
  <c r="N685" i="92"/>
  <c r="L691" i="92"/>
  <c r="N697" i="92"/>
  <c r="L703" i="92"/>
  <c r="N708" i="92"/>
  <c r="L715" i="92"/>
  <c r="M720" i="92"/>
  <c r="M725" i="92"/>
  <c r="M731" i="92"/>
  <c r="M736" i="92"/>
  <c r="M741" i="92"/>
  <c r="L747" i="92"/>
  <c r="N751" i="92"/>
  <c r="M756" i="92"/>
  <c r="L761" i="92"/>
  <c r="N765" i="92"/>
  <c r="L771" i="92"/>
  <c r="N775" i="92"/>
  <c r="M780" i="92"/>
  <c r="L785" i="92"/>
  <c r="N789" i="92"/>
  <c r="L795" i="92"/>
  <c r="N799" i="92"/>
  <c r="M804" i="92"/>
  <c r="L809" i="92"/>
  <c r="N813" i="92"/>
  <c r="L819" i="92"/>
  <c r="N823" i="92"/>
  <c r="M828" i="92"/>
  <c r="L833" i="92"/>
  <c r="N837" i="92"/>
  <c r="L843" i="92"/>
  <c r="N847" i="92"/>
  <c r="M852" i="92"/>
  <c r="L857" i="92"/>
  <c r="N861" i="92"/>
  <c r="L867" i="92"/>
  <c r="N871" i="92"/>
  <c r="M876" i="92"/>
  <c r="N885" i="92"/>
  <c r="L891" i="92"/>
  <c r="N895" i="92"/>
  <c r="M900" i="92"/>
  <c r="L905" i="92"/>
  <c r="N909" i="92"/>
  <c r="L915" i="92"/>
  <c r="N919" i="92"/>
  <c r="M924" i="92"/>
  <c r="L929" i="92"/>
  <c r="N933" i="92"/>
  <c r="L939" i="92"/>
  <c r="N943" i="92"/>
  <c r="M948" i="92"/>
  <c r="L953" i="92"/>
  <c r="N957" i="92"/>
  <c r="L963" i="92"/>
  <c r="N967" i="92"/>
  <c r="M972" i="92"/>
  <c r="L977" i="92"/>
  <c r="N981" i="92"/>
  <c r="N986" i="92"/>
  <c r="N990" i="92"/>
  <c r="N994" i="92"/>
  <c r="N998" i="92"/>
  <c r="N1002" i="92"/>
  <c r="N1006" i="92"/>
  <c r="N1010" i="92"/>
  <c r="N1014" i="92"/>
  <c r="N1018" i="92"/>
  <c r="N1022" i="92"/>
  <c r="N1026" i="92"/>
  <c r="N1030" i="92"/>
  <c r="N1034" i="92"/>
  <c r="N1038" i="92"/>
  <c r="N1042" i="92"/>
  <c r="N1046" i="92"/>
  <c r="N1050" i="92"/>
  <c r="N1054" i="92"/>
  <c r="N1058" i="92"/>
  <c r="N1062" i="92"/>
  <c r="N1066" i="92"/>
  <c r="N1070" i="92"/>
  <c r="N1074" i="92"/>
  <c r="N1078" i="92"/>
  <c r="N1082" i="92"/>
  <c r="N1086" i="92"/>
  <c r="N1090" i="92"/>
  <c r="N1094" i="92"/>
  <c r="N1098" i="92"/>
  <c r="N1102" i="92"/>
  <c r="N1106" i="92"/>
  <c r="N1110" i="92"/>
  <c r="N1114" i="92"/>
  <c r="N1118" i="92"/>
  <c r="N1122" i="92"/>
  <c r="L33" i="92"/>
  <c r="M74" i="92"/>
  <c r="M108" i="92"/>
  <c r="L140" i="92"/>
  <c r="L160" i="92"/>
  <c r="L185" i="92"/>
  <c r="N207" i="92"/>
  <c r="L228" i="92"/>
  <c r="N249" i="92"/>
  <c r="M268" i="92"/>
  <c r="M291" i="92"/>
  <c r="M311" i="92"/>
  <c r="L330" i="92"/>
  <c r="N347" i="92"/>
  <c r="L363" i="92"/>
  <c r="N382" i="92"/>
  <c r="M397" i="92"/>
  <c r="N409" i="92"/>
  <c r="M418" i="92"/>
  <c r="N428" i="92"/>
  <c r="N439" i="92"/>
  <c r="M449" i="92"/>
  <c r="M458" i="92"/>
  <c r="N469" i="92"/>
  <c r="N479" i="92"/>
  <c r="L488" i="92"/>
  <c r="M497" i="92"/>
  <c r="N505" i="92"/>
  <c r="M513" i="92"/>
  <c r="N521" i="92"/>
  <c r="N528" i="92"/>
  <c r="L537" i="92"/>
  <c r="N543" i="92"/>
  <c r="L550" i="92"/>
  <c r="L558" i="92"/>
  <c r="L565" i="92"/>
  <c r="L571" i="92"/>
  <c r="L579" i="92"/>
  <c r="M585" i="92"/>
  <c r="L592" i="92"/>
  <c r="L600" i="92"/>
  <c r="M606" i="92"/>
  <c r="M613" i="92"/>
  <c r="N620" i="92"/>
  <c r="M627" i="92"/>
  <c r="N633" i="92"/>
  <c r="L641" i="92"/>
  <c r="M646" i="92"/>
  <c r="N651" i="92"/>
  <c r="M658" i="92"/>
  <c r="N663" i="92"/>
  <c r="M669" i="92"/>
  <c r="N675" i="92"/>
  <c r="M681" i="92"/>
  <c r="N686" i="92"/>
  <c r="M693" i="92"/>
  <c r="N698" i="92"/>
  <c r="L704" i="92"/>
  <c r="N710" i="92"/>
  <c r="L716" i="92"/>
  <c r="M721" i="92"/>
  <c r="M727" i="92"/>
  <c r="M732" i="92"/>
  <c r="M737" i="92"/>
  <c r="M743" i="92"/>
  <c r="L748" i="92"/>
  <c r="N752" i="92"/>
  <c r="M757" i="92"/>
  <c r="L762" i="92"/>
  <c r="M767" i="92"/>
  <c r="L772" i="92"/>
  <c r="N776" i="92"/>
  <c r="M781" i="92"/>
  <c r="L786" i="92"/>
  <c r="M791" i="92"/>
  <c r="L796" i="92"/>
  <c r="N800" i="92"/>
  <c r="M805" i="92"/>
  <c r="M33" i="92"/>
  <c r="N74" i="92"/>
  <c r="N113" i="92"/>
  <c r="N140" i="92"/>
  <c r="M164" i="92"/>
  <c r="M185" i="92"/>
  <c r="M208" i="92"/>
  <c r="L232" i="92"/>
  <c r="M250" i="92"/>
  <c r="M272" i="92"/>
  <c r="N291" i="92"/>
  <c r="L312" i="92"/>
  <c r="L333" i="92"/>
  <c r="N349" i="92"/>
  <c r="M366" i="92"/>
  <c r="L383" i="92"/>
  <c r="N397" i="92"/>
  <c r="L410" i="92"/>
  <c r="N419" i="92"/>
  <c r="L430" i="92"/>
  <c r="L440" i="92"/>
  <c r="M450" i="92"/>
  <c r="N458" i="92"/>
  <c r="L470" i="92"/>
  <c r="L480" i="92"/>
  <c r="N489" i="92"/>
  <c r="N497" i="92"/>
  <c r="M506" i="92"/>
  <c r="N513" i="92"/>
  <c r="M522" i="92"/>
  <c r="L529" i="92"/>
  <c r="M537" i="92"/>
  <c r="L544" i="92"/>
  <c r="M550" i="92"/>
  <c r="M558" i="92"/>
  <c r="M565" i="92"/>
  <c r="M571" i="92"/>
  <c r="M579" i="92"/>
  <c r="N585" i="92"/>
  <c r="N592" i="92"/>
  <c r="N600" i="92"/>
  <c r="N606" i="92"/>
  <c r="N613" i="92"/>
  <c r="N621" i="92"/>
  <c r="N627" i="92"/>
  <c r="N634" i="92"/>
  <c r="M641" i="92"/>
  <c r="N646" i="92"/>
  <c r="L652" i="92"/>
  <c r="N658" i="92"/>
  <c r="L664" i="92"/>
  <c r="N669" i="92"/>
  <c r="L676" i="92"/>
  <c r="N681" i="92"/>
  <c r="L687" i="92"/>
  <c r="N693" i="92"/>
  <c r="L699" i="92"/>
  <c r="N704" i="92"/>
  <c r="L711" i="92"/>
  <c r="N716" i="92"/>
  <c r="N721" i="92"/>
  <c r="N727" i="92"/>
  <c r="N732" i="92"/>
  <c r="N737" i="92"/>
  <c r="N743" i="92"/>
  <c r="M748" i="92"/>
  <c r="L753" i="92"/>
  <c r="N38" i="92"/>
  <c r="L81" i="92"/>
  <c r="L114" i="92"/>
  <c r="L141" i="92"/>
  <c r="L166" i="92"/>
  <c r="N188" i="92"/>
  <c r="M211" i="92"/>
  <c r="M232" i="92"/>
  <c r="N250" i="92"/>
  <c r="N273" i="92"/>
  <c r="N293" i="92"/>
  <c r="M313" i="92"/>
  <c r="L334" i="92"/>
  <c r="L350" i="92"/>
  <c r="N367" i="92"/>
  <c r="N383" i="92"/>
  <c r="L398" i="92"/>
  <c r="M410" i="92"/>
  <c r="L422" i="92"/>
  <c r="M430" i="92"/>
  <c r="N440" i="92"/>
  <c r="N451" i="92"/>
  <c r="M461" i="92"/>
  <c r="M470" i="92"/>
  <c r="N480" i="92"/>
  <c r="M491" i="92"/>
  <c r="N506" i="92"/>
  <c r="N522" i="92"/>
  <c r="L530" i="92"/>
  <c r="N537" i="92"/>
  <c r="N544" i="92"/>
  <c r="N550" i="92"/>
  <c r="N558" i="92"/>
  <c r="N565" i="92"/>
  <c r="N571" i="92"/>
  <c r="N579" i="92"/>
  <c r="N586" i="92"/>
  <c r="L593" i="92"/>
  <c r="L601" i="92"/>
  <c r="L607" i="92"/>
  <c r="L614" i="92"/>
  <c r="L622" i="92"/>
  <c r="L628" i="92"/>
  <c r="L635" i="92"/>
  <c r="N641" i="92"/>
  <c r="L647" i="92"/>
  <c r="N652" i="92"/>
  <c r="L659" i="92"/>
  <c r="N664" i="92"/>
  <c r="L670" i="92"/>
  <c r="N676" i="92"/>
  <c r="L682" i="92"/>
  <c r="M687" i="92"/>
  <c r="L694" i="92"/>
  <c r="M699" i="92"/>
  <c r="L705" i="92"/>
  <c r="M711" i="92"/>
  <c r="L717" i="92"/>
  <c r="L722" i="92"/>
  <c r="L728" i="92"/>
  <c r="L733" i="92"/>
  <c r="L738" i="92"/>
  <c r="L744" i="92"/>
  <c r="N748" i="92"/>
  <c r="M753" i="92"/>
  <c r="L758" i="92"/>
  <c r="M763" i="92"/>
  <c r="L768" i="92"/>
  <c r="N772" i="92"/>
  <c r="M777" i="92"/>
  <c r="L782" i="92"/>
  <c r="M787" i="92"/>
  <c r="L792" i="92"/>
  <c r="N796" i="92"/>
  <c r="M801" i="92"/>
  <c r="L806" i="92"/>
  <c r="M811" i="92"/>
  <c r="L816" i="92"/>
  <c r="N820" i="92"/>
  <c r="M825" i="92"/>
  <c r="L830" i="92"/>
  <c r="M835" i="92"/>
  <c r="L840" i="92"/>
  <c r="L45" i="92"/>
  <c r="M86" i="92"/>
  <c r="L116" i="92"/>
  <c r="M145" i="92"/>
  <c r="M166" i="92"/>
  <c r="M189" i="92"/>
  <c r="M215" i="92"/>
  <c r="L233" i="92"/>
  <c r="N254" i="92"/>
  <c r="L274" i="92"/>
  <c r="M294" i="92"/>
  <c r="M317" i="92"/>
  <c r="N334" i="92"/>
  <c r="L352" i="92"/>
  <c r="L368" i="92"/>
  <c r="L384" i="92"/>
  <c r="M398" i="92"/>
  <c r="N410" i="92"/>
  <c r="M422" i="92"/>
  <c r="N431" i="92"/>
  <c r="L441" i="92"/>
  <c r="L452" i="92"/>
  <c r="M462" i="92"/>
  <c r="N470" i="92"/>
  <c r="L481" i="92"/>
  <c r="N491" i="92"/>
  <c r="M498" i="92"/>
  <c r="M514" i="92"/>
  <c r="L523" i="92"/>
  <c r="M530" i="92"/>
  <c r="N538" i="92"/>
  <c r="L545" i="92"/>
  <c r="L553" i="92"/>
  <c r="L559" i="92"/>
  <c r="L566" i="92"/>
  <c r="L574" i="92"/>
  <c r="L580" i="92"/>
  <c r="L587" i="92"/>
  <c r="M594" i="92"/>
  <c r="M601" i="92"/>
  <c r="M607" i="92"/>
  <c r="M615" i="92"/>
  <c r="M622" i="92"/>
  <c r="N628" i="92"/>
  <c r="N636" i="92"/>
  <c r="N24" i="92"/>
  <c r="M116" i="92"/>
  <c r="L173" i="92"/>
  <c r="L226" i="92"/>
  <c r="N277" i="92"/>
  <c r="N327" i="92"/>
  <c r="N370" i="92"/>
  <c r="L403" i="92"/>
  <c r="L428" i="92"/>
  <c r="L453" i="92"/>
  <c r="L476" i="92"/>
  <c r="N500" i="92"/>
  <c r="N517" i="92"/>
  <c r="M535" i="92"/>
  <c r="N553" i="92"/>
  <c r="M570" i="92"/>
  <c r="M587" i="92"/>
  <c r="M602" i="92"/>
  <c r="L619" i="92"/>
  <c r="M637" i="92"/>
  <c r="L648" i="92"/>
  <c r="L660" i="92"/>
  <c r="L672" i="92"/>
  <c r="L683" i="92"/>
  <c r="L695" i="92"/>
  <c r="L707" i="92"/>
  <c r="L718" i="92"/>
  <c r="L729" i="92"/>
  <c r="L740" i="92"/>
  <c r="N749" i="92"/>
  <c r="M759" i="92"/>
  <c r="N767" i="92"/>
  <c r="L776" i="92"/>
  <c r="N783" i="92"/>
  <c r="M792" i="92"/>
  <c r="M800" i="92"/>
  <c r="L808" i="92"/>
  <c r="N815" i="92"/>
  <c r="L822" i="92"/>
  <c r="N829" i="92"/>
  <c r="N836" i="92"/>
  <c r="M844" i="92"/>
  <c r="L850" i="92"/>
  <c r="M857" i="92"/>
  <c r="N863" i="92"/>
  <c r="M869" i="92"/>
  <c r="N876" i="92"/>
  <c r="L883" i="92"/>
  <c r="N888" i="92"/>
  <c r="N901" i="92"/>
  <c r="L908" i="92"/>
  <c r="M915" i="92"/>
  <c r="L921" i="92"/>
  <c r="M927" i="92"/>
  <c r="M940" i="92"/>
  <c r="L946" i="92"/>
  <c r="M953" i="92"/>
  <c r="N959" i="92"/>
  <c r="M965" i="92"/>
  <c r="N972" i="92"/>
  <c r="L979" i="92"/>
  <c r="N984" i="92"/>
  <c r="L991" i="92"/>
  <c r="L996" i="92"/>
  <c r="L1001" i="92"/>
  <c r="L1007" i="92"/>
  <c r="L1012" i="92"/>
  <c r="L1017" i="92"/>
  <c r="L1023" i="92"/>
  <c r="L1028" i="92"/>
  <c r="L1033" i="92"/>
  <c r="L1039" i="92"/>
  <c r="L1044" i="92"/>
  <c r="L1049" i="92"/>
  <c r="L1055" i="92"/>
  <c r="L1060" i="92"/>
  <c r="L1065" i="92"/>
  <c r="L1071" i="92"/>
  <c r="L1076" i="92"/>
  <c r="L1081" i="92"/>
  <c r="L1087" i="92"/>
  <c r="L1092" i="92"/>
  <c r="L1097" i="92"/>
  <c r="L1103" i="92"/>
  <c r="L1108" i="92"/>
  <c r="L1113" i="92"/>
  <c r="L1119" i="92"/>
  <c r="L1124" i="92"/>
  <c r="N1128" i="92"/>
  <c r="M1133" i="92"/>
  <c r="N1138" i="92"/>
  <c r="M1143" i="92"/>
  <c r="L1148" i="92"/>
  <c r="N1152" i="92"/>
  <c r="M1157" i="92"/>
  <c r="N1162" i="92"/>
  <c r="M30" i="92"/>
  <c r="M121" i="92"/>
  <c r="M179" i="92"/>
  <c r="L234" i="92"/>
  <c r="N279" i="92"/>
  <c r="L328" i="92"/>
  <c r="L371" i="92"/>
  <c r="M405" i="92"/>
  <c r="L433" i="92"/>
  <c r="M453" i="92"/>
  <c r="N478" i="92"/>
  <c r="M501" i="92"/>
  <c r="L519" i="92"/>
  <c r="L539" i="92"/>
  <c r="L554" i="92"/>
  <c r="N570" i="92"/>
  <c r="N587" i="92"/>
  <c r="N605" i="92"/>
  <c r="N622" i="92"/>
  <c r="N637" i="92"/>
  <c r="N649" i="92"/>
  <c r="N660" i="92"/>
  <c r="N672" i="92"/>
  <c r="N684" i="92"/>
  <c r="M695" i="92"/>
  <c r="M707" i="92"/>
  <c r="M719" i="92"/>
  <c r="M729" i="92"/>
  <c r="M740" i="92"/>
  <c r="L750" i="92"/>
  <c r="N759" i="92"/>
  <c r="M768" i="92"/>
  <c r="M776" i="92"/>
  <c r="L784" i="92"/>
  <c r="N792" i="92"/>
  <c r="L801" i="92"/>
  <c r="M809" i="92"/>
  <c r="M816" i="92"/>
  <c r="L824" i="92"/>
  <c r="L831" i="92"/>
  <c r="L838" i="92"/>
  <c r="N844" i="92"/>
  <c r="L851" i="92"/>
  <c r="N857" i="92"/>
  <c r="L864" i="92"/>
  <c r="N869" i="92"/>
  <c r="L877" i="92"/>
  <c r="M883" i="92"/>
  <c r="L889" i="92"/>
  <c r="M896" i="92"/>
  <c r="M908" i="92"/>
  <c r="N915" i="92"/>
  <c r="M921" i="92"/>
  <c r="N927" i="92"/>
  <c r="L935" i="92"/>
  <c r="N940" i="92"/>
  <c r="L947" i="92"/>
  <c r="N953" i="92"/>
  <c r="L960" i="92"/>
  <c r="N965" i="92"/>
  <c r="L973" i="92"/>
  <c r="M979" i="92"/>
  <c r="L985" i="92"/>
  <c r="M991" i="92"/>
  <c r="M996" i="92"/>
  <c r="M1001" i="92"/>
  <c r="M1007" i="92"/>
  <c r="M1012" i="92"/>
  <c r="M1017" i="92"/>
  <c r="M1023" i="92"/>
  <c r="M1028" i="92"/>
  <c r="M1033" i="92"/>
  <c r="M1039" i="92"/>
  <c r="M1044" i="92"/>
  <c r="M1049" i="92"/>
  <c r="M1055" i="92"/>
  <c r="M1060" i="92"/>
  <c r="M1065" i="92"/>
  <c r="M1071" i="92"/>
  <c r="M1076" i="92"/>
  <c r="M1081" i="92"/>
  <c r="M1087" i="92"/>
  <c r="M1092" i="92"/>
  <c r="M1097" i="92"/>
  <c r="M1103" i="92"/>
  <c r="M1108" i="92"/>
  <c r="M1113" i="92"/>
  <c r="M1119" i="92"/>
  <c r="M1124" i="92"/>
  <c r="L1129" i="92"/>
  <c r="N1133" i="92"/>
  <c r="L1139" i="92"/>
  <c r="N1143" i="92"/>
  <c r="M1148" i="92"/>
  <c r="L1153" i="92"/>
  <c r="N1157" i="92"/>
  <c r="L1163" i="92"/>
  <c r="N45" i="92"/>
  <c r="N126" i="92"/>
  <c r="N183" i="92"/>
  <c r="M237" i="92"/>
  <c r="L285" i="92"/>
  <c r="M335" i="92"/>
  <c r="N372" i="92"/>
  <c r="N407" i="92"/>
  <c r="M434" i="92"/>
  <c r="N457" i="92"/>
  <c r="M482" i="92"/>
  <c r="N501" i="92"/>
  <c r="M519" i="92"/>
  <c r="M539" i="92"/>
  <c r="L556" i="92"/>
  <c r="M574" i="92"/>
  <c r="M589" i="92"/>
  <c r="L606" i="92"/>
  <c r="L623" i="92"/>
  <c r="L639" i="92"/>
  <c r="L651" i="92"/>
  <c r="L663" i="92"/>
  <c r="L674" i="92"/>
  <c r="L686" i="92"/>
  <c r="L698" i="92"/>
  <c r="L709" i="92"/>
  <c r="N720" i="92"/>
  <c r="N731" i="92"/>
  <c r="N741" i="92"/>
  <c r="L752" i="92"/>
  <c r="L760" i="92"/>
  <c r="N768" i="92"/>
  <c r="L777" i="92"/>
  <c r="M785" i="92"/>
  <c r="L793" i="92"/>
  <c r="N801" i="92"/>
  <c r="N809" i="92"/>
  <c r="N816" i="92"/>
  <c r="M824" i="92"/>
  <c r="M831" i="92"/>
  <c r="L839" i="92"/>
  <c r="L845" i="92"/>
  <c r="M851" i="92"/>
  <c r="L858" i="92"/>
  <c r="M864" i="92"/>
  <c r="L870" i="92"/>
  <c r="M877" i="92"/>
  <c r="N883" i="92"/>
  <c r="M889" i="92"/>
  <c r="N896" i="92"/>
  <c r="N908" i="92"/>
  <c r="L916" i="92"/>
  <c r="N921" i="92"/>
  <c r="L928" i="92"/>
  <c r="M935" i="92"/>
  <c r="L941" i="92"/>
  <c r="M947" i="92"/>
  <c r="L954" i="92"/>
  <c r="M960" i="92"/>
  <c r="L966" i="92"/>
  <c r="M973" i="92"/>
  <c r="N979" i="92"/>
  <c r="M985" i="92"/>
  <c r="N991" i="92"/>
  <c r="N996" i="92"/>
  <c r="N1001" i="92"/>
  <c r="N1007" i="92"/>
  <c r="N1012" i="92"/>
  <c r="N1017" i="92"/>
  <c r="N1023" i="92"/>
  <c r="N1028" i="92"/>
  <c r="N1033" i="92"/>
  <c r="N1039" i="92"/>
  <c r="N1044" i="92"/>
  <c r="N1049" i="92"/>
  <c r="N1055" i="92"/>
  <c r="N1060" i="92"/>
  <c r="N1065" i="92"/>
  <c r="N1071" i="92"/>
  <c r="N1076" i="92"/>
  <c r="N1081" i="92"/>
  <c r="N1087" i="92"/>
  <c r="N1092" i="92"/>
  <c r="N1097" i="92"/>
  <c r="N1103" i="92"/>
  <c r="N1108" i="92"/>
  <c r="N1113" i="92"/>
  <c r="N1119" i="92"/>
  <c r="N1124" i="92"/>
  <c r="M1129" i="92"/>
  <c r="N1134" i="92"/>
  <c r="M1139" i="92"/>
  <c r="L1144" i="92"/>
  <c r="N1148" i="92"/>
  <c r="M1153" i="92"/>
  <c r="N1158" i="92"/>
  <c r="M1163" i="92"/>
  <c r="M66" i="92"/>
  <c r="N146" i="92"/>
  <c r="L197" i="92"/>
  <c r="M249" i="92"/>
  <c r="N300" i="92"/>
  <c r="M345" i="92"/>
  <c r="M387" i="92"/>
  <c r="M414" i="92"/>
  <c r="M439" i="92"/>
  <c r="L463" i="92"/>
  <c r="M487" i="92"/>
  <c r="L524" i="92"/>
  <c r="M543" i="92"/>
  <c r="N560" i="92"/>
  <c r="N576" i="92"/>
  <c r="M595" i="92"/>
  <c r="M610" i="92"/>
  <c r="L627" i="92"/>
  <c r="M642" i="92"/>
  <c r="M654" i="92"/>
  <c r="M665" i="92"/>
  <c r="M677" i="92"/>
  <c r="M689" i="92"/>
  <c r="L700" i="92"/>
  <c r="L712" i="92"/>
  <c r="N723" i="92"/>
  <c r="N733" i="92"/>
  <c r="N744" i="92"/>
  <c r="L754" i="92"/>
  <c r="L763" i="92"/>
  <c r="M771" i="92"/>
  <c r="L779" i="92"/>
  <c r="N787" i="92"/>
  <c r="N795" i="92"/>
  <c r="M803" i="92"/>
  <c r="N811" i="92"/>
  <c r="M819" i="92"/>
  <c r="N825" i="92"/>
  <c r="M833" i="92"/>
  <c r="M840" i="92"/>
  <c r="L846" i="92"/>
  <c r="M853" i="92"/>
  <c r="N859" i="92"/>
  <c r="M865" i="92"/>
  <c r="N872" i="92"/>
  <c r="N884" i="92"/>
  <c r="N897" i="92"/>
  <c r="M911" i="92"/>
  <c r="L917" i="92"/>
  <c r="M923" i="92"/>
  <c r="L930" i="92"/>
  <c r="M936" i="92"/>
  <c r="L942" i="92"/>
  <c r="M949" i="92"/>
  <c r="N955" i="92"/>
  <c r="M961" i="92"/>
  <c r="N968" i="92"/>
  <c r="L975" i="92"/>
  <c r="N980" i="92"/>
  <c r="N987" i="92"/>
  <c r="N992" i="92"/>
  <c r="N997" i="92"/>
  <c r="N1003" i="92"/>
  <c r="N1008" i="92"/>
  <c r="N1013" i="92"/>
  <c r="N1019" i="92"/>
  <c r="N1024" i="92"/>
  <c r="N1029" i="92"/>
  <c r="N1035" i="92"/>
  <c r="N1040" i="92"/>
  <c r="N1045" i="92"/>
  <c r="N1051" i="92"/>
  <c r="N1056" i="92"/>
  <c r="N1061" i="92"/>
  <c r="N1067" i="92"/>
  <c r="N1072" i="92"/>
  <c r="N1077" i="92"/>
  <c r="N1083" i="92"/>
  <c r="N1088" i="92"/>
  <c r="N1093" i="92"/>
  <c r="N1099" i="92"/>
  <c r="L46" i="92"/>
  <c r="N158" i="92"/>
  <c r="N239" i="92"/>
  <c r="M308" i="92"/>
  <c r="M377" i="92"/>
  <c r="N422" i="92"/>
  <c r="L458" i="92"/>
  <c r="N492" i="92"/>
  <c r="M523" i="92"/>
  <c r="N547" i="92"/>
  <c r="N574" i="92"/>
  <c r="N597" i="92"/>
  <c r="M623" i="92"/>
  <c r="N645" i="92"/>
  <c r="M663" i="92"/>
  <c r="N680" i="92"/>
  <c r="M698" i="92"/>
  <c r="M715" i="92"/>
  <c r="L732" i="92"/>
  <c r="M747" i="92"/>
  <c r="M761" i="92"/>
  <c r="L773" i="92"/>
  <c r="N785" i="92"/>
  <c r="M797" i="92"/>
  <c r="L810" i="92"/>
  <c r="M820" i="92"/>
  <c r="N831" i="92"/>
  <c r="M841" i="92"/>
  <c r="N852" i="92"/>
  <c r="N860" i="92"/>
  <c r="L872" i="92"/>
  <c r="L880" i="92"/>
  <c r="M891" i="92"/>
  <c r="M899" i="92"/>
  <c r="L910" i="92"/>
  <c r="L918" i="92"/>
  <c r="M929" i="92"/>
  <c r="M937" i="92"/>
  <c r="N948" i="92"/>
  <c r="N956" i="92"/>
  <c r="L968" i="92"/>
  <c r="L976" i="92"/>
  <c r="L987" i="92"/>
  <c r="N993" i="92"/>
  <c r="L1003" i="92"/>
  <c r="N1009" i="92"/>
  <c r="L1019" i="92"/>
  <c r="N1025" i="92"/>
  <c r="L1035" i="92"/>
  <c r="N1041" i="92"/>
  <c r="L1051" i="92"/>
  <c r="N1057" i="92"/>
  <c r="L1067" i="92"/>
  <c r="N1073" i="92"/>
  <c r="L1083" i="92"/>
  <c r="N1089" i="92"/>
  <c r="L1099" i="92"/>
  <c r="M1105" i="92"/>
  <c r="M1112" i="92"/>
  <c r="M1120" i="92"/>
  <c r="L1127" i="92"/>
  <c r="N1132" i="92"/>
  <c r="L1140" i="92"/>
  <c r="N1145" i="92"/>
  <c r="L1152" i="92"/>
  <c r="M1159" i="92"/>
  <c r="N256" i="92"/>
  <c r="N467" i="92"/>
  <c r="M553" i="92"/>
  <c r="M629" i="92"/>
  <c r="N647" i="92"/>
  <c r="L667" i="92"/>
  <c r="M735" i="92"/>
  <c r="L764" i="92"/>
  <c r="L800" i="92"/>
  <c r="L844" i="92"/>
  <c r="M873" i="92"/>
  <c r="L882" i="92"/>
  <c r="N920" i="92"/>
  <c r="L940" i="92"/>
  <c r="M969" i="92"/>
  <c r="M988" i="92"/>
  <c r="M1004" i="92"/>
  <c r="M1020" i="92"/>
  <c r="N1043" i="92"/>
  <c r="M1068" i="92"/>
  <c r="N1091" i="92"/>
  <c r="M1115" i="92"/>
  <c r="M1135" i="92"/>
  <c r="N1154" i="92"/>
  <c r="L88" i="92"/>
  <c r="N394" i="92"/>
  <c r="M469" i="92"/>
  <c r="N556" i="92"/>
  <c r="N608" i="92"/>
  <c r="N668" i="92"/>
  <c r="N736" i="92"/>
  <c r="M752" i="92"/>
  <c r="N788" i="92"/>
  <c r="L802" i="92"/>
  <c r="L835" i="92"/>
  <c r="N864" i="92"/>
  <c r="L893" i="92"/>
  <c r="M912" i="92"/>
  <c r="M941" i="92"/>
  <c r="L951" i="92"/>
  <c r="L980" i="92"/>
  <c r="L1013" i="92"/>
  <c r="L1045" i="92"/>
  <c r="N1068" i="92"/>
  <c r="L1093" i="92"/>
  <c r="N1115" i="92"/>
  <c r="N1135" i="92"/>
  <c r="L1155" i="92"/>
  <c r="N354" i="92"/>
  <c r="N671" i="92"/>
  <c r="N791" i="92"/>
  <c r="L887" i="92"/>
  <c r="N932" i="92"/>
  <c r="N989" i="92"/>
  <c r="M1031" i="92"/>
  <c r="N1053" i="92"/>
  <c r="N1069" i="92"/>
  <c r="N1101" i="92"/>
  <c r="L1131" i="92"/>
  <c r="L1156" i="92"/>
  <c r="M53" i="92"/>
  <c r="N159" i="92"/>
  <c r="M245" i="92"/>
  <c r="N317" i="92"/>
  <c r="M379" i="92"/>
  <c r="L423" i="92"/>
  <c r="N462" i="92"/>
  <c r="L493" i="92"/>
  <c r="N523" i="92"/>
  <c r="M549" i="92"/>
  <c r="L575" i="92"/>
  <c r="L598" i="92"/>
  <c r="N626" i="92"/>
  <c r="L646" i="92"/>
  <c r="L665" i="92"/>
  <c r="L681" i="92"/>
  <c r="N699" i="92"/>
  <c r="N715" i="92"/>
  <c r="M733" i="92"/>
  <c r="N747" i="92"/>
  <c r="N761" i="92"/>
  <c r="M773" i="92"/>
  <c r="L787" i="92"/>
  <c r="N797" i="92"/>
  <c r="L811" i="92"/>
  <c r="L821" i="92"/>
  <c r="L832" i="92"/>
  <c r="M843" i="92"/>
  <c r="L853" i="92"/>
  <c r="L862" i="92"/>
  <c r="M872" i="92"/>
  <c r="M881" i="92"/>
  <c r="N891" i="92"/>
  <c r="N900" i="92"/>
  <c r="L911" i="92"/>
  <c r="L920" i="92"/>
  <c r="N929" i="92"/>
  <c r="M939" i="92"/>
  <c r="L949" i="92"/>
  <c r="L958" i="92"/>
  <c r="M968" i="92"/>
  <c r="M977" i="92"/>
  <c r="M987" i="92"/>
  <c r="L995" i="92"/>
  <c r="M1003" i="92"/>
  <c r="L1011" i="92"/>
  <c r="M1019" i="92"/>
  <c r="L1027" i="92"/>
  <c r="M1035" i="92"/>
  <c r="L1043" i="92"/>
  <c r="M1051" i="92"/>
  <c r="L1059" i="92"/>
  <c r="M1067" i="92"/>
  <c r="L1075" i="92"/>
  <c r="M1083" i="92"/>
  <c r="L1091" i="92"/>
  <c r="M1099" i="92"/>
  <c r="N1105" i="92"/>
  <c r="N1112" i="92"/>
  <c r="N1120" i="92"/>
  <c r="M1127" i="92"/>
  <c r="L1133" i="92"/>
  <c r="M1140" i="92"/>
  <c r="N1146" i="92"/>
  <c r="M1152" i="92"/>
  <c r="N1159" i="92"/>
  <c r="N86" i="92"/>
  <c r="L320" i="92"/>
  <c r="N427" i="92"/>
  <c r="L528" i="92"/>
  <c r="L602" i="92"/>
  <c r="L702" i="92"/>
  <c r="L774" i="92"/>
  <c r="M812" i="92"/>
  <c r="L834" i="92"/>
  <c r="M863" i="92"/>
  <c r="M901" i="92"/>
  <c r="M931" i="92"/>
  <c r="L950" i="92"/>
  <c r="L978" i="92"/>
  <c r="N1011" i="92"/>
  <c r="M1036" i="92"/>
  <c r="N1075" i="92"/>
  <c r="M1100" i="92"/>
  <c r="M1121" i="92"/>
  <c r="L1141" i="92"/>
  <c r="M1160" i="92"/>
  <c r="M192" i="92"/>
  <c r="L337" i="92"/>
  <c r="N434" i="92"/>
  <c r="N531" i="92"/>
  <c r="L581" i="92"/>
  <c r="M651" i="92"/>
  <c r="M686" i="92"/>
  <c r="L721" i="92"/>
  <c r="N777" i="92"/>
  <c r="N824" i="92"/>
  <c r="L855" i="92"/>
  <c r="L884" i="92"/>
  <c r="M903" i="92"/>
  <c r="N931" i="92"/>
  <c r="N969" i="92"/>
  <c r="L997" i="92"/>
  <c r="N1004" i="92"/>
  <c r="L1029" i="92"/>
  <c r="N1052" i="92"/>
  <c r="L1077" i="92"/>
  <c r="N1100" i="92"/>
  <c r="N1121" i="92"/>
  <c r="M1141" i="92"/>
  <c r="N1160" i="92"/>
  <c r="L277" i="92"/>
  <c r="L690" i="92"/>
  <c r="L805" i="92"/>
  <c r="M875" i="92"/>
  <c r="M944" i="92"/>
  <c r="M999" i="92"/>
  <c r="N1021" i="92"/>
  <c r="M1063" i="92"/>
  <c r="M1095" i="92"/>
  <c r="N1123" i="92"/>
  <c r="N1149" i="92"/>
  <c r="N72" i="92"/>
  <c r="M169" i="92"/>
  <c r="M256" i="92"/>
  <c r="N318" i="92"/>
  <c r="L389" i="92"/>
  <c r="M423" i="92"/>
  <c r="M463" i="92"/>
  <c r="N496" i="92"/>
  <c r="N527" i="92"/>
  <c r="N549" i="92"/>
  <c r="L577" i="92"/>
  <c r="N601" i="92"/>
  <c r="L629" i="92"/>
  <c r="M647" i="92"/>
  <c r="N665" i="92"/>
  <c r="M682" i="92"/>
  <c r="N700" i="92"/>
  <c r="M717" i="92"/>
  <c r="L734" i="92"/>
  <c r="L749" i="92"/>
  <c r="N763" i="92"/>
  <c r="N773" i="92"/>
  <c r="L788" i="92"/>
  <c r="L798" i="92"/>
  <c r="L812" i="92"/>
  <c r="M821" i="92"/>
  <c r="N833" i="92"/>
  <c r="N843" i="92"/>
  <c r="N853" i="92"/>
  <c r="L863" i="92"/>
  <c r="L873" i="92"/>
  <c r="N881" i="92"/>
  <c r="M892" i="92"/>
  <c r="N911" i="92"/>
  <c r="M920" i="92"/>
  <c r="L931" i="92"/>
  <c r="N939" i="92"/>
  <c r="N949" i="92"/>
  <c r="L959" i="92"/>
  <c r="L969" i="92"/>
  <c r="N977" i="92"/>
  <c r="L988" i="92"/>
  <c r="M995" i="92"/>
  <c r="L1004" i="92"/>
  <c r="M1011" i="92"/>
  <c r="L1020" i="92"/>
  <c r="M1027" i="92"/>
  <c r="L1036" i="92"/>
  <c r="M1043" i="92"/>
  <c r="L1052" i="92"/>
  <c r="M1059" i="92"/>
  <c r="L1068" i="92"/>
  <c r="M1075" i="92"/>
  <c r="L1084" i="92"/>
  <c r="M1091" i="92"/>
  <c r="L1100" i="92"/>
  <c r="L1107" i="92"/>
  <c r="L1115" i="92"/>
  <c r="L1121" i="92"/>
  <c r="N1127" i="92"/>
  <c r="L1135" i="92"/>
  <c r="N1140" i="92"/>
  <c r="L1147" i="92"/>
  <c r="N1153" i="92"/>
  <c r="L1160" i="92"/>
  <c r="M170" i="92"/>
  <c r="M389" i="92"/>
  <c r="L497" i="92"/>
  <c r="N580" i="92"/>
  <c r="N682" i="92"/>
  <c r="N717" i="92"/>
  <c r="M749" i="92"/>
  <c r="M788" i="92"/>
  <c r="N821" i="92"/>
  <c r="L854" i="92"/>
  <c r="N892" i="92"/>
  <c r="L912" i="92"/>
  <c r="M959" i="92"/>
  <c r="N995" i="92"/>
  <c r="N1027" i="92"/>
  <c r="M1052" i="92"/>
  <c r="N1059" i="92"/>
  <c r="M1084" i="92"/>
  <c r="M1107" i="92"/>
  <c r="L1128" i="92"/>
  <c r="M1147" i="92"/>
  <c r="N259" i="92"/>
  <c r="N503" i="92"/>
  <c r="M631" i="92"/>
  <c r="M703" i="92"/>
  <c r="M764" i="92"/>
  <c r="N812" i="92"/>
  <c r="M845" i="92"/>
  <c r="N873" i="92"/>
  <c r="L922" i="92"/>
  <c r="N960" i="92"/>
  <c r="N988" i="92"/>
  <c r="N1020" i="92"/>
  <c r="N1036" i="92"/>
  <c r="L1061" i="92"/>
  <c r="N1084" i="92"/>
  <c r="N1107" i="92"/>
  <c r="M1128" i="92"/>
  <c r="N1147" i="92"/>
  <c r="M204" i="92"/>
  <c r="N443" i="92"/>
  <c r="M563" i="92"/>
  <c r="L613" i="92"/>
  <c r="L655" i="92"/>
  <c r="M724" i="92"/>
  <c r="N739" i="92"/>
  <c r="L767" i="92"/>
  <c r="M815" i="92"/>
  <c r="M836" i="92"/>
  <c r="L856" i="92"/>
  <c r="L894" i="92"/>
  <c r="M913" i="92"/>
  <c r="N963" i="92"/>
  <c r="L983" i="92"/>
  <c r="M1015" i="92"/>
  <c r="M1047" i="92"/>
  <c r="N1085" i="92"/>
  <c r="N1116" i="92"/>
  <c r="L1143" i="92"/>
  <c r="N1161" i="92"/>
  <c r="M88" i="92"/>
  <c r="N196" i="92"/>
  <c r="M266" i="92"/>
  <c r="N340" i="92"/>
  <c r="L397" i="92"/>
  <c r="M437" i="92"/>
  <c r="L472" i="92"/>
  <c r="N532" i="92"/>
  <c r="M559" i="92"/>
  <c r="M581" i="92"/>
  <c r="L609" i="92"/>
  <c r="L633" i="92"/>
  <c r="L654" i="92"/>
  <c r="L669" i="92"/>
  <c r="L689" i="92"/>
  <c r="N703" i="92"/>
  <c r="M723" i="92"/>
  <c r="L737" i="92"/>
  <c r="N753" i="92"/>
  <c r="N764" i="92"/>
  <c r="L778" i="92"/>
  <c r="L790" i="92"/>
  <c r="L803" i="92"/>
  <c r="L814" i="92"/>
  <c r="L825" i="92"/>
  <c r="N835" i="92"/>
  <c r="N845" i="92"/>
  <c r="M855" i="92"/>
  <c r="L865" i="92"/>
  <c r="L874" i="92"/>
  <c r="M884" i="92"/>
  <c r="M893" i="92"/>
  <c r="N903" i="92"/>
  <c r="N912" i="92"/>
  <c r="L923" i="92"/>
  <c r="L932" i="92"/>
  <c r="N941" i="92"/>
  <c r="M951" i="92"/>
  <c r="L961" i="92"/>
  <c r="L970" i="92"/>
  <c r="M980" i="92"/>
  <c r="L989" i="92"/>
  <c r="M997" i="92"/>
  <c r="L1005" i="92"/>
  <c r="M1013" i="92"/>
  <c r="L1021" i="92"/>
  <c r="M1029" i="92"/>
  <c r="L1037" i="92"/>
  <c r="M1045" i="92"/>
  <c r="L1053" i="92"/>
  <c r="M1061" i="92"/>
  <c r="L1069" i="92"/>
  <c r="M1077" i="92"/>
  <c r="L1085" i="92"/>
  <c r="M1093" i="92"/>
  <c r="L1101" i="92"/>
  <c r="L1109" i="92"/>
  <c r="L1116" i="92"/>
  <c r="L1123" i="92"/>
  <c r="N1129" i="92"/>
  <c r="L1136" i="92"/>
  <c r="N1141" i="92"/>
  <c r="L1149" i="92"/>
  <c r="M1155" i="92"/>
  <c r="L1161" i="92"/>
  <c r="L102" i="92"/>
  <c r="L204" i="92"/>
  <c r="L268" i="92"/>
  <c r="N346" i="92"/>
  <c r="N400" i="92"/>
  <c r="M441" i="92"/>
  <c r="M474" i="92"/>
  <c r="N508" i="92"/>
  <c r="L533" i="92"/>
  <c r="L561" i="92"/>
  <c r="N584" i="92"/>
  <c r="N611" i="92"/>
  <c r="M633" i="92"/>
  <c r="N654" i="92"/>
  <c r="M671" i="92"/>
  <c r="N689" i="92"/>
  <c r="M706" i="92"/>
  <c r="L724" i="92"/>
  <c r="M739" i="92"/>
  <c r="L755" i="92"/>
  <c r="L766" i="92"/>
  <c r="M779" i="92"/>
  <c r="L791" i="92"/>
  <c r="N804" i="92"/>
  <c r="L815" i="92"/>
  <c r="L826" i="92"/>
  <c r="L836" i="92"/>
  <c r="L848" i="92"/>
  <c r="N855" i="92"/>
  <c r="M867" i="92"/>
  <c r="L875" i="92"/>
  <c r="N893" i="92"/>
  <c r="M905" i="92"/>
  <c r="L913" i="92"/>
  <c r="N924" i="92"/>
  <c r="M932" i="92"/>
  <c r="L944" i="92"/>
  <c r="N951" i="92"/>
  <c r="M963" i="92"/>
  <c r="L971" i="92"/>
  <c r="L982" i="92"/>
  <c r="M989" i="92"/>
  <c r="L999" i="92"/>
  <c r="M1005" i="92"/>
  <c r="L1015" i="92"/>
  <c r="M1021" i="92"/>
  <c r="L1031" i="92"/>
  <c r="M1037" i="92"/>
  <c r="L1047" i="92"/>
  <c r="M1053" i="92"/>
  <c r="L1063" i="92"/>
  <c r="M1069" i="92"/>
  <c r="L1079" i="92"/>
  <c r="M1085" i="92"/>
  <c r="L1095" i="92"/>
  <c r="M1101" i="92"/>
  <c r="M1109" i="92"/>
  <c r="M1116" i="92"/>
  <c r="M1123" i="92"/>
  <c r="N1130" i="92"/>
  <c r="M1136" i="92"/>
  <c r="N1142" i="92"/>
  <c r="M1149" i="92"/>
  <c r="N1155" i="92"/>
  <c r="M1161" i="92"/>
  <c r="M134" i="92"/>
  <c r="N215" i="92"/>
  <c r="L289" i="92"/>
  <c r="L355" i="92"/>
  <c r="L412" i="92"/>
  <c r="L445" i="92"/>
  <c r="N482" i="92"/>
  <c r="N512" i="92"/>
  <c r="N539" i="92"/>
  <c r="N563" i="92"/>
  <c r="M591" i="92"/>
  <c r="N615" i="92"/>
  <c r="M639" i="92"/>
  <c r="N656" i="92"/>
  <c r="M674" i="92"/>
  <c r="M691" i="92"/>
  <c r="M709" i="92"/>
  <c r="N725" i="92"/>
  <c r="L742" i="92"/>
  <c r="N756" i="92"/>
  <c r="L769" i="92"/>
  <c r="L781" i="92"/>
  <c r="M793" i="92"/>
  <c r="N805" i="92"/>
  <c r="L817" i="92"/>
  <c r="M827" i="92"/>
  <c r="M839" i="92"/>
  <c r="N848" i="92"/>
  <c r="L859" i="92"/>
  <c r="L868" i="92"/>
  <c r="N877" i="92"/>
  <c r="M887" i="92"/>
  <c r="L906" i="92"/>
  <c r="M916" i="92"/>
  <c r="M925" i="92"/>
  <c r="N935" i="92"/>
  <c r="N944" i="92"/>
  <c r="L955" i="92"/>
  <c r="L964" i="92"/>
  <c r="N973" i="92"/>
  <c r="M983" i="92"/>
  <c r="L992" i="92"/>
  <c r="N999" i="92"/>
  <c r="L1008" i="92"/>
  <c r="N1015" i="92"/>
  <c r="L1024" i="92"/>
  <c r="N1031" i="92"/>
  <c r="L1040" i="92"/>
  <c r="N1047" i="92"/>
  <c r="L1056" i="92"/>
  <c r="N1063" i="92"/>
  <c r="L1072" i="92"/>
  <c r="N1079" i="92"/>
  <c r="L1088" i="92"/>
  <c r="N1095" i="92"/>
  <c r="L1104" i="92"/>
  <c r="L1111" i="92"/>
  <c r="L1117" i="92"/>
  <c r="L1125" i="92"/>
  <c r="M1131" i="92"/>
  <c r="L1137" i="92"/>
  <c r="M1144" i="92"/>
  <c r="N1150" i="92"/>
  <c r="M1156" i="92"/>
  <c r="N1163" i="92"/>
  <c r="M139" i="92"/>
  <c r="M216" i="92"/>
  <c r="L297" i="92"/>
  <c r="N356" i="92"/>
  <c r="L413" i="92"/>
  <c r="M447" i="92"/>
  <c r="L484" i="92"/>
  <c r="L543" i="92"/>
  <c r="M566" i="92"/>
  <c r="N591" i="92"/>
  <c r="L616" i="92"/>
  <c r="L642" i="92"/>
  <c r="L657" i="92"/>
  <c r="L677" i="92"/>
  <c r="N691" i="92"/>
  <c r="N711" i="92"/>
  <c r="L726" i="92"/>
  <c r="M744" i="92"/>
  <c r="L757" i="92"/>
  <c r="M769" i="92"/>
  <c r="N781" i="92"/>
  <c r="M795" i="92"/>
  <c r="L807" i="92"/>
  <c r="M817" i="92"/>
  <c r="N828" i="92"/>
  <c r="N839" i="92"/>
  <c r="L849" i="92"/>
  <c r="M859" i="92"/>
  <c r="M868" i="92"/>
  <c r="N887" i="92"/>
  <c r="M897" i="92"/>
  <c r="L907" i="92"/>
  <c r="N916" i="92"/>
  <c r="N925" i="92"/>
  <c r="L936" i="92"/>
  <c r="L945" i="92"/>
  <c r="M955" i="92"/>
  <c r="M964" i="92"/>
  <c r="L974" i="92"/>
  <c r="N983" i="92"/>
  <c r="M992" i="92"/>
  <c r="L1000" i="92"/>
  <c r="M1008" i="92"/>
  <c r="L1016" i="92"/>
  <c r="M1024" i="92"/>
  <c r="L1032" i="92"/>
  <c r="M1040" i="92"/>
  <c r="L1048" i="92"/>
  <c r="M1056" i="92"/>
  <c r="L1064" i="92"/>
  <c r="M1072" i="92"/>
  <c r="L1080" i="92"/>
  <c r="M1088" i="92"/>
  <c r="L1096" i="92"/>
  <c r="M1104" i="92"/>
  <c r="M1111" i="92"/>
  <c r="M1117" i="92"/>
  <c r="M1125" i="92"/>
  <c r="N1131" i="92"/>
  <c r="M1137" i="92"/>
  <c r="N1144" i="92"/>
  <c r="L1151" i="92"/>
  <c r="N1156" i="92"/>
  <c r="M150" i="92"/>
  <c r="M225" i="92"/>
  <c r="L308" i="92"/>
  <c r="N362" i="92"/>
  <c r="L418" i="92"/>
  <c r="N452" i="92"/>
  <c r="L492" i="92"/>
  <c r="M517" i="92"/>
  <c r="N545" i="92"/>
  <c r="L568" i="92"/>
  <c r="L596" i="92"/>
  <c r="N618" i="92"/>
  <c r="L643" i="92"/>
  <c r="N659" i="92"/>
  <c r="L678" i="92"/>
  <c r="N694" i="92"/>
  <c r="L713" i="92"/>
  <c r="N728" i="92"/>
  <c r="M745" i="92"/>
  <c r="L759" i="92"/>
  <c r="M772" i="92"/>
  <c r="M783" i="92"/>
  <c r="L797" i="92"/>
  <c r="N807" i="92"/>
  <c r="L820" i="92"/>
  <c r="M829" i="92"/>
  <c r="L841" i="92"/>
  <c r="N849" i="92"/>
  <c r="M860" i="92"/>
  <c r="L869" i="92"/>
  <c r="N879" i="92"/>
  <c r="M888" i="92"/>
  <c r="N907" i="92"/>
  <c r="N917" i="92"/>
  <c r="L927" i="92"/>
  <c r="L937" i="92"/>
  <c r="N945" i="92"/>
  <c r="M956" i="92"/>
  <c r="L965" i="92"/>
  <c r="N975" i="92"/>
  <c r="M984" i="92"/>
  <c r="M993" i="92"/>
  <c r="N1000" i="92"/>
  <c r="M1009" i="92"/>
  <c r="N1016" i="92"/>
  <c r="M1025" i="92"/>
  <c r="N1032" i="92"/>
  <c r="M1041" i="92"/>
  <c r="N1048" i="92"/>
  <c r="M1057" i="92"/>
  <c r="N1064" i="92"/>
  <c r="M1073" i="92"/>
  <c r="N1080" i="92"/>
  <c r="M1089" i="92"/>
  <c r="N1096" i="92"/>
  <c r="L1105" i="92"/>
  <c r="L1112" i="92"/>
  <c r="L1120" i="92"/>
  <c r="N1126" i="92"/>
  <c r="M1132" i="92"/>
  <c r="N1139" i="92"/>
  <c r="M1145" i="92"/>
  <c r="N1151" i="92"/>
  <c r="L1159" i="92"/>
  <c r="M102" i="92"/>
  <c r="N474" i="92"/>
  <c r="L535" i="92"/>
  <c r="L585" i="92"/>
  <c r="L637" i="92"/>
  <c r="N706" i="92"/>
  <c r="M755" i="92"/>
  <c r="N780" i="92"/>
  <c r="L827" i="92"/>
  <c r="M848" i="92"/>
  <c r="N867" i="92"/>
  <c r="N905" i="92"/>
  <c r="L925" i="92"/>
  <c r="L952" i="92"/>
  <c r="M971" i="92"/>
  <c r="N1005" i="92"/>
  <c r="N1037" i="92"/>
  <c r="M1079" i="92"/>
  <c r="N1109" i="92"/>
  <c r="N1136" i="92"/>
  <c r="M147" i="92"/>
  <c r="M617" i="92"/>
  <c r="M807" i="92"/>
  <c r="L926" i="92"/>
  <c r="M1032" i="92"/>
  <c r="N1125" i="92"/>
  <c r="N216" i="92"/>
  <c r="N642" i="92"/>
  <c r="N819" i="92"/>
  <c r="N936" i="92"/>
  <c r="L1041" i="92"/>
  <c r="L1132" i="92"/>
  <c r="M849" i="92"/>
  <c r="M917" i="92"/>
  <c r="M301" i="92"/>
  <c r="M659" i="92"/>
  <c r="L829" i="92"/>
  <c r="M945" i="92"/>
  <c r="M1048" i="92"/>
  <c r="N1137" i="92"/>
  <c r="N402" i="92"/>
  <c r="M1064" i="92"/>
  <c r="M796" i="92"/>
  <c r="L362" i="92"/>
  <c r="N677" i="92"/>
  <c r="N840" i="92"/>
  <c r="L956" i="92"/>
  <c r="L1057" i="92"/>
  <c r="L1145" i="92"/>
  <c r="M694" i="92"/>
  <c r="N964" i="92"/>
  <c r="M1151" i="92"/>
  <c r="L1025" i="92"/>
  <c r="N417" i="92"/>
  <c r="N712" i="92"/>
  <c r="L860" i="92"/>
  <c r="M975" i="92"/>
  <c r="L1073" i="92"/>
  <c r="L1157" i="92"/>
  <c r="N447" i="92"/>
  <c r="M728" i="92"/>
  <c r="N868" i="92"/>
  <c r="L984" i="92"/>
  <c r="M1080" i="92"/>
  <c r="N1117" i="92"/>
  <c r="N487" i="92"/>
  <c r="L745" i="92"/>
  <c r="M879" i="92"/>
  <c r="L993" i="92"/>
  <c r="L1089" i="92"/>
  <c r="N515" i="92"/>
  <c r="N757" i="92"/>
  <c r="M1000" i="92"/>
  <c r="M1096" i="92"/>
  <c r="L783" i="92"/>
  <c r="M545" i="92"/>
  <c r="N771" i="92"/>
  <c r="L1009" i="92"/>
  <c r="N1104" i="92"/>
  <c r="N566" i="92"/>
  <c r="M1016" i="92"/>
  <c r="N1111" i="92"/>
  <c r="N595" i="92"/>
  <c r="M907" i="92"/>
  <c r="A2" i="92"/>
  <c r="N2" i="92"/>
  <c r="M2" i="92"/>
  <c r="L2" i="92"/>
  <c r="T728" i="1"/>
  <c r="T220" i="1"/>
  <c r="T224" i="1"/>
  <c r="T378" i="1"/>
  <c r="T854" i="1"/>
  <c r="T18" i="1"/>
  <c r="T169" i="1"/>
  <c r="T399" i="1"/>
  <c r="T648" i="1"/>
  <c r="T587" i="1"/>
  <c r="T861" i="1"/>
  <c r="T118" i="1"/>
  <c r="T332" i="1"/>
  <c r="T615" i="1"/>
  <c r="T460" i="1"/>
  <c r="T448" i="1"/>
  <c r="T840" i="1"/>
  <c r="T563" i="1"/>
  <c r="T410" i="1"/>
  <c r="T602" i="1"/>
  <c r="T222" i="1"/>
  <c r="T403" i="1"/>
  <c r="T149" i="1"/>
  <c r="T744" i="1"/>
  <c r="T517" i="1"/>
  <c r="T815" i="1"/>
  <c r="T409" i="1"/>
  <c r="T479" i="1"/>
  <c r="T446" i="1"/>
  <c r="T151" i="1"/>
  <c r="T197" i="1"/>
  <c r="T576" i="1"/>
  <c r="T539" i="1"/>
  <c r="T391" i="1"/>
  <c r="T305" i="1"/>
  <c r="T605" i="1"/>
  <c r="T364" i="1"/>
  <c r="T298" i="1"/>
  <c r="T773" i="1"/>
  <c r="T540" i="1"/>
  <c r="T371" i="1"/>
  <c r="T570" i="1"/>
  <c r="T233" i="1"/>
  <c r="T581" i="1"/>
  <c r="T788" i="1"/>
  <c r="T731" i="1"/>
  <c r="T659" i="1"/>
  <c r="T816" i="1"/>
  <c r="T588" i="1"/>
  <c r="T392" i="1"/>
  <c r="T33" i="1"/>
  <c r="T593" i="1"/>
  <c r="T321" i="1"/>
  <c r="T299" i="1"/>
  <c r="T368" i="1"/>
  <c r="T748" i="1"/>
  <c r="T860" i="1"/>
  <c r="T650" i="1"/>
  <c r="T457" i="1"/>
  <c r="T752" i="1"/>
  <c r="T134" i="1"/>
  <c r="T594" i="1"/>
  <c r="T275" i="1"/>
  <c r="T841" i="1"/>
  <c r="T128" i="1"/>
  <c r="T315" i="1"/>
  <c r="T279" i="1"/>
  <c r="T746" i="1"/>
  <c r="T791" i="1"/>
  <c r="T8" i="1"/>
  <c r="T195" i="1"/>
  <c r="T176" i="1"/>
  <c r="T379" i="1"/>
  <c r="T613" i="1"/>
  <c r="T551" i="1"/>
  <c r="T499" i="1"/>
  <c r="T316" i="1"/>
  <c r="T243" i="1"/>
  <c r="T578" i="1"/>
  <c r="T641" i="1"/>
  <c r="T359" i="1"/>
  <c r="T159" i="1"/>
  <c r="T194" i="1"/>
  <c r="T385" i="1"/>
  <c r="T535" i="1"/>
  <c r="T242" i="1"/>
  <c r="T580" i="1"/>
  <c r="T708" i="1"/>
  <c r="T405" i="1"/>
  <c r="T221" i="1"/>
  <c r="T386" i="1"/>
  <c r="T534" i="1"/>
  <c r="T669" i="1"/>
  <c r="T437" i="1"/>
  <c r="T146" i="1"/>
  <c r="T170" i="1"/>
  <c r="T435" i="1"/>
  <c r="T28" i="1"/>
  <c r="T544" i="1"/>
  <c r="T507" i="1"/>
  <c r="T122" i="1"/>
  <c r="T707" i="1"/>
  <c r="T283" i="1"/>
  <c r="T119" i="1"/>
  <c r="T346" i="1"/>
  <c r="T384" i="1"/>
  <c r="T822" i="1"/>
  <c r="T526" i="1"/>
  <c r="T248" i="1"/>
  <c r="T823" i="1"/>
  <c r="T294" i="1"/>
  <c r="T597" i="1"/>
  <c r="T451" i="1"/>
  <c r="T732" i="1"/>
  <c r="T374" i="1"/>
  <c r="T395" i="1"/>
  <c r="T562" i="1"/>
  <c r="T614" i="1"/>
  <c r="T808" i="1"/>
  <c r="T264" i="1"/>
  <c r="T402" i="1"/>
  <c r="T516" i="1"/>
  <c r="T598" i="1"/>
  <c r="T812" i="1"/>
  <c r="T492" i="1"/>
  <c r="T769" i="1"/>
  <c r="T212" i="1"/>
  <c r="T157" i="1"/>
  <c r="T376" i="1"/>
  <c r="T396" i="1"/>
  <c r="T862" i="1"/>
  <c r="T652" i="1"/>
  <c r="T560" i="1"/>
  <c r="T471" i="1"/>
  <c r="T282" i="1"/>
  <c r="T498" i="1"/>
  <c r="T252" i="1"/>
  <c r="T839" i="1"/>
  <c r="T407" i="1"/>
  <c r="T582" i="1"/>
  <c r="T599" i="1"/>
  <c r="T736" i="1"/>
  <c r="T303" i="1"/>
  <c r="T225" i="1"/>
  <c r="T662" i="1"/>
  <c r="T406" i="1"/>
  <c r="T115" i="1"/>
  <c r="T153" i="1"/>
  <c r="T171" i="1"/>
  <c r="T802" i="1"/>
  <c r="T750" i="1"/>
  <c r="T572" i="1"/>
  <c r="T558" i="1"/>
  <c r="T123" i="1"/>
  <c r="T762" i="1"/>
  <c r="T107" i="1"/>
  <c r="T489" i="1"/>
  <c r="T821" i="1"/>
  <c r="T585" i="1"/>
  <c r="T600" i="1"/>
  <c r="T330" i="1"/>
  <c r="T339" i="1"/>
  <c r="T666" i="1"/>
  <c r="T439" i="1"/>
  <c r="T117" i="1"/>
  <c r="T156" i="1"/>
  <c r="T173" i="1"/>
  <c r="T367" i="1"/>
  <c r="T383" i="1"/>
  <c r="T398" i="1"/>
  <c r="T814" i="1"/>
  <c r="T749" i="1"/>
  <c r="T557" i="1"/>
  <c r="T806" i="1"/>
  <c r="T787" i="1"/>
  <c r="T362" i="1"/>
  <c r="T7" i="1"/>
  <c r="T239" i="1"/>
  <c r="T470" i="1"/>
  <c r="T590" i="1"/>
  <c r="T606" i="1"/>
  <c r="T824" i="1"/>
  <c r="T440" i="1"/>
  <c r="T620" i="1"/>
  <c r="T801" i="1"/>
  <c r="T17" i="1"/>
  <c r="T144" i="1"/>
  <c r="T372" i="1"/>
  <c r="T388" i="1"/>
  <c r="T322" i="1"/>
  <c r="T743" i="1"/>
  <c r="T549" i="1"/>
  <c r="T257" i="1"/>
  <c r="T429" i="1"/>
  <c r="T738" i="1"/>
  <c r="T354" i="1"/>
  <c r="T309" i="1"/>
  <c r="T504" i="1"/>
  <c r="T592" i="1"/>
  <c r="T635" i="1"/>
  <c r="T445" i="1"/>
  <c r="T621" i="1"/>
  <c r="T825" i="1"/>
  <c r="T145" i="1"/>
  <c r="T163" i="1"/>
  <c r="T373" i="1"/>
  <c r="T390" i="1"/>
  <c r="T502" i="1"/>
  <c r="T198" i="1"/>
  <c r="T742" i="1"/>
  <c r="T548" i="1"/>
  <c r="T245" i="1"/>
  <c r="T676" i="1"/>
  <c r="T644" i="1"/>
  <c r="T356" i="1"/>
  <c r="T219" i="1"/>
  <c r="T140" i="1"/>
  <c r="T583" i="1"/>
  <c r="T607" i="1"/>
  <c r="T772" i="1"/>
  <c r="T464" i="1"/>
  <c r="T503" i="1"/>
  <c r="T670" i="1"/>
  <c r="T307" i="1"/>
  <c r="T139" i="1"/>
  <c r="T132" i="1"/>
  <c r="T154" i="1"/>
  <c r="T166" i="1"/>
  <c r="T369" i="1"/>
  <c r="T381" i="1"/>
  <c r="T478" i="1"/>
  <c r="T838" i="1"/>
  <c r="T807" i="1"/>
  <c r="T567" i="1"/>
  <c r="T555" i="1"/>
  <c r="T660" i="1"/>
  <c r="T832" i="1"/>
  <c r="T856" i="1"/>
  <c r="T639" i="1"/>
  <c r="T355" i="1"/>
  <c r="T211" i="1"/>
  <c r="T42" i="1"/>
  <c r="T452" i="1"/>
  <c r="T584" i="1"/>
  <c r="T596" i="1"/>
  <c r="T624" i="1"/>
  <c r="T789" i="1"/>
  <c r="T291" i="1"/>
  <c r="T480" i="1"/>
  <c r="T515" i="1"/>
  <c r="T674" i="1"/>
  <c r="T311" i="1"/>
  <c r="T155" i="1"/>
  <c r="T167" i="1"/>
  <c r="T382" i="1"/>
  <c r="T394" i="1"/>
  <c r="T490" i="1"/>
  <c r="T850" i="1"/>
  <c r="T753" i="1"/>
  <c r="T740" i="1"/>
  <c r="T553" i="1"/>
  <c r="T320" i="1"/>
  <c r="T29" i="1"/>
  <c r="T616" i="1"/>
  <c r="T739" i="1"/>
  <c r="T465" i="1"/>
  <c r="T268" i="1"/>
  <c r="T412" i="1"/>
  <c r="T754" i="1"/>
  <c r="T404" i="1"/>
  <c r="T577" i="1"/>
  <c r="T589" i="1"/>
  <c r="T601" i="1"/>
  <c r="T848" i="1"/>
  <c r="T329" i="1"/>
  <c r="T646" i="1"/>
  <c r="T813" i="1"/>
  <c r="T442" i="1"/>
  <c r="T114" i="1"/>
  <c r="T148" i="1"/>
  <c r="T160" i="1"/>
  <c r="T172" i="1"/>
  <c r="T358" i="1"/>
  <c r="T375" i="1"/>
  <c r="T387" i="1"/>
  <c r="T434" i="1"/>
  <c r="T40" i="1"/>
  <c r="T747" i="1"/>
  <c r="T573" i="1"/>
  <c r="T561" i="1"/>
  <c r="T532" i="1"/>
  <c r="T645" i="1"/>
  <c r="T853" i="1"/>
  <c r="T246" i="1"/>
  <c r="T430" i="1"/>
  <c r="T729" i="1"/>
  <c r="T455" i="1"/>
  <c r="T260" i="1"/>
  <c r="T272" i="1"/>
  <c r="T456" i="1"/>
  <c r="T438" i="1"/>
  <c r="T579" i="1"/>
  <c r="T591" i="1"/>
  <c r="T603" i="1"/>
  <c r="T735" i="1"/>
  <c r="T271" i="1"/>
  <c r="T443" i="1"/>
  <c r="T347" i="1"/>
  <c r="T837" i="1"/>
  <c r="T116" i="1"/>
  <c r="T150" i="1"/>
  <c r="T162" i="1"/>
  <c r="T174" i="1"/>
  <c r="T365" i="1"/>
  <c r="T389" i="1"/>
  <c r="T436" i="1"/>
  <c r="T768" i="1"/>
  <c r="T30" i="1"/>
  <c r="T745" i="1"/>
  <c r="T545" i="1"/>
  <c r="T528" i="1"/>
  <c r="T500" i="1"/>
  <c r="T761" i="1"/>
  <c r="T804" i="1"/>
  <c r="E7" i="2"/>
  <c r="E6" i="2"/>
  <c r="T552" i="1"/>
  <c r="T508" i="1"/>
  <c r="T518" i="1"/>
  <c r="T236" i="1"/>
  <c r="T253" i="1"/>
  <c r="T833" i="1"/>
  <c r="T798" i="1"/>
  <c r="T642" i="1"/>
  <c r="T95" i="1"/>
  <c r="T632" i="1"/>
  <c r="T216" i="1"/>
  <c r="T304" i="1"/>
  <c r="T357" i="1"/>
  <c r="T302" i="1"/>
  <c r="T835" i="1"/>
  <c r="T649" i="1"/>
  <c r="T181" i="1"/>
  <c r="T665" i="1"/>
  <c r="T494" i="1"/>
  <c r="T90" i="1"/>
  <c r="T820" i="1"/>
  <c r="T626" i="1"/>
  <c r="T141" i="1"/>
  <c r="T485" i="1"/>
  <c r="T120" i="1"/>
  <c r="T805" i="1"/>
  <c r="T625" i="1"/>
  <c r="T10" i="1"/>
  <c r="T792" i="1"/>
  <c r="T113" i="1"/>
  <c r="E8" i="2"/>
  <c r="T760" i="1"/>
  <c r="T764" i="1"/>
  <c r="T775" i="1"/>
  <c r="T427" i="1"/>
  <c r="T543" i="1"/>
  <c r="T527" i="1"/>
  <c r="T656" i="1"/>
  <c r="T363" i="1"/>
  <c r="T759" i="1"/>
  <c r="T763" i="1"/>
  <c r="T765" i="1"/>
  <c r="T102" i="1"/>
  <c r="T758" i="1"/>
  <c r="T269" i="1"/>
  <c r="T664" i="1"/>
  <c r="T846" i="1"/>
  <c r="T400" i="1"/>
  <c r="T722" i="1"/>
  <c r="E3" i="2"/>
  <c r="T89" i="1"/>
  <c r="T721" i="1"/>
  <c r="T267" i="1"/>
  <c r="E9" i="2"/>
  <c r="T703" i="1"/>
  <c r="T679" i="1"/>
  <c r="T454" i="1"/>
  <c r="T127" i="1"/>
  <c r="T857" i="1"/>
  <c r="T276" i="1"/>
  <c r="T137" i="1"/>
  <c r="T75" i="1"/>
  <c r="T629" i="1"/>
  <c r="T142" i="1"/>
  <c r="T462" i="1"/>
  <c r="T38" i="1"/>
  <c r="T36" i="1"/>
  <c r="T340" i="1"/>
  <c r="T247" i="1"/>
  <c r="T751" i="1"/>
  <c r="T730" i="1"/>
  <c r="T554" i="1"/>
  <c r="T542" i="1"/>
  <c r="T530" i="1"/>
  <c r="T235" i="1"/>
  <c r="T241" i="1"/>
  <c r="T124" i="1"/>
  <c r="T757" i="1"/>
  <c r="T501" i="1"/>
  <c r="T852" i="1"/>
  <c r="T818" i="1"/>
  <c r="T790" i="1"/>
  <c r="T783" i="1"/>
  <c r="T476" i="1"/>
  <c r="T360" i="1"/>
  <c r="T112" i="1"/>
  <c r="T100" i="1"/>
  <c r="T88" i="1"/>
  <c r="T673" i="1"/>
  <c r="T858" i="1"/>
  <c r="T702" i="1"/>
  <c r="T690" i="1"/>
  <c r="T678" i="1"/>
  <c r="T842" i="1"/>
  <c r="T353" i="1"/>
  <c r="T240" i="1"/>
  <c r="T14" i="1"/>
  <c r="T76" i="1"/>
  <c r="T713" i="1"/>
  <c r="T630" i="1"/>
  <c r="T855" i="1"/>
  <c r="T333" i="1"/>
  <c r="T215" i="1"/>
  <c r="T425" i="1"/>
  <c r="T37" i="1"/>
  <c r="T189" i="1"/>
  <c r="T473" i="1"/>
  <c r="T185" i="1"/>
  <c r="T423" i="1"/>
  <c r="T541" i="1"/>
  <c r="T529" i="1"/>
  <c r="T232" i="1"/>
  <c r="T41" i="1"/>
  <c r="T31" i="1"/>
  <c r="T306" i="1"/>
  <c r="T834" i="1"/>
  <c r="T803" i="1"/>
  <c r="T780" i="1"/>
  <c r="T453" i="1"/>
  <c r="T337" i="1"/>
  <c r="T111" i="1"/>
  <c r="T99" i="1"/>
  <c r="T647" i="1"/>
  <c r="T689" i="1"/>
  <c r="T677" i="1"/>
  <c r="T19" i="1"/>
  <c r="T827" i="1"/>
  <c r="T249" i="1"/>
  <c r="T523" i="1"/>
  <c r="T77" i="1"/>
  <c r="T574" i="1"/>
  <c r="T483" i="1"/>
  <c r="T187" i="1"/>
  <c r="T336" i="1"/>
  <c r="T3" i="1"/>
  <c r="T418" i="1"/>
  <c r="T250" i="1"/>
  <c r="T67" i="1"/>
  <c r="T419" i="1"/>
  <c r="E4" i="2"/>
  <c r="T280" i="1"/>
  <c r="T819" i="1"/>
  <c r="T774" i="1"/>
  <c r="T778" i="1"/>
  <c r="T767" i="1"/>
  <c r="T720" i="1"/>
  <c r="T433" i="1"/>
  <c r="T300" i="1"/>
  <c r="T110" i="1"/>
  <c r="T859" i="1"/>
  <c r="T255" i="1"/>
  <c r="T700" i="1"/>
  <c r="T688" i="1"/>
  <c r="T651" i="1"/>
  <c r="T338" i="1"/>
  <c r="T5" i="1"/>
  <c r="T809" i="1"/>
  <c r="T312" i="1"/>
  <c r="T32" i="1"/>
  <c r="T482" i="1"/>
  <c r="T78" i="1"/>
  <c r="T715" i="1"/>
  <c r="T653" i="1"/>
  <c r="T324" i="1"/>
  <c r="T284" i="1"/>
  <c r="T125" i="1"/>
  <c r="T631" i="1"/>
  <c r="T35" i="1"/>
  <c r="T69" i="1"/>
  <c r="T62" i="1"/>
  <c r="T64" i="1"/>
  <c r="T2" i="1"/>
  <c r="T777" i="1"/>
  <c r="T766" i="1"/>
  <c r="T97" i="1"/>
  <c r="T525" i="1"/>
  <c r="T251" i="1"/>
  <c r="T810" i="1"/>
  <c r="T699" i="1"/>
  <c r="T687" i="1"/>
  <c r="T643" i="1"/>
  <c r="T313" i="1"/>
  <c r="T301" i="1"/>
  <c r="T26" i="1"/>
  <c r="T270" i="1"/>
  <c r="T79" i="1"/>
  <c r="T323" i="1"/>
  <c r="T55" i="1"/>
  <c r="T285" i="1"/>
  <c r="T512" i="1"/>
  <c r="T63" i="1"/>
  <c r="T25" i="1"/>
  <c r="T34" i="1"/>
  <c r="T335" i="1"/>
  <c r="T847" i="1"/>
  <c r="T776" i="1"/>
  <c r="T717" i="1"/>
  <c r="T431" i="1"/>
  <c r="T278" i="1"/>
  <c r="T108" i="1"/>
  <c r="T96" i="1"/>
  <c r="T829" i="1"/>
  <c r="T226" i="1"/>
  <c r="T698" i="1"/>
  <c r="T686" i="1"/>
  <c r="T297" i="1"/>
  <c r="T244" i="1"/>
  <c r="T290" i="1"/>
  <c r="T657" i="1"/>
  <c r="T254" i="1"/>
  <c r="T80" i="1"/>
  <c r="T709" i="1"/>
  <c r="T277" i="1"/>
  <c r="T214" i="1"/>
  <c r="T60" i="1"/>
  <c r="T493" i="1"/>
  <c r="T56" i="1"/>
  <c r="T24" i="1"/>
  <c r="T636" i="1"/>
  <c r="T190" i="1"/>
  <c r="T486" i="1"/>
  <c r="T217" i="1"/>
  <c r="T786" i="1"/>
  <c r="T685" i="1"/>
  <c r="T633" i="1"/>
  <c r="T286" i="1"/>
  <c r="T238" i="1"/>
  <c r="T522" i="1"/>
  <c r="T81" i="1"/>
  <c r="T188" i="1"/>
  <c r="T16" i="1"/>
  <c r="T186" i="1"/>
  <c r="E5" i="2"/>
  <c r="T130" i="1"/>
  <c r="T341" i="1"/>
  <c r="T266" i="1"/>
  <c r="T520" i="1"/>
  <c r="T203" i="1"/>
  <c r="T66" i="1"/>
  <c r="T207" i="1"/>
  <c r="T106" i="1"/>
  <c r="T94" i="1"/>
  <c r="T796" i="1"/>
  <c r="T477" i="1"/>
  <c r="T209" i="1"/>
  <c r="T785" i="1"/>
  <c r="T696" i="1"/>
  <c r="T684" i="1"/>
  <c r="T229" i="1"/>
  <c r="T655" i="1"/>
  <c r="T218" i="1"/>
  <c r="T21" i="1"/>
  <c r="T82" i="1"/>
  <c r="T68" i="1"/>
  <c r="T53" i="1"/>
  <c r="T668" i="1"/>
  <c r="T70" i="1"/>
  <c r="T199" i="1"/>
  <c r="T202" i="1"/>
  <c r="T183" i="1"/>
  <c r="T13" i="1"/>
  <c r="T61" i="1"/>
  <c r="T675" i="1"/>
  <c r="T799" i="1"/>
  <c r="T864" i="1"/>
  <c r="T863" i="1"/>
  <c r="T637" i="1"/>
  <c r="T428" i="1"/>
  <c r="T105" i="1"/>
  <c r="T343" i="1"/>
  <c r="T695" i="1"/>
  <c r="T683" i="1"/>
  <c r="T505" i="1"/>
  <c r="T228" i="1"/>
  <c r="T317" i="1"/>
  <c r="T610" i="1"/>
  <c r="T6" i="1"/>
  <c r="T48" i="1"/>
  <c r="T83" i="1"/>
  <c r="T65" i="1"/>
  <c r="T661" i="1"/>
  <c r="T22" i="1"/>
  <c r="T424" i="1"/>
  <c r="T50" i="1"/>
  <c r="T131" i="1"/>
  <c r="T184" i="1"/>
  <c r="T513" i="1"/>
  <c r="T314" i="1"/>
  <c r="T57" i="1"/>
  <c r="T193" i="1"/>
  <c r="T682" i="1"/>
  <c r="T496" i="1"/>
  <c r="T227" i="1"/>
  <c r="T506" i="1"/>
  <c r="T461" i="1"/>
  <c r="T350" i="1"/>
  <c r="T72" i="1"/>
  <c r="T84" i="1"/>
  <c r="T617" i="1"/>
  <c r="T58" i="1"/>
  <c r="T484" i="1"/>
  <c r="T415" i="1"/>
  <c r="T71" i="1"/>
  <c r="T52" i="1"/>
  <c r="T136" i="1"/>
  <c r="T351" i="1"/>
  <c r="T46" i="1"/>
  <c r="E2" i="2"/>
  <c r="T793" i="1"/>
  <c r="T831" i="1"/>
  <c r="T191" i="1"/>
  <c r="T103" i="1"/>
  <c r="T91" i="1"/>
  <c r="T293" i="1"/>
  <c r="T192" i="1"/>
  <c r="T693" i="1"/>
  <c r="T681" i="1"/>
  <c r="T210" i="1"/>
  <c r="T73" i="1"/>
  <c r="T85" i="1"/>
  <c r="T627" i="1"/>
  <c r="T51" i="1"/>
  <c r="T59" i="1"/>
  <c r="T39" i="1"/>
  <c r="T49" i="1"/>
  <c r="T23" i="1"/>
  <c r="T292" i="1"/>
  <c r="T12" i="1"/>
  <c r="T318" i="1"/>
  <c r="T45" i="1"/>
  <c r="T692" i="1"/>
  <c r="T680" i="1"/>
  <c r="T459" i="1"/>
  <c r="T133" i="1"/>
  <c r="T331" i="1"/>
  <c r="T273" i="1"/>
  <c r="T86" i="1"/>
  <c r="T628" i="1"/>
  <c r="T352" i="1"/>
  <c r="T274" i="1"/>
  <c r="T327" i="1"/>
  <c r="T511" i="1"/>
  <c r="T54" i="1"/>
  <c r="T416" i="1"/>
  <c r="T15" i="1"/>
  <c r="T61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tc={fc363197-532a-447d-983c-09c6ada63491}</author>
  </authors>
  <commentList>
    <comment ref="C489" authorId="0" shapeId="0" xr:uid="{FC363197-532A-447D-983C-09C6ADA63491}">
      <text>
        <t>[Comentario encadenado]
Su versión de Excel le permite leer este comentario encadenado; sin embargo, las ediciones que se apliquen se quitarán si el archivo se abre en una versión más reciente de Excel. Más información: https://go.microsoft.com/fwlink/?linkid=870924
Comentario:
    @rogelio@prima.ai de aquí hast ala fila X
Respuesta:
    listo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tc={77e10264-dd46-4b09-b6eb-8b81bc66b812}</author>
  </authors>
  <commentList>
    <comment ref="A24" authorId="0" shapeId="0" xr:uid="{77E10264-DD46-4B09-B6EB-8B81BC66B812}">
      <text>
        <t>[Comentario encadenado]
Su versión de Excel le permite leer este comentario encadenado; sin embargo, las ediciones que se apliquen se quitarán si el archivo se abre en una versión más reciente de Excel. Más información: https://go.microsoft.com/fwlink/?linkid=870924
Comentario:
    @rogelio@prima.ai Me ayudas con esta hoja tambien porfis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<sst xmlns="http://schemas.openxmlformats.org/spreadsheetml/2006/main" count="10255" uniqueCount="2021">
  <si>
    <t>CODI</t>
  </si>
  <si>
    <t>#id user</t>
  </si>
  <si>
    <t>Swipe Date</t>
  </si>
  <si>
    <t>Amount</t>
  </si>
  <si>
    <t>MONEDA</t>
  </si>
  <si>
    <t>User</t>
  </si>
  <si>
    <t>Descriptor</t>
  </si>
  <si>
    <t>Merchant Name</t>
  </si>
  <si>
    <t>Expense Type</t>
  </si>
  <si>
    <t>DESCRIPCION DEL CARGO</t>
  </si>
  <si>
    <t>FOLIO DE FACTURA</t>
  </si>
  <si>
    <t>#16</t>
  </si>
  <si>
    <t>#2</t>
  </si>
  <si>
    <t>#8</t>
  </si>
  <si>
    <t>#60</t>
  </si>
  <si>
    <t>#56</t>
  </si>
  <si>
    <t>#68</t>
  </si>
  <si>
    <t>#43</t>
  </si>
  <si>
    <t>#26</t>
  </si>
  <si>
    <t>#30</t>
  </si>
  <si>
    <t>#66</t>
  </si>
  <si>
    <t>#40</t>
  </si>
  <si>
    <t>#53</t>
  </si>
  <si>
    <t>#67</t>
  </si>
  <si>
    <t>#9</t>
  </si>
  <si>
    <t>#13</t>
  </si>
  <si>
    <t>#64</t>
  </si>
  <si>
    <t>#71</t>
  </si>
  <si>
    <t>#28</t>
  </si>
  <si>
    <t>#41</t>
  </si>
  <si>
    <t>#51</t>
  </si>
  <si>
    <t>#55</t>
  </si>
  <si>
    <t>#19</t>
  </si>
  <si>
    <t>#31</t>
  </si>
  <si>
    <t>#24</t>
  </si>
  <si>
    <t>#52</t>
  </si>
  <si>
    <t>#69</t>
  </si>
  <si>
    <t>#46</t>
  </si>
  <si>
    <t>#37</t>
  </si>
  <si>
    <t>#34</t>
  </si>
  <si>
    <t>#3</t>
  </si>
  <si>
    <t>#42</t>
  </si>
  <si>
    <t>#6</t>
  </si>
  <si>
    <t>#20</t>
  </si>
  <si>
    <t>#58</t>
  </si>
  <si>
    <t>#35</t>
  </si>
  <si>
    <t>#49</t>
  </si>
  <si>
    <t>#45</t>
  </si>
  <si>
    <t>#4</t>
  </si>
  <si>
    <t>#17</t>
  </si>
  <si>
    <t>#70</t>
  </si>
  <si>
    <t>#11</t>
  </si>
  <si>
    <t>#7</t>
  </si>
  <si>
    <t>#54</t>
  </si>
  <si>
    <t>#25</t>
  </si>
  <si>
    <t>#5</t>
  </si>
  <si>
    <t>#21</t>
  </si>
  <si>
    <t>#48</t>
  </si>
  <si>
    <t>#14</t>
  </si>
  <si>
    <t>#61</t>
  </si>
  <si>
    <t>#44</t>
  </si>
  <si>
    <t>JEEVES JAN 2024</t>
  </si>
  <si>
    <t># ID</t>
  </si>
  <si>
    <t>Transaction cost</t>
  </si>
  <si>
    <t>#1</t>
  </si>
  <si>
    <t>Annelies Gamble</t>
  </si>
  <si>
    <t>Miguel De Lascurain</t>
  </si>
  <si>
    <t>Karen Alexandra Ballesteros Contreras</t>
  </si>
  <si>
    <t>Jose Arechavala</t>
  </si>
  <si>
    <t>Monserrat Benitez</t>
  </si>
  <si>
    <t>#63</t>
  </si>
  <si>
    <t>Diego Morodo</t>
  </si>
  <si>
    <t>#72</t>
  </si>
  <si>
    <t>Julio Güemes</t>
  </si>
  <si>
    <t>Tech&amp;Product</t>
  </si>
  <si>
    <t>Cesar Gonzales</t>
  </si>
  <si>
    <t>Patricio Servitje Azcarraga</t>
  </si>
  <si>
    <t>Fernando Villalobos Lara</t>
  </si>
  <si>
    <t>Rodrigo Perea</t>
  </si>
  <si>
    <t>Mario Castorela</t>
  </si>
  <si>
    <t>Erik Castillo</t>
  </si>
  <si>
    <t>#73</t>
  </si>
  <si>
    <t>Manuel Caldera</t>
  </si>
  <si>
    <t>Sales</t>
  </si>
  <si>
    <t>Cesar Uriel Romo Trillo</t>
  </si>
  <si>
    <t>Rogelio Gamez</t>
  </si>
  <si>
    <t>#29</t>
  </si>
  <si>
    <t>Jonatan Cid Prati</t>
  </si>
  <si>
    <t>Pablo Ortiz</t>
  </si>
  <si>
    <t>Gerardo Madrid</t>
  </si>
  <si>
    <t>#65</t>
  </si>
  <si>
    <t>Diana Miranda</t>
  </si>
  <si>
    <t>#74</t>
  </si>
  <si>
    <t xml:space="preserve">Alan G </t>
  </si>
  <si>
    <t>Recruiting</t>
  </si>
  <si>
    <t>Daniel Autrique Echeveste</t>
  </si>
  <si>
    <t>Sebastian Taracena Ebrard</t>
  </si>
  <si>
    <t>Manuel Ibarra Cebreros</t>
  </si>
  <si>
    <t>JP Hammerstein</t>
  </si>
  <si>
    <t>Carlos Ivan Gonzalez Merino</t>
  </si>
  <si>
    <t>Jorge Ramirez</t>
  </si>
  <si>
    <t>#75</t>
  </si>
  <si>
    <t>Naomi Gonzalez</t>
  </si>
  <si>
    <t>Office expenses</t>
  </si>
  <si>
    <t>Fernanda Sanchez Ruiz</t>
  </si>
  <si>
    <t>Daniel Alejandro Castillo Rivera</t>
  </si>
  <si>
    <t>Emiliano Cavazos</t>
  </si>
  <si>
    <t>Erick Cival</t>
  </si>
  <si>
    <t>#57</t>
  </si>
  <si>
    <t>Paloma Santos</t>
  </si>
  <si>
    <t>Gustavo Rivas</t>
  </si>
  <si>
    <t>#76</t>
  </si>
  <si>
    <t>Tonancy Isidoro</t>
  </si>
  <si>
    <t>G&amp;A expenses</t>
  </si>
  <si>
    <t>Fernando Sanchez Toledano</t>
  </si>
  <si>
    <t>Gerardo Guadalupe Ruiz Huerta</t>
  </si>
  <si>
    <t>Juan Pablo Ramos Aranda</t>
  </si>
  <si>
    <t>Andres Preza</t>
  </si>
  <si>
    <t>Jose Rosas Ortiz</t>
  </si>
  <si>
    <t>Alfonso Bello</t>
  </si>
  <si>
    <t>Capex</t>
  </si>
  <si>
    <t>Isaac Mendoza Ruiz</t>
  </si>
  <si>
    <t>Jesus Gonzalez Grana</t>
  </si>
  <si>
    <t>Termis</t>
  </si>
  <si>
    <t>Jahaziel Galan</t>
  </si>
  <si>
    <t>Carlos Aleman</t>
  </si>
  <si>
    <t xml:space="preserve">Cole Anderson </t>
  </si>
  <si>
    <t>Marketing</t>
  </si>
  <si>
    <t>Jose Ignacio Martinez Flemate</t>
  </si>
  <si>
    <t>Andres Camacho Herrera</t>
  </si>
  <si>
    <t>Angel Pantoja</t>
  </si>
  <si>
    <t>Saul Murillo</t>
  </si>
  <si>
    <t>Jorge Diaz</t>
  </si>
  <si>
    <t>Mariano Alcaraz</t>
  </si>
  <si>
    <t>Jose Maria Garcia Hernandez</t>
  </si>
  <si>
    <t>Jorge Eduardo Estrada Becerril</t>
  </si>
  <si>
    <t>Gabriela Zacarias Aguirre</t>
  </si>
  <si>
    <t xml:space="preserve">Tommaso Rivetti </t>
  </si>
  <si>
    <t>#62</t>
  </si>
  <si>
    <t>Jorge Rojas</t>
  </si>
  <si>
    <t xml:space="preserve">Alan R </t>
  </si>
  <si>
    <t>txr</t>
  </si>
  <si>
    <t>Statement Descriptor</t>
  </si>
  <si>
    <t>552568XXXXXX9581</t>
  </si>
  <si>
    <t>virtual</t>
  </si>
  <si>
    <t>Memo</t>
  </si>
  <si>
    <t>Receipt Attached</t>
  </si>
  <si>
    <t>Receipts</t>
  </si>
  <si>
    <t>CLABE</t>
  </si>
  <si>
    <t>Beneficiary Account</t>
  </si>
  <si>
    <t>Reference Number</t>
  </si>
  <si>
    <t>Bank Name</t>
  </si>
  <si>
    <t>Invoice Issuer</t>
  </si>
  <si>
    <t>Invoice Issuer ID</t>
  </si>
  <si>
    <t>Invoice ID</t>
  </si>
  <si>
    <t>TRX1298</t>
  </si>
  <si>
    <t>MXN</t>
  </si>
  <si>
    <t>MERPAGO*MERCADOLIBRE   Ciudad de Mex MEX</t>
  </si>
  <si>
    <t>Merpago Mercadolibre Ciudad De Mex Mex</t>
  </si>
  <si>
    <t>552568XXXXXX3592</t>
  </si>
  <si>
    <t>TRX1297</t>
  </si>
  <si>
    <t>EXPEDIA MEXICO         CIUDAD DE MEX MEX</t>
  </si>
  <si>
    <t>Expedia</t>
  </si>
  <si>
    <t>552568XXXXXX1484</t>
  </si>
  <si>
    <t>TRX1296</t>
  </si>
  <si>
    <t>EUROPCAR WEB 2         BENITO JUAREZ MEX</t>
  </si>
  <si>
    <t>Europcar</t>
  </si>
  <si>
    <t>physical</t>
  </si>
  <si>
    <t>TRX1295</t>
  </si>
  <si>
    <t>WALMART LOMAS STA FE   TIJUANA BCN   MEX</t>
  </si>
  <si>
    <t>Walmart</t>
  </si>
  <si>
    <t>TRX1294</t>
  </si>
  <si>
    <t>USD</t>
  </si>
  <si>
    <t>OPENAI *CHATGPT SUBSCR SAN FRANCISCO USA</t>
  </si>
  <si>
    <t>Openai</t>
  </si>
  <si>
    <t>TRX1293</t>
  </si>
  <si>
    <t>SUPERCENTER TIJUANA HI TIJUANA BCN   MEX</t>
  </si>
  <si>
    <t>Supercenter Tijuana Hi Tijuana Bcn Mex</t>
  </si>
  <si>
    <t>TRX1292</t>
  </si>
  <si>
    <t>TRX1291</t>
  </si>
  <si>
    <t>UBER * EATS PENDING    CMX           MEX</t>
  </si>
  <si>
    <t>Uber Eats</t>
  </si>
  <si>
    <t>552568XXXXXX7686</t>
  </si>
  <si>
    <t>TRX1290</t>
  </si>
  <si>
    <t>CLIP MX*SUPER BARRA LI TIJUANA       MEX</t>
  </si>
  <si>
    <t>Super Mex</t>
  </si>
  <si>
    <t>TRX1289</t>
  </si>
  <si>
    <t>Daniel Caraveo</t>
  </si>
  <si>
    <t>WM EXPRESS BONAMPAK    CANCUN QROO   MEX</t>
  </si>
  <si>
    <t>Wm Express Bonampak Cancun Qroo Mex</t>
  </si>
  <si>
    <t>XXXXXXXXXXXX7525</t>
  </si>
  <si>
    <t>TRX1288</t>
  </si>
  <si>
    <t>LPQ AICM T1 SALA 8 1   CIUDAD DE MEX MEX</t>
  </si>
  <si>
    <t>L</t>
  </si>
  <si>
    <t>TRX1287</t>
  </si>
  <si>
    <t>DLO*Uber eats          CDMX          MEX</t>
  </si>
  <si>
    <t>TRX1286</t>
  </si>
  <si>
    <t>HASHICORP HCP          SAN FRANCISCO USA</t>
  </si>
  <si>
    <t>Hashicorp</t>
  </si>
  <si>
    <t>552568XXXXXX7852</t>
  </si>
  <si>
    <t>TRX1285</t>
  </si>
  <si>
    <t>HAMBURGUESAS DIANA     TIZAYUCA HGO  MEX</t>
  </si>
  <si>
    <t>Hamburguesas Diana Tizayuca Hgo Mex</t>
  </si>
  <si>
    <t>TRX1284</t>
  </si>
  <si>
    <t>AIRBNB * HM4BMJSNK4    LONDON        GBR</t>
  </si>
  <si>
    <t>Airbnb</t>
  </si>
  <si>
    <t>TRX1283</t>
  </si>
  <si>
    <t>FACEBK *Y8ZJ8FVSH2     DUBLIN 2      IRL</t>
  </si>
  <si>
    <t>Meta</t>
  </si>
  <si>
    <t>TRX1282</t>
  </si>
  <si>
    <t>CBA*AUTODESK           COLOGNE       DEU</t>
  </si>
  <si>
    <t>Autodesk</t>
  </si>
  <si>
    <t>TRX1281</t>
  </si>
  <si>
    <t>WELCOME TO LV          LAS VEGAS     USA</t>
  </si>
  <si>
    <t>Welcome To Lv Las Vegas USA</t>
  </si>
  <si>
    <t>TRX1280</t>
  </si>
  <si>
    <t>NAYAX PARKING          Reno          USA</t>
  </si>
  <si>
    <t>Nayax Parking Reno USA</t>
  </si>
  <si>
    <t>TRX1279</t>
  </si>
  <si>
    <t>CURB MOBILITY          ASTORIA       USA</t>
  </si>
  <si>
    <t>Curb Mobility</t>
  </si>
  <si>
    <t>TRX1278</t>
  </si>
  <si>
    <t>VOLARIS                VOLARIS.COM   GBR</t>
  </si>
  <si>
    <t>Volaris</t>
  </si>
  <si>
    <t>TRX1277</t>
  </si>
  <si>
    <t>Jeeves System</t>
  </si>
  <si>
    <t>1282559.56 MXN Paid</t>
  </si>
  <si>
    <t>TRX1276</t>
  </si>
  <si>
    <t>TRX1275</t>
  </si>
  <si>
    <t>ENERGETICOS ZAPATA 4   TIZAYUCA HGO  MEX</t>
  </si>
  <si>
    <t>Energeticos Zapata 4 Tizayuca Hgo Mex</t>
  </si>
  <si>
    <t>TRX1274</t>
  </si>
  <si>
    <t>UBER * PENDING         CMX           MEX</t>
  </si>
  <si>
    <t>Uber</t>
  </si>
  <si>
    <t>TRX1273</t>
  </si>
  <si>
    <t>4930 LVNPO             LAS VEGAS     USA</t>
  </si>
  <si>
    <t>4930 Lvnpo Las Vegas USA</t>
  </si>
  <si>
    <t>TRX1272</t>
  </si>
  <si>
    <t>TCOLV - Naughty Patt   LAS VEGAS     USA</t>
  </si>
  <si>
    <t>Tcolv Naughty Patt Las Vegas USA</t>
  </si>
  <si>
    <t>TRX1271</t>
  </si>
  <si>
    <t>ZTRIP TAXI             KANSAS CITY   USA</t>
  </si>
  <si>
    <t>Ztrip Taxi Kansas City USA</t>
  </si>
  <si>
    <t>TRX1270</t>
  </si>
  <si>
    <t>SONESTA SIMPLY SUITES  LAS VEGAS     USA</t>
  </si>
  <si>
    <t>Simply Vegas Real Estate</t>
  </si>
  <si>
    <t>TRX1269</t>
  </si>
  <si>
    <t>IN-N-OUT LINQ          LAS VEGAS     USA</t>
  </si>
  <si>
    <t>In N Out Linq Las Vegas USA</t>
  </si>
  <si>
    <t>TRX1268</t>
  </si>
  <si>
    <t>BLOOMBERG* B38899628   NEW YORK      USA</t>
  </si>
  <si>
    <t>Bloomberg</t>
  </si>
  <si>
    <t>TRX1267</t>
  </si>
  <si>
    <t>Tommaso Rivetti Vinea</t>
  </si>
  <si>
    <t>TST* ADAIR DOWNTOWN    HOUSTON       USA</t>
  </si>
  <si>
    <t>Adair Downtown Houston USA</t>
  </si>
  <si>
    <t>TRX1266</t>
  </si>
  <si>
    <t>UBER   * EATS PENDING  SAN FRANCISCO USA</t>
  </si>
  <si>
    <t>TRX1265</t>
  </si>
  <si>
    <t>DOLLAR-GENERAL MKT #12 LAS VEGAS     USA</t>
  </si>
  <si>
    <t>Dollar General</t>
  </si>
  <si>
    <t>TRX1264</t>
  </si>
  <si>
    <t>LAS VEGAS CONVENTION C LAS VEGAS     USA</t>
  </si>
  <si>
    <t>Las Vegas Convention C Las Vegas USA</t>
  </si>
  <si>
    <t>TRX1263</t>
  </si>
  <si>
    <t>TRX1262</t>
  </si>
  <si>
    <t>Didi Mexico            CAUHTEMOC     MEX</t>
  </si>
  <si>
    <t>Didi Mexico Cauhtemoc Mex</t>
  </si>
  <si>
    <t>TRX1261</t>
  </si>
  <si>
    <t>Jose Luis Franco Vaquero</t>
  </si>
  <si>
    <t>552568XXXXXX0567</t>
  </si>
  <si>
    <t>TRX1260</t>
  </si>
  <si>
    <t>Cindy Aguirre</t>
  </si>
  <si>
    <t>GAS COGA LOM CHA MIT 2 CIUDAD DE MEX MEX</t>
  </si>
  <si>
    <t>Gas Coga Lom Cha Mit 2 Ciudad De Mex Mex</t>
  </si>
  <si>
    <t>TRX1259</t>
  </si>
  <si>
    <t>552568XXXXXX6185</t>
  </si>
  <si>
    <t>TRX1258</t>
  </si>
  <si>
    <t>TRX1257</t>
  </si>
  <si>
    <t>552568XXXXXX3818</t>
  </si>
  <si>
    <t>TRX1256</t>
  </si>
  <si>
    <t>ADO SUC AEROPUERTO     VERACRUZ VER  MEX</t>
  </si>
  <si>
    <t>Ado Suc Aeropuerto Veracruz Ver Mex</t>
  </si>
  <si>
    <t>TRX1255</t>
  </si>
  <si>
    <t>UBER *TRIP HELP.UBER.C CMX           MEX</t>
  </si>
  <si>
    <t>TRX1254</t>
  </si>
  <si>
    <t>Julio Cesar Guemes Reynoso</t>
  </si>
  <si>
    <t>TRX1253</t>
  </si>
  <si>
    <t>TRX1252</t>
  </si>
  <si>
    <t>552568XXXXXX7421</t>
  </si>
  <si>
    <t>TRX1251</t>
  </si>
  <si>
    <t>TRX1250</t>
  </si>
  <si>
    <t>TRX1249</t>
  </si>
  <si>
    <t>Starbucks              CMX           MEX</t>
  </si>
  <si>
    <t>Starbucks</t>
  </si>
  <si>
    <t>TRX1248</t>
  </si>
  <si>
    <t>TRX1247</t>
  </si>
  <si>
    <t>TRX1246</t>
  </si>
  <si>
    <t>PAYU   *GOOGLE CLOUD   MIGUEL HIDALG MEX</t>
  </si>
  <si>
    <t>Google Cloud</t>
  </si>
  <si>
    <t>TRX1245</t>
  </si>
  <si>
    <t>TRX1244</t>
  </si>
  <si>
    <t>GASOLINERIA ES 06254   HUIXQUILUCAN  MEX</t>
  </si>
  <si>
    <t>Gasolineria Es Huixquilucan Mex</t>
  </si>
  <si>
    <t>TRX1243</t>
  </si>
  <si>
    <t>CASA BENELL SUE TB     APODACA NL    MEX</t>
  </si>
  <si>
    <t>Casa Benell Sue Tb Apodaca Nl Mex</t>
  </si>
  <si>
    <t>TRX1242</t>
  </si>
  <si>
    <t>TRX1241</t>
  </si>
  <si>
    <t>TRX1240</t>
  </si>
  <si>
    <t>LOMA LINDA III T1 3    CIUDAD DE MEX MEX</t>
  </si>
  <si>
    <t>Loma Linda Iii T1 3 Ciudad De Mex Mex</t>
  </si>
  <si>
    <t>TRX1239</t>
  </si>
  <si>
    <t>HAMMER STRONG          CIUDAD DE MEX MEX</t>
  </si>
  <si>
    <t>Hammer Strong Ciudad De Mex Mex</t>
  </si>
  <si>
    <t>TRX1238</t>
  </si>
  <si>
    <t>MERCADOPAGO *EBANOCAF  Benito jurez  MEX</t>
  </si>
  <si>
    <t>Mercadopago</t>
  </si>
  <si>
    <t>TRX1237</t>
  </si>
  <si>
    <t>MERCADOPAGO *PASE      MIGUEL HIDALG MEX</t>
  </si>
  <si>
    <t>TRX1236</t>
  </si>
  <si>
    <t>Jose Luis Ramirez Gonzalez</t>
  </si>
  <si>
    <t>GAS DUERO              TOLUCA EM     MEX</t>
  </si>
  <si>
    <t>Gas Duero Toluca Em Mex</t>
  </si>
  <si>
    <t>TRX1235</t>
  </si>
  <si>
    <t>TONANCY ISIDORO PENA</t>
  </si>
  <si>
    <t>TRX1234</t>
  </si>
  <si>
    <t>HF                     LERMA EM      MEX</t>
  </si>
  <si>
    <t>Hf Lerma Em Mex</t>
  </si>
  <si>
    <t>TRX1233</t>
  </si>
  <si>
    <t>PAYU   *GOOGLE ADS     MIGUEL HIDALG MEX</t>
  </si>
  <si>
    <t>Google</t>
  </si>
  <si>
    <t>552568XXXXXX0724</t>
  </si>
  <si>
    <t>TRX1232</t>
  </si>
  <si>
    <t>TRX1231</t>
  </si>
  <si>
    <t>D LOCAL*DIDI RIDES     CIUDAD DE MEX MEX</t>
  </si>
  <si>
    <t>Didi Chuxing</t>
  </si>
  <si>
    <t>TRX1230</t>
  </si>
  <si>
    <t>MERCADOPAGO *GASOLINA  Tlalnepantla  MEX</t>
  </si>
  <si>
    <t>TRX1229</t>
  </si>
  <si>
    <t>HOTELES COM            CIUDAD DE MEX MEX</t>
  </si>
  <si>
    <t>Hoteles Com Ciudad De Mex Mex</t>
  </si>
  <si>
    <t>TRX1228</t>
  </si>
  <si>
    <t>Manuel Caldera Urcuyo</t>
  </si>
  <si>
    <t>G68 THE MARKET         APODACA NL    MEX</t>
  </si>
  <si>
    <t>G68 The Market Apodaca Nl Mex</t>
  </si>
  <si>
    <t>TRX1227</t>
  </si>
  <si>
    <t>VIVA AEROBUS CIB       APODACA       MEX</t>
  </si>
  <si>
    <t>Viva Aerobus Cib Apodaca Mex</t>
  </si>
  <si>
    <t>TRX1226</t>
  </si>
  <si>
    <t>RITUAL CAFE            CANCUN QROO   MEX</t>
  </si>
  <si>
    <t>Ritual Cafe Cancun Qroo Mex</t>
  </si>
  <si>
    <t>TRX1225</t>
  </si>
  <si>
    <t>LAVANDERIA ALBORADA    CANCUN QROO   MEX</t>
  </si>
  <si>
    <t>Lavanderia Alborada Cancun Qroo Mex</t>
  </si>
  <si>
    <t>TRX1224</t>
  </si>
  <si>
    <t>CONEKTA*MIBAIT         DF            MEX</t>
  </si>
  <si>
    <t>Conekta Mibait Df Mex</t>
  </si>
  <si>
    <t>TRX1223</t>
  </si>
  <si>
    <t>DLO*DIDI RIDES         MEXICO        MEX</t>
  </si>
  <si>
    <t>TRX1222</t>
  </si>
  <si>
    <t>AVIS WEB MXN           MERIDA YUC    MEX</t>
  </si>
  <si>
    <t>Avis</t>
  </si>
  <si>
    <t>552568XXXXXX9303</t>
  </si>
  <si>
    <t>TRX1221</t>
  </si>
  <si>
    <t>VIVAAEROBUS MOBILE     APODACA NL    MEX</t>
  </si>
  <si>
    <t>Vivaaerobus</t>
  </si>
  <si>
    <t>TRX1220</t>
  </si>
  <si>
    <t>CLIP MX*REST SHAKA 808 MIGUEL HIDALG MEX</t>
  </si>
  <si>
    <t>Clip Mx Rest Shaka 808 Miguel Hidalg Mex</t>
  </si>
  <si>
    <t>TRX1219</t>
  </si>
  <si>
    <t>DLO*UBER RIDE          CIUDAD DE MEX MEX</t>
  </si>
  <si>
    <t>TRX1218</t>
  </si>
  <si>
    <t>TRX1217</t>
  </si>
  <si>
    <t>REA AUTOPISTA GPE      CADEREYTA JIM MEX</t>
  </si>
  <si>
    <t>Rea Autopista Gpe Cadereyta Jim Mex</t>
  </si>
  <si>
    <t>TRX1216</t>
  </si>
  <si>
    <t>REST CAFE  BARCELO     SN PEDRO GARZ MEX</t>
  </si>
  <si>
    <t>Rest Cafe Barcelo Sn Pedro Garz Mex</t>
  </si>
  <si>
    <t>TRX1215</t>
  </si>
  <si>
    <t>TRX1214</t>
  </si>
  <si>
    <t>POPEYES EULER          CIUDAD DE MEX MEX</t>
  </si>
  <si>
    <t>Popeyes</t>
  </si>
  <si>
    <t>TRX1213</t>
  </si>
  <si>
    <t>Jorge Armando Ramirez Perez</t>
  </si>
  <si>
    <t>OXXOPORTAL DE HDA MTY  GUADALUPE NL  MEX</t>
  </si>
  <si>
    <t>Oxxoportal De Hda Mty Guadalupe Nl Mex</t>
  </si>
  <si>
    <t>TRX1212</t>
  </si>
  <si>
    <t>COME REST              MEXICO DF     MEX</t>
  </si>
  <si>
    <t>Come Rest Mexico Df Mex</t>
  </si>
  <si>
    <t>TRX1211</t>
  </si>
  <si>
    <t>REST KURAI FASHION DRI SN PEDRO GARZ MEX</t>
  </si>
  <si>
    <t>Rest Kurai Fashion Dri Sn Pedro Garz Mex</t>
  </si>
  <si>
    <t>TRX1210</t>
  </si>
  <si>
    <t>TRX1209</t>
  </si>
  <si>
    <t>20260203T01:01:01/D LOCAL*DIDI RIDES\UNKNOWN\UNKNOWN\06500        MEX</t>
  </si>
  <si>
    <t>TRX1208</t>
  </si>
  <si>
    <t>TRX1207</t>
  </si>
  <si>
    <t>TRX1206</t>
  </si>
  <si>
    <t>SAMS VENTA EN LINEA    MEXICO DF     MEX</t>
  </si>
  <si>
    <t>Sam's Club</t>
  </si>
  <si>
    <t>TRX1205</t>
  </si>
  <si>
    <t>TRX1204</t>
  </si>
  <si>
    <t>REST EL LECHERO        VERACRUZ VER  MEX</t>
  </si>
  <si>
    <t>Rest El Lechero Veracruz Ver Mex</t>
  </si>
  <si>
    <t>TRX1203</t>
  </si>
  <si>
    <t>OXXO GAS 15 DE MAYO    MONTERREY NL  MEX</t>
  </si>
  <si>
    <t>Oxxo</t>
  </si>
  <si>
    <t>TRX1202</t>
  </si>
  <si>
    <t>TRX1201</t>
  </si>
  <si>
    <t>FAR GUAD 1052          TECAMAC EM    MEX</t>
  </si>
  <si>
    <t>Far Guad 1052 Tecamac Em Mex</t>
  </si>
  <si>
    <t>TRX1200</t>
  </si>
  <si>
    <t>SERVICIO CABRAL        TOLUCA EM     MEX</t>
  </si>
  <si>
    <t>Servicio Cabral Toluca Em Mex</t>
  </si>
  <si>
    <t>TRX1199</t>
  </si>
  <si>
    <t>FIX EL CERRITO         CUAUTITLAN IZ MEX</t>
  </si>
  <si>
    <t>Fix El Cerrito Cuautitlan Iz Mex</t>
  </si>
  <si>
    <t>TRX1198</t>
  </si>
  <si>
    <t>OXXOSAN ANTONIO 17 MEX CUAUTITLAN EM MEX</t>
  </si>
  <si>
    <t>Oxxosan Antonio 17 Mex Cuautitlan Em Mex</t>
  </si>
  <si>
    <t>TRX1196</t>
  </si>
  <si>
    <t>FERR EXPRESS CEDROS    TIJUANA BCN   MEX</t>
  </si>
  <si>
    <t>Ferr Express Cedros Tijuana Bcn Mex</t>
  </si>
  <si>
    <t>TRX1197</t>
  </si>
  <si>
    <t>WOLFGANG PUCK CUT      LAS VEGAS     USA</t>
  </si>
  <si>
    <t>Wolfgang Puck</t>
  </si>
  <si>
    <t>TRX1195</t>
  </si>
  <si>
    <t>COSMOPOL-SELF PARKIN   LAS VEGAS     USA</t>
  </si>
  <si>
    <t>Cosmopol Self Parkin Las Vegas USA</t>
  </si>
  <si>
    <t>TRX1194</t>
  </si>
  <si>
    <t>THE CANNON - BERING    HOUSTON       USA</t>
  </si>
  <si>
    <t>The Cannon Bering Houston USA</t>
  </si>
  <si>
    <t>552568XXXXXX4027</t>
  </si>
  <si>
    <t>TRX1193</t>
  </si>
  <si>
    <t>Viasat, Inc.           8669453258    USA</t>
  </si>
  <si>
    <t>Viasat</t>
  </si>
  <si>
    <t>TRX1192</t>
  </si>
  <si>
    <t>SQ *LAS VEGAS CONVENTI Las Vegas     USA</t>
  </si>
  <si>
    <t>Las Vegas Conventi Las Vegas USA</t>
  </si>
  <si>
    <t>TRX1191</t>
  </si>
  <si>
    <t>TRX1190</t>
  </si>
  <si>
    <t>TARGET T-0265          LAS VEGAS     USA</t>
  </si>
  <si>
    <t>Target</t>
  </si>
  <si>
    <t>TRX1189</t>
  </si>
  <si>
    <t>TRX1187</t>
  </si>
  <si>
    <t>VENETIAN RESORT PARKIN LAS VEGAS     USA</t>
  </si>
  <si>
    <t>Venetian Resort Parkin Las Vegas USA</t>
  </si>
  <si>
    <t>TRX1188</t>
  </si>
  <si>
    <t>PAMPA GRILL &amp; MARKET   HOUSTON       USA</t>
  </si>
  <si>
    <t>Pampa Grill &amp; Market Houston USA</t>
  </si>
  <si>
    <t>TRX1186</t>
  </si>
  <si>
    <t>UBER   * PENDING       SAN FRANCISCO USA</t>
  </si>
  <si>
    <t>TRX1185</t>
  </si>
  <si>
    <t>Amazon Mexico          CMX           MEX</t>
  </si>
  <si>
    <t>Amazon</t>
  </si>
  <si>
    <t>TRX1184</t>
  </si>
  <si>
    <t>TRX1183</t>
  </si>
  <si>
    <t>COM RAP BOL D ORO RU C BOCA DEL RIO  MEX</t>
  </si>
  <si>
    <t>Com Rap Bol D Oro Ru C Boca Del Rio Mex</t>
  </si>
  <si>
    <t>TRX1182</t>
  </si>
  <si>
    <t>VTA A BORDO VAEROBUS   CIUDAD DE MEX MEX</t>
  </si>
  <si>
    <t>Vta A Bordo Vaerobus Ciudad De Mex Mex</t>
  </si>
  <si>
    <t>TRX1181</t>
  </si>
  <si>
    <t>552568XXXXXX2895</t>
  </si>
  <si>
    <t>TRX1180</t>
  </si>
  <si>
    <t>COM RAP KE RICO PTA 8  CIUDAD DE MEX MEX</t>
  </si>
  <si>
    <t>Com Rap Ke Rico Pta 8 Ciudad De Mex Mex</t>
  </si>
  <si>
    <t>TRX1179</t>
  </si>
  <si>
    <t>TRX1178</t>
  </si>
  <si>
    <t>TRX1177</t>
  </si>
  <si>
    <t>TRX1176</t>
  </si>
  <si>
    <t>TRX1175</t>
  </si>
  <si>
    <t>TRX1174</t>
  </si>
  <si>
    <t>ESTAC PARCO KIOSKO     ZAPOPAN JAL   MEX</t>
  </si>
  <si>
    <t>Estac Parco Kiosko Zapopan Jal Mex</t>
  </si>
  <si>
    <t>TRX1173</t>
  </si>
  <si>
    <t>552568XXXXXX0916</t>
  </si>
  <si>
    <t>TRX1172</t>
  </si>
  <si>
    <t>SMARTPY*HOTCITYCEMTA   KAPA          MEX</t>
  </si>
  <si>
    <t>Smartpy Hotcitycemta Kapa Mex</t>
  </si>
  <si>
    <t>TRX1171</t>
  </si>
  <si>
    <t>TRX1170</t>
  </si>
  <si>
    <t>MERCADOPAGO *FIERCEMX  Ciudad de Mex MEX</t>
  </si>
  <si>
    <t>TRX1169</t>
  </si>
  <si>
    <t>DLO*Uber               CDMX          MEX</t>
  </si>
  <si>
    <t>TRX1168</t>
  </si>
  <si>
    <t>TRX1167</t>
  </si>
  <si>
    <t>552568XXXXXX2010</t>
  </si>
  <si>
    <t>TRX1166</t>
  </si>
  <si>
    <t>TH ALTEA HUINALA MP    APODACA NL    MEX</t>
  </si>
  <si>
    <t>Th Altea Huinala Mp Apodaca Nl Mex</t>
  </si>
  <si>
    <t>TRX1165</t>
  </si>
  <si>
    <t>Harold Pape</t>
  </si>
  <si>
    <t>TRX1164</t>
  </si>
  <si>
    <t>STARBUCKS PUERTO CANC  ROO           MEX</t>
  </si>
  <si>
    <t>TRX1163</t>
  </si>
  <si>
    <t>TRX1162</t>
  </si>
  <si>
    <t>TRX1161</t>
  </si>
  <si>
    <t>HOME DEPOT             VERACRUZ VER  MEX</t>
  </si>
  <si>
    <t>The Home Depot</t>
  </si>
  <si>
    <t>TRX1160</t>
  </si>
  <si>
    <t>TRX1159</t>
  </si>
  <si>
    <t>TRX1158</t>
  </si>
  <si>
    <t>REST LA PIZZARRA       CIUDAD DE MEX MEX</t>
  </si>
  <si>
    <t>Rest La Pizzarra Ciudad De Mex Mex</t>
  </si>
  <si>
    <t>TRX1157</t>
  </si>
  <si>
    <t>STR*SYNTAGE            CIUDAD DE MEX MEX</t>
  </si>
  <si>
    <t>Str Syntage Ciudad De Mex Mex</t>
  </si>
  <si>
    <t>TRX1156</t>
  </si>
  <si>
    <t>EL SAZON DE MAMA       CIUDAD DE MEX MEX</t>
  </si>
  <si>
    <t>El Sazon De Mama Ciudad De Mex Mex</t>
  </si>
  <si>
    <t>TRX1155</t>
  </si>
  <si>
    <t>OXXO SAN IGNACIO QRF   POLOTITLAN EM MEX</t>
  </si>
  <si>
    <t>TRX1154</t>
  </si>
  <si>
    <t>TRX1153</t>
  </si>
  <si>
    <t>TRX1152</t>
  </si>
  <si>
    <t>TRX1151</t>
  </si>
  <si>
    <t>GAS JUVITA             MEXICO DF     MEX</t>
  </si>
  <si>
    <t>Gas Juvita Mexico Df Mex</t>
  </si>
  <si>
    <t>TRX1150</t>
  </si>
  <si>
    <t>FARM ASESORIA 4        ECATEPEC DE M MEX</t>
  </si>
  <si>
    <t>Farm Asesoria 4 Ecatepec De M Mex</t>
  </si>
  <si>
    <t>TRX1149</t>
  </si>
  <si>
    <t>CASHI ECOMMERCE RC     CIUDAD DE MEX MEX</t>
  </si>
  <si>
    <t>Cashi Ecommerce Rc Ciudad De Mex Mex</t>
  </si>
  <si>
    <t>TRX1148</t>
  </si>
  <si>
    <t>AIFA INTERNACIONAL PAC ZUMPANGO EM   MEX</t>
  </si>
  <si>
    <t>Aifa Internacional Pac Zumpango Em Mex</t>
  </si>
  <si>
    <t>TRX1036</t>
  </si>
  <si>
    <t>TRX1834</t>
  </si>
  <si>
    <t>TRX1398</t>
  </si>
  <si>
    <t>POLLOS ANAHUAC         SN NICOLAS DE MEX</t>
  </si>
  <si>
    <t>Pollos Anahuac Sn Nicolas De Mex</t>
  </si>
  <si>
    <t>TRX1999</t>
  </si>
  <si>
    <t>GITHUB, INC.           SAN FRANCISCO USA</t>
  </si>
  <si>
    <t>Github</t>
  </si>
  <si>
    <t>UBER   *TRIP           SAN FRANCISCO USA</t>
  </si>
  <si>
    <t>TRX1069</t>
  </si>
  <si>
    <t>REST TACOS FE BOLIVAR  VERACRUZ VER  MEX</t>
  </si>
  <si>
    <t>Rest Tacos Fe Bolivar Veracruz Ver Mex</t>
  </si>
  <si>
    <t>TRX1484</t>
  </si>
  <si>
    <t>H SOBERANO CHIH        CHIHUAHUA CHI MEX</t>
  </si>
  <si>
    <t>H Soberano Chih Chihuahua Chi Mex</t>
  </si>
  <si>
    <t>TRX1871</t>
  </si>
  <si>
    <t>TDAS CHEDRAUI          CANCUN QROO   MEX</t>
  </si>
  <si>
    <t>Tdas Chedraui Cancun Qroo Mex</t>
  </si>
  <si>
    <t>TRX1593</t>
  </si>
  <si>
    <t>Google Report Run Pho  Mountain View USA</t>
  </si>
  <si>
    <t>TRX1903</t>
  </si>
  <si>
    <t>TRX1778</t>
  </si>
  <si>
    <t>AEROMEXICO WEB PN      CIUDAD DE MEX MEX</t>
  </si>
  <si>
    <t>Aeromexico</t>
  </si>
  <si>
    <t>TRX1547</t>
  </si>
  <si>
    <t>TRX2001</t>
  </si>
  <si>
    <t>EL POLLO LOCO          GUADALUPE NL  MEX</t>
  </si>
  <si>
    <t>El Pollo Loco</t>
  </si>
  <si>
    <t>TRX1306</t>
  </si>
  <si>
    <t>SKY BAR                SN PEDRO GARZ MEX</t>
  </si>
  <si>
    <t>Sky Bar Sn Pedro Garz Mex</t>
  </si>
  <si>
    <t>TRX1658</t>
  </si>
  <si>
    <t>AICM TI 5              CIUDAD DE MEX MEX</t>
  </si>
  <si>
    <t>Aicm Ti 5 Ciudad De Mex Mex</t>
  </si>
  <si>
    <t>TRX1388</t>
  </si>
  <si>
    <t>EL PAPALOTE PALO BLANC SN PEDRO GARZ MEX</t>
  </si>
  <si>
    <t>El Papalote Palo Blanc Sn Pedro Garz Mex</t>
  </si>
  <si>
    <t>TRX1972</t>
  </si>
  <si>
    <t>TRX1131</t>
  </si>
  <si>
    <t>TRX1028</t>
  </si>
  <si>
    <t>TRX1732</t>
  </si>
  <si>
    <t>OXXOMICROPARQUE QRF    QUERETARO QRO MEX</t>
  </si>
  <si>
    <t>Oxxomicroparque Qrf Queretaro Qro Mex</t>
  </si>
  <si>
    <t>TRX1815</t>
  </si>
  <si>
    <t>GAS SERVI BOUL         TEOLOYUCAN EM MEX</t>
  </si>
  <si>
    <t>Gas Servi Boul Teoloyucan Em Mex</t>
  </si>
  <si>
    <t>TRX1470</t>
  </si>
  <si>
    <t>CLIP MX*REST SAKS POLA MIGUEL HIDALG MEX</t>
  </si>
  <si>
    <t>Clip Mx Rest Saks Pola Miguel Hidalg Mex</t>
  </si>
  <si>
    <t>TRX1939</t>
  </si>
  <si>
    <t>GASOL LOS APASEO       APASEO EL ALT MEX</t>
  </si>
  <si>
    <t>Gasol Los Apaseo Apaseo El Alt Mex</t>
  </si>
  <si>
    <t>TRX1733</t>
  </si>
  <si>
    <t>TRX1110</t>
  </si>
  <si>
    <t>TRX1804</t>
  </si>
  <si>
    <t>SQ *MONKEY NEST COFFEE Austin        USA</t>
  </si>
  <si>
    <t>Monkey Nest Coffee Austin USA</t>
  </si>
  <si>
    <t>TRX1495</t>
  </si>
  <si>
    <t>TRX1089</t>
  </si>
  <si>
    <t>TRX1576</t>
  </si>
  <si>
    <t>COSMOPOL-FRONT DESK    LAS VEGAS     USA</t>
  </si>
  <si>
    <t>Cosmopol Front Desk Las Vegas USA</t>
  </si>
  <si>
    <t>TRX1071</t>
  </si>
  <si>
    <t>UBER   *JASONSDELI     SAN FRANCISCO USA</t>
  </si>
  <si>
    <t>TRX1485</t>
  </si>
  <si>
    <t>CHICK-FIL-A #04666     LAS VEGAS     USA</t>
  </si>
  <si>
    <t>Chick-fil-A</t>
  </si>
  <si>
    <t>TRX1058</t>
  </si>
  <si>
    <t>TRX1438</t>
  </si>
  <si>
    <t>WEBFLOW.COM            SAN FRANCISCO USA</t>
  </si>
  <si>
    <t>Webflow</t>
  </si>
  <si>
    <t>Ricardo Malo de Molina</t>
  </si>
  <si>
    <t>MISUMI USA INC.        SCHAUMBURG    USA</t>
  </si>
  <si>
    <t>Misumi USA Schaumburg USA</t>
  </si>
  <si>
    <t>TRX1723</t>
  </si>
  <si>
    <t>TRX1757</t>
  </si>
  <si>
    <t>ELEONORA REST          CHIHUAHUA CHI MEX</t>
  </si>
  <si>
    <t>Eleonora Rest Chihuahua Chi Mex</t>
  </si>
  <si>
    <t>TRX1452</t>
  </si>
  <si>
    <t>TRX1920</t>
  </si>
  <si>
    <t>TRX1430</t>
  </si>
  <si>
    <t>TRX1950</t>
  </si>
  <si>
    <t>TRX1140</t>
  </si>
  <si>
    <t>TRX1627</t>
  </si>
  <si>
    <t>TRX1801</t>
  </si>
  <si>
    <t>TRX1644</t>
  </si>
  <si>
    <t>552568XXXXXX8863</t>
  </si>
  <si>
    <t>TRX1722</t>
  </si>
  <si>
    <t>TRX1717</t>
  </si>
  <si>
    <t>TRX1046</t>
  </si>
  <si>
    <t>TRX1937</t>
  </si>
  <si>
    <t>TRX1883</t>
  </si>
  <si>
    <t>TRX1952</t>
  </si>
  <si>
    <t>RECARGA PASE TUTAG     CIUDAD DE MEX MEX</t>
  </si>
  <si>
    <t>Recarga Pase Tutag Ciudad De Mex Mex</t>
  </si>
  <si>
    <t>TRX1689</t>
  </si>
  <si>
    <t>COM RAP ACO CHIH APTO  CHIHUAHUA CHI MEX</t>
  </si>
  <si>
    <t>Com Rap Aco Chih Apto Chihuahua Chi Mex</t>
  </si>
  <si>
    <t>TRX1504</t>
  </si>
  <si>
    <t>AVIS MXN               MERIDA YUC    MEX</t>
  </si>
  <si>
    <t>Avis Rent A Car</t>
  </si>
  <si>
    <t>TRX1474</t>
  </si>
  <si>
    <t>REST CHIHUAHUA         CHIHUAHUA CHI MEX</t>
  </si>
  <si>
    <t>Rest Chihuahua Chihuahua Chi Mex</t>
  </si>
  <si>
    <t>TRX1411</t>
  </si>
  <si>
    <t>MERCADOPAGO *PEAJESAC  Tlalnepantla  MEX</t>
  </si>
  <si>
    <t>TRX1380</t>
  </si>
  <si>
    <t>KFC 1100 PIN TLACOPA   TOLUCA EM     MEX</t>
  </si>
  <si>
    <t>Kentucky Fried Chicken</t>
  </si>
  <si>
    <t>TRX1360</t>
  </si>
  <si>
    <t>TRX1346</t>
  </si>
  <si>
    <t>TRX1328</t>
  </si>
  <si>
    <t>TRX1142</t>
  </si>
  <si>
    <t>EBSSATAXI CUU CAJA 1   CHIHUAHUA CHI MEX</t>
  </si>
  <si>
    <t>Ebssataxi Cuu Caja 1 Chihuahua Chi Mex</t>
  </si>
  <si>
    <t>TRX1082</t>
  </si>
  <si>
    <t>MERCADOPAGO *SELENEGH  Tizayuca      MEX</t>
  </si>
  <si>
    <t>TRX1954</t>
  </si>
  <si>
    <t>TRX1527</t>
  </si>
  <si>
    <t>TRX1108</t>
  </si>
  <si>
    <t>OXXO EJERCITO          TIZAYUCA HGO  MEX</t>
  </si>
  <si>
    <t>TRX1686</t>
  </si>
  <si>
    <t>CAFE PARROQ VERACRUZ   VERACRUZ VER  MEX</t>
  </si>
  <si>
    <t>Cafe Parroq Veracruz Veracruz Ver Mex</t>
  </si>
  <si>
    <t>TRX1566</t>
  </si>
  <si>
    <t>7 ELEVEN AZTECA        GUADALUPE NL  MEX</t>
  </si>
  <si>
    <t>7 Eleven</t>
  </si>
  <si>
    <t>TRX1672</t>
  </si>
  <si>
    <t>ELECT STEREN           CIUDAD DE MEX MEX</t>
  </si>
  <si>
    <t>Elect Steren Ciudad De Mex Mex</t>
  </si>
  <si>
    <t>Jorge Pena De La Luz</t>
  </si>
  <si>
    <t>MEXPAGO*MUEVECIUDAD    CIUDAD DE MEX MEX</t>
  </si>
  <si>
    <t>Mexpago Mueveciudad Ciudad De Mex Mex</t>
  </si>
  <si>
    <t>552568XXXXXX3800</t>
  </si>
  <si>
    <t>TRX1864</t>
  </si>
  <si>
    <t>PAYPAL *PASESERVICI    MEXICO CITY   MEX</t>
  </si>
  <si>
    <t>Paseservici Mexico City Mex</t>
  </si>
  <si>
    <t>TRX1432</t>
  </si>
  <si>
    <t>TRX1407</t>
  </si>
  <si>
    <t>DOMINOS PTO CANCUN     BENITO JUAREZ MEX</t>
  </si>
  <si>
    <t>Domino's</t>
  </si>
  <si>
    <t>TRX1923</t>
  </si>
  <si>
    <t>PETRO7 GAS CORTIJO DEL MONTERREY NL  MEX</t>
  </si>
  <si>
    <t>Petro7 Gas Cortijo Del Monterrey Nl Mex</t>
  </si>
  <si>
    <t>TRX1528</t>
  </si>
  <si>
    <t>VIPS MACROPLAZA TIJUAN TIJUANA BCN   MEX</t>
  </si>
  <si>
    <t>Vips Macroplaza Tijuan Tijuana Bcn Mex</t>
  </si>
  <si>
    <t>TRX1611</t>
  </si>
  <si>
    <t>REST RUPESTRE          MONTERREY NL  MEX</t>
  </si>
  <si>
    <t>Rest Rupestre Monterrey Nl Mex</t>
  </si>
  <si>
    <t>TRX2022</t>
  </si>
  <si>
    <t>REST KAMPAI            CHIHUAHUA CHI MEX</t>
  </si>
  <si>
    <t>Rest Kampai Chihuahua Chi Mex</t>
  </si>
  <si>
    <t>TRX1863</t>
  </si>
  <si>
    <t>CHILIS CHIHUAHUA II    CHIHUAHUA CHI MEX</t>
  </si>
  <si>
    <t>Chili's</t>
  </si>
  <si>
    <t>TRX1676</t>
  </si>
  <si>
    <t>TRX1130</t>
  </si>
  <si>
    <t>7 ELEVEN DIAZ ORDAZ    SANTA CATARIN MEX</t>
  </si>
  <si>
    <t>PASTELERIA LOS TULIPAN CIUDAD DE MEX MEX</t>
  </si>
  <si>
    <t>Pasteleria Los Tulipan Ciudad De Mex Mex</t>
  </si>
  <si>
    <t>TRX1121</t>
  </si>
  <si>
    <t>GASOL CAP AVANDARO     VALLE DE BRAV MEX</t>
  </si>
  <si>
    <t>Gasol Cap Avandaro Valle De Brav Mex</t>
  </si>
  <si>
    <t>TRX1892</t>
  </si>
  <si>
    <t>EL FELIGREZ            SALTILLO COAH MEX</t>
  </si>
  <si>
    <t>El Saltillo</t>
  </si>
  <si>
    <t>TRX1745</t>
  </si>
  <si>
    <t>7 ELEVEN T2250         BENITO JUAREZ MEX</t>
  </si>
  <si>
    <t>TRX1571</t>
  </si>
  <si>
    <t>ESTACION PORTICOS      TIJUANA BCN   MEX</t>
  </si>
  <si>
    <t>Estacion Porticos Tijuana Bcn Mex</t>
  </si>
  <si>
    <t>TRX1009</t>
  </si>
  <si>
    <t>AEB WEB ECOMMERCE      CIUDAD DE MEX MEX</t>
  </si>
  <si>
    <t>Aeb Web Ecommerce Ciudad De Mex Mex</t>
  </si>
  <si>
    <t>TRX1370</t>
  </si>
  <si>
    <t>D LOCAL*REST DIDIFOOD  CIUDAD DE MEX MEX</t>
  </si>
  <si>
    <t>D Local Rest Didifood Ciudad De Mex Mex</t>
  </si>
  <si>
    <t>TRX1014</t>
  </si>
  <si>
    <t>OXXO TULUM             CANCUN QROO   MEX</t>
  </si>
  <si>
    <t>TRX1906</t>
  </si>
  <si>
    <t>RENE GRANADOS</t>
  </si>
  <si>
    <t>GASOL SAN VICENTE      CHICOLOAPAN E MEX</t>
  </si>
  <si>
    <t>Gasol San Vicente Chicoloapan E Mex</t>
  </si>
  <si>
    <t>TRX1603</t>
  </si>
  <si>
    <t>BGA AURRERA TIZAYUCA   TIZAYUCA HGO  MEX</t>
  </si>
  <si>
    <t>Bga Aurrera Tizayuca Tizayuca Hgo Mex</t>
  </si>
  <si>
    <t>TRX1538</t>
  </si>
  <si>
    <t>GASOLINERA COMB ERMITA CIUDAD DE MEX MEX</t>
  </si>
  <si>
    <t>Gasolinera Comb Ermita Ciudad De Mex Mex</t>
  </si>
  <si>
    <t>TRX1707</t>
  </si>
  <si>
    <t>TRX1977</t>
  </si>
  <si>
    <t>REST NX DE MEXICO IKAA SOLEDAD DE GR MEX</t>
  </si>
  <si>
    <t>Rest Nx De Mexico Ikaa Soledad De Gr Mex</t>
  </si>
  <si>
    <t>TRX1311</t>
  </si>
  <si>
    <t>PANDA EXPRESS PRADO NT CIUDAD DE MEX MEX</t>
  </si>
  <si>
    <t>Panda Express</t>
  </si>
  <si>
    <t>TRX1661</t>
  </si>
  <si>
    <t>EVOLVE ST2409          LAS VEGAS     USA</t>
  </si>
  <si>
    <t>Evolve St2409 Las Vegas USA</t>
  </si>
  <si>
    <t>TRX1724</t>
  </si>
  <si>
    <t>TRX1719</t>
  </si>
  <si>
    <t>DENNY'S #9686          Las Vegas     USA</t>
  </si>
  <si>
    <t>Dennys</t>
  </si>
  <si>
    <t>TRX1568</t>
  </si>
  <si>
    <t>20260204T00:00:00/SONESTA SIMPLY SUITES\4034 PARADISE RD\LAS VEGAS    \89169     NV USA</t>
  </si>
  <si>
    <t>TRX1408</t>
  </si>
  <si>
    <t>20260203T00:00:00/COSMOPOL-FRONT DESK\3708 LAS VEGAS BLVD S\LAS VEGAS\89109     NV USA</t>
  </si>
  <si>
    <t>T :00/Cosmopol Front Desk\3708 Las Vegas Blvd S\Las Vegas\ Nv USA</t>
  </si>
  <si>
    <t>TRX1024</t>
  </si>
  <si>
    <t>ABTS GC 63 KIKIMBE     BENITO JUAREZ MEX</t>
  </si>
  <si>
    <t>Abts Gc 63 Kikimbe Benito Juarez Mex</t>
  </si>
  <si>
    <t>TRX1079</t>
  </si>
  <si>
    <t>TRX1760</t>
  </si>
  <si>
    <t>TRX1741</t>
  </si>
  <si>
    <t>TRX1687</t>
  </si>
  <si>
    <t>TRX1074</t>
  </si>
  <si>
    <t>TRX1425</t>
  </si>
  <si>
    <t>TRX1981</t>
  </si>
  <si>
    <t>ACO MTY APTO TC CARLS  APODACA NL    MEX</t>
  </si>
  <si>
    <t>Aco Mty Apto Tc Carls Apodaca Nl Mex</t>
  </si>
  <si>
    <t>TRX1838</t>
  </si>
  <si>
    <t>TRX1895</t>
  </si>
  <si>
    <t>TRX1651</t>
  </si>
  <si>
    <t>MERCADOPAGO *ELANTOJO  Tijuana       MEX</t>
  </si>
  <si>
    <t>TRX1340</t>
  </si>
  <si>
    <t>MERCADOPAGO *DOSGARDE  Tultitln      MEX</t>
  </si>
  <si>
    <t>TRX1831</t>
  </si>
  <si>
    <t>DLO DIDI RIDES MX      CIUDAD DE MEX MEX</t>
  </si>
  <si>
    <t>TRX2007</t>
  </si>
  <si>
    <t>IPARK MTY INTERRED     APODACA NL    MEX</t>
  </si>
  <si>
    <t>Ipark Mty Interred Apodaca Nl Mex</t>
  </si>
  <si>
    <t>TRX1818</t>
  </si>
  <si>
    <t>MIT*TRANSP VOLARIS     CIUDAD DE MEX MEX</t>
  </si>
  <si>
    <t>TRX1544</t>
  </si>
  <si>
    <t>TRX1543</t>
  </si>
  <si>
    <t>TRX1758</t>
  </si>
  <si>
    <t>TRX1444</t>
  </si>
  <si>
    <t>REST DISTRITOGOURMET   CANCUN QROO   MEX</t>
  </si>
  <si>
    <t>Rest Distritogourmet Cancun Qroo Mex</t>
  </si>
  <si>
    <t>RFQ: 3369 - Gas para visita a cliente</t>
  </si>
  <si>
    <t>TRX1605</t>
  </si>
  <si>
    <t>OXXO GASTALAVERNA MTD  GUADALUPE NL  MEX</t>
  </si>
  <si>
    <t>TRX1541</t>
  </si>
  <si>
    <t>NOTION LABS, INC.      SAN FRANCISCO USA</t>
  </si>
  <si>
    <t>Notion</t>
  </si>
  <si>
    <t>TRX1648</t>
  </si>
  <si>
    <t>Amazon web services    SEATTLE       USA</t>
  </si>
  <si>
    <t>Amazon Web Services</t>
  </si>
  <si>
    <t>TRX1507</t>
  </si>
  <si>
    <t>SMARTSHEET INC.        BELLEVUE      USA</t>
  </si>
  <si>
    <t>Smartsheet</t>
  </si>
  <si>
    <t>TRX1383</t>
  </si>
  <si>
    <t>TRX1631</t>
  </si>
  <si>
    <t>BPK*EQUIOPERREST       LEON DE LOS A MEX</t>
  </si>
  <si>
    <t>Bpk Equioperrest Leon De Los A Mex</t>
  </si>
  <si>
    <t>TRX1602</t>
  </si>
  <si>
    <t>GAS MADERO             MONTERREY NL  MEX</t>
  </si>
  <si>
    <t>Gas Madero Monterrey Nl Mex</t>
  </si>
  <si>
    <t>TRX1995</t>
  </si>
  <si>
    <t>AGUACHILES CULICHI     TIJUANA BCN   MEX</t>
  </si>
  <si>
    <t>Aguachiles Culichi Tijuana Bcn Mex</t>
  </si>
  <si>
    <t>TRX1337</t>
  </si>
  <si>
    <t>TH RICARDO MARGAIN     SAN PEDRO GAR MEX</t>
  </si>
  <si>
    <t>Th Ricardo Margain San Pedro Gar Mex</t>
  </si>
  <si>
    <t>TRX1885</t>
  </si>
  <si>
    <t>TACOS DEL VALLE        SN PEDRO GARZ MEX</t>
  </si>
  <si>
    <t>Tacos Del Valle Sn Pedro Garz Mex</t>
  </si>
  <si>
    <t>TRX1491</t>
  </si>
  <si>
    <t>Antonio Lopez</t>
  </si>
  <si>
    <t>GAS OXXOCASTELLANA     MONTERREY NL  MEX</t>
  </si>
  <si>
    <t>Gas Oxxocastellana Monterrey Nl Mex</t>
  </si>
  <si>
    <t>TRX1097</t>
  </si>
  <si>
    <t>TRX1973</t>
  </si>
  <si>
    <t>TRX1094</t>
  </si>
  <si>
    <t>Google TikTok Videos   Mountain View USA</t>
  </si>
  <si>
    <t>TRX1703</t>
  </si>
  <si>
    <t>TRX1553</t>
  </si>
  <si>
    <t>BONCHON - MIDTOWN      HOUSTON       USA</t>
  </si>
  <si>
    <t>Bonchon Midtown Houston USA</t>
  </si>
  <si>
    <t>TRX1519</t>
  </si>
  <si>
    <t>TRX1958</t>
  </si>
  <si>
    <t>TRX1573</t>
  </si>
  <si>
    <t>TRX1116</t>
  </si>
  <si>
    <t>TRX1893</t>
  </si>
  <si>
    <t>TRX1113</t>
  </si>
  <si>
    <t>Plane ticket for Automate 2025</t>
  </si>
  <si>
    <t>TRX1984</t>
  </si>
  <si>
    <t>TRANS PARTY ON BOARD   CANCUN QROO   MEX</t>
  </si>
  <si>
    <t>Trans Party On Board Cancun Qroo Mex</t>
  </si>
  <si>
    <t>OFFICE DEPOT STAM      TLANEPANTLA E MEX</t>
  </si>
  <si>
    <t>Office Depot</t>
  </si>
  <si>
    <t>TRX1798</t>
  </si>
  <si>
    <t>TRX1684</t>
  </si>
  <si>
    <t>TRX1545</t>
  </si>
  <si>
    <t>GASOL LAS TORRES       ZINACANTEPEC  MEX</t>
  </si>
  <si>
    <t>Gasol Las Torres Zinacantepec Mex</t>
  </si>
  <si>
    <t>TRX1881</t>
  </si>
  <si>
    <t>AUTOZONE 7798          GUADALUPE NL  MEX</t>
  </si>
  <si>
    <t>Autozone</t>
  </si>
  <si>
    <t>TRX1791</t>
  </si>
  <si>
    <t>TACOS EL AMIGO         MONTERREY NL  MEX</t>
  </si>
  <si>
    <t>Tacos El Amigo Monterrey Nl Mex</t>
  </si>
  <si>
    <t>TRX1696</t>
  </si>
  <si>
    <t>TDAS CHEDRAUI S CAN 3  CANCUN QROO   MEX</t>
  </si>
  <si>
    <t>Tdas Chedraui S Can 3 Cancun Qroo Mex</t>
  </si>
  <si>
    <t>TRX1929</t>
  </si>
  <si>
    <t>7ELEVEN T2843 BANDERAS TIJUANA BCN   MEX</t>
  </si>
  <si>
    <t>TRX1588</t>
  </si>
  <si>
    <t>SUSHI ROLL CANCUN      CANCUN QROO   MEX</t>
  </si>
  <si>
    <t>Sushi Roll Cancun Cancun Qroo Mex</t>
  </si>
  <si>
    <t>TRX1783</t>
  </si>
  <si>
    <t>TELCEL RECARGAS FONY   CIUDAD DE MEX MEX</t>
  </si>
  <si>
    <t>Telcel</t>
  </si>
  <si>
    <t>TRX1505</t>
  </si>
  <si>
    <t>TRX1466</t>
  </si>
  <si>
    <t>PLUS LAS AMERICAS      BENITO JUAREZ MEX</t>
  </si>
  <si>
    <t>Plus Las Americas Benito Juarez Mex</t>
  </si>
  <si>
    <t>RFQ: 3369 - Caseta para visita a cliente</t>
  </si>
  <si>
    <t>TRX1905</t>
  </si>
  <si>
    <t>COURTYARD BY MARRIOT   AUSTIN        USA</t>
  </si>
  <si>
    <t>Courtyard</t>
  </si>
  <si>
    <t>TRX1329</t>
  </si>
  <si>
    <t>JIM'S #11              AUSTIN        USA</t>
  </si>
  <si>
    <t>Jim's Austin USA</t>
  </si>
  <si>
    <t>TRX1141</t>
  </si>
  <si>
    <t>SIXT_LV_POS_42299      LAS VEGAS     USA</t>
  </si>
  <si>
    <t>Sixt</t>
  </si>
  <si>
    <t>TRX1752</t>
  </si>
  <si>
    <t>20260208T01:01:01/PALACIO RENT A CAR\UNKNOWN\TIJUANA BCN\22404        MEX</t>
  </si>
  <si>
    <t>T :01/Palacio Rent A Car\Unknown\Tijuana Bcn\22404 Mex</t>
  </si>
  <si>
    <t>TRX1435</t>
  </si>
  <si>
    <t>TRX2003</t>
  </si>
  <si>
    <t>TRX1660</t>
  </si>
  <si>
    <t>ENERGETICOS ZAPATA 1   TIZAYUCA HGO  MEX</t>
  </si>
  <si>
    <t>Energeticos Zapata 1 Tizayuca Hgo Mex</t>
  </si>
  <si>
    <t>TRX1720</t>
  </si>
  <si>
    <t>TRX1675</t>
  </si>
  <si>
    <t>TRX1535</t>
  </si>
  <si>
    <t>STARBUCKS AIFA N AMB   MEX           MEX</t>
  </si>
  <si>
    <t>TRX2026</t>
  </si>
  <si>
    <t>TRX1423</t>
  </si>
  <si>
    <t>TRX2010</t>
  </si>
  <si>
    <t>TRX1107</t>
  </si>
  <si>
    <t>TRX1469</t>
  </si>
  <si>
    <t>TRX1081</t>
  </si>
  <si>
    <t>TRX1642</t>
  </si>
  <si>
    <t>Gasolina traslados</t>
  </si>
  <si>
    <t>TRX1829</t>
  </si>
  <si>
    <t>TRX1877</t>
  </si>
  <si>
    <t>552568XXXXXX3663</t>
  </si>
  <si>
    <t>PPROMEX*LINKEDIN       CIUDAD DE MEX MEX</t>
  </si>
  <si>
    <t>Linkedin</t>
  </si>
  <si>
    <t>552568XXXXXX2113</t>
  </si>
  <si>
    <t>TRX1395</t>
  </si>
  <si>
    <t>ODM ORIZABA            ORIZABA VER   MEX</t>
  </si>
  <si>
    <t>Odm Orizaba Orizaba Ver Mex</t>
  </si>
  <si>
    <t>TRX1015</t>
  </si>
  <si>
    <t>AEROMEXICO CC PN       CIUDAD DE MEX MEX</t>
  </si>
  <si>
    <t>TRX2011</t>
  </si>
  <si>
    <t>20260208T01:01:01/D LOCAL*DIDI RIDES\UNKNOWN\UNKNOWN\06500        MEX</t>
  </si>
  <si>
    <t>TRX1330</t>
  </si>
  <si>
    <t>TRX1125</t>
  </si>
  <si>
    <t>OXXO G ZAPATA PAC      TIZAYUCA HGO  MEX</t>
  </si>
  <si>
    <t>TRX1361</t>
  </si>
  <si>
    <t>TRX1805</t>
  </si>
  <si>
    <t>TRX1896</t>
  </si>
  <si>
    <t>TRX1875</t>
  </si>
  <si>
    <t>CURSOR, AI POWERED IDE NEW YORK      USA</t>
  </si>
  <si>
    <t>Cursor Ai Powered Ide New York USA</t>
  </si>
  <si>
    <t>TRX1109</t>
  </si>
  <si>
    <t>REST ROLANDIS CUMBRE   CANCUN QROO   MEX</t>
  </si>
  <si>
    <t>Rest Rolandis Cumbre Cancun Qroo Mex</t>
  </si>
  <si>
    <t>TRX2021</t>
  </si>
  <si>
    <t>SERV ALISAS            LERMA EM      MEX</t>
  </si>
  <si>
    <t>Serv Alisas Lerma Em Mex</t>
  </si>
  <si>
    <t>TRX1767</t>
  </si>
  <si>
    <t>TRX1601</t>
  </si>
  <si>
    <t>TRX1595</t>
  </si>
  <si>
    <t>TRX1501</t>
  </si>
  <si>
    <t>REST ENO VIRREYES      CIUDAD DE MEX MEX</t>
  </si>
  <si>
    <t>Rest Eno Virreyes Ciudad De Mex Mex</t>
  </si>
  <si>
    <t>TRX1060</t>
  </si>
  <si>
    <t>COM RAP ACO MX AP T1 G CIUDAD DE MEX MEX</t>
  </si>
  <si>
    <t>Com Rap Aco Mx Ap T1 G Ciudad De Mex Mex</t>
  </si>
  <si>
    <t>TRX1059</t>
  </si>
  <si>
    <t>TRX1145</t>
  </si>
  <si>
    <t>TRX1770</t>
  </si>
  <si>
    <t>TRX1426</t>
  </si>
  <si>
    <t>TRX1736</t>
  </si>
  <si>
    <t>552568XXXXXX3933</t>
  </si>
  <si>
    <t>TRX1455</t>
  </si>
  <si>
    <t>PARIS 16 BISTRO        CIUDAD DE MEX MEX</t>
  </si>
  <si>
    <t>Paris Bistro</t>
  </si>
  <si>
    <t>TRX1406</t>
  </si>
  <si>
    <t>TRX1100</t>
  </si>
  <si>
    <t>TRX2023</t>
  </si>
  <si>
    <t>TRX1731</t>
  </si>
  <si>
    <t>BAIFO RESTAURANT       SALTILLO COAH MEX</t>
  </si>
  <si>
    <t>Baifo Restaurant Saltillo Coah Mex</t>
  </si>
  <si>
    <t>TRX1126</t>
  </si>
  <si>
    <t>TRX2018</t>
  </si>
  <si>
    <t>TRX1880</t>
  </si>
  <si>
    <t>REST GRAN CAFE DE LA P VERACRUZ VER  MEX</t>
  </si>
  <si>
    <t>Rest Gran Cafe De La P Veracruz Ver Mex</t>
  </si>
  <si>
    <t>TRX1907</t>
  </si>
  <si>
    <t>SERV LOPEZ PORTILL     TOLUCA EM     MEX</t>
  </si>
  <si>
    <t>Serv Lopez Portill Toluca Em Mex</t>
  </si>
  <si>
    <t>TRX1464</t>
  </si>
  <si>
    <t>MERCADOPAGO *GORDITAS  Saltillo      MEX</t>
  </si>
  <si>
    <t>TRX1910</t>
  </si>
  <si>
    <t>TRX1824</t>
  </si>
  <si>
    <t>GASOL ESTAC MEXIQUEN 2 TOLUCA EM     MEX</t>
  </si>
  <si>
    <t>Gasol Estac Mexiquen 2 Toluca Em Mex</t>
  </si>
  <si>
    <t>TRX1781</t>
  </si>
  <si>
    <t>TRX1915</t>
  </si>
  <si>
    <t>TRX1010</t>
  </si>
  <si>
    <t>TRX1918</t>
  </si>
  <si>
    <t>GPDC CONSULADO         CIUDAD DE MEX MEX</t>
  </si>
  <si>
    <t>Gpdc Consulado Ciudad De Mex Mex</t>
  </si>
  <si>
    <t>TRX1304</t>
  </si>
  <si>
    <t>OFFICE MAX CAN CUN II  BENITO JUAREZ MEX</t>
  </si>
  <si>
    <t>TRX1790</t>
  </si>
  <si>
    <t>TRX1887</t>
  </si>
  <si>
    <t>TRX1693</t>
  </si>
  <si>
    <t>UN LUGAR DE LA MANCHA  CIUDAD DE MEX MEX</t>
  </si>
  <si>
    <t>Un Lugar De La Mancha Ciudad De Mex Mex</t>
  </si>
  <si>
    <t>TRX1386</t>
  </si>
  <si>
    <t>TRX1419</t>
  </si>
  <si>
    <t>TRX1740</t>
  </si>
  <si>
    <t>TH CARRANZA            SALTILLO COAH MEX</t>
  </si>
  <si>
    <t>Th Carranza Saltillo Coah Mex</t>
  </si>
  <si>
    <t>TRX1322</t>
  </si>
  <si>
    <t>RED ESTATAL DE AUTOPIS APODACA NL    MEX</t>
  </si>
  <si>
    <t>Red Estatal De Autopis Apodaca Nl Mex</t>
  </si>
  <si>
    <t>TRX1467</t>
  </si>
  <si>
    <t>20260209T01:01:01/D LOCAL*DIDI RIDES\UNKNOWN\UNKNOWN\06500        MEX</t>
  </si>
  <si>
    <t>TRX1550</t>
  </si>
  <si>
    <t>HIDROCARBUROS QUINTAS  GUADALUPE NL  MEX</t>
  </si>
  <si>
    <t>Hidrocarburos Quintas Guadalupe Nl Mex</t>
  </si>
  <si>
    <t>TRX1562</t>
  </si>
  <si>
    <t>OLI CAFE NT            CIUDAD DE MEX MEX</t>
  </si>
  <si>
    <t>Oli Cafe Nt Ciudad De Mex Mex</t>
  </si>
  <si>
    <t>TRX1357</t>
  </si>
  <si>
    <t>CONCESIONARIA AUT MTY  SANTA CATARIN MEX</t>
  </si>
  <si>
    <t>Concesionaria Aut Mty Santa Catarin Mex</t>
  </si>
  <si>
    <t>CAMINANTE AEROPUERTO   CUAUTITLAN IZ MEX</t>
  </si>
  <si>
    <t>Caminante Aeropuerto Cuautitlan Iz Mex</t>
  </si>
  <si>
    <t>TRX1828</t>
  </si>
  <si>
    <t>TRX1039</t>
  </si>
  <si>
    <t>TRX1420</t>
  </si>
  <si>
    <t>REST MAISON KAYSER     CANCUN QROO   MEX</t>
  </si>
  <si>
    <t>Maison Eric Kayser</t>
  </si>
  <si>
    <t>HOME DEPOT             METEPEC EM    MEX</t>
  </si>
  <si>
    <t>TRX1581</t>
  </si>
  <si>
    <t>TRX1580</t>
  </si>
  <si>
    <t>TRX1569</t>
  </si>
  <si>
    <t>TRX1862</t>
  </si>
  <si>
    <t>RED ESTATAL DE AUTOPIS GARCIA NL     MEX</t>
  </si>
  <si>
    <t>Red Estatal De Autopis Garcia Nl Mex</t>
  </si>
  <si>
    <t>TRX1688</t>
  </si>
  <si>
    <t>ASA-HOUSTON CHAPTER    HOUSTON       USA</t>
  </si>
  <si>
    <t>Asa Houston Chapter Houston USA</t>
  </si>
  <si>
    <t>TRX1683</t>
  </si>
  <si>
    <t>HOTELCOM73370269604291 SEATTLE       USA</t>
  </si>
  <si>
    <t>Hotelcom Seattle USA</t>
  </si>
  <si>
    <t>RFQ: 3547 - Gas para visita de cliente</t>
  </si>
  <si>
    <t>TRX1997</t>
  </si>
  <si>
    <t>7 ELEVEN PALMA GORDA   GUADALUPE NL  MEX</t>
  </si>
  <si>
    <t>TRX1992</t>
  </si>
  <si>
    <t>TRX1483</t>
  </si>
  <si>
    <t>TRX1335</t>
  </si>
  <si>
    <t>TRX1301</t>
  </si>
  <si>
    <t>ZTL*TRANSPORTESEJECUTI MEXICO        MEX</t>
  </si>
  <si>
    <t>Transportesejecuti Mexico Mex</t>
  </si>
  <si>
    <t>TRX1471</t>
  </si>
  <si>
    <t>TRX1916</t>
  </si>
  <si>
    <t>ESTACION RAQUELITO     CIUDAD DE MEX MEX</t>
  </si>
  <si>
    <t>Estacion Raquelito Ciudad De Mex Mex</t>
  </si>
  <si>
    <t>TRX1453</t>
  </si>
  <si>
    <t>TRX1492</t>
  </si>
  <si>
    <t>TRX1922</t>
  </si>
  <si>
    <t>SBX Atizapan           CMX           MEX</t>
  </si>
  <si>
    <t>Sbx Atizapan Cmx Mex</t>
  </si>
  <si>
    <t>TRX1851</t>
  </si>
  <si>
    <t>WP Kitchen             ROO           MEX</t>
  </si>
  <si>
    <t>Wp Kitchen Roo Mex</t>
  </si>
  <si>
    <t>TRX1331</t>
  </si>
  <si>
    <t>TRX1926</t>
  </si>
  <si>
    <t>TRX1515</t>
  </si>
  <si>
    <t>TRX1443</t>
  </si>
  <si>
    <t>TRX1345</t>
  </si>
  <si>
    <t>TRX1436</t>
  </si>
  <si>
    <t>TRX1086</t>
  </si>
  <si>
    <t>REST MHC MHC           SILAO GTO     MEX</t>
  </si>
  <si>
    <t>Rest Mhc Mhc Silao Gto Mex</t>
  </si>
  <si>
    <t>TRX1077</t>
  </si>
  <si>
    <t>552568XXXXXX3311</t>
  </si>
  <si>
    <t>TRX1819</t>
  </si>
  <si>
    <t>TRX1839</t>
  </si>
  <si>
    <t>TRX1463</t>
  </si>
  <si>
    <t>SERV JARDINES DEL PEDR CIUDAD DE MEX MEX</t>
  </si>
  <si>
    <t>Serv Jardines Del Pedr Ciudad De Mex Mex</t>
  </si>
  <si>
    <t>TRX1422</t>
  </si>
  <si>
    <t>TRX1083</t>
  </si>
  <si>
    <t>TRX1654</t>
  </si>
  <si>
    <t>MISC PITS TOL ZIT      ALMOLOYA DE J MEX</t>
  </si>
  <si>
    <t>Misc Pits Tol Zit Almoloya De J Mex</t>
  </si>
  <si>
    <t>TRX1664</t>
  </si>
  <si>
    <t>552568XXXXXX1966</t>
  </si>
  <si>
    <t>TRX1967</t>
  </si>
  <si>
    <t>PITS CORTADITO TOLUCA  ALMOLOYA DE J MEX</t>
  </si>
  <si>
    <t>Pits Cortadito Toluca Almoloya De J Mex</t>
  </si>
  <si>
    <t>TRX1338</t>
  </si>
  <si>
    <t>TRX2012</t>
  </si>
  <si>
    <t>CINEPOLIS DULCERIA     MORELIA MICH  MEX</t>
  </si>
  <si>
    <t>CinÃ©polis</t>
  </si>
  <si>
    <t>TRX1300</t>
  </si>
  <si>
    <t>SORIANA624 DIEGODIAZB  SAN NICOLAS D MEX</t>
  </si>
  <si>
    <t>Soriana624 Diegodiazb San Nicolas D Mex</t>
  </si>
  <si>
    <t>TRX1341</t>
  </si>
  <si>
    <t>TRX1336</t>
  </si>
  <si>
    <t>OFFICE MAX TECAMAC     TECAMAC       MEX</t>
  </si>
  <si>
    <t>OPENPAY*MERAKY         VALLE DE BRAV MEX</t>
  </si>
  <si>
    <t>Openpay UK</t>
  </si>
  <si>
    <t>20260211T04:49:55/Amazon Mexico\AV BLVD MANUEL A CAMACHO\CMX\11510     MEXMEX</t>
  </si>
  <si>
    <t>TRX1714</t>
  </si>
  <si>
    <t>HOME DEPOT TECAMAC     TECAMAC EM    MEX</t>
  </si>
  <si>
    <t>TRX1878</t>
  </si>
  <si>
    <t>TRX1960</t>
  </si>
  <si>
    <t>SUPERCENTER SANTIN     TOLUCA EM     MEX</t>
  </si>
  <si>
    <t>Supercenter Santin Toluca Em Mex</t>
  </si>
  <si>
    <t>TRX1299</t>
  </si>
  <si>
    <t>REST LOCAL 16          CIUDAD DE MEX MEX</t>
  </si>
  <si>
    <t>Rest Local 16 Ciudad De Mex Mex</t>
  </si>
  <si>
    <t>TRX1596</t>
  </si>
  <si>
    <t>CURSOR USAGE  JAN      NEW YORK      USA</t>
  </si>
  <si>
    <t>Cursor Usage Jan New York USA</t>
  </si>
  <si>
    <t>TRX1701</t>
  </si>
  <si>
    <t>TRX1112</t>
  </si>
  <si>
    <t>TRX1659</t>
  </si>
  <si>
    <t>PMX*GAS PALACIO ATIZPN ATIZAPAN DE Z MEX</t>
  </si>
  <si>
    <t>Pmx Gas Palacio Atizpn Atizapan De Z Mex</t>
  </si>
  <si>
    <t>TRX1970</t>
  </si>
  <si>
    <t>AICM TI 1              CIUDAD DE MEX MEX</t>
  </si>
  <si>
    <t>Aicm Ti 1 Ciudad De Mex Mex</t>
  </si>
  <si>
    <t>TRX1641</t>
  </si>
  <si>
    <t>DATADOG, INC.          NEW YORK      USA</t>
  </si>
  <si>
    <t>Datadog</t>
  </si>
  <si>
    <t>TRX1626</t>
  </si>
  <si>
    <t>TRX1316</t>
  </si>
  <si>
    <t>GRAN CAFE DE LA PARROQ VERACRUZ VER  MEX</t>
  </si>
  <si>
    <t>Gran Cafe De La Parroq Veracruz Ver Mex</t>
  </si>
  <si>
    <t>TRX1027</t>
  </si>
  <si>
    <t>TRX1428</t>
  </si>
  <si>
    <t>TRX1983</t>
  </si>
  <si>
    <t>INSTITUTE SUPPLY MGMT  TEMPE         USA</t>
  </si>
  <si>
    <t>Institute Supply Mgmt Tempe USA</t>
  </si>
  <si>
    <t>TRX1068</t>
  </si>
  <si>
    <t>TRX1449</t>
  </si>
  <si>
    <t>TRX1628</t>
  </si>
  <si>
    <t>TRX1053</t>
  </si>
  <si>
    <t>ISLAND CAFE            SILAO GTO     MEX</t>
  </si>
  <si>
    <t>Island Cafe Silao Gto Mex</t>
  </si>
  <si>
    <t>TRX1016</t>
  </si>
  <si>
    <t>CLIP MX*REST TAQUITOS  GUSTAVO A MAD MEX</t>
  </si>
  <si>
    <t>Clip Mx Rest Taquitos Gustavo A Mad Mex</t>
  </si>
  <si>
    <t>TRX1943</t>
  </si>
  <si>
    <t>TRX1608</t>
  </si>
  <si>
    <t>MAMA S PIZZA           CIUDAD DE MEX MEX</t>
  </si>
  <si>
    <t>Mama S Pizza Ciudad De Mex Mex</t>
  </si>
  <si>
    <t>TRX1591</t>
  </si>
  <si>
    <t>REST EL PAPALOTE       APODACA NL    MEX</t>
  </si>
  <si>
    <t>Rest El Papalote Apodaca Nl Mex</t>
  </si>
  <si>
    <t>TRX1590</t>
  </si>
  <si>
    <t>TRX1570</t>
  </si>
  <si>
    <t>TRX1431</t>
  </si>
  <si>
    <t>I LIKE PIZZA BOSQUES A GRAL ESCOBEDO MEX</t>
  </si>
  <si>
    <t>I Like Pizza Bosques A Gral Escobedo Mex</t>
  </si>
  <si>
    <t>DAX LA PAJARITA        TIJUANA BCN   MEX</t>
  </si>
  <si>
    <t>Dax La Pajarita Tijuana Bcn Mex</t>
  </si>
  <si>
    <t>TRX1076</t>
  </si>
  <si>
    <t>TRX1001</t>
  </si>
  <si>
    <t>552568XXXXXX4674</t>
  </si>
  <si>
    <t>TRX1988</t>
  </si>
  <si>
    <t>TRX1987</t>
  </si>
  <si>
    <t>TRX1375</t>
  </si>
  <si>
    <t>TRX1706</t>
  </si>
  <si>
    <t>TRX1119</t>
  </si>
  <si>
    <t>TRX1820</t>
  </si>
  <si>
    <t>TRX1682</t>
  </si>
  <si>
    <t>TRX1901</t>
  </si>
  <si>
    <t>TRX1347</t>
  </si>
  <si>
    <t>TRX1699</t>
  </si>
  <si>
    <t>TRX1454</t>
  </si>
  <si>
    <t>TRX1951</t>
  </si>
  <si>
    <t>TRX1372</t>
  </si>
  <si>
    <t>STR*ODOO TECHNOLOGIES  CIUDAD DE MEX MEX</t>
  </si>
  <si>
    <t>Str Odoo Technologies Ciudad De Mex Mex</t>
  </si>
  <si>
    <t>TRX1305</t>
  </si>
  <si>
    <t>TRX1540</t>
  </si>
  <si>
    <t>TRX1671</t>
  </si>
  <si>
    <t>HEB LINDA VISTA        GUADALUPE NL  MEX</t>
  </si>
  <si>
    <t>H-E-B</t>
  </si>
  <si>
    <t>TRX1326</t>
  </si>
  <si>
    <t>TRX1529</t>
  </si>
  <si>
    <t>TRX1713</t>
  </si>
  <si>
    <t>OFFICE DEPOT PATRIOTIS CIUDAD DE MEX MEX</t>
  </si>
  <si>
    <t>TRX1489</t>
  </si>
  <si>
    <t>SERV LAS AMERICAS II   SAN ANDRES CH MEX</t>
  </si>
  <si>
    <t>Serv Las Americas Ii San Andres Ch Mex</t>
  </si>
  <si>
    <t>TRX1647</t>
  </si>
  <si>
    <t>WWO 2269 MP            TIZAYUCA HGO  MEX</t>
  </si>
  <si>
    <t>Wwo 2269 Mp Tizayuca Hgo Mex</t>
  </si>
  <si>
    <t>TRX1681</t>
  </si>
  <si>
    <t>KFC 219 AEROPUERTO T1  CIUDAD DE MEX MEX</t>
  </si>
  <si>
    <t>TRX1459</t>
  </si>
  <si>
    <t>CLIP MX*REST VEGGIE MX BENITO JUAREZ MEX</t>
  </si>
  <si>
    <t>Clip Mx Rest Veggie Mx Benito Juarez Mex</t>
  </si>
  <si>
    <t>TRX1919</t>
  </si>
  <si>
    <t>TRX1698</t>
  </si>
  <si>
    <t>CAFE ANTOINETTE        BENITO JUAREZ MEX</t>
  </si>
  <si>
    <t>Cafe Antoinette Benito Juarez Mex</t>
  </si>
  <si>
    <t>TRX1033</t>
  </si>
  <si>
    <t>HOME DEPOT I           SN PEDRO GARZ MEX</t>
  </si>
  <si>
    <t>TRX1415</t>
  </si>
  <si>
    <t>REST EL FOGONCI SALA 6 CIUDAD DE MEX MEX</t>
  </si>
  <si>
    <t>Rest El Fogonci Sala 6 Ciudad De Mex Mex</t>
  </si>
  <si>
    <t>TRX1935</t>
  </si>
  <si>
    <t>REST OPER SHUF         CIUDAD DE MEX MEX</t>
  </si>
  <si>
    <t>Rest Oper Shuf Ciudad De Mex Mex</t>
  </si>
  <si>
    <t>CAMINANTE AIT          TOLUCA EM     MEX</t>
  </si>
  <si>
    <t>Caminante Ait Toluca Em Mex</t>
  </si>
  <si>
    <t>TRX1630</t>
  </si>
  <si>
    <t>AUGMENT CODE           PALO ALTO     USA</t>
  </si>
  <si>
    <t>Augment Code Palo Alto USA</t>
  </si>
  <si>
    <t>TRX1498</t>
  </si>
  <si>
    <t>FAR GUAD 2318          TIZAYUCA HGO  MEX</t>
  </si>
  <si>
    <t>Far Guad 2318 Tizayuca Hgo Mex</t>
  </si>
  <si>
    <t>TRX1959</t>
  </si>
  <si>
    <t>BK SENDERO FS          LERMA EM      MEX</t>
  </si>
  <si>
    <t>Bk Sendero Fs Lerma Em Mex</t>
  </si>
  <si>
    <t>TRX1769</t>
  </si>
  <si>
    <t>TRX1358</t>
  </si>
  <si>
    <t>SER GASOL AJIL TEMOAYA TEMOAYA EM    MEX</t>
  </si>
  <si>
    <t>Ser Gasol Ajil Temoaya Temoaya Em Mex</t>
  </si>
  <si>
    <t>REST MACA Y LOLO SA DE CIUDAD DE MEX MEX</t>
  </si>
  <si>
    <t>Rest Maca Y Lolo Sa De Ciudad De Mex Mex</t>
  </si>
  <si>
    <t>TRX1754</t>
  </si>
  <si>
    <t>REST HERENCIA AVANDARO VALLE DE BRAV MEX</t>
  </si>
  <si>
    <t>Rest Herencia Avandaro Valle De Brav Mex</t>
  </si>
  <si>
    <t>TRX1667</t>
  </si>
  <si>
    <t>WUZIPAY*FAST BONAMPAK  BENITO JUAREZ MEX</t>
  </si>
  <si>
    <t>Wuzipay Fast Bonampak Benito Juarez Mex</t>
  </si>
  <si>
    <t>TRX1646</t>
  </si>
  <si>
    <t>TRX1623</t>
  </si>
  <si>
    <t>DLO*DIDI FOODS         MEXICO        MEX</t>
  </si>
  <si>
    <t>Dlo Didi Foods Mexico Mex</t>
  </si>
  <si>
    <t>TRX1594</t>
  </si>
  <si>
    <t>REST PAPALOTE LV       MONTERREY NL  MEX</t>
  </si>
  <si>
    <t>Rest Papalote Lv Monterrey Nl Mex</t>
  </si>
  <si>
    <t>TRX1376</t>
  </si>
  <si>
    <t>TRX1598</t>
  </si>
  <si>
    <t>TRX1917</t>
  </si>
  <si>
    <t>TRX1511</t>
  </si>
  <si>
    <t>TRX1814</t>
  </si>
  <si>
    <t>TRX1891</t>
  </si>
  <si>
    <t>TRX1890</t>
  </si>
  <si>
    <t>TRX1445</t>
  </si>
  <si>
    <t>TRX1993</t>
  </si>
  <si>
    <t>TRX1643</t>
  </si>
  <si>
    <t>UBER *EATS HELP.UBER.C CMX           MEX</t>
  </si>
  <si>
    <t>TRX1017</t>
  </si>
  <si>
    <t>STARBUCKS CARR MEX QRO QUE           MEX</t>
  </si>
  <si>
    <t>TRX1396</t>
  </si>
  <si>
    <t>TRX1775</t>
  </si>
  <si>
    <t>TRX1774</t>
  </si>
  <si>
    <t>TRX1772</t>
  </si>
  <si>
    <t>TRX1771</t>
  </si>
  <si>
    <t>TRX1727</t>
  </si>
  <si>
    <t>TRX1359</t>
  </si>
  <si>
    <t>TRX1734</t>
  </si>
  <si>
    <t>TRX1399</t>
  </si>
  <si>
    <t>TRX1564</t>
  </si>
  <si>
    <t>TRX1780</t>
  </si>
  <si>
    <t>TRX1534</t>
  </si>
  <si>
    <t>REST ZERU LOMAS        CIUDAD DE MEX MEX</t>
  </si>
  <si>
    <t>Rest Zeru Lomas Ciudad De Mex Mex</t>
  </si>
  <si>
    <t>TRX1006</t>
  </si>
  <si>
    <t>TRX1374</t>
  </si>
  <si>
    <t>TRX1023</t>
  </si>
  <si>
    <t>MERCADOPAGO *TELEVIA   MIGUEL HIDALG MEX</t>
  </si>
  <si>
    <t>TRX1065</t>
  </si>
  <si>
    <t>TRX1629</t>
  </si>
  <si>
    <t>TRX2016</t>
  </si>
  <si>
    <t>TRX1930</t>
  </si>
  <si>
    <t>MERCADOPAGO *PASE      Ciudad de Mex MEX</t>
  </si>
  <si>
    <t>TRX1787</t>
  </si>
  <si>
    <t>TRX1704</t>
  </si>
  <si>
    <t>MERCADOPAGO *TACOSLO   Miguel Hidalg MEX</t>
  </si>
  <si>
    <t>TRX1649</t>
  </si>
  <si>
    <t>CLIP MX*REST SAKS REFO MIGUEL HIDALG MEX</t>
  </si>
  <si>
    <t>Clip Mx Rest Saks Refo Miguel Hidalg Mex</t>
  </si>
  <si>
    <t>TRX1694</t>
  </si>
  <si>
    <t>TRX1705</t>
  </si>
  <si>
    <t>VIVAAEROBUS WEB        APODACA NL    MEX</t>
  </si>
  <si>
    <t>TRX1978</t>
  </si>
  <si>
    <t>TRX1394</t>
  </si>
  <si>
    <t>TRX1680</t>
  </si>
  <si>
    <t>TRX1695</t>
  </si>
  <si>
    <t>REST PRICELESS WITH ES CIUDAD DE MEX MEX</t>
  </si>
  <si>
    <t>Rest Priceless With Es Ciudad De Mex Mex</t>
  </si>
  <si>
    <t>ENERGETICOS ZAPATA 3   TIZAYUCA HGO  MEX</t>
  </si>
  <si>
    <t>Energeticos Zapata 3 Tizayuca Hgo Mex</t>
  </si>
  <si>
    <t>REFUND</t>
  </si>
  <si>
    <t>TRX1948</t>
  </si>
  <si>
    <t>TRX1709</t>
  </si>
  <si>
    <t>TRX1018</t>
  </si>
  <si>
    <t>FISHERS HOUSE SATELITE NAUCALPAN DE  MEX</t>
  </si>
  <si>
    <t>Fishers House Satelite Naucalpan De Mex</t>
  </si>
  <si>
    <t>TRX1315</t>
  </si>
  <si>
    <t>TRX1799</t>
  </si>
  <si>
    <t>GASOL LUNAGAS TECAMAC3 TECAMAC EM    MEX</t>
  </si>
  <si>
    <t>Gasol Lunagas Tecamac3 Tecamac Em Mex</t>
  </si>
  <si>
    <t>TRX1961</t>
  </si>
  <si>
    <t>FOUGASSE PRADO NORTE 1 CIUDAD DE MEX MEX</t>
  </si>
  <si>
    <t>Fougasse Prado Norte 1 Ciudad De Mex Mex</t>
  </si>
  <si>
    <t>TRX2017</t>
  </si>
  <si>
    <t>TRX1847</t>
  </si>
  <si>
    <t>TRX1557</t>
  </si>
  <si>
    <t>TRX1503</t>
  </si>
  <si>
    <t>TRX1049</t>
  </si>
  <si>
    <t>20260212T01:01:01/D LOCAL*DIDI RIDES\UNKNOWN\UNKNOWN\06500        MEX</t>
  </si>
  <si>
    <t>Monthly Apollo</t>
  </si>
  <si>
    <t>TRX1725</t>
  </si>
  <si>
    <t>TRX1793</t>
  </si>
  <si>
    <t>TRX1751</t>
  </si>
  <si>
    <t>REST LA CASONA         CHIHUAHUA CHI MEX</t>
  </si>
  <si>
    <t>Rest La Casona Chihuahua Chi Mex</t>
  </si>
  <si>
    <t>REST ESTIATORIO NOSTOS CIUDAD DE MEX MEX</t>
  </si>
  <si>
    <t>Rest Estiatorio Nostos Ciudad De Mex Mex</t>
  </si>
  <si>
    <t>VIPS TIJUANA 81121     TIJUANA BCN   MEX</t>
  </si>
  <si>
    <t>Vips Tijuana Tijuana Bcn Mex</t>
  </si>
  <si>
    <t>TRX1414</t>
  </si>
  <si>
    <t>TRX2020</t>
  </si>
  <si>
    <t>TRX1042</t>
  </si>
  <si>
    <t>SULTANA DOS RIOS       GUADALUPE NL  MEX</t>
  </si>
  <si>
    <t>Sultana Dos Rios Guadalupe Nl Mex</t>
  </si>
  <si>
    <t>Tarjeta de presentación - rush order para conferencias</t>
  </si>
  <si>
    <t>TRX1055</t>
  </si>
  <si>
    <t>COM RAP MANOLITO PEDRE CIUDAD DE MEX MEX</t>
  </si>
  <si>
    <t>Com Rap Manolito Pedre Ciudad De Mex Mex</t>
  </si>
  <si>
    <t>TRX1091</t>
  </si>
  <si>
    <t>IBIS CHIHUAHUA         CHIHUAHUA CHI MEX</t>
  </si>
  <si>
    <t>Ibis Chihuahua Chihuahua Chi Mex</t>
  </si>
  <si>
    <t>TRX1813</t>
  </si>
  <si>
    <t>TRX1530</t>
  </si>
  <si>
    <t>GASOL PARADOR MEX      HUEHUETOCA EM MEX</t>
  </si>
  <si>
    <t>Gasol Parador Mex Huehuetoca Em Mex</t>
  </si>
  <si>
    <t>TRX1739</t>
  </si>
  <si>
    <t>TRX1499</t>
  </si>
  <si>
    <t>TRX1405</t>
  </si>
  <si>
    <t>TRX1448</t>
  </si>
  <si>
    <t>TRX2025</t>
  </si>
  <si>
    <t>TRX1476</t>
  </si>
  <si>
    <t>TRX1417</t>
  </si>
  <si>
    <t>TRX1045</t>
  </si>
  <si>
    <t>Hotel for the Waste Show 2025</t>
  </si>
  <si>
    <t>TRX1933</t>
  </si>
  <si>
    <t>TRX1624</t>
  </si>
  <si>
    <t>TRX1560</t>
  </si>
  <si>
    <t>TRX1728</t>
  </si>
  <si>
    <t>TRX1409</t>
  </si>
  <si>
    <t>MERCADOPAGO *ANDREACA  Guadalupe     MEX</t>
  </si>
  <si>
    <t>TRX1137</t>
  </si>
  <si>
    <t>TRX1788</t>
  </si>
  <si>
    <t>MERCADOPAGO *ESTANCIA  Benito jurez  MEX</t>
  </si>
  <si>
    <t>TRX1657</t>
  </si>
  <si>
    <t>MERCADOPAGO *ITALIA    Tijuana       MEX</t>
  </si>
  <si>
    <t>TRX1947</t>
  </si>
  <si>
    <t>GASOL ES 06481         TOLUCA EM     MEX</t>
  </si>
  <si>
    <t>Gasol Es Toluca Em Mex</t>
  </si>
  <si>
    <t>TRX2000</t>
  </si>
  <si>
    <t>TRX1075</t>
  </si>
  <si>
    <t>TRX1041</t>
  </si>
  <si>
    <t>TRX1048</t>
  </si>
  <si>
    <t>RCH SANTA FE           TIJUANA BCN   MEX</t>
  </si>
  <si>
    <t>Rch Santa Fe Tijuana Bcn Mex</t>
  </si>
  <si>
    <t>TRX1924</t>
  </si>
  <si>
    <t>REST SUSHITTO CUMBRES  BENITO JUAREZ MEX</t>
  </si>
  <si>
    <t>Rest Sushitto Cumbres Benito Juarez Mex</t>
  </si>
  <si>
    <t>TRX1490</t>
  </si>
  <si>
    <t>TRX1609</t>
  </si>
  <si>
    <t>TACOS EL CHINO 2       ROSARITO BCN  MEX</t>
  </si>
  <si>
    <t>Tacos El Chino 2 Rosarito Bcn Mex</t>
  </si>
  <si>
    <t>TRX1665</t>
  </si>
  <si>
    <t>TRX1986</t>
  </si>
  <si>
    <t>TRX1835</t>
  </si>
  <si>
    <t>LIV TIJUANA            TIJUANA BCN   MEX</t>
  </si>
  <si>
    <t>Liv Tijuana Tijuana Bcn Mex</t>
  </si>
  <si>
    <t>RFQ: 3547 - Comida con Cliente</t>
  </si>
  <si>
    <t>TRX1785</t>
  </si>
  <si>
    <t>TRX1062</t>
  </si>
  <si>
    <t>SUSHI VALLE DE BRAVO   VALLE DE BRAV MEX</t>
  </si>
  <si>
    <t>Sushi Valle De Bravo Valle De Brav Mex</t>
  </si>
  <si>
    <t>TRX1806</t>
  </si>
  <si>
    <t>LinkedIn SN P111195019 LINKEDIN.COM  IRL</t>
  </si>
  <si>
    <t>TRX1716</t>
  </si>
  <si>
    <t>TRX1619</t>
  </si>
  <si>
    <t>TRX1789</t>
  </si>
  <si>
    <t>TRX1456</t>
  </si>
  <si>
    <t>TRX1748</t>
  </si>
  <si>
    <t>TRX1035</t>
  </si>
  <si>
    <t>Microsoft*Microsoft 36 CMX           MEX</t>
  </si>
  <si>
    <t>Microsoft</t>
  </si>
  <si>
    <t>TRX1096</t>
  </si>
  <si>
    <t>552568XXXXXX7558</t>
  </si>
  <si>
    <t>TRX2019</t>
  </si>
  <si>
    <t>TRX1812</t>
  </si>
  <si>
    <t>TRX1994</t>
  </si>
  <si>
    <t>TRX1532</t>
  </si>
  <si>
    <t>TRX1392</t>
  </si>
  <si>
    <t>OFFICE DEPOT MIYANA    CIUDAD DE MEX MEX</t>
  </si>
  <si>
    <t>TRX1138</t>
  </si>
  <si>
    <t>20260214T01:01:01/D LOCAL*DIDI RIDES\UNKNOWN\UNKNOWN\06500        MEX</t>
  </si>
  <si>
    <t>TRX1803</t>
  </si>
  <si>
    <t>PARCO                  ZAPOPAN JAL   MEX</t>
  </si>
  <si>
    <t>Parco Zapopan Jal Mex</t>
  </si>
  <si>
    <t>TRX1753</t>
  </si>
  <si>
    <t>OXXO FUENTES TIZAYUCA  TIZAYUCA HGO  MEX</t>
  </si>
  <si>
    <t>TRX1697</t>
  </si>
  <si>
    <t>CLIP MX*PAQ EL SHADAI  ZUMPANGO      MEX</t>
  </si>
  <si>
    <t>Clip Mx Paq El Shadai Zumpango Mex</t>
  </si>
  <si>
    <t>TRX1556</t>
  </si>
  <si>
    <t>ORSAN DEL NORTE EST 36 MONTERREY NL  MEX</t>
  </si>
  <si>
    <t>Orsan Del Norte Est 36 Monterrey Nl Mex</t>
  </si>
  <si>
    <t>TRX1458</t>
  </si>
  <si>
    <t>TRX1378</t>
  </si>
  <si>
    <t>AUTH0.COM              SAN FRANCISCO USA</t>
  </si>
  <si>
    <t>Auth0</t>
  </si>
  <si>
    <t>TRX1487</t>
  </si>
  <si>
    <t>TRX1932</t>
  </si>
  <si>
    <t>STARBUCKS COFEE L 2626 BENITO JUAREZ MEX</t>
  </si>
  <si>
    <t>TRX1539</t>
  </si>
  <si>
    <t>TRX1685</t>
  </si>
  <si>
    <t>MCDONALD'S F32595      LAS VEGAS     USA</t>
  </si>
  <si>
    <t>McDonald's</t>
  </si>
  <si>
    <t>TRX1506</t>
  </si>
  <si>
    <t>AIRBNB * HMR2YBXSEE    LONDON        GBR</t>
  </si>
  <si>
    <t>TRX1348</t>
  </si>
  <si>
    <t>AIRBNB * HMN35WN38E    LONDON        GBR</t>
  </si>
  <si>
    <t>TRX1479</t>
  </si>
  <si>
    <t>TRX1886</t>
  </si>
  <si>
    <t>TRX1692</t>
  </si>
  <si>
    <t>TRX1050</t>
  </si>
  <si>
    <t>CLIP MX*REST TAQUERIA  TIZAYUCA      MEX</t>
  </si>
  <si>
    <t>Clip Mx Rest Taqueria Tizayuca Mex</t>
  </si>
  <si>
    <t>TRX1533</t>
  </si>
  <si>
    <t>TRX2031</t>
  </si>
  <si>
    <t>OFFICE DEPOT IZCALLI   CUAUTITLAN IZ MEX</t>
  </si>
  <si>
    <t>TRX1493</t>
  </si>
  <si>
    <t>MC DONALD S DIVISION N CIUDAD DE MEX MEX</t>
  </si>
  <si>
    <t>Mc Donald S Division N Ciudad De Mex Mex</t>
  </si>
  <si>
    <t>TRX1830</t>
  </si>
  <si>
    <t>TRX1521</t>
  </si>
  <si>
    <t>TRX1633</t>
  </si>
  <si>
    <t>REST TIJUANAZO RIO     TIJUANA BCN   MEX</t>
  </si>
  <si>
    <t>Rest Tijuanazo Rio Tijuana Bcn Mex</t>
  </si>
  <si>
    <t>Jeremy Moore</t>
  </si>
  <si>
    <t>HOTELCOM73375323332606 SEATTLE       USA</t>
  </si>
  <si>
    <t>TRX2009</t>
  </si>
  <si>
    <t>TRX1786</t>
  </si>
  <si>
    <t>REST LPQ ISLA AIFA     ZUMPANGO EM   MEX</t>
  </si>
  <si>
    <t>Rest L</t>
  </si>
  <si>
    <t>TRX1914</t>
  </si>
  <si>
    <t>TRX1124</t>
  </si>
  <si>
    <t>Panda Express          CAN           MEX</t>
  </si>
  <si>
    <t>TRX2002</t>
  </si>
  <si>
    <t>TRX1354</t>
  </si>
  <si>
    <t>TRX1072</t>
  </si>
  <si>
    <t>TRX1088</t>
  </si>
  <si>
    <t>TRX1111</t>
  </si>
  <si>
    <t>TRX1007</t>
  </si>
  <si>
    <t>TRX1735</t>
  </si>
  <si>
    <t>TRX1860</t>
  </si>
  <si>
    <t>TRX1073</t>
  </si>
  <si>
    <t>TAXIS PASA             CIUDAD DE MEX MEX</t>
  </si>
  <si>
    <t>Taxis Pasa Ciudad De Mex Mex</t>
  </si>
  <si>
    <t>TRX1353</t>
  </si>
  <si>
    <t>TRX1809</t>
  </si>
  <si>
    <t>TRX1510</t>
  </si>
  <si>
    <t>MERCADOPAGO *EBUS      Ciudad de Mex MEX</t>
  </si>
  <si>
    <t>TRX1509</t>
  </si>
  <si>
    <t>TRX1367</t>
  </si>
  <si>
    <t>CLIP MX*AGEN TAXI COLI CUAJIMALPA DE MEX</t>
  </si>
  <si>
    <t>Clip Mx Agen Taxi Coli Cuajimalpa De Mex</t>
  </si>
  <si>
    <t>TRX1351</t>
  </si>
  <si>
    <t>TRX1439</t>
  </si>
  <si>
    <t>DHL HIDALGO MTY        MONTERREY     MEX</t>
  </si>
  <si>
    <t>Dhl Hidalgo Mty Monterrey Mex</t>
  </si>
  <si>
    <t>TRX1604</t>
  </si>
  <si>
    <t>TRX1410</t>
  </si>
  <si>
    <t>TRX1494</t>
  </si>
  <si>
    <t>TRX1066</t>
  </si>
  <si>
    <t>OXXO JAJALPA TLC       OCOYOACAC EM  MEX</t>
  </si>
  <si>
    <t>TRX1949</t>
  </si>
  <si>
    <t>REST WINGS SALA B      MEXICO DF     MEX</t>
  </si>
  <si>
    <t>Rest Wings Sala B Mexico Df Mex</t>
  </si>
  <si>
    <t>TRX1080</t>
  </si>
  <si>
    <t>TRX1607</t>
  </si>
  <si>
    <t>TRX1953</t>
  </si>
  <si>
    <t>TRX1690</t>
  </si>
  <si>
    <t>TRX1900</t>
  </si>
  <si>
    <t>TRX1567</t>
  </si>
  <si>
    <t>OXXO PONIENTE 116      MEXICO DF     MEX</t>
  </si>
  <si>
    <t>TRX1868</t>
  </si>
  <si>
    <t>TRX1800</t>
  </si>
  <si>
    <t>TRX1349</t>
  </si>
  <si>
    <t>TRX1433</t>
  </si>
  <si>
    <t>TRX1099</t>
  </si>
  <si>
    <t>TRX1894</t>
  </si>
  <si>
    <t>TRX1102</t>
  </si>
  <si>
    <t>TRX1139</t>
  </si>
  <si>
    <t>BK ALFREDO DEL MAZO    TOLUCA EM     MEX</t>
  </si>
  <si>
    <t>Bk Alfredo Del Mazo Toluca Em Mex</t>
  </si>
  <si>
    <t>OXXO GASCUMBRES DEL SO MONTERREY NL  MEX</t>
  </si>
  <si>
    <t>TRX1020</t>
  </si>
  <si>
    <t>TRX1457</t>
  </si>
  <si>
    <t>TRX1475</t>
  </si>
  <si>
    <t>TRX1784</t>
  </si>
  <si>
    <t>KFC 577 TIZAYUCA CON S TIZAYUCA HGO  MEX</t>
  </si>
  <si>
    <t>TRX1673</t>
  </si>
  <si>
    <t>REST BODEGA 8          TIJUANA BCN   MEX</t>
  </si>
  <si>
    <t>Rest Bodega 8 Tijuana Bcn Mex</t>
  </si>
  <si>
    <t>MITSPUG*EST HOTEL HYAT MIGUEL HIDALG MEX</t>
  </si>
  <si>
    <t>Mitspug Est Hotel Hyat Miguel Hidalg Mex</t>
  </si>
  <si>
    <t>PDF edits, signatures platform</t>
  </si>
  <si>
    <t>TRX1897</t>
  </si>
  <si>
    <t>TRX1524</t>
  </si>
  <si>
    <t>TRX1460</t>
  </si>
  <si>
    <t>GAS OXXOPLUTARCO E CAL GUADALUPE NL  MEX</t>
  </si>
  <si>
    <t>Gas Oxxoplutarco E Cal Guadalupe Nl Mex</t>
  </si>
  <si>
    <t>TRX1005</t>
  </si>
  <si>
    <t>HOLIDAYINNBASILICLIBER CIUDAD DE MEX MEX</t>
  </si>
  <si>
    <t>Holidayinnbasilicliber Ciudad De Mex Mex</t>
  </si>
  <si>
    <t>TRX1384</t>
  </si>
  <si>
    <t>OXXONACIONAL AIFA      ZUMPANGO EM   MEX</t>
  </si>
  <si>
    <t>Oxxonacional Aifa Zumpango Em Mex</t>
  </si>
  <si>
    <t>TRX1043</t>
  </si>
  <si>
    <t>GASOL VALERO LOMALINDA CIUDAD DE MEX MEX</t>
  </si>
  <si>
    <t>Gasol Valero Lomalinda Ciudad De Mex Mex</t>
  </si>
  <si>
    <t>TRX1558</t>
  </si>
  <si>
    <t>REST CARMELA Y SAL     CIUDAD DE MEX MEX</t>
  </si>
  <si>
    <t>Rest Carmela Y Sal Ciudad De Mex Mex</t>
  </si>
  <si>
    <t>TRANS TERR D PASAJ D A BOCA DEL RIO  MEX</t>
  </si>
  <si>
    <t>Trans Terr D Pasaj D A Boca Del Rio Mex</t>
  </si>
  <si>
    <t>TRX1618</t>
  </si>
  <si>
    <t>TRX1962</t>
  </si>
  <si>
    <t>IHOP 3684              LAS VEGAS     USA</t>
  </si>
  <si>
    <t>Ihop</t>
  </si>
  <si>
    <t>TRX1925</t>
  </si>
  <si>
    <t>TRX1843</t>
  </si>
  <si>
    <t>TRX1823</t>
  </si>
  <si>
    <t>CARLS JR CORALES       VERACRUZ VER  MEX</t>
  </si>
  <si>
    <t>Carls Jr.</t>
  </si>
  <si>
    <t>TRX1586</t>
  </si>
  <si>
    <t>ACO MEX APTO T1 CARLSJ CIUDAD DE MEX MEX</t>
  </si>
  <si>
    <t>Aco Mex Apto T1 Carlsj Ciudad De Mex Mex</t>
  </si>
  <si>
    <t>TRX1486</t>
  </si>
  <si>
    <t>TRX2008</t>
  </si>
  <si>
    <t>TRX1040</t>
  </si>
  <si>
    <t>TRX1653</t>
  </si>
  <si>
    <t>REST LA ONDA           CIUDAD DE MEX MEX</t>
  </si>
  <si>
    <t>Rest La Onda Ciudad De Mex Mex</t>
  </si>
  <si>
    <t>TRX1652</t>
  </si>
  <si>
    <t>TRX1985</t>
  </si>
  <si>
    <t>OPER NEDARO CTRO LECHE TIZAYUCA HGO  MEX</t>
  </si>
  <si>
    <t>Oper Nedaro Ctro Leche Tizayuca Hgo Mex</t>
  </si>
  <si>
    <t>TRX1585</t>
  </si>
  <si>
    <t>TRX1898</t>
  </si>
  <si>
    <t>KFC 837 TIJUANA SANTA  TIJUANA BCN   MEX</t>
  </si>
  <si>
    <t>TRX1404</t>
  </si>
  <si>
    <t>TRX1966</t>
  </si>
  <si>
    <t>TRX1625</t>
  </si>
  <si>
    <t>DHL PLAZA SAN SEBASTIA MONTERREY     MEX</t>
  </si>
  <si>
    <t>DHL</t>
  </si>
  <si>
    <t>TRX1356</t>
  </si>
  <si>
    <t>TRX1794</t>
  </si>
  <si>
    <t>OFFICE DEPOT VER II    VERACRUZ VER  MEX</t>
  </si>
  <si>
    <t>TRX1574</t>
  </si>
  <si>
    <t>TRX1565</t>
  </si>
  <si>
    <t>F AHORRO VRC7 CALLE 7  BOCA DEL RIO  MEX</t>
  </si>
  <si>
    <t>F Ahorro Vrc7 Calle 7 Boca Del Rio Mex</t>
  </si>
  <si>
    <t>OXXOCOSTA AZUL VER     VERACRUZ VER  MEX</t>
  </si>
  <si>
    <t>Oxxocosta Azul Ver Veracruz Ver Mex</t>
  </si>
  <si>
    <t>FAR GUAD 2094          BOCA DEL RIO  MEX</t>
  </si>
  <si>
    <t>Far Guad 2094 Boca Del Rio Mex</t>
  </si>
  <si>
    <t>TRX1712</t>
  </si>
  <si>
    <t>TRX1764</t>
  </si>
  <si>
    <t>TRX1620</t>
  </si>
  <si>
    <t>TRX1691</t>
  </si>
  <si>
    <t>NETPAY *TERMINAL CAFFE BOCA DEL RIO  MEX</t>
  </si>
  <si>
    <t>Netpay Terminal Caffe Boca Del Rio Mex</t>
  </si>
  <si>
    <t>TRX1817</t>
  </si>
  <si>
    <t>DLO*UBER RIDES         CIUDAD DE MEX MEX</t>
  </si>
  <si>
    <t>TRX1587</t>
  </si>
  <si>
    <t>OXXORELOJ MEX          HUIXQUILUCAN  MEX</t>
  </si>
  <si>
    <t>Oxxoreloj Mex Huixquilucan Mex</t>
  </si>
  <si>
    <t>TRX1756</t>
  </si>
  <si>
    <t>COM RAP DRIVE VIA PONI TIJUANA BCN   MEX</t>
  </si>
  <si>
    <t>Com Rap Drive Via Poni Tijuana Bcn Mex</t>
  </si>
  <si>
    <t>TRX1940</t>
  </si>
  <si>
    <t>TRX1750</t>
  </si>
  <si>
    <t>SUBWAY INTERLOMAS      HUIXQUILUCAN  MEX</t>
  </si>
  <si>
    <t>Subway</t>
  </si>
  <si>
    <t>TRX1776</t>
  </si>
  <si>
    <t>TRX1508</t>
  </si>
  <si>
    <t>TRX1852</t>
  </si>
  <si>
    <t>TRX1070</t>
  </si>
  <si>
    <t>REST SLIDERS           CIUDAD DE MEX MEX</t>
  </si>
  <si>
    <t>Rest Sliders Ciudad De Mex Mex</t>
  </si>
  <si>
    <t>TRX1032</t>
  </si>
  <si>
    <t>ESPERANZA SATELITE     NAUCALPAN DE  MEX</t>
  </si>
  <si>
    <t>Esperanza Satelite Naucalpan De Mex</t>
  </si>
  <si>
    <t>TRX1610</t>
  </si>
  <si>
    <t>TRX1314</t>
  </si>
  <si>
    <t>SERVI FER TECAMAC      TECAMAC EM    MEX</t>
  </si>
  <si>
    <t>Servi Fer Tecamac Tecamac Em Mex</t>
  </si>
  <si>
    <t>TRX1549</t>
  </si>
  <si>
    <t>TRX1303</t>
  </si>
  <si>
    <t>ABTS 12911 PRADO NORTE CIUDAD DE MEX MEX</t>
  </si>
  <si>
    <t>Abts Prado Norte Ciudad De Mex Mex</t>
  </si>
  <si>
    <t>TRX1634</t>
  </si>
  <si>
    <t>TRX1921</t>
  </si>
  <si>
    <t>CLAUDE.AI SUBSCRIPTION SAN FRANCISCO USA</t>
  </si>
  <si>
    <t>Claude.ai</t>
  </si>
  <si>
    <t>AIRBNB * HMKF89TWWY    LONDON        GBR</t>
  </si>
  <si>
    <t>TRX1552</t>
  </si>
  <si>
    <t>TRX1051</t>
  </si>
  <si>
    <t>552568XXXXXX3647</t>
  </si>
  <si>
    <t>TRX1342</t>
  </si>
  <si>
    <t>GASOLINERIA ENCINOS    OCOYOACAC EM  MEX</t>
  </si>
  <si>
    <t>Gasolineria Encinos Ocoyoacac Em Mex</t>
  </si>
  <si>
    <t>TRX1344</t>
  </si>
  <si>
    <t>TRX1114</t>
  </si>
  <si>
    <t>MYT018 2202 HUD MXP    CIUDAD DE MEX MEX</t>
  </si>
  <si>
    <t>Myt018 2202 Hud Mxp Ciudad De Mex Mex</t>
  </si>
  <si>
    <t>TRX1582</t>
  </si>
  <si>
    <t>REST MR SUSHI          OCOYOACAC EM  MEX</t>
  </si>
  <si>
    <t>Rest Mr Sushi Ocoyoacac Em Mex</t>
  </si>
  <si>
    <t>TRX1437</t>
  </si>
  <si>
    <t>TRX1773</t>
  </si>
  <si>
    <t>TRX1008</t>
  </si>
  <si>
    <t>TRX1465</t>
  </si>
  <si>
    <t>TRX1064</t>
  </si>
  <si>
    <t>Recarga de gasolina para traslados Toluca  e Hidalgo etc</t>
  </si>
  <si>
    <t>TRX1054</t>
  </si>
  <si>
    <t>TRX1873</t>
  </si>
  <si>
    <t>TRX1792</t>
  </si>
  <si>
    <t>TRX1811</t>
  </si>
  <si>
    <t>TRX1129</t>
  </si>
  <si>
    <t>TRX1572</t>
  </si>
  <si>
    <t>TRX1128</t>
  </si>
  <si>
    <t>TRX1468</t>
  </si>
  <si>
    <t>TRX1622</t>
  </si>
  <si>
    <t>CHILIS AEROPUERTO MTY  APODACA NL    MEX</t>
  </si>
  <si>
    <t>TRX1461</t>
  </si>
  <si>
    <t>PITS GAS EST TOLUCA    ALMOLOYA DE J MEX</t>
  </si>
  <si>
    <t>Pits Gas Est Toluca Almoloya De J Mex</t>
  </si>
  <si>
    <t>TRX1397</t>
  </si>
  <si>
    <t>D LOCAL*REST RAPPI     CIUDAD DE MEX MEX</t>
  </si>
  <si>
    <t>Rappi</t>
  </si>
  <si>
    <t>TRX1729</t>
  </si>
  <si>
    <t>D LOCAL*REST RAPPIPRO  CIUDAD DE MEX MEX</t>
  </si>
  <si>
    <t>D Local Rest Rappipro Ciudad De Mex Mex</t>
  </si>
  <si>
    <t>TRX1038</t>
  </si>
  <si>
    <t>TRX1011</t>
  </si>
  <si>
    <t>TRX1931</t>
  </si>
  <si>
    <t>CLIP MX*TDA LAMINAS Y  CUAUTITLAN    MEX</t>
  </si>
  <si>
    <t>Clip Mx Tda Laminas Y Cuautitlan Mex</t>
  </si>
  <si>
    <t>TRX1147</t>
  </si>
  <si>
    <t>TIMHOR OCOYOACAC I     OCOYOACAC EM  MEX</t>
  </si>
  <si>
    <t>Timhor Ocoyoacac I Ocoyoacac Em Mex</t>
  </si>
  <si>
    <t>TRX1365</t>
  </si>
  <si>
    <t>COM RAP VIPS SENDEROS  CIUDAD DE MEX MEX</t>
  </si>
  <si>
    <t>Com Rap Vips Senderos Ciudad De Mex Mex</t>
  </si>
  <si>
    <t>TRX1044</t>
  </si>
  <si>
    <t>Waste Expo receipt</t>
  </si>
  <si>
    <t>TRX1563</t>
  </si>
  <si>
    <t>TRX1309</t>
  </si>
  <si>
    <t>TRX1366</t>
  </si>
  <si>
    <t>TRX1022</t>
  </si>
  <si>
    <t>TRX1488</t>
  </si>
  <si>
    <t>TRX1743</t>
  </si>
  <si>
    <t>TRX1807</t>
  </si>
  <si>
    <t>VOLARIS MOTO DEB 2     CIUDAD DE MEX MEX</t>
  </si>
  <si>
    <t>TRX1825</t>
  </si>
  <si>
    <t>TRX1052</t>
  </si>
  <si>
    <t>TRX1513</t>
  </si>
  <si>
    <t>HOME DEPOT             CUAUTITLAN IZ MEX</t>
  </si>
  <si>
    <t>TRX1061</t>
  </si>
  <si>
    <t>REST JOHNNY ROCKETS    VERACRUZ VER  MEX</t>
  </si>
  <si>
    <t>Johnny Rockets</t>
  </si>
  <si>
    <t>TRX1946</t>
  </si>
  <si>
    <t>TRX1821</t>
  </si>
  <si>
    <t>TRX1003</t>
  </si>
  <si>
    <t>TRX1123</t>
  </si>
  <si>
    <t>SMARTPY*HOTCITYCEVER   BLVD AVILA CA MEX</t>
  </si>
  <si>
    <t>Smartpy Hotcitycever Blvd Avila Ca Mex</t>
  </si>
  <si>
    <t>REST IHOP MINARETE     TIJUANA BCN   MEX</t>
  </si>
  <si>
    <t>TRX1381</t>
  </si>
  <si>
    <t>TRX1332</t>
  </si>
  <si>
    <t>TRX1826</t>
  </si>
  <si>
    <t>TRX2029</t>
  </si>
  <si>
    <t>LA PARRILLA VERACRUZAN BOCA DEL RIO  MEX</t>
  </si>
  <si>
    <t>La Parilla Mexican Restaurant</t>
  </si>
  <si>
    <t>TRX1391</t>
  </si>
  <si>
    <t>4038 TIJUANA SUR       TIJUANA BCN   MEX</t>
  </si>
  <si>
    <t>4038 Tijuana Sur Tijuana Bcn Mex</t>
  </si>
  <si>
    <t>TRX1084</t>
  </si>
  <si>
    <t>REST NUTRIBIONICOS     VERACRUZ VER  MEX</t>
  </si>
  <si>
    <t>Rest Nutribionicos Veracruz Ver Mex</t>
  </si>
  <si>
    <t>TRX1867</t>
  </si>
  <si>
    <t>7ELEVEN T2724 VINAS    TIJUANA BCN   MEX</t>
  </si>
  <si>
    <t>TRX2030</t>
  </si>
  <si>
    <t>REST 2 LA JEFA         CUAUTITLAN EM MEX</t>
  </si>
  <si>
    <t>Rest 2 La Jefa Cuautitlan Em Mex</t>
  </si>
  <si>
    <t>TRX1002</t>
  </si>
  <si>
    <t>SUNOCO 0123414500      BROWNSVILLE   USA</t>
  </si>
  <si>
    <t>Sunoco</t>
  </si>
  <si>
    <t>TRX1879</t>
  </si>
  <si>
    <t>CHOP SPORTS LAS COLINA IRVING        USA</t>
  </si>
  <si>
    <t>Chop Sports Las Colina Irving USA</t>
  </si>
  <si>
    <t>TRX1440</t>
  </si>
  <si>
    <t>VONLANE                DALLAS        USA</t>
  </si>
  <si>
    <t>Vonlane Dallas USA</t>
  </si>
  <si>
    <t>TRX1746</t>
  </si>
  <si>
    <t>FATHOM.VIDEO           SAN FRANCISCO USA</t>
  </si>
  <si>
    <t>Fathom.video</t>
  </si>
  <si>
    <t>TRX1037</t>
  </si>
  <si>
    <t>DFW MINORITY BUS DEV C DALLAS        USA</t>
  </si>
  <si>
    <t>Dfw Minority Bus Dev C Dallas USA</t>
  </si>
  <si>
    <t>TRX1117</t>
  </si>
  <si>
    <t>EST DE SERV EUL GUZ    TECAMAC EM    MEX</t>
  </si>
  <si>
    <t>Est De Serv Eul Guz Tecamac Em Mex</t>
  </si>
  <si>
    <t>TRX1612</t>
  </si>
  <si>
    <t>ABTS G112 VEVEGA       HUIXQUILUCAN  MEX</t>
  </si>
  <si>
    <t>Abts G112 Vevega Huixquilucan Mex</t>
  </si>
  <si>
    <t>TRX1063</t>
  </si>
  <si>
    <t>REST QUINIENTOS DEL BO VERACRUZ VER  MEX</t>
  </si>
  <si>
    <t>Rest Quinientos Del Bo Veracruz Ver Mex</t>
  </si>
  <si>
    <t>TRX1418</t>
  </si>
  <si>
    <t>TRX1313</t>
  </si>
  <si>
    <t>TRX1700</t>
  </si>
  <si>
    <t>TRX1413</t>
  </si>
  <si>
    <t>LE PAIN QUOTIDIEN      CIUDAD DE MEX MEX</t>
  </si>
  <si>
    <t>Le Pain Quotidien</t>
  </si>
  <si>
    <t>TRX1127</t>
  </si>
  <si>
    <t>TRX1019</t>
  </si>
  <si>
    <t>CAFE LA PARROQUIA      VERACRUZ VER  MEX</t>
  </si>
  <si>
    <t>Cafe La Parroquia Veracruz Ver Mex</t>
  </si>
  <si>
    <t>TRX1364</t>
  </si>
  <si>
    <t>REST NUTRIBIONICOS     BOCA DEL RIO  MEX</t>
  </si>
  <si>
    <t>Rest Nutribionicos Boca Del Rio Mex</t>
  </si>
  <si>
    <t>TRX1085</t>
  </si>
  <si>
    <t>MERCADOPAGO *COMLOSOL  Tecamac       MEX</t>
  </si>
  <si>
    <t>TRX1711</t>
  </si>
  <si>
    <t>TRX1363</t>
  </si>
  <si>
    <t>TRX1144</t>
  </si>
  <si>
    <t>Traslado a proyectos en Monterrey Nuevo León.</t>
  </si>
  <si>
    <t>TRX1120</t>
  </si>
  <si>
    <t>TRX1561</t>
  </si>
  <si>
    <t>PAY PAL*SOFIASALUDS SO CIUDAD DE MEX MEX</t>
  </si>
  <si>
    <t>Pay Pal Sofiasaluds So Ciudad De Mex Mex</t>
  </si>
  <si>
    <t>TRX1030</t>
  </si>
  <si>
    <t>TRX1093</t>
  </si>
  <si>
    <t>TRX1122</t>
  </si>
  <si>
    <t>ASUR C CONV SHOP 4     VERACRUZ VER  MEX</t>
  </si>
  <si>
    <t>Asur C Conv Shop 4 Veracruz Ver Mex</t>
  </si>
  <si>
    <t>TRX1796</t>
  </si>
  <si>
    <t>TRX1013</t>
  </si>
  <si>
    <t>TRX1026</t>
  </si>
  <si>
    <t>TRX1782</t>
  </si>
  <si>
    <t>CARLS JR P ALONDRAS    TIJUANA BCN   MEX</t>
  </si>
  <si>
    <t>TRX1025</t>
  </si>
  <si>
    <t>OXXO CALACOAYA         TLALNEPANTLA  MEX</t>
  </si>
  <si>
    <t>TRX1029</t>
  </si>
  <si>
    <t>APPLE.COM/BILL         CUPERTINO     USA</t>
  </si>
  <si>
    <t>Apple</t>
  </si>
  <si>
    <t>552568XXXXXX3962</t>
  </si>
  <si>
    <t>POLLO LOCO ADN         CIENEGA DE FL MEX</t>
  </si>
  <si>
    <t>Pollo Loco Adn Cienega De Fl Mex</t>
  </si>
  <si>
    <t>TRX1031</t>
  </si>
  <si>
    <t>GAS EL PABELLO MEXICA  CIUDAD DE MEX MEX</t>
  </si>
  <si>
    <t>Gas El Pabello Mexica Ciudad De Mex Mex</t>
  </si>
  <si>
    <t>OXXO 20 DE NOVIEMBRE V VERACRUZ VER  MEX</t>
  </si>
  <si>
    <t>TRX1034</t>
  </si>
  <si>
    <t>OXXO UNIONES MAM       MATAMOROS TAM MEX</t>
  </si>
  <si>
    <t>GAS SERV BP            CUAUTITLAN IZ MEX</t>
  </si>
  <si>
    <t>Gas Serv Bp Cuautitlan Iz Mex</t>
  </si>
  <si>
    <t>SUBWAY VEVEGA          HUIXQUILUCAN  MEX</t>
  </si>
  <si>
    <t>20260219T01:01:01/D LOCAL*REST RAPPIPRO\UNKNOWN\UNKNOWN\11520        MEX</t>
  </si>
  <si>
    <t>T :01/D Local Rest Rappipro\Unknown\Unknown\ Mex</t>
  </si>
  <si>
    <t>TST*LAYERED            McKinney      USA</t>
  </si>
  <si>
    <t>Layered Mckinney USA</t>
  </si>
  <si>
    <t>TST*SHENANIGANS IRISH  Brownsville   USA</t>
  </si>
  <si>
    <t>Shenanigan's</t>
  </si>
  <si>
    <t>GRAND HOTEL MCK TX     MCKINNEY      USA</t>
  </si>
  <si>
    <t>Grand Hotel Mck Tx Mckinney USA</t>
  </si>
  <si>
    <t>THE UPS STORE 1733     HOUSTON       USA</t>
  </si>
  <si>
    <t>UPS</t>
  </si>
  <si>
    <t>HILTON FORT WORTH FB   FORT WORTH    USA</t>
  </si>
  <si>
    <t>Hilton Fort Worth Fb Fort Worth USA</t>
  </si>
  <si>
    <t>TRX1047</t>
  </si>
  <si>
    <t>SUPER SERVICIO CARRETE CIUDAD DE MEX MEX</t>
  </si>
  <si>
    <t>TRX1056</t>
  </si>
  <si>
    <t>TRX1057</t>
  </si>
  <si>
    <t>DLO*UBER               CIUDAD DE MEX MEX</t>
  </si>
  <si>
    <t>MOCHOMOS ARCOS BOSQUES CIUDAD DE MEX MEX</t>
  </si>
  <si>
    <t>Mochomos Arcos Bosques Ciudad De Mex Mex</t>
  </si>
  <si>
    <t>MERCADOPAGO *ELCOCHIL  Naucalpan     MEX</t>
  </si>
  <si>
    <t>TRX1067</t>
  </si>
  <si>
    <t>AUTO SERVICIO REVASA   TIZAYUCA HGO  MEX</t>
  </si>
  <si>
    <t>Auto Servicio Revasa Tizayuca Hgo Mex</t>
  </si>
  <si>
    <t>COMBUSTIBLE ERMITA     CIUDAD DE MEX MEX</t>
  </si>
  <si>
    <t>Combustible Ermita Ciudad De Mex Mex</t>
  </si>
  <si>
    <t>CARL S JR TOWN         METEPEC EM    MEX</t>
  </si>
  <si>
    <t>DP 11036 LAS AGUILAS   MEXICO DF     MEX</t>
  </si>
  <si>
    <t>Dp Las Aguilas Mexico Df Mex</t>
  </si>
  <si>
    <t>Box_UK                 London        GBR</t>
  </si>
  <si>
    <t>Box_Uk London</t>
  </si>
  <si>
    <t>TRX1078</t>
  </si>
  <si>
    <t>ATLASSIAN              SAN FRANCISCO USA</t>
  </si>
  <si>
    <t>Atlassian</t>
  </si>
  <si>
    <t>FARMA PLUS             VALLE DE BRAV MEX</t>
  </si>
  <si>
    <t>Farma Plus Valle De Brav Mex</t>
  </si>
  <si>
    <t>SERVICIO HERRADURA     HUIXQUILUCAN  MEX</t>
  </si>
  <si>
    <t>Servicio Herradura Huixquilucan Mex</t>
  </si>
  <si>
    <t>OXXO BICENTENARIO TLC  TEMOAYA EM    MEX</t>
  </si>
  <si>
    <t>SUSHIROLL              HUIXQUILUCAN  MEX</t>
  </si>
  <si>
    <t>Sushiroll Huixquilucan Mex</t>
  </si>
  <si>
    <t>SPIRIT AIR ONLINE SALE MIRAMAR       USA</t>
  </si>
  <si>
    <t>Spirit Airlines</t>
  </si>
  <si>
    <t>TRX1087</t>
  </si>
  <si>
    <t>CIRCLE K #2742588      HOUSTON       USA</t>
  </si>
  <si>
    <t>Circle K</t>
  </si>
  <si>
    <t>TRX1090</t>
  </si>
  <si>
    <t>TRX1092</t>
  </si>
  <si>
    <t>KONFIO *MIBAIT         MEXICO        MEX</t>
  </si>
  <si>
    <t>Konfio Mibait Mexico Mex</t>
  </si>
  <si>
    <t>TRX1095</t>
  </si>
  <si>
    <t>EUR</t>
  </si>
  <si>
    <t>WEGLOT                 PARIS         FRA</t>
  </si>
  <si>
    <t>Weglot Paris Fra</t>
  </si>
  <si>
    <t>TRX1098</t>
  </si>
  <si>
    <t>7 ELEVEN T3038 OCEANOS TIJUANA BCN   MEX</t>
  </si>
  <si>
    <t>SERV EL DORADO         TEMOAYA EM    MEX</t>
  </si>
  <si>
    <t>Serv El Dorado Temoaya Em Mex</t>
  </si>
  <si>
    <t>TRX1101</t>
  </si>
  <si>
    <t>FAIRFIELD INN &amp; SUIT   AUSTIN        USA</t>
  </si>
  <si>
    <t>Fairfield Inn Suites</t>
  </si>
  <si>
    <t>TRX1103</t>
  </si>
  <si>
    <t>VENDINGCUSTOMERSERVI   CHULA VISTA   USA</t>
  </si>
  <si>
    <t>Vendingcustomerservi Chula Vista USA</t>
  </si>
  <si>
    <t>TRX1104</t>
  </si>
  <si>
    <t>TRX1105</t>
  </si>
  <si>
    <t>TRX1106</t>
  </si>
  <si>
    <t>GASOLINERIA ES 09489   ECATEPEC DE M MEX</t>
  </si>
  <si>
    <t>Gasolineria Es Ecatepec De M Mex</t>
  </si>
  <si>
    <t>EST 407 AEROPUERTO     CIUDAD DE MEX MEX</t>
  </si>
  <si>
    <t>Est 407 Aeropuerto Ciudad De Mex Mex</t>
  </si>
  <si>
    <t>552568XXXXXX5687</t>
  </si>
  <si>
    <t>TRX1115</t>
  </si>
  <si>
    <t>COSTCO TIJUANA II      TIJUANA BCN   MEX</t>
  </si>
  <si>
    <t>Costco</t>
  </si>
  <si>
    <t>TRX1118</t>
  </si>
  <si>
    <t>RETOOL                 SAN FRANCISCO USA</t>
  </si>
  <si>
    <t>Retool</t>
  </si>
  <si>
    <t>THE GATE I             CIUDAD DE MEX MEX</t>
  </si>
  <si>
    <t>The Gate I Ciudad De Mex Mex</t>
  </si>
  <si>
    <t>METABASE INC           SPRING VALLEY USA</t>
  </si>
  <si>
    <t>Metabase</t>
  </si>
  <si>
    <t>SUPERCENTER PACIFICO   TIJUANA BCN   MEX</t>
  </si>
  <si>
    <t>Supercenter Pacifico Tijuana Bcn Mex</t>
  </si>
  <si>
    <t>Microsoft-G142443073   msbill.info   USA</t>
  </si>
  <si>
    <t>AIRBNB * HMSMKWFYH2    LONDON        GBR</t>
  </si>
  <si>
    <t>TRX1132</t>
  </si>
  <si>
    <t>GASOL VEVEGA           HUIXQUILUCAN  MEX</t>
  </si>
  <si>
    <t>Gasol Vevega Huixquilucan Mex</t>
  </si>
  <si>
    <t>TRX1133</t>
  </si>
  <si>
    <t>TRX1134</t>
  </si>
  <si>
    <t>TRX1135</t>
  </si>
  <si>
    <t>TRX1136</t>
  </si>
  <si>
    <t>STARBUCKS MAGMA TOWERS NLE           MEX</t>
  </si>
  <si>
    <t>EXPEDIA 73380847965879 Ciudad        MEX</t>
  </si>
  <si>
    <t>TRX1143</t>
  </si>
  <si>
    <t>KFC 549 LOPEZ PORTILLO COACALCO DE B MEX</t>
  </si>
  <si>
    <t>TRX1146</t>
  </si>
  <si>
    <t>OFFICE DEPOT VASCONCE  SAN PEDRO GAR MEX</t>
  </si>
  <si>
    <t>ATT A BCA OFIC MATRIZ  MEXICO DF     MEX</t>
  </si>
  <si>
    <t>AT&amp;T</t>
  </si>
  <si>
    <t>PAY PAL*PASESERVICI    CIUDAD DE MEX MEX</t>
  </si>
  <si>
    <t>Pay Pal Paseservici Ciudad De Mex Mex</t>
  </si>
  <si>
    <t>TACO NACO REVOLUCION   CIUDAD DE MEX MEX</t>
  </si>
  <si>
    <t>Taco Naco Revolucion Ciudad De Mex Mex</t>
  </si>
  <si>
    <t>PPROMEX*ADOBE          NAUCALPAN DE  MEX</t>
  </si>
  <si>
    <t>Adobe</t>
  </si>
  <si>
    <t>TELEVIA RECARGAS APPV3 NAUCALPAN DE  MEX</t>
  </si>
  <si>
    <t>Televia Recargas Appv3 Naucalpan De Mex</t>
  </si>
  <si>
    <t>SIGNATURE ROOM         SN PEDRO GARZ MEX</t>
  </si>
  <si>
    <t>Signature Room Sn Pedro Garz Mex</t>
  </si>
  <si>
    <t>GASOL SERVICIO TLATIL  NAUCALPAN DE  MEX</t>
  </si>
  <si>
    <t>Gasol Servicio Tlatil Naucalpan De Mex</t>
  </si>
  <si>
    <t>FIBRA HOTELERA         SAN PEDRO GAR MEX</t>
  </si>
  <si>
    <t>Fibra Hotelera San Pedro Gar Mex</t>
  </si>
  <si>
    <t>OXXO LERDO MEX         CHICOLOAPAN E MEX</t>
  </si>
  <si>
    <t>REST GARCIA AEROPUERTO CIENEGA DE FL MEX</t>
  </si>
  <si>
    <t>Rest Garcia Aeropuerto Cienega De Fl Mex</t>
  </si>
  <si>
    <t>WHATABURGER 723        HOUSTON       USA</t>
  </si>
  <si>
    <t>Whataburger</t>
  </si>
  <si>
    <t>PAPPASITO'S CANTINA 32 HOUSTON       USA</t>
  </si>
  <si>
    <t>Pappasito's Cantina</t>
  </si>
  <si>
    <t>Montserrat Camacho</t>
  </si>
  <si>
    <t>MERCADOPAGO *PROPINAS  Tlalnepantla  MEX</t>
  </si>
  <si>
    <t>DHL MONTE ATHOS        CIUDAD DE MEX MEX</t>
  </si>
  <si>
    <t>DHL EXPRESS CE         CIUDAD DE MEX MEX</t>
  </si>
  <si>
    <t>OMA MTY PREPAGO VC     APODACA NL    MEX</t>
  </si>
  <si>
    <t>Oma Mty Prepago Vc Apodaca Nl Mex</t>
  </si>
  <si>
    <t>OXXO ALISAS            LERMA EM      MEX</t>
  </si>
  <si>
    <t>BPK*MISCMISCE BRIO     MONTERREY NL  MEX</t>
  </si>
  <si>
    <t>Bpk Miscmisce Brio Monterrey Nl Mex</t>
  </si>
  <si>
    <t>TELCEL                 CIUDAD DE MEX MEX</t>
  </si>
  <si>
    <t>Telcel Ciudad De Mex Mex</t>
  </si>
  <si>
    <t>OXXO LOMA ALTA         TECAMAC EM    MEX</t>
  </si>
  <si>
    <t>CENTUM *CENTUM PAY025  ACAPULCO DE J MEX</t>
  </si>
  <si>
    <t>Centum Centum Pay025 Acapulco De J Mex</t>
  </si>
  <si>
    <t>VIPS COFRADIAS         CUAUTITLAN IZ MEX</t>
  </si>
  <si>
    <t>Vips Cofradias Cuautitlan Iz Mex</t>
  </si>
  <si>
    <t>SUSHI ATIZAPAN         ATIZAPAN DE Z MEX</t>
  </si>
  <si>
    <t>Sushi Atizapan Atizapan De Z Mex</t>
  </si>
  <si>
    <t>REST SAFI METROPOLITAN SN PEDRO GARZ MEX</t>
  </si>
  <si>
    <t>Rest Safi Metropolitan Sn Pedro Garz Mex</t>
  </si>
  <si>
    <t>WING STOP CARRANZA     TOLUCA EM     MEX</t>
  </si>
  <si>
    <t>Wing Stop Carranza Toluca Em Mex</t>
  </si>
  <si>
    <t>SERV VISTA HERMOSA     CIUDAD DE MEX MEX</t>
  </si>
  <si>
    <t>Serv Vista Hermosa Ciudad De Mex Mex</t>
  </si>
  <si>
    <t>WAL-MART #5023         NATIONAL CITY USA</t>
  </si>
  <si>
    <t>Acceso a la plataforma Jeeves - Mensual</t>
  </si>
  <si>
    <t>GAS ESTAC SERV BOLONIA CIUDAD DE MEX MEX</t>
  </si>
  <si>
    <t>Gas Estac Serv Bolonia Ciudad De Mex Mex</t>
  </si>
  <si>
    <t>REST BLANCO CASTELAR   CIUDAD DE MEX MEX</t>
  </si>
  <si>
    <t>Rest Blanco Castelar Ciudad De Mex Mex</t>
  </si>
  <si>
    <t>KFC 230 XOLA           CIUDAD DE MEX MEX</t>
  </si>
  <si>
    <t>COSTCO ATIZAPAN        ATIZAPAN DE Z MEX</t>
  </si>
  <si>
    <t>SERVEL NUEVO PEDREGAL  CIUDAD DE MEX MEX</t>
  </si>
  <si>
    <t>Servel Nuevo Pedregal Ciudad De Mex Mex</t>
  </si>
  <si>
    <t>GAS ARENAS             CIUDAD DE MEX MEX</t>
  </si>
  <si>
    <t>Gas Arenas Ciudad De Mex Mex</t>
  </si>
  <si>
    <t>VIPS APTO S BRAVO      CIUDAD DE MEX MEX</t>
  </si>
  <si>
    <t>Vips Apto S Bravo Ciudad De Mex Mex</t>
  </si>
  <si>
    <t>HOME DEPOT             SN PEDRO GARZ MEX</t>
  </si>
  <si>
    <t>KARLA CASIQUE</t>
  </si>
  <si>
    <t>SERVICIO RIO AVIA      ATIZAPAN DE Z MEX</t>
  </si>
  <si>
    <t>Servicio Rio Avia Atizapan De Z Mex</t>
  </si>
  <si>
    <t>WM EXPRESS DLVALL NORT CIUDAD DE MEX MEX</t>
  </si>
  <si>
    <t>Wm Express Dlvall Nort Ciudad De Mex Mex</t>
  </si>
  <si>
    <t>CHICK-FIL-A AS IAH     HOUSTON       USA</t>
  </si>
  <si>
    <t>DETROIT AIPORT         NEW BOSTON    USA</t>
  </si>
  <si>
    <t>Detroit Aiport New Boston USA</t>
  </si>
  <si>
    <t>3DEXPERIENCE DASSAULT  WALTHAM       USA</t>
  </si>
  <si>
    <t>3dexperience Dassault Waltham USA</t>
  </si>
  <si>
    <t>THE HENRY FORD FB      DEARBORN      USA</t>
  </si>
  <si>
    <t>Dearborn</t>
  </si>
  <si>
    <t>ST REGIS               CIUDAD DE MEX MEX</t>
  </si>
  <si>
    <t>St Regis Ciudad De Mex Mex</t>
  </si>
  <si>
    <t>MERCADOPAGO *TAMALESY  Tizayuca      MEX</t>
  </si>
  <si>
    <t>MERCADOPAGO *FARMACIA  Cuautitlan Iz MEX</t>
  </si>
  <si>
    <t>CLIP MX*MED CLEAN DIAG APODACA       MEX</t>
  </si>
  <si>
    <t>Clip Mx Med Clean Diag Apodaca Mex</t>
  </si>
  <si>
    <t>STRIPE *UBER TRIP      CIUDAD DE MEX MEX</t>
  </si>
  <si>
    <t>DLO*UBER EATS          CIUDAD DE MEX MEX</t>
  </si>
  <si>
    <t>DHL EXPRESS CIB        CIUDAD DE MEX MEX</t>
  </si>
  <si>
    <t>SUSHI ROLL VALLE DE BR VALLE DE BRAV MEX</t>
  </si>
  <si>
    <t>Sushi Roll Valle De Br Valle De Brav Mex</t>
  </si>
  <si>
    <t>SUPABASE               SINGAPORE     SGP</t>
  </si>
  <si>
    <t>Supabase Singapore Sgp</t>
  </si>
  <si>
    <t>AIRBNB * HMMXJKDAK2    LONDON        GBR</t>
  </si>
  <si>
    <t>OXXO CIENTIFICOS MEX   NAUCALPAN DE  MEX</t>
  </si>
  <si>
    <t>CARL S JR              CIUDAD DE MEX MEX</t>
  </si>
  <si>
    <t>STR*AMAZON             CIUDAD DE MEX MEX</t>
  </si>
  <si>
    <t>ERMITA COMBUSTIBLES    CIUDAD DE MEX MEX</t>
  </si>
  <si>
    <t>Ermita Combustibles Ciudad De Mex Mex</t>
  </si>
  <si>
    <t>WM EXPRESS FNTS DLASLO HUIXQUILUCAN  MEX</t>
  </si>
  <si>
    <t>Wm Express Fnts Dlaslo Huixquilucan Mex</t>
  </si>
  <si>
    <t>GASOLINERA SERVIFACIL  CIUDAD DE MEX MEX</t>
  </si>
  <si>
    <t>Gasolinera Servifacil Ciudad De Mex Mex</t>
  </si>
  <si>
    <t>MALLORCA EXPLANADA     CIUDAD DE MEX MEX</t>
  </si>
  <si>
    <t>Mallorca Explanada Ciudad De Mex Mex</t>
  </si>
  <si>
    <t>HOME DEPOT GARZA GARCI SN PEDRO GARZ MEX</t>
  </si>
  <si>
    <t>HOLIDAY INN EXPRESS &amp;  ATLANTA       USA</t>
  </si>
  <si>
    <t>Holiday Inn</t>
  </si>
  <si>
    <t>CKE*SCREEN DOOR KITCHE SODDY-DAISY   USA</t>
  </si>
  <si>
    <t>Cke Screen Door Kitche Soddy Daisy USA</t>
  </si>
  <si>
    <t>RACETRAC 587           EAST POINT    USA</t>
  </si>
  <si>
    <t>Racetrac</t>
  </si>
  <si>
    <t>#10</t>
  </si>
  <si>
    <t>Juan Cappellini</t>
  </si>
  <si>
    <t>Juan Carlos Guerrero Perez</t>
  </si>
  <si>
    <t>#12</t>
  </si>
  <si>
    <t>Macarena Gutierrez Otero</t>
  </si>
  <si>
    <t>#15</t>
  </si>
  <si>
    <t>Raul Marmolejo Cruz</t>
  </si>
  <si>
    <t>#18</t>
  </si>
  <si>
    <t>Josue Samuel Galindo Sosa</t>
  </si>
  <si>
    <t>#22</t>
  </si>
  <si>
    <t>Yosef Siman-tov Cohen</t>
  </si>
  <si>
    <t>#23</t>
  </si>
  <si>
    <t>Marcos Gobbi</t>
  </si>
  <si>
    <t>#27</t>
  </si>
  <si>
    <t>Andres Camilo Montanez Campos</t>
  </si>
  <si>
    <t>#32</t>
  </si>
  <si>
    <t>Fernando Robles</t>
  </si>
  <si>
    <t>#33</t>
  </si>
  <si>
    <t>Andrea Villamil Pesqueira</t>
  </si>
  <si>
    <t>#36</t>
  </si>
  <si>
    <t>Jose Luis Aquino</t>
  </si>
  <si>
    <t>#38</t>
  </si>
  <si>
    <t>Facundo Sirolli</t>
  </si>
  <si>
    <t>#39</t>
  </si>
  <si>
    <t>Catalina Vives</t>
  </si>
  <si>
    <t>Pablo Ortiz Aurrecoechea</t>
  </si>
  <si>
    <t>Kallie Parchman</t>
  </si>
  <si>
    <t>#47</t>
  </si>
  <si>
    <t>Genaro Reyes</t>
  </si>
  <si>
    <t>#50</t>
  </si>
  <si>
    <t>Flora Cruz y Celis</t>
  </si>
  <si>
    <t>#59</t>
  </si>
  <si>
    <t>Mario Hugo Guadarrama Brito</t>
  </si>
  <si>
    <t>Cole Anderson</t>
  </si>
  <si>
    <t>Mariano Alcaraz Aguilar</t>
  </si>
  <si>
    <t>Alan Renzenbrink</t>
  </si>
  <si>
    <t>Alan Gillengerten</t>
  </si>
  <si>
    <t>#77</t>
  </si>
  <si>
    <t>#78</t>
  </si>
  <si>
    <t>#79</t>
  </si>
  <si>
    <t>Tonancy Isidoro Pena</t>
  </si>
  <si>
    <t xml:space="preserve">Gastos relacionados con la entrega de algun producto </t>
  </si>
  <si>
    <t>los softwares que usan los de producto</t>
  </si>
  <si>
    <t>Gastos relacionados a ventas</t>
  </si>
  <si>
    <t>Reclutamiento, comidas o fees</t>
  </si>
  <si>
    <t>mandar todo a office</t>
  </si>
  <si>
    <t>(Papelería y programas que usa toda la empresa</t>
  </si>
  <si>
    <t xml:space="preserve">Administrativos </t>
  </si>
  <si>
    <t>Activo, compus, cafetera</t>
  </si>
  <si>
    <t>603.81.004 Gastos de Oficina</t>
  </si>
  <si>
    <t>Tech&amp; 4</t>
  </si>
  <si>
    <t>Office ex 16</t>
  </si>
  <si>
    <t>Sales 3</t>
  </si>
  <si>
    <t>G&amp;A 12</t>
  </si>
  <si>
    <t>Transta 1</t>
  </si>
  <si>
    <t>usa 3</t>
  </si>
  <si>
    <t xml:space="preserve"> </t>
  </si>
  <si>
    <t>Inicio</t>
  </si>
  <si>
    <t>602.34.002 Gastos por visita tencica</t>
  </si>
  <si>
    <t>Producto- no pasa nada si no lo pone porque todo es producto</t>
  </si>
  <si>
    <t xml:space="preserve">Todos </t>
  </si>
  <si>
    <t>Siempre es Transaction - se va a esta cuenta - npo hacer si tiene o no tiene comentario</t>
  </si>
  <si>
    <t>VH</t>
  </si>
  <si>
    <t>fda</t>
  </si>
  <si>
    <t>canaletas</t>
  </si>
  <si>
    <t>siempre es para ventas- no tiene PO - siempre se va a diferio y a las 3 eses se impacta</t>
  </si>
  <si>
    <t>Siempre se va a gastos administrativos</t>
  </si>
  <si>
    <t>Gastos administrativos</t>
  </si>
  <si>
    <t>Los que falten ponerlos en tech</t>
  </si>
  <si>
    <t>Siempre se manda a gastos administrativos a diferidos, gastos de venta</t>
  </si>
  <si>
    <t>No aparece en Listo</t>
  </si>
  <si>
    <t xml:space="preserve">Enviar todo a diferidos, gastos de venta </t>
  </si>
  <si>
    <t>Mandar siemprea diferidos</t>
  </si>
  <si>
    <t>Flora Cruz</t>
  </si>
  <si>
    <t>Todo lo de Jose, que sea escato es a la PO-543 (Farmacias del Ahorro)</t>
  </si>
  <si>
    <t>T</t>
  </si>
  <si>
    <t>mandar todo a sales</t>
  </si>
  <si>
    <t>mandar todo a ventas</t>
  </si>
  <si>
    <t>Aldahir Chiw</t>
  </si>
  <si>
    <t>Karla Casique</t>
  </si>
  <si>
    <t>Rene Granados</t>
  </si>
  <si>
    <t xml:space="preserve">Cuenta contable </t>
  </si>
  <si>
    <t xml:space="preserve">Cargo </t>
  </si>
  <si>
    <t xml:space="preserve">Descripcion </t>
  </si>
  <si>
    <t>603.81.006</t>
  </si>
  <si>
    <t>603.38.002</t>
  </si>
  <si>
    <t>602.34.002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</si>
</sst>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dd/mm/yy"/>
    <numFmt numFmtId="165" formatCode="dd/mm/yyyy\ h:mm"/>
  </numFmts>
  <fonts count="36">
    <font>
      <sz val="10"/>
      <color rgb="FF000000"/>
      <name val="Arial"/>
      <scheme val="minor"/>
    </font>
    <font>
      <b/>
      <i/>
      <sz val="10"/>
      <color theme="1"/>
      <name val="Arial"/>
      <family val="2"/>
      <scheme val="minor"/>
    </font>
    <font>
      <sz val="10"/>
      <color theme="1"/>
      <name val="Arial"/>
      <family val="2"/>
      <scheme val="minor"/>
    </font>
    <font>
      <u/>
      <sz val="10"/>
      <color rgb="FF0000FF"/>
      <name val="Arial"/>
      <family val="2"/>
    </font>
    <font>
      <b/>
      <sz val="8"/>
      <color theme="0"/>
      <name val="Arial"/>
      <family val="2"/>
    </font>
    <font>
      <b/>
      <sz val="8"/>
      <color rgb="FFFFFFFF"/>
      <name val="Arial"/>
      <family val="2"/>
    </font>
    <font>
      <sz val="8"/>
      <color theme="1"/>
      <name val="Arial"/>
      <family val="2"/>
      <scheme val="minor"/>
    </font>
    <font>
      <b/>
      <sz val="8"/>
      <color theme="1"/>
      <name val="Arial"/>
      <family val="2"/>
      <scheme val="minor"/>
    </font>
    <font>
      <u/>
      <sz val="8"/>
      <color rgb="FF0000FF"/>
      <name val="Arial"/>
      <family val="2"/>
    </font>
    <font>
      <u/>
      <sz val="8"/>
      <color rgb="FF0000FF"/>
      <name val="Arial"/>
      <family val="2"/>
    </font>
    <font>
      <u/>
      <sz val="8"/>
      <color rgb="FF0000FF"/>
      <name val="Arial"/>
      <family val="2"/>
    </font>
    <font>
      <u/>
      <sz val="8"/>
      <color rgb="FF0000FF"/>
      <name val="Arial"/>
      <family val="2"/>
    </font>
    <font>
      <u/>
      <sz val="10"/>
      <color rgb="FF0000FF"/>
      <name val="Arial"/>
      <family val="2"/>
    </font>
    <font>
      <u/>
      <sz val="8"/>
      <color rgb="FF0000FF"/>
      <name val="Arial"/>
      <family val="2"/>
    </font>
    <font>
      <sz val="8"/>
      <color theme="1"/>
      <name val="Arial"/>
      <family val="2"/>
    </font>
    <font>
      <sz val="9"/>
      <color rgb="FF000000"/>
      <name val="&quot;Aptos Narrow&quot;"/>
    </font>
    <font>
      <sz val="8"/>
      <color rgb="FF000000"/>
      <name val="Arial"/>
      <family val="2"/>
      <scheme val="minor"/>
    </font>
    <font>
      <b/>
      <sz val="8"/>
      <color rgb="FF000000"/>
      <name val="&quot;Google Sans Mono&quot;"/>
    </font>
    <font>
      <sz val="12"/>
      <color rgb="FF000000"/>
      <name val="Calibri"/>
      <family val="2"/>
    </font>
    <font>
      <sz val="9"/>
      <color rgb="FF000000"/>
      <name val="Arial"/>
      <family val="2"/>
    </font>
    <font>
      <u/>
      <sz val="8"/>
      <color rgb="FF1155CC"/>
      <name val="Arial"/>
      <family val="2"/>
    </font>
    <font>
      <b/>
      <u/>
      <sz val="8"/>
      <color rgb="FF000000"/>
      <name val="&quot;Google Sans Mono&quot;"/>
    </font>
    <font>
      <u/>
      <sz val="8"/>
      <color rgb="FF000000"/>
      <name val="Arial"/>
      <family val="2"/>
    </font>
    <font>
      <u/>
      <sz val="8"/>
      <color rgb="FF0000FF"/>
      <name val="Arial"/>
      <family val="2"/>
    </font>
    <font>
      <u/>
      <sz val="8"/>
      <color rgb="FF0000FF"/>
      <name val="Arial"/>
      <family val="2"/>
    </font>
    <font>
      <sz val="8"/>
      <color theme="1"/>
      <name val="Calibri"/>
      <family val="2"/>
    </font>
    <font>
      <b/>
      <sz val="10"/>
      <color theme="1"/>
      <name val="Proxima Nova"/>
    </font>
    <font>
      <sz val="10"/>
      <color theme="1"/>
      <name val="Proxima Nova"/>
    </font>
    <font>
      <sz val="10"/>
      <color theme="1"/>
      <name val="Proxima Nova"/>
    </font>
    <font>
      <b/>
      <sz val="8"/>
      <color rgb="FF222222"/>
      <name val="&quot;Google Sans&quot;"/>
    </font>
    <font>
      <u/>
      <sz val="8"/>
      <color rgb="FF0000FF"/>
      <name val="Arial"/>
      <family val="2"/>
    </font>
    <font>
      <u/>
      <sz val="8"/>
      <color rgb="FF0000FF"/>
      <name val="Arial"/>
      <family val="2"/>
    </font>
    <font>
      <b/>
      <sz val="8"/>
      <color rgb="FF000000"/>
      <name val="Arial"/>
      <family val="2"/>
    </font>
    <font>
      <b/>
      <sz val="8"/>
      <color theme="1"/>
      <name val="Arial"/>
      <family val="2"/>
    </font>
    <font>
      <sz val="10"/>
      <color rgb="FF000000"/>
      <name val="Arial"/>
      <family val="2"/>
      <scheme val="minor"/>
    </font>
    <font>
      <b/>
      <sz val="9"/>
      <color rgb="FF666666"/>
      <name val="Arial"/>
      <family val="2"/>
      <scheme val="minor"/>
    </font>
  </fonts>
  <fills count="21">
    <fill>
      <patternFill patternType="none"/>
    </fill>
    <fill>
      <patternFill patternType="gray125"/>
    </fill>
    <fill>
      <patternFill patternType="solid">
        <fgColor rgb="FFC9DAF8"/>
        <bgColor rgb="FFC9DAF8"/>
      </patternFill>
    </fill>
    <fill>
      <patternFill patternType="solid">
        <fgColor rgb="FF666666"/>
        <bgColor rgb="FF666666"/>
      </patternFill>
    </fill>
    <fill>
      <patternFill patternType="solid">
        <fgColor rgb="FFCCCCCC"/>
        <bgColor rgb="FFCCCCCC"/>
      </patternFill>
    </fill>
    <fill>
      <patternFill patternType="solid">
        <fgColor rgb="FFB7B7B7"/>
        <bgColor rgb="FFB7B7B7"/>
      </patternFill>
    </fill>
    <fill>
      <patternFill patternType="solid">
        <fgColor rgb="FF999999"/>
        <bgColor rgb="FF999999"/>
      </patternFill>
    </fill>
    <fill>
      <patternFill patternType="solid">
        <fgColor rgb="FF6AA84F"/>
        <bgColor rgb="FF6AA84F"/>
      </patternFill>
    </fill>
    <fill>
      <patternFill patternType="solid">
        <fgColor rgb="FFEFEFEF"/>
        <bgColor rgb="FFEFEFEF"/>
      </patternFill>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D8E5F8"/>
        <bgColor rgb="FFD8E5F8"/>
      </patternFill>
    </fill>
    <fill>
      <patternFill patternType="solid">
        <fgColor rgb="FFFFFF00"/>
        <bgColor rgb="FFFFFF00"/>
      </patternFill>
    </fill>
    <fill>
      <patternFill patternType="solid">
        <fgColor rgb="FFFF0000"/>
        <bgColor rgb="FFFF0000"/>
      </patternFill>
    </fill>
    <fill>
      <patternFill patternType="solid">
        <fgColor rgb="FFD9D2E9"/>
        <bgColor rgb="FFD9D2E9"/>
      </patternFill>
    </fill>
    <fill>
      <patternFill patternType="solid">
        <fgColor rgb="FFF4CCCC"/>
        <bgColor rgb="FFF4CCCC"/>
      </patternFill>
    </fill>
    <fill>
      <patternFill patternType="solid">
        <fgColor rgb="FF4A86E8"/>
        <bgColor rgb="FF4A86E8"/>
      </patternFill>
    </fill>
    <fill>
      <patternFill patternType="solid">
        <fgColor rgb="FF00FF00"/>
        <bgColor rgb="FF00FF00"/>
      </patternFill>
    </fill>
    <fill>
      <patternFill patternType="solid">
        <fgColor theme="0"/>
        <bgColor theme="0"/>
      </patternFill>
    </fill>
  </fills>
  <borders count="2">
    <border>
      <left/>
      <right/>
      <top/>
      <bottom/>
      <diagonal/>
    </border>
    <border>
      <left style="medium">
        <color rgb="FF000000"/>
      </left>
      <right/>
      <top/>
      <bottom/>
      <diagonal/>
    </border>
  </borders>
  <cellStyleXfs count="2">
    <xf numFmtId="0" fontId="0" fillId="0" borderId="0"/>
    <xf numFmtId="43" fontId="34" fillId="0" borderId="0" applyFont="0" applyFill="0" applyBorder="0" applyAlignment="0" applyProtection="0"/>
  </cellStyleXfs>
  <cellXfs count="144">
    <xf numFmtId="0" fontId="0" fillId="0" borderId="0" xfId="0"/>
    <xf numFmtId="0" fontId="1" fillId="2" borderId="0" xfId="0" applyFont="1" applyFill="1"/>
    <xf numFmtId="164" fontId="1" fillId="2" borderId="0" xfId="0" applyNumberFormat="1" applyFont="1" applyFill="1"/>
    <xf numFmtId="4" fontId="1" fillId="2" borderId="0" xfId="0" applyNumberFormat="1" applyFont="1" applyFill="1"/>
    <xf numFmtId="0" fontId="2" fillId="0" borderId="0" xfId="0" applyFont="1"/>
    <xf numFmtId="165" fontId="2" fillId="0" borderId="0" xfId="0" applyNumberFormat="1" applyFont="1"/>
    <xf numFmtId="4" fontId="2" fillId="0" borderId="0" xfId="0" applyNumberFormat="1" applyFont="1"/>
    <xf numFmtId="164" fontId="2" fillId="0" borderId="0" xfId="0" applyNumberFormat="1" applyFont="1"/>
    <xf numFmtId="0" fontId="3" fillId="0" borderId="0" xfId="0" applyFont="1"/>
    <xf numFmtId="164" fontId="4" fillId="0" borderId="0" xfId="0" applyNumberFormat="1" applyFont="1" applyAlignment="1">
      <alignment horizontal="left"/>
    </xf>
    <xf numFmtId="164" fontId="4" fillId="0" borderId="0" xfId="0" applyNumberFormat="1" applyFont="1" applyAlignment="1">
      <alignment horizontal="center"/>
    </xf>
    <xf numFmtId="4" fontId="4" fillId="0" borderId="0" xfId="0" applyNumberFormat="1" applyFont="1"/>
    <xf numFmtId="0" fontId="4" fillId="0" borderId="0" xfId="0" applyFont="1" applyAlignment="1">
      <alignment horizontal="center"/>
    </xf>
    <xf numFmtId="0" fontId="4" fillId="0" borderId="0" xfId="0" applyFont="1"/>
    <xf numFmtId="0" fontId="5" fillId="3" borderId="0" xfId="0" applyFont="1" applyFill="1" applyAlignment="1">
      <alignment horizontal="center"/>
    </xf>
    <xf numFmtId="0" fontId="4" fillId="3" borderId="0" xfId="0" applyFont="1" applyFill="1"/>
    <xf numFmtId="0" fontId="6" fillId="0" borderId="0" xfId="0" applyFont="1" applyAlignment="1">
      <alignment horizontal="left"/>
    </xf>
    <xf numFmtId="0" fontId="6" fillId="0" borderId="0" xfId="0" applyFont="1"/>
    <xf numFmtId="0" fontId="8" fillId="0" borderId="0" xfId="0" applyFont="1" applyAlignment="1">
      <alignment horizontal="center"/>
    </xf>
    <xf numFmtId="0" fontId="9" fillId="0" borderId="0" xfId="0" applyFont="1"/>
    <xf numFmtId="0" fontId="10" fillId="0" borderId="0" xfId="0" applyFont="1" applyAlignment="1">
      <alignment horizontal="center"/>
    </xf>
    <xf numFmtId="0" fontId="11" fillId="0" borderId="0" xfId="0" applyFont="1"/>
    <xf numFmtId="0" fontId="12" fillId="0" borderId="0" xfId="0" applyFont="1"/>
    <xf numFmtId="0" fontId="13" fillId="0" borderId="0" xfId="0" applyFont="1" applyAlignment="1">
      <alignment horizontal="left"/>
    </xf>
    <xf numFmtId="0" fontId="6" fillId="0" borderId="0" xfId="0" applyFont="1" applyAlignment="1">
      <alignment horizontal="center"/>
    </xf>
    <xf numFmtId="0" fontId="5" fillId="0" borderId="0" xfId="0" applyFont="1" applyAlignment="1">
      <alignment horizontal="left"/>
    </xf>
    <xf numFmtId="0" fontId="5" fillId="0" borderId="0" xfId="0" applyFont="1" applyAlignment="1">
      <alignment horizontal="center"/>
    </xf>
    <xf numFmtId="0" fontId="5" fillId="0" borderId="0" xfId="0" applyFont="1"/>
    <xf numFmtId="4" fontId="5" fillId="0" borderId="0" xfId="0" applyNumberFormat="1" applyFont="1"/>
    <xf numFmtId="0" fontId="5" fillId="6" borderId="0" xfId="0" applyFont="1" applyFill="1" applyAlignment="1">
      <alignment horizontal="left"/>
    </xf>
    <xf numFmtId="0" fontId="5" fillId="6" borderId="0" xfId="0" applyFont="1" applyFill="1" applyAlignment="1">
      <alignment horizontal="center"/>
    </xf>
    <xf numFmtId="0" fontId="5" fillId="3" borderId="0" xfId="0" applyFont="1" applyFill="1"/>
    <xf numFmtId="4" fontId="4" fillId="3" borderId="0" xfId="0" applyNumberFormat="1" applyFont="1" applyFill="1"/>
    <xf numFmtId="4" fontId="5" fillId="3" borderId="0" xfId="0" applyNumberFormat="1" applyFont="1" applyFill="1"/>
    <xf numFmtId="0" fontId="5" fillId="7" borderId="0" xfId="0" applyFont="1" applyFill="1" applyAlignment="1">
      <alignment horizontal="center"/>
    </xf>
    <xf numFmtId="0" fontId="4" fillId="7" borderId="0" xfId="0" applyFont="1" applyFill="1" applyAlignment="1">
      <alignment horizontal="center" vertical="center"/>
    </xf>
    <xf numFmtId="0" fontId="4" fillId="7" borderId="0" xfId="0" applyFont="1" applyFill="1" applyAlignment="1">
      <alignment horizontal="left" vertical="center"/>
    </xf>
    <xf numFmtId="0" fontId="14" fillId="0" borderId="0" xfId="0" applyFont="1" applyAlignment="1">
      <alignment horizontal="left"/>
    </xf>
    <xf numFmtId="164" fontId="14" fillId="0" borderId="0" xfId="0" applyNumberFormat="1" applyFont="1" applyAlignment="1">
      <alignment horizontal="center"/>
    </xf>
    <xf numFmtId="165" fontId="15" fillId="0" borderId="0" xfId="0" applyNumberFormat="1" applyFont="1" applyAlignment="1">
      <alignment horizontal="right"/>
    </xf>
    <xf numFmtId="20" fontId="14" fillId="0" borderId="0" xfId="0" applyNumberFormat="1" applyFont="1"/>
    <xf numFmtId="0" fontId="14" fillId="0" borderId="0" xfId="0" applyFont="1"/>
    <xf numFmtId="4" fontId="15" fillId="0" borderId="0" xfId="0" applyNumberFormat="1" applyFont="1" applyAlignment="1">
      <alignment horizontal="right"/>
    </xf>
    <xf numFmtId="0" fontId="15" fillId="0" borderId="0" xfId="0" applyFont="1"/>
    <xf numFmtId="0" fontId="16" fillId="0" borderId="0" xfId="0" applyFont="1"/>
    <xf numFmtId="0" fontId="16" fillId="0" borderId="0" xfId="0" applyFont="1" applyAlignment="1">
      <alignment horizontal="right"/>
    </xf>
    <xf numFmtId="0" fontId="7" fillId="8" borderId="0" xfId="0" applyFont="1" applyFill="1" applyAlignment="1">
      <alignment horizontal="center"/>
    </xf>
    <xf numFmtId="0" fontId="7" fillId="8" borderId="0" xfId="0" applyFont="1" applyFill="1"/>
    <xf numFmtId="0" fontId="17" fillId="8" borderId="0" xfId="0" applyFont="1" applyFill="1" applyAlignment="1">
      <alignment horizontal="left"/>
    </xf>
    <xf numFmtId="0" fontId="18" fillId="0" borderId="0" xfId="0" applyFont="1"/>
    <xf numFmtId="0" fontId="19" fillId="0" borderId="0" xfId="0" applyFont="1"/>
    <xf numFmtId="0" fontId="20" fillId="0" borderId="0" xfId="0" applyFont="1"/>
    <xf numFmtId="20" fontId="6" fillId="0" borderId="0" xfId="0" applyNumberFormat="1" applyFont="1"/>
    <xf numFmtId="0" fontId="15" fillId="0" borderId="0" xfId="0" applyFont="1" applyAlignment="1">
      <alignment horizontal="right"/>
    </xf>
    <xf numFmtId="0" fontId="21" fillId="8" borderId="0" xfId="0" applyFont="1" applyFill="1" applyAlignment="1">
      <alignment horizontal="left"/>
    </xf>
    <xf numFmtId="4" fontId="15" fillId="0" borderId="0" xfId="0" applyNumberFormat="1" applyFont="1"/>
    <xf numFmtId="4" fontId="19" fillId="0" borderId="0" xfId="0" applyNumberFormat="1" applyFont="1" applyAlignment="1">
      <alignment horizontal="right"/>
    </xf>
    <xf numFmtId="0" fontId="14" fillId="9" borderId="0" xfId="0" applyFont="1" applyFill="1" applyAlignment="1">
      <alignment horizontal="left"/>
    </xf>
    <xf numFmtId="20" fontId="6" fillId="9" borderId="0" xfId="0" applyNumberFormat="1" applyFont="1" applyFill="1"/>
    <xf numFmtId="0" fontId="6" fillId="9" borderId="0" xfId="0" applyFont="1" applyFill="1"/>
    <xf numFmtId="0" fontId="7" fillId="9" borderId="0" xfId="0" applyFont="1" applyFill="1"/>
    <xf numFmtId="0" fontId="17" fillId="9" borderId="0" xfId="0" applyFont="1" applyFill="1" applyAlignment="1">
      <alignment horizontal="left"/>
    </xf>
    <xf numFmtId="0" fontId="22" fillId="0" borderId="0" xfId="0" applyFont="1"/>
    <xf numFmtId="165" fontId="6" fillId="0" borderId="0" xfId="0" applyNumberFormat="1" applyFont="1" applyAlignment="1">
      <alignment horizontal="center"/>
    </xf>
    <xf numFmtId="0" fontId="23" fillId="0" borderId="0" xfId="0" applyFont="1"/>
    <xf numFmtId="4" fontId="6" fillId="0" borderId="0" xfId="0" applyNumberFormat="1" applyFont="1"/>
    <xf numFmtId="0" fontId="14" fillId="0" borderId="0" xfId="0" applyFont="1" applyAlignment="1">
      <alignment horizontal="center"/>
    </xf>
    <xf numFmtId="0" fontId="24" fillId="0" borderId="0" xfId="0" applyFont="1" applyAlignment="1">
      <alignment horizontal="left"/>
    </xf>
    <xf numFmtId="0" fontId="7" fillId="0" borderId="0" xfId="0" applyFont="1" applyAlignment="1">
      <alignment horizontal="center" vertical="center"/>
    </xf>
    <xf numFmtId="0" fontId="25" fillId="0" borderId="1" xfId="0" applyFont="1" applyBorder="1"/>
    <xf numFmtId="4" fontId="25" fillId="0" borderId="1" xfId="0" applyNumberFormat="1" applyFont="1" applyBorder="1"/>
    <xf numFmtId="0" fontId="5" fillId="0" borderId="0" xfId="0" applyFont="1" applyAlignment="1">
      <alignment horizontal="center" vertical="center" wrapText="1"/>
    </xf>
    <xf numFmtId="164" fontId="4" fillId="0" borderId="0" xfId="0" applyNumberFormat="1" applyFont="1" applyAlignment="1">
      <alignment horizontal="center" vertical="center" wrapText="1"/>
    </xf>
    <xf numFmtId="4" fontId="4" fillId="0" borderId="0" xfId="0" applyNumberFormat="1" applyFont="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4" fontId="5" fillId="0" borderId="0" xfId="0" applyNumberFormat="1" applyFont="1" applyAlignment="1">
      <alignment horizontal="center" vertical="center" wrapText="1"/>
    </xf>
    <xf numFmtId="0" fontId="5" fillId="6" borderId="0" xfId="0" applyFont="1" applyFill="1" applyAlignment="1">
      <alignment horizontal="center" vertical="center" wrapText="1"/>
    </xf>
    <xf numFmtId="0" fontId="5" fillId="6" borderId="0" xfId="0" applyFont="1" applyFill="1" applyAlignment="1">
      <alignment horizontal="center" vertical="center"/>
    </xf>
    <xf numFmtId="164" fontId="4" fillId="6" borderId="0" xfId="0" applyNumberFormat="1" applyFont="1" applyFill="1" applyAlignment="1">
      <alignment horizontal="center" vertical="center"/>
    </xf>
    <xf numFmtId="4" fontId="4" fillId="3" borderId="0" xfId="0" applyNumberFormat="1" applyFont="1" applyFill="1" applyAlignment="1">
      <alignment horizontal="center" vertical="center"/>
    </xf>
    <xf numFmtId="4" fontId="5" fillId="3" borderId="0" xfId="0" applyNumberFormat="1" applyFont="1" applyFill="1" applyAlignment="1">
      <alignment horizontal="center" vertical="center"/>
    </xf>
    <xf numFmtId="0" fontId="4" fillId="3" borderId="0" xfId="0" applyFont="1" applyFill="1" applyAlignment="1">
      <alignment horizontal="center" vertical="center"/>
    </xf>
    <xf numFmtId="0" fontId="5" fillId="3" borderId="0" xfId="0" applyFont="1" applyFill="1" applyAlignment="1">
      <alignment horizontal="center" vertical="center"/>
    </xf>
    <xf numFmtId="0" fontId="26" fillId="0" borderId="0" xfId="0" applyFont="1"/>
    <xf numFmtId="0" fontId="27" fillId="0" borderId="0" xfId="0" applyFont="1"/>
    <xf numFmtId="164" fontId="6" fillId="0" borderId="0" xfId="0" applyNumberFormat="1" applyFont="1" applyAlignment="1">
      <alignment horizontal="center"/>
    </xf>
    <xf numFmtId="0" fontId="28" fillId="0" borderId="0" xfId="0" applyFont="1" applyAlignment="1">
      <alignment horizontal="left"/>
    </xf>
    <xf numFmtId="0" fontId="6" fillId="0" borderId="0" xfId="0" applyFont="1" applyAlignment="1">
      <alignment horizontal="center" vertical="center"/>
    </xf>
    <xf numFmtId="0" fontId="6" fillId="11" borderId="0" xfId="0" applyFont="1" applyFill="1"/>
    <xf numFmtId="0" fontId="6" fillId="12" borderId="0" xfId="0" applyFont="1" applyFill="1"/>
    <xf numFmtId="0" fontId="29" fillId="13" borderId="0" xfId="0" applyFont="1" applyFill="1"/>
    <xf numFmtId="164" fontId="4" fillId="6" borderId="0" xfId="0" applyNumberFormat="1" applyFont="1" applyFill="1" applyAlignment="1">
      <alignment horizontal="center" vertical="center" wrapText="1"/>
    </xf>
    <xf numFmtId="4" fontId="4" fillId="3" borderId="0" xfId="0" applyNumberFormat="1" applyFont="1" applyFill="1" applyAlignment="1">
      <alignment horizontal="center" vertical="center" wrapText="1"/>
    </xf>
    <xf numFmtId="4" fontId="5" fillId="3" borderId="0" xfId="0" applyNumberFormat="1" applyFont="1" applyFill="1" applyAlignment="1">
      <alignment horizontal="center" vertical="center" wrapText="1"/>
    </xf>
    <xf numFmtId="0" fontId="4" fillId="3" borderId="0" xfId="0" applyFont="1" applyFill="1" applyAlignment="1">
      <alignment horizontal="center" vertical="center" wrapText="1"/>
    </xf>
    <xf numFmtId="0" fontId="5" fillId="3" borderId="0" xfId="0" applyFont="1" applyFill="1" applyAlignment="1">
      <alignment horizontal="center" vertical="center" wrapText="1"/>
    </xf>
    <xf numFmtId="0" fontId="4" fillId="7" borderId="0" xfId="0" applyFont="1" applyFill="1"/>
    <xf numFmtId="0" fontId="6" fillId="14" borderId="0" xfId="0" applyFont="1" applyFill="1" applyAlignment="1">
      <alignment horizontal="center"/>
    </xf>
    <xf numFmtId="164" fontId="6" fillId="14" borderId="0" xfId="0" applyNumberFormat="1" applyFont="1" applyFill="1" applyAlignment="1">
      <alignment horizontal="center"/>
    </xf>
    <xf numFmtId="0" fontId="6" fillId="14" borderId="0" xfId="0" applyFont="1" applyFill="1"/>
    <xf numFmtId="0" fontId="6" fillId="10" borderId="0" xfId="0" applyFont="1" applyFill="1"/>
    <xf numFmtId="0" fontId="6" fillId="10" borderId="0" xfId="0" applyFont="1" applyFill="1" applyAlignment="1">
      <alignment horizontal="center"/>
    </xf>
    <xf numFmtId="0" fontId="6" fillId="9" borderId="0" xfId="0" applyFont="1" applyFill="1" applyAlignment="1">
      <alignment horizontal="center"/>
    </xf>
    <xf numFmtId="164" fontId="6" fillId="9" borderId="0" xfId="0" applyNumberFormat="1" applyFont="1" applyFill="1" applyAlignment="1">
      <alignment horizontal="center"/>
    </xf>
    <xf numFmtId="4" fontId="6" fillId="9" borderId="0" xfId="0" applyNumberFormat="1" applyFont="1" applyFill="1"/>
    <xf numFmtId="165" fontId="6" fillId="9" borderId="0" xfId="0" applyNumberFormat="1" applyFont="1" applyFill="1" applyAlignment="1">
      <alignment horizontal="center"/>
    </xf>
    <xf numFmtId="0" fontId="6" fillId="15" borderId="0" xfId="0" applyFont="1" applyFill="1"/>
    <xf numFmtId="0" fontId="30" fillId="0" borderId="0" xfId="0" applyFont="1"/>
    <xf numFmtId="0" fontId="6" fillId="11" borderId="0" xfId="0" applyFont="1" applyFill="1" applyAlignment="1">
      <alignment horizontal="center"/>
    </xf>
    <xf numFmtId="164" fontId="6" fillId="11" borderId="0" xfId="0" applyNumberFormat="1" applyFont="1" applyFill="1" applyAlignment="1">
      <alignment horizontal="center"/>
    </xf>
    <xf numFmtId="0" fontId="6" fillId="12" borderId="0" xfId="0" applyFont="1" applyFill="1" applyAlignment="1">
      <alignment horizontal="center"/>
    </xf>
    <xf numFmtId="164" fontId="6" fillId="12" borderId="0" xfId="0" applyNumberFormat="1" applyFont="1" applyFill="1" applyAlignment="1">
      <alignment horizontal="center"/>
    </xf>
    <xf numFmtId="4" fontId="6" fillId="12" borderId="0" xfId="0" applyNumberFormat="1" applyFont="1" applyFill="1"/>
    <xf numFmtId="165" fontId="6" fillId="12" borderId="0" xfId="0" applyNumberFormat="1" applyFont="1" applyFill="1" applyAlignment="1">
      <alignment horizontal="center"/>
    </xf>
    <xf numFmtId="0" fontId="31" fillId="12" borderId="0" xfId="0" applyFont="1" applyFill="1"/>
    <xf numFmtId="0" fontId="6" fillId="16" borderId="0" xfId="0" applyFont="1" applyFill="1"/>
    <xf numFmtId="4" fontId="6" fillId="11" borderId="0" xfId="0" applyNumberFormat="1" applyFont="1" applyFill="1"/>
    <xf numFmtId="165" fontId="6" fillId="11" borderId="0" xfId="0" applyNumberFormat="1" applyFont="1" applyFill="1" applyAlignment="1">
      <alignment horizontal="center"/>
    </xf>
    <xf numFmtId="0" fontId="32" fillId="0" borderId="0" xfId="0" applyFont="1"/>
    <xf numFmtId="0" fontId="6" fillId="17" borderId="0" xfId="0" applyFont="1" applyFill="1" applyAlignment="1">
      <alignment horizontal="center"/>
    </xf>
    <xf numFmtId="164" fontId="6" fillId="17" borderId="0" xfId="0" applyNumberFormat="1" applyFont="1" applyFill="1" applyAlignment="1">
      <alignment horizontal="center"/>
    </xf>
    <xf numFmtId="165" fontId="6" fillId="17" borderId="0" xfId="0" applyNumberFormat="1" applyFont="1" applyFill="1" applyAlignment="1">
      <alignment horizontal="center"/>
    </xf>
    <xf numFmtId="4" fontId="6" fillId="17" borderId="0" xfId="0" applyNumberFormat="1" applyFont="1" applyFill="1"/>
    <xf numFmtId="0" fontId="6" fillId="17" borderId="0" xfId="0" applyFont="1" applyFill="1"/>
    <xf numFmtId="0" fontId="33" fillId="0" borderId="0" xfId="0" applyFont="1"/>
    <xf numFmtId="0" fontId="6" fillId="18" borderId="0" xfId="0" applyFont="1" applyFill="1"/>
    <xf numFmtId="0" fontId="6" fillId="19" borderId="0" xfId="0" applyFont="1" applyFill="1"/>
    <xf numFmtId="4" fontId="6" fillId="0" borderId="0" xfId="0" applyNumberFormat="1" applyFont="1" applyAlignment="1">
      <alignment horizontal="center" vertical="center"/>
    </xf>
    <xf numFmtId="0" fontId="6" fillId="20" borderId="0" xfId="0" applyFont="1" applyFill="1"/>
    <xf numFmtId="165" fontId="6" fillId="14" borderId="0" xfId="0" applyNumberFormat="1" applyFont="1" applyFill="1" applyAlignment="1">
      <alignment horizontal="center"/>
    </xf>
    <xf numFmtId="4" fontId="6" fillId="14" borderId="0" xfId="0" applyNumberFormat="1" applyFont="1" applyFill="1"/>
    <xf numFmtId="4" fontId="7" fillId="0" borderId="0" xfId="0" applyNumberFormat="1" applyFont="1"/>
    <xf numFmtId="0" fontId="7" fillId="0" borderId="0" xfId="0" applyFont="1"/>
    <xf numFmtId="49" fontId="6" fillId="0" borderId="0" xfId="0" applyNumberFormat="1" applyFont="1"/>
    <xf numFmtId="14" fontId="4" fillId="6" borderId="0" xfId="0" applyNumberFormat="1" applyFont="1" applyFill="1" applyAlignment="1">
      <alignment horizontal="center" vertical="center"/>
    </xf>
    <xf numFmtId="43" fontId="4" fillId="3" borderId="0" xfId="1" applyFont="1" applyFill="1" applyAlignment="1">
      <alignment horizontal="center" vertical="center"/>
    </xf>
    <xf numFmtId="0" fontId="35" fillId="0" borderId="0" xfId="0" applyFont="1"/>
    <xf numFmtId="4" fontId="4" fillId="3" borderId="0" xfId="0" applyNumberFormat="1" applyFont="1" applyFill="1" applyAlignment="1">
      <alignment horizontal="center"/>
    </xf>
    <xf numFmtId="0" fontId="0" fillId="0" borderId="0" xfId="0"/>
    <xf numFmtId="4" fontId="7" fillId="4" borderId="0" xfId="0" applyNumberFormat="1" applyFont="1" applyFill="1" applyAlignment="1">
      <alignment horizontal="center" vertical="center"/>
    </xf>
    <xf numFmtId="4" fontId="5" fillId="3" borderId="0" xfId="0" applyNumberFormat="1" applyFont="1" applyFill="1" applyAlignment="1">
      <alignment horizontal="center"/>
    </xf>
    <xf numFmtId="0" fontId="5" fillId="5" borderId="0" xfId="0" applyFont="1" applyFill="1" applyAlignment="1">
      <alignment horizontal="center"/>
    </xf>
    <xf numFmtId="0" fontId="14" fillId="10" borderId="0" xfId="0" applyFont="1" applyFill="1" applyAlignment="1">
      <alignment horizontal="center"/>
    </xf>
  </cellXfs>
  <cellStyles count="2">
    <cellStyle name="Millares" xfId="1" builtinId="3"/>
    <cellStyle name="Normal" xfId="0" builtinId="0"/>
  </cellStyles>
  <dxfs count="7">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
      <fill>
        <patternFill patternType="solid">
          <fgColor rgb="FFF4CCCC"/>
          <bgColor rgb="FFF4CCCC"/>
        </patternFill>
      </fill>
    </dxf>
    <dxf>
      <fill>
        <patternFill patternType="solid">
          <fgColor rgb="FFF4CCCC"/>
          <bgColor rgb="FFF4CCCC"/>
        </patternFill>
      </fill>
    </dxf>
    <dxf>
      <fill>
        <patternFill patternType="solid">
          <fgColor rgb="FFB7E1CD"/>
          <bgColor rgb="FFB7E1CD"/>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styles" Target="styles.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theme" Target="theme/theme1.xml"/><Relationship Id="rId9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sheetMetadata" Target="metadata.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xml"/><Relationship Id="rId98"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Angeles%20Martinez/Documents/Jeeves/Junio/06.______Jeeves%20-%20Prima______.xlsx" TargetMode="External"/><Relationship Id="rId2" Type="http://schemas.openxmlformats.org/officeDocument/2006/relationships/externalLinkPath" Target="file:///C:\Users\Angeles%20Martinez\Documents\Jeeves\Junio\06.______Jeeves%20-%20Prima______.xlsx" TargetMode="External"/><Relationship Id="rId1" Type="http://schemas.openxmlformats.org/officeDocument/2006/relationships/externalLinkPath" Target="/Users/Angeles%20Martinez/Documents/Jeeves/Junio/06.______Jeeves%20-%20Prima______.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do Cta Jeeves Sept"/>
      <sheetName val="Hoja1"/>
      <sheetName val="Total"/>
      <sheetName val="Consolidado"/>
      <sheetName val="#16 Rogelio"/>
      <sheetName val="#64 Erik Castillo"/>
      <sheetName val="#2 Cesar"/>
      <sheetName val="#3 Cesar Uriel"/>
      <sheetName val="#4 Daniel Autrique"/>
      <sheetName val="#5 Fernanda"/>
      <sheetName val="#6 Fernando Sanchez"/>
      <sheetName val="#7 Isaac"/>
      <sheetName val="#8 Jose Ignacio"/>
      <sheetName val="#9 Jose Maria"/>
      <sheetName val="#13 Miguel"/>
      <sheetName val="#14 Patricio. "/>
      <sheetName val="#19 Daniel Alejandro Castillo R"/>
      <sheetName val="#20 Gerardo Guadalupe Ruiz Huer"/>
      <sheetName val="#21 Jesus Gonzalez Grana"/>
      <sheetName val="#24 Andres Camacho"/>
      <sheetName val="#25 Jorge Estrada"/>
      <sheetName val="#26 Alexandra Ballesteros"/>
      <sheetName val="#28 Fernando Villalobos"/>
      <sheetName val="#30 Manuel Ibarra"/>
      <sheetName val=" #31 Emiliano Cavazos"/>
      <sheetName val="#29 Jonatan Cid"/>
      <sheetName val="#34 Juan Pablo Ramos"/>
      <sheetName val="#35 Termis"/>
      <sheetName val="#37 Angel Pantoja"/>
      <sheetName val="#40 Gabriela Zacarias"/>
      <sheetName val="#41 Jose Arechavala"/>
      <sheetName val="#42 Rodrigo Perea"/>
      <sheetName val="#43 Pablo Ortiz"/>
      <sheetName val="#44 JP Hammerstein"/>
      <sheetName val="#45 Erick Cival"/>
      <sheetName val="#46 Kallie Parchman"/>
      <sheetName val="#48 Andres Preza"/>
      <sheetName val="#49 Jahaziel Galan"/>
      <sheetName val="#51 Saul Murillo"/>
      <sheetName val="#52 Tommaso Rivetti"/>
      <sheetName val="#53 Monserrat Benitez"/>
      <sheetName val="#55 Gerardo Madrid"/>
      <sheetName val="#56 Carlos Ivan Gonzalez Merino"/>
      <sheetName val="#54 Mario Castorela"/>
      <sheetName val="#57 Paloma Santos"/>
      <sheetName val="#58 Jose Rosas"/>
      <sheetName val="#60 Carlos Aleman"/>
      <sheetName val="#61 Jorge Diaz"/>
      <sheetName val="#62 Jorge Rojas"/>
      <sheetName val="#65 Diana Miranda"/>
      <sheetName val="#66 Jorge Ramirez"/>
      <sheetName val="#67 Gustavo Rivas"/>
      <sheetName val="#68 Alfonso Bello"/>
      <sheetName val="#69 Cole Anderson"/>
      <sheetName val="#71Mariano"/>
      <sheetName val="#71 Alan R "/>
      <sheetName val="#72 Julio Güemes"/>
      <sheetName val="#73 Manuel Caldera"/>
      <sheetName val="#74 Alan G"/>
      <sheetName val="#75 Naomi Gonzalez"/>
      <sheetName val="Eduardo Javier"/>
      <sheetName val="#76 Ricardo Malo"/>
    </sheetNames>
    <sheetDataSet>
      <sheetData sheetId="0" refreshError="1"/>
      <sheetData sheetId="1" refreshError="1"/>
      <sheetData sheetId="2" refreshError="1">
        <row r="1">
          <cell r="B1" t="str">
            <v>#id user</v>
          </cell>
          <cell r="C1" t="str">
            <v>Swipe Date</v>
          </cell>
          <cell r="D1" t="str">
            <v>Amount</v>
          </cell>
          <cell r="E1" t="str">
            <v>MONEDA</v>
          </cell>
          <cell r="F1" t="str">
            <v>User</v>
          </cell>
          <cell r="G1" t="str">
            <v>Descriptor</v>
          </cell>
          <cell r="H1" t="str">
            <v>Merchant Name</v>
          </cell>
          <cell r="I1" t="str">
            <v>Expense Type</v>
          </cell>
          <cell r="J1" t="str">
            <v>DESCRIPCION DEL CARGO</v>
          </cell>
          <cell r="K1" t="str">
            <v>FOLIO DE FACTURA</v>
          </cell>
          <cell r="L1" t="str">
            <v>x</v>
          </cell>
          <cell r="M1" t="str">
            <v>x</v>
          </cell>
          <cell r="N1" t="str">
            <v>x</v>
          </cell>
          <cell r="O1" t="str">
            <v>x</v>
          </cell>
          <cell r="P1" t="str">
            <v>x</v>
          </cell>
          <cell r="Q1" t="str">
            <v xml:space="preserve">Cuenta </v>
          </cell>
        </row>
        <row r="2">
          <cell r="B2" t="str">
            <v>#16</v>
          </cell>
          <cell r="C2">
            <v>45809.256249999999</v>
          </cell>
          <cell r="D2">
            <v>327.58999999999997</v>
          </cell>
          <cell r="E2" t="str">
            <v>MXN</v>
          </cell>
          <cell r="F2" t="str">
            <v>Rogelio Gamez</v>
          </cell>
          <cell r="G2" t="str">
            <v>3DEXPERIENCE DASSAULT  +18773342551  USA</v>
          </cell>
          <cell r="H2" t="str">
            <v>3dexperience Dassault USA</v>
          </cell>
          <cell r="I2" t="str">
            <v>Tech&amp;Product</v>
          </cell>
          <cell r="J2">
            <v>0</v>
          </cell>
          <cell r="K2">
            <v>0</v>
          </cell>
          <cell r="L2" t="str">
            <v>603.81.004 Gastos de Oficina</v>
          </cell>
          <cell r="M2" t="str">
            <v>603.81.004 Gastos de Oficina</v>
          </cell>
          <cell r="N2">
            <v>327.58999999999997</v>
          </cell>
          <cell r="O2" t="str">
            <v>MXN</v>
          </cell>
          <cell r="Q2" t="str">
            <v>603.81.004 Gastos de Oficina</v>
          </cell>
        </row>
        <row r="3">
          <cell r="B3" t="str">
            <v>#16</v>
          </cell>
          <cell r="C3">
            <v>45810.369444444397</v>
          </cell>
          <cell r="D3">
            <v>201879.67999999999</v>
          </cell>
          <cell r="E3" t="str">
            <v>MXN</v>
          </cell>
          <cell r="F3" t="str">
            <v>Rogelio Gamez</v>
          </cell>
          <cell r="G3" t="str">
            <v>Amazon web services    aws.amazon.co USA</v>
          </cell>
          <cell r="H3" t="str">
            <v>Amazon Web Services</v>
          </cell>
          <cell r="I3" t="str">
            <v>Sales</v>
          </cell>
          <cell r="J3" t="str">
            <v>Marketing</v>
          </cell>
          <cell r="K3">
            <v>0</v>
          </cell>
          <cell r="L3" t="str">
            <v>603.81.004 Gastos de Oficina</v>
          </cell>
          <cell r="M3" t="str">
            <v>603.81.004 Gastos de Oficina</v>
          </cell>
          <cell r="N3">
            <v>201879.67999999999</v>
          </cell>
          <cell r="O3" t="str">
            <v>MXN</v>
          </cell>
          <cell r="Q3" t="str">
            <v>603.81.004 Gastos de Oficina</v>
          </cell>
        </row>
        <row r="4">
          <cell r="B4" t="str">
            <v>#16</v>
          </cell>
          <cell r="C4">
            <v>45810.372222222199</v>
          </cell>
          <cell r="D4">
            <v>1.01</v>
          </cell>
          <cell r="E4" t="str">
            <v>MXN</v>
          </cell>
          <cell r="F4" t="str">
            <v>Rogelio Gamez</v>
          </cell>
          <cell r="G4" t="str">
            <v>Amazon web services    aws.amazon.co USA</v>
          </cell>
          <cell r="H4" t="str">
            <v>Amazon Web Services</v>
          </cell>
          <cell r="I4" t="str">
            <v>Office expenses</v>
          </cell>
          <cell r="J4">
            <v>0</v>
          </cell>
          <cell r="K4">
            <v>0</v>
          </cell>
          <cell r="L4" t="str">
            <v>603.81.004 Gastos de Oficina</v>
          </cell>
          <cell r="M4" t="str">
            <v>603.81.004 Gastos de Oficina</v>
          </cell>
          <cell r="N4">
            <v>1.01</v>
          </cell>
          <cell r="O4" t="str">
            <v>MXN</v>
          </cell>
          <cell r="Q4" t="str">
            <v>603.81.004 Gastos de Oficina</v>
          </cell>
        </row>
        <row r="5">
          <cell r="B5" t="str">
            <v>#16</v>
          </cell>
          <cell r="C5">
            <v>45810.375</v>
          </cell>
          <cell r="D5">
            <v>205.13</v>
          </cell>
          <cell r="E5" t="str">
            <v>MXN</v>
          </cell>
          <cell r="F5" t="str">
            <v>Rogelio Gamez</v>
          </cell>
          <cell r="G5" t="str">
            <v>SLACK T055668A9DL      +35315137661  IRL</v>
          </cell>
          <cell r="H5" t="str">
            <v>Slack</v>
          </cell>
          <cell r="I5" t="str">
            <v>Office expenses</v>
          </cell>
          <cell r="J5">
            <v>0</v>
          </cell>
          <cell r="K5">
            <v>0</v>
          </cell>
          <cell r="L5" t="str">
            <v>603.81.004 Gastos de Oficina</v>
          </cell>
          <cell r="M5" t="str">
            <v>603.81.004 Gastos de Oficina</v>
          </cell>
          <cell r="N5">
            <v>205.13</v>
          </cell>
          <cell r="O5" t="str">
            <v>MXN</v>
          </cell>
          <cell r="Q5" t="str">
            <v>603.81.004 Gastos de Oficina</v>
          </cell>
        </row>
        <row r="6">
          <cell r="B6" t="str">
            <v>#16</v>
          </cell>
          <cell r="C6">
            <v>45810.479166666599</v>
          </cell>
          <cell r="D6">
            <v>25732.16</v>
          </cell>
          <cell r="E6" t="str">
            <v>MXN</v>
          </cell>
          <cell r="F6" t="str">
            <v>Rogelio Gamez</v>
          </cell>
          <cell r="G6" t="str">
            <v>PAYU   *GOOGLE CLOUDS  MIGUEL HIDALG MEX</v>
          </cell>
          <cell r="H6" t="str">
            <v>Google</v>
          </cell>
          <cell r="I6" t="str">
            <v>Tech&amp;Product</v>
          </cell>
          <cell r="J6">
            <v>0</v>
          </cell>
          <cell r="K6">
            <v>0</v>
          </cell>
          <cell r="L6" t="str">
            <v>603.81.004 Gastos de Oficina</v>
          </cell>
          <cell r="M6" t="str">
            <v>603.81.004 Gastos de Oficina</v>
          </cell>
          <cell r="N6">
            <v>25732.16</v>
          </cell>
          <cell r="O6" t="str">
            <v>MXN</v>
          </cell>
          <cell r="Q6" t="str">
            <v>603.81.004 Gastos de Oficina</v>
          </cell>
        </row>
        <row r="7">
          <cell r="B7" t="str">
            <v>#16</v>
          </cell>
          <cell r="C7">
            <v>45810.648611111101</v>
          </cell>
          <cell r="D7">
            <v>319.98</v>
          </cell>
          <cell r="E7" t="str">
            <v>MXN</v>
          </cell>
          <cell r="F7" t="str">
            <v>Rogelio Gamez</v>
          </cell>
          <cell r="G7" t="str">
            <v>AMAZON MX MARKETPLACE  CIUDAD DE MEX MEX</v>
          </cell>
          <cell r="H7" t="str">
            <v>Amazon</v>
          </cell>
          <cell r="I7" t="str">
            <v>Office expenses</v>
          </cell>
          <cell r="J7">
            <v>0</v>
          </cell>
          <cell r="K7">
            <v>0</v>
          </cell>
          <cell r="L7" t="str">
            <v>603.81.004 Gastos de Oficina</v>
          </cell>
          <cell r="M7" t="str">
            <v>603.81.004 Gastos de Oficina</v>
          </cell>
          <cell r="N7">
            <v>319.98</v>
          </cell>
          <cell r="O7" t="str">
            <v>MXN</v>
          </cell>
          <cell r="Q7" t="str">
            <v>603.81.004 Gastos de Oficina</v>
          </cell>
        </row>
        <row r="8">
          <cell r="B8" t="str">
            <v>#16</v>
          </cell>
          <cell r="C8">
            <v>45812.032638888799</v>
          </cell>
          <cell r="D8">
            <v>6997.75</v>
          </cell>
          <cell r="E8" t="str">
            <v>MXN</v>
          </cell>
          <cell r="F8" t="str">
            <v>Rogelio Gamez</v>
          </cell>
          <cell r="G8" t="str">
            <v>Trimble                Best          NLD</v>
          </cell>
          <cell r="H8" t="str">
            <v>Trimble Best Nld</v>
          </cell>
          <cell r="I8" t="str">
            <v>Office expenses</v>
          </cell>
          <cell r="J8">
            <v>0</v>
          </cell>
          <cell r="K8">
            <v>0</v>
          </cell>
          <cell r="L8" t="str">
            <v>603.81.004 Gastos de Oficina</v>
          </cell>
          <cell r="M8" t="str">
            <v>603.81.004 Gastos de Oficina</v>
          </cell>
          <cell r="N8">
            <v>6997.75</v>
          </cell>
          <cell r="O8" t="str">
            <v>MXN</v>
          </cell>
          <cell r="Q8" t="str">
            <v>603.81.004 Gastos de Oficina</v>
          </cell>
        </row>
        <row r="9">
          <cell r="B9" t="str">
            <v>#16</v>
          </cell>
          <cell r="C9">
            <v>45812.460416666603</v>
          </cell>
          <cell r="D9">
            <v>6960</v>
          </cell>
          <cell r="E9" t="str">
            <v>MXN</v>
          </cell>
          <cell r="F9" t="str">
            <v>Rogelio Gamez</v>
          </cell>
          <cell r="G9" t="str">
            <v>SYNTAGE                +525569437840 MEX</v>
          </cell>
          <cell r="H9" t="str">
            <v>Syntage Mex</v>
          </cell>
          <cell r="I9" t="str">
            <v>Office expenses</v>
          </cell>
          <cell r="J9">
            <v>0</v>
          </cell>
          <cell r="K9">
            <v>0</v>
          </cell>
          <cell r="L9" t="str">
            <v>603.81.004 Gastos de Oficina</v>
          </cell>
          <cell r="M9" t="str">
            <v>603.81.004 Gastos de Oficina</v>
          </cell>
          <cell r="N9">
            <v>6960</v>
          </cell>
          <cell r="O9" t="str">
            <v>MXN</v>
          </cell>
          <cell r="Q9" t="str">
            <v>603.81.004 Gastos de Oficina</v>
          </cell>
        </row>
        <row r="10">
          <cell r="B10" t="str">
            <v>#16</v>
          </cell>
          <cell r="C10">
            <v>45812.770138888802</v>
          </cell>
          <cell r="D10">
            <v>982.5</v>
          </cell>
          <cell r="E10" t="str">
            <v>MXN</v>
          </cell>
          <cell r="F10" t="str">
            <v>Rogelio Gamez</v>
          </cell>
          <cell r="G10" t="str">
            <v>WEBFLOW.COM            +14159640555  USA</v>
          </cell>
          <cell r="H10" t="str">
            <v>Webflow</v>
          </cell>
          <cell r="I10" t="str">
            <v>Office expenses</v>
          </cell>
          <cell r="J10">
            <v>0</v>
          </cell>
          <cell r="K10">
            <v>0</v>
          </cell>
          <cell r="L10" t="str">
            <v>603.81.004 Gastos de Oficina</v>
          </cell>
          <cell r="M10" t="str">
            <v>603.81.004 Gastos de Oficina</v>
          </cell>
          <cell r="N10">
            <v>982.5</v>
          </cell>
          <cell r="O10" t="str">
            <v>MXN</v>
          </cell>
          <cell r="Q10" t="str">
            <v>603.81.004 Gastos de Oficina</v>
          </cell>
        </row>
        <row r="11">
          <cell r="B11" t="str">
            <v>#16</v>
          </cell>
          <cell r="C11">
            <v>45814.626388888799</v>
          </cell>
          <cell r="D11">
            <v>18487.88</v>
          </cell>
          <cell r="E11" t="str">
            <v>MXN</v>
          </cell>
          <cell r="F11" t="str">
            <v>Rogelio Gamez</v>
          </cell>
          <cell r="G11" t="str">
            <v>NOTION LABS, INC.      +14154004291  USA</v>
          </cell>
          <cell r="H11" t="str">
            <v>Notion</v>
          </cell>
          <cell r="I11" t="str">
            <v>Sales</v>
          </cell>
          <cell r="J11" t="str">
            <v>Marketing</v>
          </cell>
          <cell r="K11">
            <v>0</v>
          </cell>
          <cell r="L11" t="str">
            <v>603.81.004 Gastos de Oficina</v>
          </cell>
          <cell r="M11" t="str">
            <v>603.81.004 Gastos de Oficina</v>
          </cell>
          <cell r="N11">
            <v>18487.88</v>
          </cell>
          <cell r="O11" t="str">
            <v>MXN</v>
          </cell>
          <cell r="Q11" t="str">
            <v>603.81.004 Gastos de Oficina</v>
          </cell>
        </row>
        <row r="12">
          <cell r="B12" t="str">
            <v>#16</v>
          </cell>
          <cell r="C12">
            <v>45815.664583333302</v>
          </cell>
          <cell r="D12">
            <v>1010</v>
          </cell>
          <cell r="E12" t="str">
            <v>MXN</v>
          </cell>
          <cell r="F12" t="str">
            <v>Rogelio Gamez</v>
          </cell>
          <cell r="G12" t="str">
            <v>MERCADOPAGO *PASE      Miguel Hidalg MEX</v>
          </cell>
          <cell r="H12" t="str">
            <v>Mercadopago</v>
          </cell>
          <cell r="I12" t="str">
            <v>Office expenses</v>
          </cell>
          <cell r="J12">
            <v>0</v>
          </cell>
          <cell r="K12">
            <v>0</v>
          </cell>
          <cell r="L12" t="str">
            <v>603.81.004 Gastos de Oficina</v>
          </cell>
          <cell r="M12" t="str">
            <v>603.81.004 Gastos de Oficina</v>
          </cell>
          <cell r="N12">
            <v>1010</v>
          </cell>
          <cell r="O12" t="str">
            <v>MXN</v>
          </cell>
          <cell r="Q12" t="str">
            <v>603.81.004 Gastos de Oficina</v>
          </cell>
        </row>
        <row r="13">
          <cell r="B13" t="str">
            <v>#16</v>
          </cell>
          <cell r="C13">
            <v>45815.929861111101</v>
          </cell>
          <cell r="D13">
            <v>1010</v>
          </cell>
          <cell r="E13" t="str">
            <v>MXN</v>
          </cell>
          <cell r="F13" t="str">
            <v>Rogelio Gamez</v>
          </cell>
          <cell r="G13" t="str">
            <v>MERCADOPAGO *PASE      Miguel Hidalg MEX</v>
          </cell>
          <cell r="H13" t="str">
            <v>Mercadopago</v>
          </cell>
          <cell r="I13" t="str">
            <v>G&amp;A expenses</v>
          </cell>
          <cell r="J13">
            <v>0</v>
          </cell>
          <cell r="K13">
            <v>0</v>
          </cell>
          <cell r="L13" t="str">
            <v>603.81.004 Gastos de Oficina</v>
          </cell>
          <cell r="M13" t="str">
            <v>603.81.004 Gastos de Oficina</v>
          </cell>
          <cell r="N13">
            <v>1010</v>
          </cell>
          <cell r="O13" t="str">
            <v>MXN</v>
          </cell>
          <cell r="Q13" t="str">
            <v>603.81.004 Gastos de Oficina</v>
          </cell>
        </row>
        <row r="14">
          <cell r="B14" t="str">
            <v>#16</v>
          </cell>
          <cell r="C14">
            <v>45819.732638888803</v>
          </cell>
          <cell r="D14">
            <v>367</v>
          </cell>
          <cell r="E14" t="str">
            <v>MXN</v>
          </cell>
          <cell r="F14" t="str">
            <v>Rogelio Gamez</v>
          </cell>
          <cell r="G14" t="str">
            <v>Decathlon              Mexico        MEX</v>
          </cell>
          <cell r="H14" t="str">
            <v>Decathlon</v>
          </cell>
          <cell r="I14" t="str">
            <v>Office expenses</v>
          </cell>
          <cell r="J14">
            <v>0</v>
          </cell>
          <cell r="K14">
            <v>0</v>
          </cell>
          <cell r="L14" t="str">
            <v>603.81.004 Gastos de Oficina</v>
          </cell>
          <cell r="M14" t="str">
            <v>603.81.004 Gastos de Oficina</v>
          </cell>
          <cell r="N14">
            <v>367</v>
          </cell>
          <cell r="O14" t="str">
            <v>MXN</v>
          </cell>
          <cell r="Q14" t="str">
            <v>603.81.004 Gastos de Oficina</v>
          </cell>
        </row>
        <row r="15">
          <cell r="B15" t="str">
            <v>#16</v>
          </cell>
          <cell r="C15">
            <v>45820.804166666603</v>
          </cell>
          <cell r="D15">
            <v>1392</v>
          </cell>
          <cell r="E15" t="str">
            <v>MXN</v>
          </cell>
          <cell r="F15" t="str">
            <v>Rogelio Gamez</v>
          </cell>
          <cell r="G15" t="str">
            <v>PAYPAL *SENDFACTURA    MEXICO CITY   MEX</v>
          </cell>
          <cell r="H15" t="str">
            <v>Sendfactura Mexico City Mex</v>
          </cell>
          <cell r="I15" t="str">
            <v>G&amp;A expenses</v>
          </cell>
          <cell r="J15">
            <v>0</v>
          </cell>
          <cell r="K15">
            <v>0</v>
          </cell>
          <cell r="L15" t="str">
            <v>603.81.004 Gastos de Oficina</v>
          </cell>
          <cell r="M15" t="str">
            <v>603.81.004 Gastos de Oficina</v>
          </cell>
          <cell r="N15">
            <v>1392</v>
          </cell>
          <cell r="O15" t="str">
            <v>MXN</v>
          </cell>
          <cell r="Q15" t="str">
            <v>603.81.004 Gastos de Oficina</v>
          </cell>
        </row>
        <row r="16">
          <cell r="B16" t="str">
            <v>#16</v>
          </cell>
          <cell r="C16">
            <v>45820.804861111101</v>
          </cell>
          <cell r="D16">
            <v>1392</v>
          </cell>
          <cell r="E16" t="str">
            <v>MXN</v>
          </cell>
          <cell r="F16" t="str">
            <v>Rogelio Gamez</v>
          </cell>
          <cell r="G16" t="str">
            <v>PAYPAL *SENDFACTURA    MEXICO CITY   MEX</v>
          </cell>
          <cell r="H16" t="str">
            <v>Sendfactura Mexico City Mex</v>
          </cell>
          <cell r="I16" t="str">
            <v>Tech&amp;Product</v>
          </cell>
          <cell r="J16">
            <v>0</v>
          </cell>
          <cell r="K16">
            <v>0</v>
          </cell>
          <cell r="L16" t="str">
            <v>603.81.004 Gastos de Oficina</v>
          </cell>
          <cell r="M16" t="str">
            <v>603.81.004 Gastos de Oficina</v>
          </cell>
          <cell r="N16">
            <v>1392</v>
          </cell>
          <cell r="O16" t="str">
            <v>MXN</v>
          </cell>
          <cell r="Q16" t="str">
            <v>603.81.004 Gastos de Oficina</v>
          </cell>
        </row>
        <row r="17">
          <cell r="B17" t="str">
            <v>#16</v>
          </cell>
          <cell r="C17">
            <v>45821.018055555498</v>
          </cell>
          <cell r="D17">
            <v>10000</v>
          </cell>
          <cell r="E17" t="str">
            <v>MXN</v>
          </cell>
          <cell r="F17" t="str">
            <v>Rogelio Gamez</v>
          </cell>
          <cell r="G17" t="str">
            <v>PAYU   *GOOGLE         MIGUEL HIDALG MEX</v>
          </cell>
          <cell r="H17" t="str">
            <v>Google</v>
          </cell>
          <cell r="I17" t="str">
            <v>Office expenses</v>
          </cell>
          <cell r="J17">
            <v>0</v>
          </cell>
          <cell r="K17">
            <v>0</v>
          </cell>
          <cell r="L17" t="str">
            <v>603.81.004 Gastos de Oficina</v>
          </cell>
          <cell r="M17" t="str">
            <v>603.81.004 Gastos de Oficina</v>
          </cell>
          <cell r="N17">
            <v>10000</v>
          </cell>
          <cell r="O17" t="str">
            <v>MXN</v>
          </cell>
          <cell r="Q17" t="str">
            <v>603.81.004 Gastos de Oficina</v>
          </cell>
        </row>
        <row r="18">
          <cell r="B18" t="str">
            <v>#16</v>
          </cell>
          <cell r="C18">
            <v>45821.838194444397</v>
          </cell>
          <cell r="D18">
            <v>1590</v>
          </cell>
          <cell r="E18" t="str">
            <v>MXN</v>
          </cell>
          <cell r="F18" t="str">
            <v>Rogelio Gamez</v>
          </cell>
          <cell r="G18" t="str">
            <v>WHITEPAPER.MX          +528128625399 MEX</v>
          </cell>
          <cell r="H18" t="str">
            <v>Whitepaper.mx</v>
          </cell>
          <cell r="I18" t="str">
            <v>Tech&amp;Product</v>
          </cell>
          <cell r="J18">
            <v>0</v>
          </cell>
          <cell r="K18">
            <v>0</v>
          </cell>
          <cell r="L18" t="str">
            <v>603.81.004 Gastos de Oficina</v>
          </cell>
          <cell r="M18" t="str">
            <v>603.81.004 Gastos de Oficina</v>
          </cell>
          <cell r="N18">
            <v>1590</v>
          </cell>
          <cell r="O18" t="str">
            <v>MXN</v>
          </cell>
          <cell r="Q18" t="str">
            <v>603.81.004 Gastos de Oficina</v>
          </cell>
        </row>
        <row r="19">
          <cell r="B19" t="str">
            <v>#16</v>
          </cell>
          <cell r="C19">
            <v>45823.746527777701</v>
          </cell>
          <cell r="D19">
            <v>38.57</v>
          </cell>
          <cell r="E19" t="str">
            <v>MXN</v>
          </cell>
          <cell r="F19" t="str">
            <v>Rogelio Gamez</v>
          </cell>
          <cell r="G19" t="str">
            <v>UBER* PENDING          CIUDAD DE MEX MEX</v>
          </cell>
          <cell r="H19" t="str">
            <v>Uber</v>
          </cell>
          <cell r="I19" t="str">
            <v>Sales</v>
          </cell>
          <cell r="J19" t="str">
            <v>Marketing</v>
          </cell>
          <cell r="K19">
            <v>0</v>
          </cell>
          <cell r="L19" t="str">
            <v>603.81.004 Gastos de Oficina</v>
          </cell>
          <cell r="M19" t="str">
            <v>603.81.004 Gastos de Oficina</v>
          </cell>
          <cell r="N19">
            <v>38.57</v>
          </cell>
          <cell r="O19" t="str">
            <v>MXN</v>
          </cell>
          <cell r="Q19" t="str">
            <v>603.81.004 Gastos de Oficina</v>
          </cell>
        </row>
        <row r="20">
          <cell r="B20" t="str">
            <v>#16</v>
          </cell>
          <cell r="C20">
            <v>45823.757638888797</v>
          </cell>
          <cell r="D20">
            <v>86.77</v>
          </cell>
          <cell r="E20" t="str">
            <v>MXN</v>
          </cell>
          <cell r="F20" t="str">
            <v>Rogelio Gamez</v>
          </cell>
          <cell r="G20" t="str">
            <v>UBER* PENDING          CIUDAD DE MEX MEX</v>
          </cell>
          <cell r="H20" t="str">
            <v>Uber</v>
          </cell>
          <cell r="I20" t="str">
            <v>Tech&amp;Product</v>
          </cell>
          <cell r="J20">
            <v>0</v>
          </cell>
          <cell r="K20">
            <v>0</v>
          </cell>
          <cell r="L20" t="str">
            <v>603.81.004 Gastos de Oficina</v>
          </cell>
          <cell r="M20" t="str">
            <v>603.81.004 Gastos de Oficina</v>
          </cell>
          <cell r="N20">
            <v>86.77</v>
          </cell>
          <cell r="O20" t="str">
            <v>MXN</v>
          </cell>
          <cell r="Q20" t="str">
            <v>603.81.004 Gastos de Oficina</v>
          </cell>
        </row>
        <row r="21">
          <cell r="B21" t="str">
            <v>#16</v>
          </cell>
          <cell r="C21">
            <v>45823.775694444397</v>
          </cell>
          <cell r="D21">
            <v>20</v>
          </cell>
          <cell r="E21" t="str">
            <v>MXN</v>
          </cell>
          <cell r="F21" t="str">
            <v>Rogelio Gamez</v>
          </cell>
          <cell r="G21" t="str">
            <v>UBER* TRIP             CIUDAD DE MEX MEX</v>
          </cell>
          <cell r="H21" t="str">
            <v>Uber</v>
          </cell>
          <cell r="I21" t="str">
            <v>Office expenses</v>
          </cell>
          <cell r="J21">
            <v>0</v>
          </cell>
          <cell r="K21">
            <v>0</v>
          </cell>
          <cell r="L21" t="str">
            <v>603.81.004 Gastos de Oficina</v>
          </cell>
          <cell r="M21" t="str">
            <v>603.81.004 Gastos de Oficina</v>
          </cell>
          <cell r="N21">
            <v>20</v>
          </cell>
          <cell r="O21" t="str">
            <v>MXN</v>
          </cell>
          <cell r="Q21" t="str">
            <v>603.81.004 Gastos de Oficina</v>
          </cell>
        </row>
        <row r="22">
          <cell r="B22" t="str">
            <v>#16</v>
          </cell>
          <cell r="C22">
            <v>45824.720138888799</v>
          </cell>
          <cell r="D22">
            <v>591.84</v>
          </cell>
          <cell r="E22" t="str">
            <v>MXN</v>
          </cell>
          <cell r="F22" t="str">
            <v>Rogelio Gamez</v>
          </cell>
          <cell r="G22" t="str">
            <v>ZAPIER.COM/CHARGE      +18773818743  USA</v>
          </cell>
          <cell r="H22" t="str">
            <v>Zapier</v>
          </cell>
          <cell r="I22" t="str">
            <v>Tech&amp;Product</v>
          </cell>
          <cell r="J22">
            <v>0</v>
          </cell>
          <cell r="K22">
            <v>0</v>
          </cell>
          <cell r="L22" t="str">
            <v>603.81.004 Gastos de Oficina</v>
          </cell>
          <cell r="M22" t="str">
            <v>603.81.004 Gastos de Oficina</v>
          </cell>
          <cell r="N22">
            <v>591.84</v>
          </cell>
          <cell r="O22" t="str">
            <v>MXN</v>
          </cell>
          <cell r="Q22" t="str">
            <v>603.81.004 Gastos de Oficina</v>
          </cell>
        </row>
        <row r="23">
          <cell r="B23" t="str">
            <v>#16</v>
          </cell>
          <cell r="C23">
            <v>45828.545833333301</v>
          </cell>
          <cell r="D23">
            <v>416.05</v>
          </cell>
          <cell r="E23" t="str">
            <v>MXN</v>
          </cell>
          <cell r="F23" t="str">
            <v>Rogelio Gamez</v>
          </cell>
          <cell r="G23" t="str">
            <v>Box_UK                 London        GBR</v>
          </cell>
          <cell r="H23" t="str">
            <v>Box_Uk London</v>
          </cell>
          <cell r="I23" t="str">
            <v>Tech&amp;Product</v>
          </cell>
          <cell r="J23">
            <v>0</v>
          </cell>
          <cell r="K23">
            <v>0</v>
          </cell>
          <cell r="L23" t="str">
            <v>603.81.004 Gastos de Oficina</v>
          </cell>
          <cell r="M23" t="str">
            <v>603.81.004 Gastos de Oficina</v>
          </cell>
          <cell r="N23">
            <v>416.05</v>
          </cell>
          <cell r="O23" t="str">
            <v>MXN</v>
          </cell>
          <cell r="Q23" t="str">
            <v>603.81.004 Gastos de Oficina</v>
          </cell>
        </row>
        <row r="24">
          <cell r="B24" t="str">
            <v>#16</v>
          </cell>
          <cell r="C24">
            <v>45829.995833333298</v>
          </cell>
          <cell r="D24">
            <v>345.37</v>
          </cell>
          <cell r="E24" t="str">
            <v>MXN</v>
          </cell>
          <cell r="F24" t="str">
            <v>Rogelio Gamez</v>
          </cell>
          <cell r="G24" t="str">
            <v>WEGLOT                 PARIS         FRA</v>
          </cell>
          <cell r="H24" t="str">
            <v>Weglot Paris Fra</v>
          </cell>
          <cell r="I24">
            <v>0</v>
          </cell>
          <cell r="J24">
            <v>0</v>
          </cell>
          <cell r="K24">
            <v>0</v>
          </cell>
          <cell r="L24" t="str">
            <v>603.81.004 Gastos de Oficina</v>
          </cell>
          <cell r="M24" t="str">
            <v>603.81.004 Gastos de Oficina</v>
          </cell>
          <cell r="N24">
            <v>345.37</v>
          </cell>
          <cell r="O24" t="str">
            <v>MXN</v>
          </cell>
          <cell r="Q24" t="str">
            <v>603.81.004 Gastos de Oficina</v>
          </cell>
        </row>
        <row r="25">
          <cell r="B25" t="str">
            <v>#16</v>
          </cell>
          <cell r="C25">
            <v>45831.714583333298</v>
          </cell>
          <cell r="D25">
            <v>10000</v>
          </cell>
          <cell r="E25" t="str">
            <v>MXN</v>
          </cell>
          <cell r="F25" t="str">
            <v>Rogelio Gamez</v>
          </cell>
          <cell r="G25" t="str">
            <v>PAYU   *GOOGLE         MIGUEL HIDALG MEX</v>
          </cell>
          <cell r="H25" t="str">
            <v>Google</v>
          </cell>
          <cell r="I25">
            <v>0</v>
          </cell>
          <cell r="J25">
            <v>0</v>
          </cell>
          <cell r="K25">
            <v>0</v>
          </cell>
          <cell r="L25" t="str">
            <v>603.81.004 Gastos de Oficina</v>
          </cell>
          <cell r="M25" t="str">
            <v>603.81.004 Gastos de Oficina</v>
          </cell>
          <cell r="N25">
            <v>10000</v>
          </cell>
          <cell r="O25" t="str">
            <v>MXN</v>
          </cell>
          <cell r="Q25" t="str">
            <v>603.81.004 Gastos de Oficina</v>
          </cell>
        </row>
        <row r="26">
          <cell r="B26" t="str">
            <v>#16</v>
          </cell>
          <cell r="C26">
            <v>45834.248611111099</v>
          </cell>
          <cell r="D26">
            <v>317.36</v>
          </cell>
          <cell r="E26" t="str">
            <v>MXN</v>
          </cell>
          <cell r="F26" t="str">
            <v>Rogelio Gamez</v>
          </cell>
          <cell r="G26" t="str">
            <v>3DEXPERIENCE DASSAULT  WALTHAM       USA</v>
          </cell>
          <cell r="H26" t="str">
            <v>3dexperience Dassault Waltham USA</v>
          </cell>
          <cell r="I26">
            <v>0</v>
          </cell>
          <cell r="J26">
            <v>0</v>
          </cell>
          <cell r="K26">
            <v>0</v>
          </cell>
          <cell r="L26" t="str">
            <v>603.81.004 Gastos de Oficina</v>
          </cell>
          <cell r="M26" t="str">
            <v>603.81.004 Gastos de Oficina</v>
          </cell>
          <cell r="N26">
            <v>317.36</v>
          </cell>
          <cell r="O26" t="str">
            <v>MXN</v>
          </cell>
          <cell r="Q26" t="str">
            <v>603.81.004 Gastos de Oficina</v>
          </cell>
        </row>
        <row r="27">
          <cell r="B27" t="str">
            <v>#16</v>
          </cell>
          <cell r="C27">
            <v>45837.262499999997</v>
          </cell>
          <cell r="D27">
            <v>312.42</v>
          </cell>
          <cell r="E27" t="str">
            <v>MXN</v>
          </cell>
          <cell r="F27" t="str">
            <v>Rogelio Gamez</v>
          </cell>
          <cell r="G27" t="str">
            <v>3DEXPERIENCE DASSAULT  WALTHAM       USA</v>
          </cell>
          <cell r="H27" t="str">
            <v>3dexperience Dassault Waltham USA</v>
          </cell>
          <cell r="I27">
            <v>0</v>
          </cell>
          <cell r="J27">
            <v>0</v>
          </cell>
          <cell r="K27">
            <v>0</v>
          </cell>
          <cell r="L27" t="str">
            <v>603.81.004 Gastos de Oficina</v>
          </cell>
          <cell r="M27" t="str">
            <v>603.81.004 Gastos de Oficina</v>
          </cell>
          <cell r="N27">
            <v>312.42</v>
          </cell>
          <cell r="O27" t="str">
            <v>MXN</v>
          </cell>
          <cell r="Q27" t="str">
            <v>603.81.004 Gastos de Oficina</v>
          </cell>
        </row>
        <row r="28">
          <cell r="B28" t="str">
            <v>#16</v>
          </cell>
          <cell r="C28">
            <v>45838.765277777697</v>
          </cell>
          <cell r="D28">
            <v>6040.1</v>
          </cell>
          <cell r="E28" t="str">
            <v>MXN</v>
          </cell>
          <cell r="F28" t="str">
            <v>Rogelio Gamez</v>
          </cell>
          <cell r="G28" t="str">
            <v>FIGMA                  SAN FRANCISCO USA</v>
          </cell>
          <cell r="H28" t="str">
            <v>Figma</v>
          </cell>
          <cell r="I28">
            <v>0</v>
          </cell>
          <cell r="J28">
            <v>0</v>
          </cell>
          <cell r="K28">
            <v>0</v>
          </cell>
          <cell r="L28" t="str">
            <v>603.81.004 Gastos de Oficina</v>
          </cell>
          <cell r="M28" t="str">
            <v>603.81.004 Gastos de Oficina</v>
          </cell>
          <cell r="N28">
            <v>6040.1</v>
          </cell>
          <cell r="O28" t="str">
            <v>MXN</v>
          </cell>
          <cell r="Q28" t="str">
            <v>603.81.004 Gastos de Oficina</v>
          </cell>
        </row>
        <row r="29">
          <cell r="B29" t="str">
            <v>#66</v>
          </cell>
          <cell r="C29">
            <v>45809.736805555498</v>
          </cell>
          <cell r="D29">
            <v>911.12</v>
          </cell>
          <cell r="E29" t="str">
            <v>MXN</v>
          </cell>
          <cell r="F29" t="str">
            <v>Erik Castillo</v>
          </cell>
          <cell r="G29" t="str">
            <v>ENERGETICOS ZAPATA SA  TIZAYUCA HGO  MEX</v>
          </cell>
          <cell r="H29" t="str">
            <v>Energeticos Zapata Sa Tizayuca Hgo Mex</v>
          </cell>
          <cell r="I29" t="str">
            <v>Transaction cost</v>
          </cell>
          <cell r="J29" t="str">
            <v>Consumo Gasolina</v>
          </cell>
          <cell r="K29" t="str">
            <v>A9551</v>
          </cell>
          <cell r="L29" t="str">
            <v>602.34.002 Gastos por visita tencica</v>
          </cell>
          <cell r="M29">
            <v>911.12</v>
          </cell>
          <cell r="N29" t="str">
            <v>MXN</v>
          </cell>
          <cell r="O29">
            <v>0</v>
          </cell>
          <cell r="Q29" t="str">
            <v>602.34.002 Gastos por visita tencica</v>
          </cell>
        </row>
        <row r="30">
          <cell r="B30" t="str">
            <v>#66</v>
          </cell>
          <cell r="C30">
            <v>45811.861111111102</v>
          </cell>
          <cell r="D30">
            <v>372.6</v>
          </cell>
          <cell r="E30" t="str">
            <v>MXN</v>
          </cell>
          <cell r="F30" t="str">
            <v>Erik Castillo</v>
          </cell>
          <cell r="G30" t="str">
            <v>REST LA GRANJA         CHALCO EM     MEX</v>
          </cell>
          <cell r="H30" t="str">
            <v>Rest La Granja Chalco Em Mex</v>
          </cell>
          <cell r="I30" t="str">
            <v>Transaction cost</v>
          </cell>
          <cell r="J30" t="str">
            <v xml:space="preserve">Consumo </v>
          </cell>
          <cell r="K30" t="str">
            <v>FA 012867</v>
          </cell>
          <cell r="L30" t="str">
            <v>602.34.002 Gastos por visita tencica</v>
          </cell>
          <cell r="M30">
            <v>372.6</v>
          </cell>
          <cell r="N30" t="str">
            <v>MXN</v>
          </cell>
          <cell r="O30">
            <v>0</v>
          </cell>
          <cell r="Q30" t="str">
            <v>602.34.002 Gastos por visita tencica</v>
          </cell>
        </row>
        <row r="31">
          <cell r="B31" t="str">
            <v>#66</v>
          </cell>
          <cell r="C31">
            <v>45812.720833333296</v>
          </cell>
          <cell r="D31">
            <v>671.46</v>
          </cell>
          <cell r="E31" t="str">
            <v>MXN</v>
          </cell>
          <cell r="F31" t="str">
            <v>Erik Castillo</v>
          </cell>
          <cell r="G31" t="str">
            <v>ENERGETICOS ZAPATA     TIZAYUCA HGO  MEX</v>
          </cell>
          <cell r="H31" t="str">
            <v>Energeticos Zapata Tizayuca Hgo Mex</v>
          </cell>
          <cell r="I31" t="str">
            <v>Transaction cost</v>
          </cell>
          <cell r="J31" t="str">
            <v>Recarga de Gasolina</v>
          </cell>
          <cell r="K31" t="str">
            <v>A9598</v>
          </cell>
          <cell r="L31" t="str">
            <v>602.34.002 Gastos por visita tencica</v>
          </cell>
          <cell r="M31">
            <v>671.46</v>
          </cell>
          <cell r="N31" t="str">
            <v>MXN</v>
          </cell>
          <cell r="O31">
            <v>0</v>
          </cell>
          <cell r="Q31" t="str">
            <v>602.34.002 Gastos por visita tencica</v>
          </cell>
        </row>
        <row r="32">
          <cell r="B32" t="str">
            <v>#66</v>
          </cell>
          <cell r="C32">
            <v>45812.727083333302</v>
          </cell>
          <cell r="D32">
            <v>1014</v>
          </cell>
          <cell r="E32" t="str">
            <v>MXN</v>
          </cell>
          <cell r="F32" t="str">
            <v>Erik Castillo</v>
          </cell>
          <cell r="G32" t="str">
            <v>OXXO G ZAPATA PAC      TIZAYUCA HGO  MEX</v>
          </cell>
          <cell r="H32" t="str">
            <v>Oxxo</v>
          </cell>
          <cell r="I32" t="str">
            <v>Transaction cost</v>
          </cell>
          <cell r="J32" t="str">
            <v>Recarga de TAG</v>
          </cell>
          <cell r="K32" t="str">
            <v>22C752DD-679C-4A81-94E3-B632F48BB722</v>
          </cell>
          <cell r="L32" t="str">
            <v>602.34.002 Gastos por visita tencica</v>
          </cell>
          <cell r="M32">
            <v>1014</v>
          </cell>
          <cell r="N32" t="str">
            <v>MXN</v>
          </cell>
          <cell r="O32">
            <v>0</v>
          </cell>
          <cell r="Q32" t="str">
            <v>602.34.002 Gastos por visita tencica</v>
          </cell>
        </row>
        <row r="33">
          <cell r="B33" t="str">
            <v>#66</v>
          </cell>
          <cell r="C33">
            <v>45812.729166666599</v>
          </cell>
          <cell r="D33">
            <v>52</v>
          </cell>
          <cell r="E33" t="str">
            <v>MXN</v>
          </cell>
          <cell r="F33" t="str">
            <v>Erik Castillo</v>
          </cell>
          <cell r="G33" t="str">
            <v>OXXO G ZAPATA PAC      TIZAYUCA HGO  MEX</v>
          </cell>
          <cell r="H33" t="str">
            <v>Oxxo</v>
          </cell>
          <cell r="I33" t="str">
            <v>Transaction cost</v>
          </cell>
          <cell r="J33" t="str">
            <v>Consumo</v>
          </cell>
          <cell r="K33" t="str">
            <v>7545056250605154456628</v>
          </cell>
          <cell r="L33" t="str">
            <v>602.34.002 Gastos por visita tencica</v>
          </cell>
          <cell r="M33">
            <v>52</v>
          </cell>
          <cell r="N33" t="str">
            <v>MXN</v>
          </cell>
          <cell r="O33">
            <v>0</v>
          </cell>
          <cell r="Q33" t="str">
            <v>602.34.002 Gastos por visita tencica</v>
          </cell>
        </row>
        <row r="34">
          <cell r="B34" t="str">
            <v>#66</v>
          </cell>
          <cell r="C34">
            <v>45814.6694444444</v>
          </cell>
          <cell r="D34">
            <v>631.91999999999996</v>
          </cell>
          <cell r="E34" t="str">
            <v>MXN</v>
          </cell>
          <cell r="F34" t="str">
            <v>Erik Castillo</v>
          </cell>
          <cell r="G34" t="str">
            <v>ENERGETICOS ZAPATA  6  TIZAYUCA HGO  MEX</v>
          </cell>
          <cell r="H34" t="str">
            <v>Energeticos Zapata 6 Tizayuca Hgo Mex</v>
          </cell>
          <cell r="I34" t="str">
            <v>Transaction cost</v>
          </cell>
          <cell r="J34" t="str">
            <v>Recarga de Gasolina</v>
          </cell>
          <cell r="K34" t="str">
            <v>A9666</v>
          </cell>
          <cell r="L34" t="str">
            <v>602.34.002 Gastos por visita tencica</v>
          </cell>
          <cell r="M34">
            <v>631.91999999999996</v>
          </cell>
          <cell r="N34" t="str">
            <v>MXN</v>
          </cell>
          <cell r="O34">
            <v>0</v>
          </cell>
          <cell r="Q34" t="str">
            <v>602.34.002 Gastos por visita tencica</v>
          </cell>
        </row>
        <row r="35">
          <cell r="B35" t="str">
            <v>#66</v>
          </cell>
          <cell r="C35">
            <v>45814.675000000003</v>
          </cell>
          <cell r="D35">
            <v>1014</v>
          </cell>
          <cell r="E35" t="str">
            <v>MXN</v>
          </cell>
          <cell r="F35" t="str">
            <v>Erik Castillo</v>
          </cell>
          <cell r="G35" t="str">
            <v>OXXO G ZAPATA PAC      TIZAYUCA HGO  MEX</v>
          </cell>
          <cell r="H35" t="str">
            <v>Oxxo</v>
          </cell>
          <cell r="I35" t="str">
            <v>Transaction cost</v>
          </cell>
          <cell r="J35" t="str">
            <v>Recarga de TAG</v>
          </cell>
          <cell r="K35" t="str">
            <v>22C752DD-679C-4A81-94E3-B632F48BB722</v>
          </cell>
          <cell r="L35" t="str">
            <v>602.34.002 Gastos por visita tencica</v>
          </cell>
          <cell r="M35">
            <v>1014</v>
          </cell>
          <cell r="N35" t="str">
            <v>MXN</v>
          </cell>
          <cell r="O35">
            <v>0</v>
          </cell>
          <cell r="Q35" t="str">
            <v>602.34.002 Gastos por visita tencica</v>
          </cell>
        </row>
        <row r="36">
          <cell r="B36" t="str">
            <v>#66</v>
          </cell>
          <cell r="C36">
            <v>45814.9326388888</v>
          </cell>
          <cell r="D36">
            <v>243.6</v>
          </cell>
          <cell r="E36" t="str">
            <v>MXN</v>
          </cell>
          <cell r="F36" t="str">
            <v>Erik Castillo</v>
          </cell>
          <cell r="G36" t="str">
            <v>CLIP MX*REST LA VALENT EL MARQUES    MEX</v>
          </cell>
          <cell r="H36" t="str">
            <v>Clip Mx Rest La Valent El Marques Mex</v>
          </cell>
          <cell r="I36" t="str">
            <v>Transaction cost</v>
          </cell>
          <cell r="J36" t="str">
            <v>Consumo alimentos</v>
          </cell>
          <cell r="K36" t="str">
            <v>F4FE34D7-28F7-4720-AFB2-30AD24733CAB</v>
          </cell>
          <cell r="L36" t="str">
            <v>602.34.002 Gastos por visita tencica</v>
          </cell>
          <cell r="M36">
            <v>243.6</v>
          </cell>
          <cell r="N36" t="str">
            <v>MXN</v>
          </cell>
          <cell r="O36">
            <v>0</v>
          </cell>
          <cell r="Q36" t="str">
            <v>602.34.002 Gastos por visita tencica</v>
          </cell>
        </row>
        <row r="37">
          <cell r="B37" t="str">
            <v>#66</v>
          </cell>
          <cell r="C37">
            <v>45815.929166666603</v>
          </cell>
          <cell r="D37">
            <v>228</v>
          </cell>
          <cell r="E37" t="str">
            <v>MXN</v>
          </cell>
          <cell r="F37" t="str">
            <v>Erik Castillo</v>
          </cell>
          <cell r="G37" t="str">
            <v>COPPIZA TIZAYUCA       TIZAYUCA HGO  MEX</v>
          </cell>
          <cell r="H37" t="str">
            <v>Coppiza Tizayuca Tizayuca Hgo Mex</v>
          </cell>
          <cell r="I37" t="str">
            <v>Transaction cost</v>
          </cell>
          <cell r="J37" t="str">
            <v>Consumo alimentos</v>
          </cell>
          <cell r="K37" t="str">
            <v>264A8277-C240-4844-80D2-3F070EA7D182</v>
          </cell>
          <cell r="L37" t="str">
            <v>602.34.002 Gastos por visita tencica</v>
          </cell>
          <cell r="M37">
            <v>228</v>
          </cell>
          <cell r="N37" t="str">
            <v>MXN</v>
          </cell>
          <cell r="O37">
            <v>0</v>
          </cell>
          <cell r="Q37" t="str">
            <v>602.34.002 Gastos por visita tencica</v>
          </cell>
        </row>
        <row r="38">
          <cell r="B38" t="str">
            <v>#66</v>
          </cell>
          <cell r="C38">
            <v>45816.059027777701</v>
          </cell>
          <cell r="D38">
            <v>380.56</v>
          </cell>
          <cell r="E38" t="str">
            <v>MXN</v>
          </cell>
          <cell r="F38" t="str">
            <v>Erik Castillo</v>
          </cell>
          <cell r="G38" t="str">
            <v>SAMS SN JOSE TECAMAC   TECAMAC EM    MEX</v>
          </cell>
          <cell r="H38" t="str">
            <v>Sam's Club</v>
          </cell>
          <cell r="I38" t="str">
            <v>Transaction cost</v>
          </cell>
          <cell r="J38" t="str">
            <v xml:space="preserve">Consumo </v>
          </cell>
          <cell r="K38" t="str">
            <v>ICAGL543639</v>
          </cell>
          <cell r="L38" t="str">
            <v>602.34.002 Gastos por visita tencica</v>
          </cell>
          <cell r="M38">
            <v>380.56</v>
          </cell>
          <cell r="N38" t="str">
            <v>MXN</v>
          </cell>
          <cell r="O38">
            <v>0</v>
          </cell>
          <cell r="Q38" t="str">
            <v>602.34.002 Gastos por visita tencica</v>
          </cell>
        </row>
        <row r="39">
          <cell r="B39" t="str">
            <v>#66</v>
          </cell>
          <cell r="C39">
            <v>45816.954861111102</v>
          </cell>
          <cell r="D39">
            <v>350</v>
          </cell>
          <cell r="E39" t="str">
            <v>MXN</v>
          </cell>
          <cell r="F39" t="str">
            <v>Erik Castillo</v>
          </cell>
          <cell r="G39" t="str">
            <v>MERCADOPAGO *TAQUERIA  Cuautitlan Iz MEX</v>
          </cell>
          <cell r="H39" t="str">
            <v>Mercadopago</v>
          </cell>
          <cell r="I39" t="str">
            <v>Transaction cost</v>
          </cell>
          <cell r="J39" t="str">
            <v>Consumo</v>
          </cell>
          <cell r="K39" t="str">
            <v>No me lfacturaron Fer</v>
          </cell>
          <cell r="L39" t="str">
            <v>602.34.002 Gastos por visita tencica</v>
          </cell>
          <cell r="M39">
            <v>350</v>
          </cell>
          <cell r="N39" t="str">
            <v>MXN</v>
          </cell>
          <cell r="O39">
            <v>0</v>
          </cell>
          <cell r="Q39" t="str">
            <v>602.34.002 Gastos por visita tencica</v>
          </cell>
        </row>
        <row r="40">
          <cell r="B40" t="str">
            <v>#66</v>
          </cell>
          <cell r="C40">
            <v>45817.659722222197</v>
          </cell>
          <cell r="D40">
            <v>1042.1500000000001</v>
          </cell>
          <cell r="E40" t="str">
            <v>MXN</v>
          </cell>
          <cell r="F40" t="str">
            <v>Erik Castillo</v>
          </cell>
          <cell r="G40" t="str">
            <v>ENERGETICOS ZAPATA  6  TIZAYUCA HGO  MEX</v>
          </cell>
          <cell r="H40" t="str">
            <v>Energeticos Zapata 6 Tizayuca Hgo Mex</v>
          </cell>
          <cell r="I40" t="str">
            <v>Transaction cost</v>
          </cell>
          <cell r="J40" t="str">
            <v>Recarga de gasolina</v>
          </cell>
          <cell r="K40" t="str">
            <v>A9726</v>
          </cell>
          <cell r="L40" t="str">
            <v>602.34.002 Gastos por visita tencica</v>
          </cell>
          <cell r="M40">
            <v>1042.1500000000001</v>
          </cell>
          <cell r="N40" t="str">
            <v>MXN</v>
          </cell>
          <cell r="O40">
            <v>0</v>
          </cell>
          <cell r="Q40" t="str">
            <v>602.34.002 Gastos por visita tencica</v>
          </cell>
        </row>
        <row r="41">
          <cell r="B41" t="str">
            <v>#66</v>
          </cell>
          <cell r="C41">
            <v>45818.589583333298</v>
          </cell>
          <cell r="D41">
            <v>100</v>
          </cell>
          <cell r="E41" t="str">
            <v>MXN</v>
          </cell>
          <cell r="F41" t="str">
            <v>Erik Castillo</v>
          </cell>
          <cell r="G41" t="str">
            <v>OXXO G ZAPATA PAC      TIZAYUCA HGO  MEX</v>
          </cell>
          <cell r="H41" t="str">
            <v>Oxxo</v>
          </cell>
          <cell r="I41" t="str">
            <v>Transaction cost</v>
          </cell>
          <cell r="J41" t="str">
            <v>Recarga de saldo</v>
          </cell>
          <cell r="K41" t="str">
            <v>7545056250623050519363</v>
          </cell>
          <cell r="L41" t="str">
            <v>602.34.002 Gastos por visita tencica</v>
          </cell>
          <cell r="M41">
            <v>100</v>
          </cell>
          <cell r="N41" t="str">
            <v>MXN</v>
          </cell>
          <cell r="O41">
            <v>0</v>
          </cell>
          <cell r="Q41" t="str">
            <v>602.34.002 Gastos por visita tencica</v>
          </cell>
        </row>
        <row r="42">
          <cell r="B42" t="str">
            <v>#66</v>
          </cell>
          <cell r="C42">
            <v>45818.590277777701</v>
          </cell>
          <cell r="D42">
            <v>100</v>
          </cell>
          <cell r="E42" t="str">
            <v>MXN</v>
          </cell>
          <cell r="F42" t="str">
            <v>Erik Castillo</v>
          </cell>
          <cell r="G42" t="str">
            <v>OXXO G ZAPATA PAC      TIZAYUCA HGO  MEX</v>
          </cell>
          <cell r="H42" t="str">
            <v>Oxxo</v>
          </cell>
          <cell r="I42" t="str">
            <v>Transaction cost</v>
          </cell>
          <cell r="J42" t="str">
            <v>Recarga de saldo</v>
          </cell>
          <cell r="K42" t="str">
            <v>7545056250623050812300</v>
          </cell>
          <cell r="L42" t="str">
            <v>602.34.002 Gastos por visita tencica</v>
          </cell>
          <cell r="M42">
            <v>100</v>
          </cell>
          <cell r="N42" t="str">
            <v>MXN</v>
          </cell>
          <cell r="O42">
            <v>0</v>
          </cell>
          <cell r="Q42" t="str">
            <v>602.34.002 Gastos por visita tencica</v>
          </cell>
        </row>
        <row r="43">
          <cell r="B43" t="str">
            <v>#66</v>
          </cell>
          <cell r="C43">
            <v>45819.6069444444</v>
          </cell>
          <cell r="D43">
            <v>670.66</v>
          </cell>
          <cell r="E43" t="str">
            <v>MXN</v>
          </cell>
          <cell r="F43" t="str">
            <v>Erik Castillo</v>
          </cell>
          <cell r="G43" t="str">
            <v>ENERGETICOS ZAPATA  6  TIZAYUCA HGO  MEX</v>
          </cell>
          <cell r="H43" t="str">
            <v>Energeticos Zapata 6 Tizayuca Hgo Mex</v>
          </cell>
          <cell r="I43" t="str">
            <v>Transaction cost</v>
          </cell>
          <cell r="J43" t="str">
            <v>Recarga de gasolina</v>
          </cell>
          <cell r="K43" t="str">
            <v>A9821</v>
          </cell>
          <cell r="L43" t="str">
            <v>602.34.002 Gastos por visita tencica</v>
          </cell>
          <cell r="M43">
            <v>670.66</v>
          </cell>
          <cell r="N43" t="str">
            <v>MXN</v>
          </cell>
          <cell r="O43">
            <v>0</v>
          </cell>
          <cell r="Q43" t="str">
            <v>602.34.002 Gastos por visita tencica</v>
          </cell>
        </row>
        <row r="44">
          <cell r="B44" t="str">
            <v>#66</v>
          </cell>
          <cell r="C44">
            <v>45819.609722222202</v>
          </cell>
          <cell r="D44">
            <v>1014</v>
          </cell>
          <cell r="E44" t="str">
            <v>MXN</v>
          </cell>
          <cell r="F44" t="str">
            <v>Erik Castillo</v>
          </cell>
          <cell r="G44" t="str">
            <v>OXXO G ZAPATA PAC      TIZAYUCA HGO  MEX</v>
          </cell>
          <cell r="H44" t="str">
            <v>Oxxo</v>
          </cell>
          <cell r="I44" t="str">
            <v>Transaction cost</v>
          </cell>
          <cell r="J44" t="str">
            <v>Recarga de TAG</v>
          </cell>
          <cell r="K44" t="str">
            <v>0CD6C8FB-CAFB-4B34-8749-CF0248995CB4</v>
          </cell>
          <cell r="L44" t="str">
            <v>602.34.002 Gastos por visita tencica</v>
          </cell>
          <cell r="M44">
            <v>1014</v>
          </cell>
          <cell r="N44" t="str">
            <v>MXN</v>
          </cell>
          <cell r="O44">
            <v>0</v>
          </cell>
          <cell r="Q44" t="str">
            <v>602.34.002 Gastos por visita tencica</v>
          </cell>
        </row>
        <row r="45">
          <cell r="B45" t="str">
            <v>#66</v>
          </cell>
          <cell r="C45">
            <v>45820.111111111102</v>
          </cell>
          <cell r="D45">
            <v>290</v>
          </cell>
          <cell r="E45" t="str">
            <v>MXN</v>
          </cell>
          <cell r="F45" t="str">
            <v>Erik Castillo</v>
          </cell>
          <cell r="G45" t="str">
            <v>SAN MARTIN DE PORRES A TIZAYUCA HGO  MEX</v>
          </cell>
          <cell r="H45" t="str">
            <v>San Martin De Porres A Tizayuca Hgo Mex</v>
          </cell>
          <cell r="I45" t="str">
            <v>Transaction cost</v>
          </cell>
          <cell r="J45" t="str">
            <v>Consumo</v>
          </cell>
          <cell r="K45" t="str">
            <v>878E65E0-5ED6-46C9-A34D-0EE97C9C8FA7</v>
          </cell>
          <cell r="L45" t="str">
            <v>602.34.002 Gastos por visita tencica</v>
          </cell>
          <cell r="M45">
            <v>290</v>
          </cell>
          <cell r="N45" t="str">
            <v>MXN</v>
          </cell>
          <cell r="O45">
            <v>0</v>
          </cell>
          <cell r="Q45" t="str">
            <v>602.34.002 Gastos por visita tencica</v>
          </cell>
        </row>
        <row r="46">
          <cell r="B46" t="str">
            <v>#66</v>
          </cell>
          <cell r="C46">
            <v>45822.173611111102</v>
          </cell>
          <cell r="D46">
            <v>420</v>
          </cell>
          <cell r="E46" t="str">
            <v>MXN</v>
          </cell>
          <cell r="F46" t="str">
            <v>Erik Castillo</v>
          </cell>
          <cell r="G46" t="str">
            <v>TAQUERIAS JALISCO 2    TIZAYUCA      MEX</v>
          </cell>
          <cell r="H46" t="str">
            <v>Taquerias Jalisco 2 Tizayuca Mex</v>
          </cell>
          <cell r="I46" t="str">
            <v>Transaction cost</v>
          </cell>
          <cell r="J46" t="str">
            <v>Consumo de alimentos</v>
          </cell>
          <cell r="K46" t="str">
            <v>F564</v>
          </cell>
          <cell r="L46" t="str">
            <v>602.34.002 Gastos por visita tencica</v>
          </cell>
          <cell r="M46">
            <v>420</v>
          </cell>
          <cell r="N46" t="str">
            <v>MXN</v>
          </cell>
          <cell r="O46">
            <v>0</v>
          </cell>
          <cell r="Q46" t="str">
            <v>602.34.002 Gastos por visita tencica</v>
          </cell>
        </row>
        <row r="47">
          <cell r="B47" t="str">
            <v>#66</v>
          </cell>
          <cell r="C47">
            <v>45822.925000000003</v>
          </cell>
          <cell r="D47">
            <v>349</v>
          </cell>
          <cell r="E47" t="str">
            <v>MXN</v>
          </cell>
          <cell r="F47" t="str">
            <v>Erik Castillo</v>
          </cell>
          <cell r="G47" t="str">
            <v>COPPEL TIZARA 7733     TIZAYUCA      MEX</v>
          </cell>
          <cell r="H47" t="str">
            <v>Coppel Tizara 7733 Tizayuca Mex</v>
          </cell>
          <cell r="I47" t="str">
            <v>Transaction cost</v>
          </cell>
          <cell r="J47" t="str">
            <v>Equipo de seguridad</v>
          </cell>
          <cell r="K47" t="str">
            <v>00001000000712262931</v>
          </cell>
          <cell r="L47" t="str">
            <v>602.34.002 Gastos por visita tencica</v>
          </cell>
          <cell r="M47">
            <v>349</v>
          </cell>
          <cell r="N47" t="str">
            <v>MXN</v>
          </cell>
          <cell r="O47">
            <v>0</v>
          </cell>
          <cell r="Q47" t="str">
            <v>602.34.002 Gastos por visita tencica</v>
          </cell>
        </row>
        <row r="48">
          <cell r="B48" t="str">
            <v>#66</v>
          </cell>
          <cell r="C48">
            <v>45823.0354166666</v>
          </cell>
          <cell r="D48">
            <v>235</v>
          </cell>
          <cell r="E48" t="str">
            <v>MXN</v>
          </cell>
          <cell r="F48" t="str">
            <v>Erik Castillo</v>
          </cell>
          <cell r="G48" t="str">
            <v>MERCADOPAGO *DONMARIN  Tizayuca      MEX</v>
          </cell>
          <cell r="H48" t="str">
            <v>Mercadopago</v>
          </cell>
          <cell r="I48" t="str">
            <v>Transaction cost</v>
          </cell>
          <cell r="J48" t="str">
            <v>Consumo de alimentos</v>
          </cell>
          <cell r="K48" t="str">
            <v>A1EB076D-AD6C-4D92-9948-0DA0E3D27574</v>
          </cell>
          <cell r="L48" t="str">
            <v>602.34.002 Gastos por visita tencica</v>
          </cell>
          <cell r="M48">
            <v>235</v>
          </cell>
          <cell r="N48" t="str">
            <v>MXN</v>
          </cell>
          <cell r="O48">
            <v>0</v>
          </cell>
          <cell r="Q48" t="str">
            <v>602.34.002 Gastos por visita tencica</v>
          </cell>
        </row>
        <row r="49">
          <cell r="B49" t="str">
            <v>#66</v>
          </cell>
          <cell r="C49">
            <v>45823.795138888803</v>
          </cell>
          <cell r="D49">
            <v>951.96</v>
          </cell>
          <cell r="E49" t="str">
            <v>MXN</v>
          </cell>
          <cell r="F49" t="str">
            <v>Erik Castillo</v>
          </cell>
          <cell r="G49" t="str">
            <v>ENERGETICOS ZAPATA  6  TIZAYUCA HGO  MEX</v>
          </cell>
          <cell r="H49" t="str">
            <v>Energeticos Zapata 6 Tizayuca Hgo Mex</v>
          </cell>
          <cell r="I49" t="str">
            <v>Transaction cost</v>
          </cell>
          <cell r="J49" t="str">
            <v>Recarga de gasolina</v>
          </cell>
          <cell r="K49" t="str">
            <v>A10053</v>
          </cell>
          <cell r="L49" t="str">
            <v>602.34.002 Gastos por visita tencica</v>
          </cell>
          <cell r="M49">
            <v>951.96</v>
          </cell>
          <cell r="N49" t="str">
            <v>MXN</v>
          </cell>
          <cell r="O49">
            <v>0</v>
          </cell>
          <cell r="Q49" t="str">
            <v>602.34.002 Gastos por visita tencica</v>
          </cell>
        </row>
        <row r="50">
          <cell r="B50" t="str">
            <v>#66</v>
          </cell>
          <cell r="C50">
            <v>45823.839583333298</v>
          </cell>
          <cell r="D50">
            <v>377.49</v>
          </cell>
          <cell r="E50" t="str">
            <v>MXN</v>
          </cell>
          <cell r="F50" t="str">
            <v>Erik Castillo</v>
          </cell>
          <cell r="G50" t="str">
            <v>SAMS SN JOSE TECAMAC   TECAMAC EM    MEX</v>
          </cell>
          <cell r="H50" t="str">
            <v>Sam's Club</v>
          </cell>
          <cell r="I50" t="str">
            <v>Transaction cost</v>
          </cell>
          <cell r="J50" t="str">
            <v>Consumo y papeleria</v>
          </cell>
          <cell r="K50" t="str">
            <v>ICAGL544405</v>
          </cell>
          <cell r="L50" t="str">
            <v>602.34.002 Gastos por visita tencica</v>
          </cell>
          <cell r="M50">
            <v>377.49</v>
          </cell>
          <cell r="N50" t="str">
            <v>MXN</v>
          </cell>
          <cell r="O50">
            <v>0</v>
          </cell>
          <cell r="Q50" t="str">
            <v>602.34.002 Gastos por visita tencica</v>
          </cell>
        </row>
        <row r="51">
          <cell r="B51" t="str">
            <v>#66</v>
          </cell>
          <cell r="C51">
            <v>45824.078472222202</v>
          </cell>
          <cell r="D51">
            <v>1310</v>
          </cell>
          <cell r="E51" t="str">
            <v>MXN</v>
          </cell>
          <cell r="F51" t="str">
            <v>Erik Castillo</v>
          </cell>
          <cell r="G51" t="str">
            <v>REST ASADO SANMIGUEL   PACHUCA DE SO MEX</v>
          </cell>
          <cell r="H51" t="str">
            <v>Rest Asado Sanmiguel Pachuca De So Mex</v>
          </cell>
          <cell r="I51" t="str">
            <v>Transaction cost</v>
          </cell>
          <cell r="J51" t="str">
            <v>Consumo con cliente</v>
          </cell>
          <cell r="K51" t="str">
            <v>ACB8F3E5-A9D1-4695-9EF1-3071BF974026</v>
          </cell>
          <cell r="L51" t="str">
            <v>602.34.002 Gastos por visita tencica</v>
          </cell>
          <cell r="M51">
            <v>1310</v>
          </cell>
          <cell r="N51" t="str">
            <v>MXN</v>
          </cell>
          <cell r="O51">
            <v>0</v>
          </cell>
          <cell r="Q51" t="str">
            <v>602.34.002 Gastos por visita tencica</v>
          </cell>
        </row>
        <row r="52">
          <cell r="B52" t="str">
            <v>#66</v>
          </cell>
          <cell r="C52">
            <v>45824.084027777702</v>
          </cell>
          <cell r="D52">
            <v>717</v>
          </cell>
          <cell r="E52" t="str">
            <v>MXN</v>
          </cell>
          <cell r="F52" t="str">
            <v>Erik Castillo</v>
          </cell>
          <cell r="G52" t="str">
            <v>OXXOAUTOPISTA MEX      TOLCAYUCA HGO MEX</v>
          </cell>
          <cell r="H52" t="str">
            <v>Oxxoautopista Mex Tolcayuca Hgo Mex</v>
          </cell>
          <cell r="I52" t="str">
            <v>Transaction cost</v>
          </cell>
          <cell r="J52" t="str">
            <v>Recarga de TAG</v>
          </cell>
          <cell r="K52" t="str">
            <v>0CD6C8FB-CAFB-4B34-8749-CF0248995CB4</v>
          </cell>
          <cell r="L52" t="str">
            <v>602.34.002 Gastos por visita tencica</v>
          </cell>
          <cell r="M52">
            <v>717</v>
          </cell>
          <cell r="N52" t="str">
            <v>MXN</v>
          </cell>
          <cell r="O52">
            <v>0</v>
          </cell>
          <cell r="Q52" t="str">
            <v>602.34.002 Gastos por visita tencica</v>
          </cell>
        </row>
        <row r="53">
          <cell r="B53" t="str">
            <v>#66</v>
          </cell>
          <cell r="C53">
            <v>45824.809722222199</v>
          </cell>
          <cell r="D53">
            <v>116</v>
          </cell>
          <cell r="E53" t="str">
            <v>MXN</v>
          </cell>
          <cell r="F53" t="str">
            <v>Erik Castillo</v>
          </cell>
          <cell r="G53" t="str">
            <v>OXXO G ZAPATA PAC      TIZAYUCA HGO  MEX</v>
          </cell>
          <cell r="H53" t="str">
            <v>Oxxo</v>
          </cell>
          <cell r="I53" t="str">
            <v>Transaction cost</v>
          </cell>
          <cell r="J53" t="str">
            <v>Consumo</v>
          </cell>
          <cell r="K53" t="str">
            <v>7545056250618030300492</v>
          </cell>
          <cell r="L53" t="str">
            <v>602.34.002 Gastos por visita tencica</v>
          </cell>
          <cell r="M53">
            <v>116</v>
          </cell>
          <cell r="N53" t="str">
            <v>MXN</v>
          </cell>
          <cell r="O53">
            <v>0</v>
          </cell>
          <cell r="Q53" t="str">
            <v>602.34.002 Gastos por visita tencica</v>
          </cell>
        </row>
        <row r="54">
          <cell r="B54" t="str">
            <v>#66</v>
          </cell>
          <cell r="C54">
            <v>45826.089583333298</v>
          </cell>
          <cell r="D54">
            <v>950.2</v>
          </cell>
          <cell r="E54" t="str">
            <v>MXN</v>
          </cell>
          <cell r="F54" t="str">
            <v>Erik Castillo</v>
          </cell>
          <cell r="G54" t="str">
            <v>HOTEL FORE PLAY        EL MARQUES QR MEX</v>
          </cell>
          <cell r="H54" t="str">
            <v>Hotel Fore Play El Marques Qr Mex</v>
          </cell>
          <cell r="I54" t="str">
            <v>Transaction cost</v>
          </cell>
          <cell r="J54" t="str">
            <v>Hotel en El Marques Qro.</v>
          </cell>
          <cell r="K54" t="str">
            <v>00001000000714607213R</v>
          </cell>
          <cell r="L54" t="str">
            <v>602.34.002 Gastos por visita tencica</v>
          </cell>
          <cell r="M54">
            <v>950.2</v>
          </cell>
          <cell r="N54" t="str">
            <v>MXN</v>
          </cell>
          <cell r="O54">
            <v>0</v>
          </cell>
          <cell r="Q54" t="str">
            <v>602.34.002 Gastos por visita tencica</v>
          </cell>
        </row>
        <row r="55">
          <cell r="B55" t="str">
            <v>#66</v>
          </cell>
          <cell r="C55">
            <v>45826.965972222199</v>
          </cell>
          <cell r="D55">
            <v>221</v>
          </cell>
          <cell r="E55" t="str">
            <v>MXN</v>
          </cell>
          <cell r="F55" t="str">
            <v>Erik Castillo</v>
          </cell>
          <cell r="G55" t="str">
            <v>REST LINDAVISTA        POLOTITLAN EM MEX</v>
          </cell>
          <cell r="H55" t="str">
            <v>Rest Lindavista Polotitlan Em Mex</v>
          </cell>
          <cell r="I55" t="str">
            <v>Transaction cost</v>
          </cell>
          <cell r="J55" t="str">
            <v>Consumo de alimentos</v>
          </cell>
          <cell r="K55" t="str">
            <v>CFDI-0914807</v>
          </cell>
          <cell r="L55" t="str">
            <v>602.34.002 Gastos por visita tencica</v>
          </cell>
          <cell r="M55">
            <v>221</v>
          </cell>
          <cell r="N55" t="str">
            <v>MXN</v>
          </cell>
          <cell r="O55">
            <v>0</v>
          </cell>
          <cell r="Q55" t="str">
            <v>602.34.002 Gastos por visita tencica</v>
          </cell>
        </row>
        <row r="56">
          <cell r="B56" t="str">
            <v>#66</v>
          </cell>
          <cell r="C56">
            <v>45827.576388888803</v>
          </cell>
          <cell r="D56">
            <v>865.46</v>
          </cell>
          <cell r="E56" t="str">
            <v>MXN</v>
          </cell>
          <cell r="F56" t="str">
            <v>Erik Castillo</v>
          </cell>
          <cell r="G56" t="str">
            <v>ENERGETICOS ZAPATA     TIZAYUCA HGO  MEX</v>
          </cell>
          <cell r="H56" t="str">
            <v>Energeticos Zapata Tizayuca Hgo Mex</v>
          </cell>
          <cell r="I56" t="str">
            <v>Transaction cost</v>
          </cell>
          <cell r="J56" t="str">
            <v>Recarga de gasolina</v>
          </cell>
          <cell r="K56" t="str">
            <v>A10098</v>
          </cell>
          <cell r="L56" t="str">
            <v>602.34.002 Gastos por visita tencica</v>
          </cell>
          <cell r="M56">
            <v>865.46</v>
          </cell>
          <cell r="N56" t="str">
            <v>MXN</v>
          </cell>
          <cell r="O56">
            <v>0</v>
          </cell>
          <cell r="Q56" t="str">
            <v>602.34.002 Gastos por visita tencica</v>
          </cell>
        </row>
        <row r="57">
          <cell r="B57" t="str">
            <v>#66</v>
          </cell>
          <cell r="C57">
            <v>45828.7854166666</v>
          </cell>
          <cell r="D57">
            <v>1014</v>
          </cell>
          <cell r="E57" t="str">
            <v>MXN</v>
          </cell>
          <cell r="F57" t="str">
            <v>Erik Castillo</v>
          </cell>
          <cell r="G57" t="str">
            <v>OXXO G ZAPATA PAC      TIZAYUCA HGO  MEX</v>
          </cell>
          <cell r="H57" t="str">
            <v>Oxxo</v>
          </cell>
          <cell r="I57" t="str">
            <v>Transaction cost</v>
          </cell>
          <cell r="J57" t="str">
            <v>Recarga de TAG</v>
          </cell>
          <cell r="K57" t="str">
            <v>0CD6C8FB-CAFB-4B34-8749-CF0248995CB4</v>
          </cell>
          <cell r="L57" t="str">
            <v>602.34.002 Gastos por visita tencica</v>
          </cell>
          <cell r="M57">
            <v>1014</v>
          </cell>
          <cell r="N57" t="str">
            <v>MXN</v>
          </cell>
          <cell r="O57">
            <v>0</v>
          </cell>
          <cell r="Q57" t="str">
            <v>602.34.002 Gastos por visita tencica</v>
          </cell>
        </row>
        <row r="58">
          <cell r="B58" t="str">
            <v>#66</v>
          </cell>
          <cell r="C58">
            <v>45828.808333333298</v>
          </cell>
          <cell r="D58">
            <v>169</v>
          </cell>
          <cell r="E58" t="str">
            <v>MXN</v>
          </cell>
          <cell r="F58" t="str">
            <v>Erik Castillo</v>
          </cell>
          <cell r="G58" t="str">
            <v>OXXO CIPRESES          TIZAYUCA HGO  MEX</v>
          </cell>
          <cell r="H58" t="str">
            <v>Oxxo</v>
          </cell>
          <cell r="I58" t="str">
            <v>Transaction cost</v>
          </cell>
          <cell r="J58" t="str">
            <v>Consumo entre traslados</v>
          </cell>
          <cell r="K58" t="str">
            <v>7515273250623032044136</v>
          </cell>
          <cell r="L58" t="str">
            <v>602.34.002 Gastos por visita tencica</v>
          </cell>
          <cell r="M58">
            <v>169</v>
          </cell>
          <cell r="N58" t="str">
            <v>MXN</v>
          </cell>
          <cell r="O58">
            <v>0</v>
          </cell>
          <cell r="Q58" t="str">
            <v>602.34.002 Gastos por visita tencica</v>
          </cell>
        </row>
        <row r="59">
          <cell r="B59" t="str">
            <v>#66</v>
          </cell>
          <cell r="C59">
            <v>45829.671527777697</v>
          </cell>
          <cell r="D59">
            <v>614.55999999999995</v>
          </cell>
          <cell r="E59" t="str">
            <v>MXN</v>
          </cell>
          <cell r="F59" t="str">
            <v>Erik Castillo</v>
          </cell>
          <cell r="G59" t="str">
            <v>ENERGETICOS ZAPATA  6  TIZAYUCA HGO  MEX</v>
          </cell>
          <cell r="H59" t="str">
            <v>Energeticos Zapata 6 Tizayuca Hgo Mex</v>
          </cell>
          <cell r="I59" t="str">
            <v>Transaction cost</v>
          </cell>
          <cell r="J59" t="str">
            <v>Recarga de gasolina</v>
          </cell>
          <cell r="K59" t="str">
            <v>A10185</v>
          </cell>
          <cell r="L59" t="str">
            <v>602.34.002 Gastos por visita tencica</v>
          </cell>
          <cell r="M59">
            <v>614.55999999999995</v>
          </cell>
          <cell r="N59" t="str">
            <v>MXN</v>
          </cell>
          <cell r="O59">
            <v>0</v>
          </cell>
          <cell r="Q59" t="str">
            <v>602.34.002 Gastos por visita tencica</v>
          </cell>
        </row>
        <row r="60">
          <cell r="B60" t="str">
            <v>#66</v>
          </cell>
          <cell r="C60">
            <v>45829.818055555501</v>
          </cell>
          <cell r="D60">
            <v>777</v>
          </cell>
          <cell r="E60" t="str">
            <v>MXN</v>
          </cell>
          <cell r="F60" t="str">
            <v>Erik Castillo</v>
          </cell>
          <cell r="G60" t="str">
            <v>KFC 577 TIZAYUCA CON S TIZAYUCA HGO  MEX</v>
          </cell>
          <cell r="H60" t="str">
            <v>Kentucky Fried Chicken</v>
          </cell>
          <cell r="I60" t="str">
            <v>Transaction cost</v>
          </cell>
          <cell r="J60" t="str">
            <v>Consumo de alimentos</v>
          </cell>
          <cell r="K60" t="str">
            <v>V - 13096298</v>
          </cell>
          <cell r="L60" t="str">
            <v>602.34.002 Gastos por visita tencica</v>
          </cell>
          <cell r="M60">
            <v>777</v>
          </cell>
          <cell r="N60" t="str">
            <v>MXN</v>
          </cell>
          <cell r="O60">
            <v>0</v>
          </cell>
          <cell r="Q60" t="str">
            <v>602.34.002 Gastos por visita tencica</v>
          </cell>
        </row>
        <row r="61">
          <cell r="B61" t="str">
            <v>#66</v>
          </cell>
          <cell r="C61">
            <v>45830.154166666602</v>
          </cell>
          <cell r="D61">
            <v>250</v>
          </cell>
          <cell r="E61" t="str">
            <v>MXN</v>
          </cell>
          <cell r="F61" t="str">
            <v>Erik Castillo</v>
          </cell>
          <cell r="G61" t="str">
            <v>CLIP MX*REST TAQUERIA  TIZAYUCA      MEX</v>
          </cell>
          <cell r="H61" t="str">
            <v>Clip Mx Rest Taqueria Tizayuca Mex</v>
          </cell>
          <cell r="I61">
            <v>0</v>
          </cell>
          <cell r="J61" t="str">
            <v>Consumo de alimentos</v>
          </cell>
          <cell r="K61" t="str">
            <v>F587</v>
          </cell>
          <cell r="L61" t="str">
            <v>602.34.002 Gastos por visita tencica</v>
          </cell>
          <cell r="M61">
            <v>250</v>
          </cell>
          <cell r="N61" t="str">
            <v>MXN</v>
          </cell>
          <cell r="O61">
            <v>0</v>
          </cell>
          <cell r="Q61" t="str">
            <v>602.34.002 Gastos por visita tencica</v>
          </cell>
        </row>
        <row r="62">
          <cell r="B62" t="str">
            <v>#66</v>
          </cell>
          <cell r="C62">
            <v>45832.784722222197</v>
          </cell>
          <cell r="D62">
            <v>717</v>
          </cell>
          <cell r="E62" t="str">
            <v>MXN</v>
          </cell>
          <cell r="F62" t="str">
            <v>Erik Castillo</v>
          </cell>
          <cell r="G62" t="str">
            <v>OXXO PLANTA DOS PAC    TIZAYUCA HGO  MEX</v>
          </cell>
          <cell r="H62" t="str">
            <v>Oxxo</v>
          </cell>
          <cell r="I62">
            <v>0</v>
          </cell>
          <cell r="J62" t="str">
            <v>Recarga de TAG</v>
          </cell>
          <cell r="K62" t="str">
            <v>22C752DD-679C-4A81-94E3-B632F48BB722</v>
          </cell>
          <cell r="L62" t="str">
            <v>602.34.002 Gastos por visita tencica</v>
          </cell>
          <cell r="M62">
            <v>717</v>
          </cell>
          <cell r="N62" t="str">
            <v>MXN</v>
          </cell>
          <cell r="O62">
            <v>0</v>
          </cell>
          <cell r="Q62" t="str">
            <v>602.34.002 Gastos por visita tencica</v>
          </cell>
        </row>
        <row r="63">
          <cell r="B63" t="str">
            <v>#66</v>
          </cell>
          <cell r="C63">
            <v>45832.7854166666</v>
          </cell>
          <cell r="D63">
            <v>75.5</v>
          </cell>
          <cell r="E63" t="str">
            <v>MXN</v>
          </cell>
          <cell r="F63" t="str">
            <v>Erik Castillo</v>
          </cell>
          <cell r="G63" t="str">
            <v>OXXO PLANTA DOS PAC    TIZAYUCA HGO  MEX</v>
          </cell>
          <cell r="H63" t="str">
            <v>Oxxo</v>
          </cell>
          <cell r="I63">
            <v>0</v>
          </cell>
          <cell r="J63" t="str">
            <v>Consumo entre traslados</v>
          </cell>
          <cell r="K63" t="str">
            <v>7545914250626043904803</v>
          </cell>
          <cell r="L63" t="str">
            <v>602.34.002 Gastos por visita tencica</v>
          </cell>
          <cell r="M63">
            <v>75.5</v>
          </cell>
          <cell r="N63" t="str">
            <v>MXN</v>
          </cell>
          <cell r="O63">
            <v>0</v>
          </cell>
          <cell r="Q63" t="str">
            <v>602.34.002 Gastos por visita tencica</v>
          </cell>
        </row>
        <row r="64">
          <cell r="B64" t="str">
            <v>#66</v>
          </cell>
          <cell r="C64">
            <v>45832.786805555501</v>
          </cell>
          <cell r="D64">
            <v>100</v>
          </cell>
          <cell r="E64" t="str">
            <v>MXN</v>
          </cell>
          <cell r="F64" t="str">
            <v>Erik Castillo</v>
          </cell>
          <cell r="G64" t="str">
            <v>OXXO PLANTA DOS PAC    TIZAYUCA HGO  MEX</v>
          </cell>
          <cell r="H64" t="str">
            <v>Oxxo</v>
          </cell>
          <cell r="I64">
            <v>0</v>
          </cell>
          <cell r="J64" t="str">
            <v>Recarga de cell</v>
          </cell>
          <cell r="K64" t="str">
            <v>7545914250626043629649</v>
          </cell>
          <cell r="L64" t="str">
            <v>602.34.002 Gastos por visita tencica</v>
          </cell>
          <cell r="M64">
            <v>100</v>
          </cell>
          <cell r="N64" t="str">
            <v>MXN</v>
          </cell>
          <cell r="O64">
            <v>0</v>
          </cell>
          <cell r="Q64" t="str">
            <v>602.34.002 Gastos por visita tencica</v>
          </cell>
        </row>
        <row r="65">
          <cell r="B65" t="str">
            <v>#66</v>
          </cell>
          <cell r="C65">
            <v>45833.653472222199</v>
          </cell>
          <cell r="D65">
            <v>991.49</v>
          </cell>
          <cell r="E65" t="str">
            <v>MXN</v>
          </cell>
          <cell r="F65" t="str">
            <v>Erik Castillo</v>
          </cell>
          <cell r="G65" t="str">
            <v>ENERGETICOS ZAPATA     TIZAYUCA HGO  MEX</v>
          </cell>
          <cell r="H65" t="str">
            <v>Energeticos Zapata Tizayuca Hgo Mex</v>
          </cell>
          <cell r="I65">
            <v>0</v>
          </cell>
          <cell r="J65" t="str">
            <v>Recarga de gasolina</v>
          </cell>
          <cell r="K65" t="str">
            <v>A10338</v>
          </cell>
          <cell r="L65" t="str">
            <v>602.34.002 Gastos por visita tencica</v>
          </cell>
          <cell r="M65">
            <v>991.49</v>
          </cell>
          <cell r="N65" t="str">
            <v>MXN</v>
          </cell>
          <cell r="O65">
            <v>0</v>
          </cell>
          <cell r="Q65" t="str">
            <v>602.34.002 Gastos por visita tencica</v>
          </cell>
        </row>
        <row r="66">
          <cell r="B66" t="str">
            <v>#66</v>
          </cell>
          <cell r="C66">
            <v>45833.915277777698</v>
          </cell>
          <cell r="D66">
            <v>190</v>
          </cell>
          <cell r="E66" t="str">
            <v>MXN</v>
          </cell>
          <cell r="F66" t="str">
            <v>Erik Castillo</v>
          </cell>
          <cell r="G66" t="str">
            <v>REST LINDAVISTA        POLOTITLAN EM MEX</v>
          </cell>
          <cell r="H66" t="str">
            <v>Rest Lindavista Polotitlan Em Mex</v>
          </cell>
          <cell r="I66">
            <v>0</v>
          </cell>
          <cell r="J66" t="str">
            <v>Consumo de alimentos</v>
          </cell>
          <cell r="K66" t="str">
            <v>CFDI-0916899</v>
          </cell>
          <cell r="L66" t="str">
            <v>602.34.002 Gastos por visita tencica</v>
          </cell>
          <cell r="M66">
            <v>190</v>
          </cell>
          <cell r="N66" t="str">
            <v>MXN</v>
          </cell>
          <cell r="O66">
            <v>0</v>
          </cell>
          <cell r="Q66" t="str">
            <v>602.34.002 Gastos por visita tencica</v>
          </cell>
        </row>
        <row r="67">
          <cell r="B67" t="str">
            <v>#66</v>
          </cell>
          <cell r="C67">
            <v>45834.792361111096</v>
          </cell>
          <cell r="D67">
            <v>102</v>
          </cell>
          <cell r="E67" t="str">
            <v>MXN</v>
          </cell>
          <cell r="F67" t="str">
            <v>Erik Castillo</v>
          </cell>
          <cell r="G67" t="str">
            <v>OXXO PLANTA DOS PAC    TIZAYUCA HGO  MEX</v>
          </cell>
          <cell r="H67" t="str">
            <v>Oxxo</v>
          </cell>
          <cell r="I67">
            <v>0</v>
          </cell>
          <cell r="J67" t="str">
            <v>Consumo entre traslados</v>
          </cell>
          <cell r="K67" t="str">
            <v>7545914250630022914725</v>
          </cell>
          <cell r="L67" t="str">
            <v>602.34.002 Gastos por visita tencica</v>
          </cell>
          <cell r="M67">
            <v>102</v>
          </cell>
          <cell r="N67" t="str">
            <v>MXN</v>
          </cell>
          <cell r="O67">
            <v>0</v>
          </cell>
          <cell r="Q67" t="str">
            <v>602.34.002 Gastos por visita tencica</v>
          </cell>
        </row>
        <row r="68">
          <cell r="B68" t="str">
            <v>#66</v>
          </cell>
          <cell r="C68">
            <v>45834.8777777777</v>
          </cell>
          <cell r="D68">
            <v>205</v>
          </cell>
          <cell r="E68" t="str">
            <v>MXN</v>
          </cell>
          <cell r="F68" t="str">
            <v>Erik Castillo</v>
          </cell>
          <cell r="G68" t="str">
            <v>MERCADOPAGO *DONMARIN  Ciudad de Mex MEX</v>
          </cell>
          <cell r="H68" t="str">
            <v>Mercadopago</v>
          </cell>
          <cell r="I68">
            <v>0</v>
          </cell>
          <cell r="J68" t="str">
            <v>Consumo de alimentos</v>
          </cell>
          <cell r="K68" t="str">
            <v>AC114516-FB22-4112-8C11-00C0C96CB1A7</v>
          </cell>
          <cell r="L68" t="str">
            <v>602.34.002 Gastos por visita tencica</v>
          </cell>
          <cell r="M68">
            <v>205</v>
          </cell>
          <cell r="N68" t="str">
            <v>MXN</v>
          </cell>
          <cell r="O68">
            <v>0</v>
          </cell>
          <cell r="Q68" t="str">
            <v>602.34.002 Gastos por visita tencica</v>
          </cell>
        </row>
        <row r="69">
          <cell r="B69" t="str">
            <v>#66</v>
          </cell>
          <cell r="C69">
            <v>45835.727083333302</v>
          </cell>
          <cell r="D69">
            <v>892.32</v>
          </cell>
          <cell r="E69" t="str">
            <v>MXN</v>
          </cell>
          <cell r="F69" t="str">
            <v>Erik Castillo</v>
          </cell>
          <cell r="G69" t="str">
            <v>ENERGETICOS ZAPATA     TIZAYUCA HGO  MEX</v>
          </cell>
          <cell r="H69" t="str">
            <v>Energeticos Zapata Tizayuca Hgo Mex</v>
          </cell>
          <cell r="I69">
            <v>0</v>
          </cell>
          <cell r="J69" t="str">
            <v>Recarga de gasolina</v>
          </cell>
          <cell r="K69" t="str">
            <v>A10442</v>
          </cell>
          <cell r="L69" t="str">
            <v>602.34.002 Gastos por visita tencica</v>
          </cell>
          <cell r="M69">
            <v>892.32</v>
          </cell>
          <cell r="N69" t="str">
            <v>MXN</v>
          </cell>
          <cell r="O69">
            <v>0</v>
          </cell>
          <cell r="Q69" t="str">
            <v>602.34.002 Gastos por visita tencica</v>
          </cell>
        </row>
        <row r="70">
          <cell r="B70" t="str">
            <v>#66</v>
          </cell>
          <cell r="C70">
            <v>45836.065972222197</v>
          </cell>
          <cell r="D70">
            <v>713.9</v>
          </cell>
          <cell r="E70" t="str">
            <v>MXN</v>
          </cell>
          <cell r="F70" t="str">
            <v>Erik Castillo</v>
          </cell>
          <cell r="G70" t="str">
            <v>ITALIANNI S LUNA PARC  CUAUTITLAN IZ MEX</v>
          </cell>
          <cell r="H70" t="str">
            <v>Italianni S Luna Parc Cuautitlan Iz Mex</v>
          </cell>
          <cell r="I70">
            <v>0</v>
          </cell>
          <cell r="J70" t="str">
            <v>Consumo de alimentos</v>
          </cell>
          <cell r="K70" t="str">
            <v>ITCAFAX41012</v>
          </cell>
          <cell r="L70" t="str">
            <v>602.34.002 Gastos por visita tencica</v>
          </cell>
          <cell r="M70">
            <v>713.9</v>
          </cell>
          <cell r="N70" t="str">
            <v>MXN</v>
          </cell>
          <cell r="O70">
            <v>0</v>
          </cell>
          <cell r="Q70" t="str">
            <v>602.34.002 Gastos por visita tencica</v>
          </cell>
        </row>
        <row r="71">
          <cell r="B71" t="str">
            <v>#66</v>
          </cell>
          <cell r="C71">
            <v>45836.405555555502</v>
          </cell>
          <cell r="D71">
            <v>119</v>
          </cell>
          <cell r="E71" t="str">
            <v>MXN</v>
          </cell>
          <cell r="F71" t="str">
            <v>Erik Castillo</v>
          </cell>
          <cell r="G71" t="str">
            <v>NETFLIX                CIUDAD DE MEX MEX</v>
          </cell>
          <cell r="H71" t="str">
            <v>Netflix</v>
          </cell>
          <cell r="I71">
            <v>0</v>
          </cell>
          <cell r="J71" t="str">
            <v>Consumo de alimentos</v>
          </cell>
          <cell r="K71" t="str">
            <v>7338F-905D2-4D0E1-13348</v>
          </cell>
          <cell r="L71" t="str">
            <v>602.34.002 Gastos por visita tencica</v>
          </cell>
          <cell r="M71">
            <v>119</v>
          </cell>
          <cell r="N71" t="str">
            <v>MXN</v>
          </cell>
          <cell r="O71">
            <v>0</v>
          </cell>
          <cell r="Q71" t="str">
            <v>602.34.002 Gastos por visita tencica</v>
          </cell>
        </row>
        <row r="72">
          <cell r="B72" t="str">
            <v>#66</v>
          </cell>
          <cell r="C72">
            <v>45836.980555555499</v>
          </cell>
          <cell r="D72">
            <v>298</v>
          </cell>
          <cell r="E72" t="str">
            <v>MXN</v>
          </cell>
          <cell r="F72" t="str">
            <v>Erik Castillo</v>
          </cell>
          <cell r="G72" t="str">
            <v>COPIZZA TIZARA         TIZAYUCA HGO  MEX</v>
          </cell>
          <cell r="H72" t="str">
            <v>Copizza Tizara Tizayuca Hgo Mex</v>
          </cell>
          <cell r="I72">
            <v>0</v>
          </cell>
          <cell r="J72" t="str">
            <v>Consumo entre traslados</v>
          </cell>
          <cell r="K72" t="str">
            <v>441A9903-9E46-41AE-96E8-5FDDB5926A13</v>
          </cell>
          <cell r="L72" t="str">
            <v>602.34.002 Gastos por visita tencica</v>
          </cell>
          <cell r="M72">
            <v>298</v>
          </cell>
          <cell r="N72" t="str">
            <v>MXN</v>
          </cell>
          <cell r="O72">
            <v>0</v>
          </cell>
          <cell r="Q72" t="str">
            <v>602.34.002 Gastos por visita tencica</v>
          </cell>
        </row>
        <row r="73">
          <cell r="B73" t="str">
            <v>#66</v>
          </cell>
          <cell r="C73">
            <v>45838.161111111098</v>
          </cell>
          <cell r="D73">
            <v>373</v>
          </cell>
          <cell r="E73" t="str">
            <v>MXN</v>
          </cell>
          <cell r="F73" t="str">
            <v>Erik Castillo</v>
          </cell>
          <cell r="G73" t="str">
            <v>BOD HDAS DE TIZAYUCA   TIZAYUCA HGO  MEX</v>
          </cell>
          <cell r="H73" t="str">
            <v>Bod Hdas De Tizayuca Tizayuca Hgo Mex</v>
          </cell>
          <cell r="I73">
            <v>0</v>
          </cell>
          <cell r="J73" t="str">
            <v>Consumo de alimentos</v>
          </cell>
          <cell r="K73" t="str">
            <v>IXDKI73744</v>
          </cell>
          <cell r="L73" t="str">
            <v>602.34.002 Gastos por visita tencica</v>
          </cell>
          <cell r="M73">
            <v>373</v>
          </cell>
          <cell r="N73" t="str">
            <v>MXN</v>
          </cell>
          <cell r="O73">
            <v>0</v>
          </cell>
          <cell r="Q73" t="str">
            <v>602.34.002 Gastos por visita tencica</v>
          </cell>
        </row>
        <row r="74">
          <cell r="B74" t="str">
            <v>#2</v>
          </cell>
          <cell r="C74">
            <v>45809.279861111099</v>
          </cell>
          <cell r="D74">
            <v>3498.03</v>
          </cell>
          <cell r="E74" t="str">
            <v>MXN</v>
          </cell>
          <cell r="F74" t="str">
            <v>Cesar Gonzales</v>
          </cell>
          <cell r="G74" t="str">
            <v>HASHICORP HCP          +14153013250  USA</v>
          </cell>
          <cell r="H74" t="str">
            <v>HashiCorp Cloud</v>
          </cell>
          <cell r="I74" t="str">
            <v>Tech&amp;Product</v>
          </cell>
          <cell r="J74">
            <v>0</v>
          </cell>
          <cell r="K74" t="str">
            <v>.</v>
          </cell>
          <cell r="L74" t="str">
            <v>603.38.002 Software y Sistemas</v>
          </cell>
          <cell r="M74">
            <v>3498.03</v>
          </cell>
          <cell r="N74">
            <v>0</v>
          </cell>
          <cell r="O74">
            <v>0</v>
          </cell>
          <cell r="Q74" t="str">
            <v>603.38.002 Software y Sistemas</v>
          </cell>
        </row>
        <row r="75">
          <cell r="B75" t="str">
            <v>#2</v>
          </cell>
          <cell r="C75">
            <v>45809.561111111099</v>
          </cell>
          <cell r="D75">
            <v>222.3</v>
          </cell>
          <cell r="E75" t="str">
            <v>MXN</v>
          </cell>
          <cell r="F75" t="str">
            <v>Cesar Gonzales</v>
          </cell>
          <cell r="G75" t="str">
            <v>LUCIDCHART.COM/CHARGE  SOUTH JORDAN  USA</v>
          </cell>
          <cell r="H75" t="str">
            <v>Lucidchart</v>
          </cell>
          <cell r="I75" t="str">
            <v>Tech&amp;Product</v>
          </cell>
          <cell r="J75">
            <v>0</v>
          </cell>
          <cell r="K75" t="str">
            <v>.</v>
          </cell>
          <cell r="L75" t="str">
            <v>603.38.002 Software y Sistemas</v>
          </cell>
          <cell r="M75">
            <v>0</v>
          </cell>
          <cell r="N75">
            <v>0</v>
          </cell>
          <cell r="O75">
            <v>0</v>
          </cell>
          <cell r="Q75" t="str">
            <v>603.38.002 Software y Sistemas</v>
          </cell>
        </row>
        <row r="76">
          <cell r="B76" t="str">
            <v>#2</v>
          </cell>
          <cell r="C76">
            <v>45812.738194444399</v>
          </cell>
          <cell r="D76">
            <v>12290.97</v>
          </cell>
          <cell r="E76" t="str">
            <v>MXN</v>
          </cell>
          <cell r="F76" t="str">
            <v>Cesar Gonzales</v>
          </cell>
          <cell r="G76" t="str">
            <v>GITHUB, INC.           +18774484820  USA</v>
          </cell>
          <cell r="H76" t="str">
            <v>Github</v>
          </cell>
          <cell r="I76" t="str">
            <v>Tech&amp;Product</v>
          </cell>
          <cell r="J76">
            <v>0</v>
          </cell>
          <cell r="K76" t="str">
            <v>.</v>
          </cell>
          <cell r="L76" t="str">
            <v>603.38.002 Software y Sistemas</v>
          </cell>
          <cell r="M76">
            <v>0</v>
          </cell>
          <cell r="N76">
            <v>0</v>
          </cell>
          <cell r="O76">
            <v>0</v>
          </cell>
          <cell r="Q76" t="str">
            <v>603.38.002 Software y Sistemas</v>
          </cell>
        </row>
        <row r="77">
          <cell r="B77" t="str">
            <v>#2</v>
          </cell>
          <cell r="C77">
            <v>45819.65</v>
          </cell>
          <cell r="D77">
            <v>12640.95</v>
          </cell>
          <cell r="E77" t="str">
            <v>MXN</v>
          </cell>
          <cell r="F77" t="str">
            <v>Cesar Gonzales</v>
          </cell>
          <cell r="G77" t="str">
            <v>DATADOG, INC.          NEW YORK      USA</v>
          </cell>
          <cell r="H77" t="str">
            <v>Datadog</v>
          </cell>
          <cell r="I77" t="str">
            <v>Tech&amp;Product</v>
          </cell>
          <cell r="J77">
            <v>0</v>
          </cell>
          <cell r="K77" t="str">
            <v>.</v>
          </cell>
          <cell r="L77" t="str">
            <v>603.38.002 Software y Sistemas</v>
          </cell>
          <cell r="M77">
            <v>0</v>
          </cell>
          <cell r="N77">
            <v>0</v>
          </cell>
          <cell r="O77">
            <v>0</v>
          </cell>
          <cell r="Q77" t="str">
            <v>603.38.002 Software y Sistemas</v>
          </cell>
        </row>
        <row r="78">
          <cell r="B78" t="str">
            <v>#2</v>
          </cell>
          <cell r="C78">
            <v>45819.867361111101</v>
          </cell>
          <cell r="D78">
            <v>2513.7199999999998</v>
          </cell>
          <cell r="E78" t="str">
            <v>MXN</v>
          </cell>
          <cell r="F78" t="str">
            <v>Cesar Gonzales</v>
          </cell>
          <cell r="G78" t="str">
            <v>ODOO TECHNOLOGIES      +525550816564 MEX</v>
          </cell>
          <cell r="H78" t="str">
            <v>Odoo Technologies Mex</v>
          </cell>
          <cell r="I78" t="str">
            <v>Tech&amp;Product</v>
          </cell>
          <cell r="J78">
            <v>0</v>
          </cell>
          <cell r="K78" t="str">
            <v>.</v>
          </cell>
          <cell r="L78" t="str">
            <v>603.38.002 Software y Sistemas</v>
          </cell>
          <cell r="M78">
            <v>0</v>
          </cell>
          <cell r="N78">
            <v>0</v>
          </cell>
          <cell r="O78">
            <v>0</v>
          </cell>
          <cell r="Q78" t="str">
            <v>603.38.002 Software y Sistemas</v>
          </cell>
        </row>
        <row r="79">
          <cell r="B79" t="str">
            <v>#2</v>
          </cell>
          <cell r="C79">
            <v>45829.168055555499</v>
          </cell>
          <cell r="D79">
            <v>3422.93</v>
          </cell>
          <cell r="E79" t="str">
            <v>MXN</v>
          </cell>
          <cell r="F79" t="str">
            <v>Cesar Gonzales</v>
          </cell>
          <cell r="G79" t="str">
            <v>ATLASSIAN              SAN FRANCISCO USA</v>
          </cell>
          <cell r="H79" t="str">
            <v>Atlassian</v>
          </cell>
          <cell r="I79" t="str">
            <v>Tech&amp;Product</v>
          </cell>
          <cell r="J79">
            <v>0</v>
          </cell>
          <cell r="K79" t="str">
            <v>.</v>
          </cell>
          <cell r="L79" t="str">
            <v>603.38.002 Software y Sistemas</v>
          </cell>
          <cell r="M79">
            <v>0</v>
          </cell>
          <cell r="N79">
            <v>0</v>
          </cell>
          <cell r="O79">
            <v>0</v>
          </cell>
          <cell r="Q79" t="str">
            <v>603.38.002 Software y Sistemas</v>
          </cell>
        </row>
        <row r="80">
          <cell r="B80" t="str">
            <v>#2</v>
          </cell>
          <cell r="C80">
            <v>45830.258333333302</v>
          </cell>
          <cell r="D80">
            <v>4351.08</v>
          </cell>
          <cell r="E80" t="str">
            <v>MXN</v>
          </cell>
          <cell r="F80" t="str">
            <v>Cesar Gonzales</v>
          </cell>
          <cell r="G80" t="str">
            <v>RETOOL                 SAN FRANCISCO USA</v>
          </cell>
          <cell r="H80" t="str">
            <v>Retool</v>
          </cell>
          <cell r="I80" t="str">
            <v>Tech&amp;Product</v>
          </cell>
          <cell r="J80">
            <v>0</v>
          </cell>
          <cell r="K80" t="str">
            <v>.</v>
          </cell>
          <cell r="L80" t="str">
            <v>603.38.002 Software y Sistemas</v>
          </cell>
          <cell r="M80">
            <v>0</v>
          </cell>
          <cell r="N80">
            <v>0</v>
          </cell>
          <cell r="O80">
            <v>0</v>
          </cell>
          <cell r="Q80" t="str">
            <v>603.38.002 Software y Sistemas</v>
          </cell>
        </row>
        <row r="81">
          <cell r="B81" t="str">
            <v>#2</v>
          </cell>
          <cell r="C81">
            <v>45830.542361111096</v>
          </cell>
          <cell r="D81">
            <v>8147.71</v>
          </cell>
          <cell r="E81" t="str">
            <v>MXN</v>
          </cell>
          <cell r="F81" t="str">
            <v>Cesar Gonzales</v>
          </cell>
          <cell r="G81" t="str">
            <v>METABASE INC           SPRING VALLEY USA</v>
          </cell>
          <cell r="H81" t="str">
            <v>Metabase</v>
          </cell>
          <cell r="I81" t="str">
            <v>Tech&amp;Product</v>
          </cell>
          <cell r="J81">
            <v>0</v>
          </cell>
          <cell r="K81" t="str">
            <v>.</v>
          </cell>
          <cell r="L81" t="str">
            <v>603.38.002 Software y Sistemas</v>
          </cell>
          <cell r="M81">
            <v>0</v>
          </cell>
          <cell r="N81">
            <v>0</v>
          </cell>
          <cell r="O81">
            <v>0</v>
          </cell>
          <cell r="Q81" t="str">
            <v>603.38.002 Software y Sistemas</v>
          </cell>
        </row>
        <row r="82">
          <cell r="B82" t="str">
            <v>#2</v>
          </cell>
          <cell r="C82">
            <v>45833.0979166666</v>
          </cell>
          <cell r="D82">
            <v>17818</v>
          </cell>
          <cell r="E82" t="str">
            <v>MXN</v>
          </cell>
          <cell r="F82" t="str">
            <v>Cesar Gonzales</v>
          </cell>
          <cell r="G82" t="str">
            <v>VOLARIS MOTO DEB 2     CIUDAD DE MEX MEX</v>
          </cell>
          <cell r="H82" t="str">
            <v>Volaris</v>
          </cell>
          <cell r="I82" t="str">
            <v>Tech&amp;Product</v>
          </cell>
          <cell r="J82">
            <v>0</v>
          </cell>
          <cell r="K82" t="str">
            <v>.</v>
          </cell>
          <cell r="L82" t="str">
            <v>603.38.002 Software y Sistemas</v>
          </cell>
          <cell r="M82">
            <v>0</v>
          </cell>
          <cell r="N82">
            <v>0</v>
          </cell>
          <cell r="O82">
            <v>0</v>
          </cell>
          <cell r="Q82" t="str">
            <v>603.38.002 Software y Sistemas</v>
          </cell>
        </row>
        <row r="83">
          <cell r="B83" t="str">
            <v>#3</v>
          </cell>
          <cell r="C83">
            <v>45813.081944444399</v>
          </cell>
          <cell r="D83">
            <v>634.61</v>
          </cell>
          <cell r="E83" t="str">
            <v>MXN</v>
          </cell>
          <cell r="F83" t="str">
            <v>Cesar Uriel Romo Trillo</v>
          </cell>
          <cell r="G83" t="str">
            <v>ERMITA COMBUSTIBLES    CIUDAD DE MEX MEX</v>
          </cell>
          <cell r="H83" t="str">
            <v>Ermita Combustibles Ciudad De Mex Mex</v>
          </cell>
          <cell r="I83" t="str">
            <v>Sales</v>
          </cell>
          <cell r="J83" t="str">
            <v>Gasolina Visita Alfa Mobiliario RFQ 3949, Keller</v>
          </cell>
          <cell r="K83" t="str">
            <v>B 241178</v>
          </cell>
          <cell r="L83">
            <v>0</v>
          </cell>
          <cell r="M83">
            <v>0</v>
          </cell>
          <cell r="N83">
            <v>0</v>
          </cell>
          <cell r="O83">
            <v>0</v>
          </cell>
          <cell r="Q83" t="str">
            <v>603.81.006 Gastos Administativos de venta</v>
          </cell>
        </row>
        <row r="84">
          <cell r="B84" t="str">
            <v>#3</v>
          </cell>
          <cell r="C84">
            <v>45813.215277777701</v>
          </cell>
          <cell r="D84">
            <v>1000</v>
          </cell>
          <cell r="E84" t="str">
            <v>MXN</v>
          </cell>
          <cell r="F84" t="str">
            <v>Cesar Uriel Romo Trillo</v>
          </cell>
          <cell r="G84" t="str">
            <v>TELEVIA RECARGA        MEXICO DF     MEX</v>
          </cell>
          <cell r="H84" t="str">
            <v>Televia Recarga Mexico Df Mex</v>
          </cell>
          <cell r="I84" t="str">
            <v>Sales</v>
          </cell>
          <cell r="J84" t="str">
            <v>Recarga TAG, Visita Alfa Mobiliario RFQ 3949</v>
          </cell>
          <cell r="K84" t="str">
            <v>ticket</v>
          </cell>
          <cell r="L84">
            <v>0</v>
          </cell>
          <cell r="M84">
            <v>0</v>
          </cell>
          <cell r="N84">
            <v>0</v>
          </cell>
          <cell r="O84">
            <v>0</v>
          </cell>
          <cell r="Q84" t="str">
            <v>603.81.006 Gastos Administativos de venta</v>
          </cell>
        </row>
        <row r="85">
          <cell r="B85" t="str">
            <v>#3</v>
          </cell>
          <cell r="C85">
            <v>45813.938194444403</v>
          </cell>
          <cell r="D85">
            <v>991.1</v>
          </cell>
          <cell r="E85" t="str">
            <v>MXN</v>
          </cell>
          <cell r="F85" t="str">
            <v>Cesar Uriel Romo Trillo</v>
          </cell>
          <cell r="G85" t="str">
            <v>BPK*FASTFOOD PARRILLA  EL MARQUES QR MEX</v>
          </cell>
          <cell r="H85" t="str">
            <v>La Parilla Grill &amp; Wine Bar</v>
          </cell>
          <cell r="I85" t="str">
            <v>Sales</v>
          </cell>
          <cell r="J85" t="str">
            <v>Comida Keller</v>
          </cell>
          <cell r="K85" t="str">
            <v>ticket</v>
          </cell>
          <cell r="L85">
            <v>0</v>
          </cell>
          <cell r="M85">
            <v>0</v>
          </cell>
          <cell r="N85">
            <v>0</v>
          </cell>
          <cell r="O85">
            <v>0</v>
          </cell>
          <cell r="Q85" t="str">
            <v>603.81.006 Gastos Administativos de venta</v>
          </cell>
        </row>
        <row r="86">
          <cell r="B86" t="str">
            <v>#3</v>
          </cell>
          <cell r="C86">
            <v>45814.054861111101</v>
          </cell>
          <cell r="D86">
            <v>575.04999999999995</v>
          </cell>
          <cell r="E86" t="str">
            <v>MXN</v>
          </cell>
          <cell r="F86" t="str">
            <v>Cesar Uriel Romo Trillo</v>
          </cell>
          <cell r="G86" t="str">
            <v>GASOLINERA COMB ERMITA CIUDAD DE MEX MEX</v>
          </cell>
          <cell r="H86" t="str">
            <v>Gasolinera Comb Ermita Ciudad De Mex Mex</v>
          </cell>
          <cell r="I86" t="str">
            <v>Sales</v>
          </cell>
          <cell r="J86" t="str">
            <v>Gasolina visita Elvic  PO1201 / VISITA IMEM ELEVADORES LEAD</v>
          </cell>
          <cell r="K86" t="str">
            <v>B 241178</v>
          </cell>
          <cell r="L86">
            <v>0</v>
          </cell>
          <cell r="M86">
            <v>0</v>
          </cell>
          <cell r="N86">
            <v>0</v>
          </cell>
          <cell r="O86">
            <v>0</v>
          </cell>
          <cell r="Q86" t="str">
            <v>603.81.006 Gastos Administativos de venta</v>
          </cell>
        </row>
        <row r="87">
          <cell r="B87" t="str">
            <v>#3</v>
          </cell>
          <cell r="C87">
            <v>45819.703472222202</v>
          </cell>
          <cell r="D87">
            <v>689.7</v>
          </cell>
          <cell r="E87" t="str">
            <v>MXN</v>
          </cell>
          <cell r="F87" t="str">
            <v>Cesar Uriel Romo Trillo</v>
          </cell>
          <cell r="G87" t="str">
            <v>ERMITA COMBUSTIBLES    CIUDAD DE MEX MEX</v>
          </cell>
          <cell r="H87" t="str">
            <v>Ermita Combustibles Ciudad De Mex Mex</v>
          </cell>
          <cell r="I87" t="str">
            <v>Sales</v>
          </cell>
          <cell r="J87" t="str">
            <v>Gasolina visita Elvic  PO1201 / VISITA IMEM ELEVADORES LEAD</v>
          </cell>
          <cell r="K87" t="str">
            <v>B 241178</v>
          </cell>
          <cell r="L87">
            <v>0</v>
          </cell>
          <cell r="M87">
            <v>0</v>
          </cell>
          <cell r="N87">
            <v>0</v>
          </cell>
          <cell r="O87">
            <v>0</v>
          </cell>
          <cell r="Q87" t="str">
            <v>603.81.006 Gastos Administativos de venta</v>
          </cell>
        </row>
        <row r="88">
          <cell r="B88" t="str">
            <v>#3</v>
          </cell>
          <cell r="C88">
            <v>45823.7854166666</v>
          </cell>
          <cell r="D88">
            <v>1931.3</v>
          </cell>
          <cell r="E88" t="str">
            <v>MXN</v>
          </cell>
          <cell r="F88" t="str">
            <v>Cesar Uriel Romo Trillo</v>
          </cell>
          <cell r="G88" t="str">
            <v>LUMEN PZA CENTRAL      CIUDAD DE MEX MEX</v>
          </cell>
          <cell r="H88" t="str">
            <v>Lumen</v>
          </cell>
          <cell r="I88" t="str">
            <v>Sales</v>
          </cell>
          <cell r="J88" t="str">
            <v>Lona logo de PRIMA , PO 1201</v>
          </cell>
          <cell r="K88" t="str">
            <v>TICKET</v>
          </cell>
          <cell r="L88">
            <v>0</v>
          </cell>
          <cell r="M88">
            <v>0</v>
          </cell>
          <cell r="N88">
            <v>0</v>
          </cell>
          <cell r="O88">
            <v>0</v>
          </cell>
          <cell r="Q88" t="str">
            <v>603.81.006 Gastos Administativos de venta</v>
          </cell>
        </row>
        <row r="89">
          <cell r="B89" t="str">
            <v>#3</v>
          </cell>
          <cell r="C89">
            <v>45824.636805555499</v>
          </cell>
          <cell r="D89">
            <v>64</v>
          </cell>
          <cell r="E89" t="str">
            <v>MXN</v>
          </cell>
          <cell r="F89" t="str">
            <v>Cesar Uriel Romo Trillo</v>
          </cell>
          <cell r="G89" t="str">
            <v>DLO*DiDi MX Payin Ride MEXICO        MEX</v>
          </cell>
          <cell r="H89" t="str">
            <v>Dlo Didi Mx Payin Ride Mexico Mex</v>
          </cell>
          <cell r="I89" t="str">
            <v>Sales</v>
          </cell>
          <cell r="J89" t="str">
            <v>DIDI TONANCY ELVIC PO1306</v>
          </cell>
          <cell r="K89" t="str">
            <v>TICKET</v>
          </cell>
          <cell r="L89">
            <v>0</v>
          </cell>
          <cell r="M89">
            <v>0</v>
          </cell>
          <cell r="N89">
            <v>0</v>
          </cell>
          <cell r="O89">
            <v>0</v>
          </cell>
          <cell r="Q89" t="str">
            <v>603.81.006 Gastos Administativos de venta</v>
          </cell>
        </row>
        <row r="90">
          <cell r="B90" t="str">
            <v>#3</v>
          </cell>
          <cell r="C90">
            <v>45825.085416666603</v>
          </cell>
          <cell r="D90">
            <v>800.56</v>
          </cell>
          <cell r="E90" t="str">
            <v>MXN</v>
          </cell>
          <cell r="F90" t="str">
            <v>Cesar Uriel Romo Trillo</v>
          </cell>
          <cell r="G90" t="str">
            <v>ERMITA COMBUSTIBLES    CIUDAD DE MEX MEX</v>
          </cell>
          <cell r="H90" t="str">
            <v>Ermita Combustibles Ciudad De Mex Mex</v>
          </cell>
          <cell r="I90" t="str">
            <v>Sales</v>
          </cell>
          <cell r="J90" t="str">
            <v>GASOLINA REGRESO VISITA CUSOMER LEAS PLACOSA Y VISITA ELVIC 1129</v>
          </cell>
          <cell r="K90" t="str">
            <v>B 241178</v>
          </cell>
          <cell r="L90">
            <v>0</v>
          </cell>
          <cell r="M90">
            <v>0</v>
          </cell>
          <cell r="N90">
            <v>0</v>
          </cell>
          <cell r="O90">
            <v>0</v>
          </cell>
          <cell r="Q90" t="str">
            <v>603.81.006 Gastos Administativos de venta</v>
          </cell>
        </row>
        <row r="91">
          <cell r="B91" t="str">
            <v>#3</v>
          </cell>
          <cell r="C91">
            <v>45827.5965277777</v>
          </cell>
          <cell r="D91">
            <v>500</v>
          </cell>
          <cell r="E91" t="str">
            <v>MXN</v>
          </cell>
          <cell r="F91" t="str">
            <v>Cesar Uriel Romo Trillo</v>
          </cell>
          <cell r="G91" t="str">
            <v>TELEVIA RECARGA        MEXICO DF     MEX</v>
          </cell>
          <cell r="H91" t="str">
            <v>Televia Recarga Mexico Df Mex</v>
          </cell>
          <cell r="I91" t="str">
            <v>Sales</v>
          </cell>
          <cell r="J91" t="str">
            <v>VISITA SEMANAL ELVIC PO 1129</v>
          </cell>
          <cell r="K91" t="str">
            <v>ticket</v>
          </cell>
          <cell r="L91">
            <v>0</v>
          </cell>
          <cell r="M91">
            <v>0</v>
          </cell>
          <cell r="N91">
            <v>0</v>
          </cell>
          <cell r="O91">
            <v>0</v>
          </cell>
          <cell r="Q91" t="str">
            <v>603.81.006 Gastos Administativos de venta</v>
          </cell>
        </row>
        <row r="92">
          <cell r="B92" t="str">
            <v>#3</v>
          </cell>
          <cell r="C92">
            <v>45827.623611111099</v>
          </cell>
          <cell r="D92">
            <v>76</v>
          </cell>
          <cell r="E92" t="str">
            <v>MXN</v>
          </cell>
          <cell r="F92" t="str">
            <v>Cesar Uriel Romo Trillo</v>
          </cell>
          <cell r="G92" t="str">
            <v>D LOCAL*DIDI RIDES     CIUDAD DE MEX MEX</v>
          </cell>
          <cell r="H92" t="str">
            <v>Didi Chuxing</v>
          </cell>
          <cell r="I92" t="str">
            <v>Sales</v>
          </cell>
          <cell r="J92" t="str">
            <v>DIDI TONANCY ELVIC PO1306</v>
          </cell>
          <cell r="K92" t="str">
            <v>TICKET</v>
          </cell>
          <cell r="L92">
            <v>0</v>
          </cell>
          <cell r="M92">
            <v>0</v>
          </cell>
          <cell r="N92">
            <v>0</v>
          </cell>
          <cell r="O92">
            <v>0</v>
          </cell>
          <cell r="Q92" t="str">
            <v>603.81.006 Gastos Administativos de venta</v>
          </cell>
        </row>
        <row r="93">
          <cell r="B93" t="str">
            <v>#3</v>
          </cell>
          <cell r="C93">
            <v>45827.752083333296</v>
          </cell>
          <cell r="D93">
            <v>88.8</v>
          </cell>
          <cell r="E93" t="str">
            <v>MXN</v>
          </cell>
          <cell r="F93" t="str">
            <v>Cesar Uriel Romo Trillo</v>
          </cell>
          <cell r="G93" t="str">
            <v>D LOCAL*DIDI RIDES     CIUDAD DE MEX MEX</v>
          </cell>
          <cell r="H93" t="str">
            <v>Didi Chuxing</v>
          </cell>
          <cell r="I93" t="str">
            <v>Sales</v>
          </cell>
          <cell r="J93" t="str">
            <v>DIDI TONANCY ELVIC PO1306</v>
          </cell>
          <cell r="K93" t="str">
            <v>TICKET</v>
          </cell>
          <cell r="L93">
            <v>0</v>
          </cell>
          <cell r="M93">
            <v>0</v>
          </cell>
          <cell r="N93">
            <v>0</v>
          </cell>
          <cell r="O93">
            <v>0</v>
          </cell>
          <cell r="Q93" t="str">
            <v>603.81.006 Gastos Administativos de venta</v>
          </cell>
        </row>
        <row r="94">
          <cell r="B94" t="str">
            <v>#3</v>
          </cell>
          <cell r="C94">
            <v>45827.759027777698</v>
          </cell>
          <cell r="D94">
            <v>88</v>
          </cell>
          <cell r="E94" t="str">
            <v>MXN</v>
          </cell>
          <cell r="F94" t="str">
            <v>Cesar Uriel Romo Trillo</v>
          </cell>
          <cell r="G94" t="str">
            <v>DLO*DiDi MX Payin Ride MEXICO        MEX</v>
          </cell>
          <cell r="H94" t="str">
            <v>Dlo Didi Mx Payin Ride Mexico Mex</v>
          </cell>
          <cell r="I94" t="str">
            <v>Sales</v>
          </cell>
          <cell r="J94" t="str">
            <v>DIDI TONANCY ELVIC PO1306</v>
          </cell>
          <cell r="K94" t="str">
            <v>TICKET</v>
          </cell>
          <cell r="L94">
            <v>0</v>
          </cell>
          <cell r="M94">
            <v>0</v>
          </cell>
          <cell r="N94">
            <v>0</v>
          </cell>
          <cell r="O94">
            <v>0</v>
          </cell>
          <cell r="Q94" t="str">
            <v>603.81.006 Gastos Administativos de venta</v>
          </cell>
        </row>
        <row r="95">
          <cell r="B95" t="str">
            <v>#3</v>
          </cell>
          <cell r="C95">
            <v>45828.722222222197</v>
          </cell>
          <cell r="D95">
            <v>88.8</v>
          </cell>
          <cell r="E95" t="str">
            <v>MXN</v>
          </cell>
          <cell r="F95" t="str">
            <v>Cesar Uriel Romo Trillo</v>
          </cell>
          <cell r="G95" t="str">
            <v>20250619T01:01:01/D LOCAL*DIDI RIDES\UNKNOWN\UNKNOWN\06600        MEX</v>
          </cell>
          <cell r="H95" t="str">
            <v>Didi Chuxing</v>
          </cell>
          <cell r="I95" t="str">
            <v>Sales</v>
          </cell>
          <cell r="J95" t="str">
            <v>DIDI TONANCY ELVIC PO1306</v>
          </cell>
          <cell r="K95" t="str">
            <v>TICKET</v>
          </cell>
          <cell r="L95">
            <v>0</v>
          </cell>
          <cell r="M95">
            <v>0</v>
          </cell>
          <cell r="N95">
            <v>0</v>
          </cell>
          <cell r="O95">
            <v>0</v>
          </cell>
          <cell r="Q95" t="str">
            <v>603.81.006 Gastos Administativos de venta</v>
          </cell>
        </row>
        <row r="96">
          <cell r="B96" t="str">
            <v>#3</v>
          </cell>
          <cell r="C96">
            <v>45828.876388888799</v>
          </cell>
          <cell r="D96">
            <v>815.45</v>
          </cell>
          <cell r="E96" t="str">
            <v>MXN</v>
          </cell>
          <cell r="F96" t="str">
            <v>Cesar Uriel Romo Trillo</v>
          </cell>
          <cell r="G96" t="str">
            <v>ERMITA COMBUSTIBLES    CIUDAD DE MEX MEX</v>
          </cell>
          <cell r="H96" t="str">
            <v>Ermita Combustibles Ciudad De Mex Mex</v>
          </cell>
          <cell r="I96" t="str">
            <v>Sales</v>
          </cell>
          <cell r="J96" t="str">
            <v xml:space="preserve">VISITA MAQUIESPEL </v>
          </cell>
          <cell r="K96" t="str">
            <v>B 241178</v>
          </cell>
          <cell r="L96">
            <v>0</v>
          </cell>
          <cell r="M96">
            <v>0</v>
          </cell>
          <cell r="N96">
            <v>0</v>
          </cell>
          <cell r="O96">
            <v>0</v>
          </cell>
          <cell r="Q96" t="str">
            <v>603.81.006 Gastos Administativos de venta</v>
          </cell>
        </row>
        <row r="97">
          <cell r="B97" t="str">
            <v>#3</v>
          </cell>
          <cell r="C97">
            <v>45833.765277777697</v>
          </cell>
          <cell r="D97">
            <v>465.8</v>
          </cell>
          <cell r="E97" t="str">
            <v>MXN</v>
          </cell>
          <cell r="F97" t="str">
            <v>Cesar Uriel Romo Trillo</v>
          </cell>
          <cell r="G97" t="str">
            <v>COMBUSTIBLE ERMITA     CIUDAD DE MEX MEX</v>
          </cell>
          <cell r="H97" t="str">
            <v>Combustible Ermita Ciudad De Mex Mex</v>
          </cell>
          <cell r="I97" t="str">
            <v>Sales</v>
          </cell>
          <cell r="J97" t="str">
            <v>GASOLINA  VISITA ELVIC PO1201 / RADVER</v>
          </cell>
          <cell r="K97" t="str">
            <v>B 241178</v>
          </cell>
          <cell r="L97">
            <v>0</v>
          </cell>
          <cell r="M97">
            <v>0</v>
          </cell>
          <cell r="N97">
            <v>0</v>
          </cell>
          <cell r="O97">
            <v>0</v>
          </cell>
          <cell r="Q97" t="str">
            <v>603.81.006 Gastos Administativos de venta</v>
          </cell>
        </row>
        <row r="98">
          <cell r="B98" t="str">
            <v>#3</v>
          </cell>
          <cell r="C98">
            <v>45834.646527777702</v>
          </cell>
          <cell r="D98">
            <v>65.599999999999994</v>
          </cell>
          <cell r="E98" t="str">
            <v>MXN</v>
          </cell>
          <cell r="F98" t="str">
            <v>Cesar Uriel Romo Trillo</v>
          </cell>
          <cell r="G98" t="str">
            <v>DLO*DiDi MX Payin Ride MEXICO        MEX</v>
          </cell>
          <cell r="H98" t="str">
            <v>Dlo Didi Mx Payin Ride Mexico Mex</v>
          </cell>
          <cell r="I98" t="str">
            <v>Sales</v>
          </cell>
          <cell r="J98" t="str">
            <v>DIDI TONANCY ELVIC PO1306</v>
          </cell>
          <cell r="K98" t="str">
            <v>TICKET</v>
          </cell>
          <cell r="L98">
            <v>0</v>
          </cell>
          <cell r="M98">
            <v>0</v>
          </cell>
          <cell r="N98">
            <v>0</v>
          </cell>
          <cell r="O98">
            <v>0</v>
          </cell>
          <cell r="Q98" t="str">
            <v>603.81.006 Gastos Administativos de venta</v>
          </cell>
        </row>
        <row r="99">
          <cell r="B99" t="str">
            <v>#3</v>
          </cell>
          <cell r="C99">
            <v>45834.714583333298</v>
          </cell>
          <cell r="D99">
            <v>99</v>
          </cell>
          <cell r="E99" t="str">
            <v>MXN</v>
          </cell>
          <cell r="F99" t="str">
            <v>Cesar Uriel Romo Trillo</v>
          </cell>
          <cell r="G99" t="str">
            <v>D LOCAL*DIDI RIDES     CIUDAD DE MEX MEX</v>
          </cell>
          <cell r="H99" t="str">
            <v>Didi Chuxing</v>
          </cell>
          <cell r="I99" t="str">
            <v>Sales</v>
          </cell>
          <cell r="J99" t="str">
            <v>DIDI TONANCY ELVIC PO1306</v>
          </cell>
          <cell r="K99" t="str">
            <v>TICKET</v>
          </cell>
          <cell r="L99">
            <v>0</v>
          </cell>
          <cell r="M99">
            <v>0</v>
          </cell>
          <cell r="N99">
            <v>0</v>
          </cell>
          <cell r="O99">
            <v>0</v>
          </cell>
          <cell r="Q99" t="str">
            <v>603.81.006 Gastos Administativos de venta</v>
          </cell>
        </row>
        <row r="100">
          <cell r="B100" t="str">
            <v>#3</v>
          </cell>
          <cell r="C100">
            <v>45834.734722222202</v>
          </cell>
          <cell r="D100">
            <v>1.84</v>
          </cell>
          <cell r="E100" t="str">
            <v>MXN</v>
          </cell>
          <cell r="F100" t="str">
            <v>Cesar Uriel Romo Trillo</v>
          </cell>
          <cell r="G100" t="str">
            <v>DLO*DiDi MX Payin Ride MEXICO        MEX</v>
          </cell>
          <cell r="H100" t="str">
            <v>Dlo Didi Mx Payin Ride Mexico Mex</v>
          </cell>
          <cell r="I100" t="str">
            <v>Sales</v>
          </cell>
          <cell r="J100" t="str">
            <v>DIDI TONANCY ELVIC PO1306</v>
          </cell>
          <cell r="K100" t="str">
            <v>TICKET</v>
          </cell>
          <cell r="L100">
            <v>0</v>
          </cell>
          <cell r="M100">
            <v>0</v>
          </cell>
          <cell r="N100">
            <v>0</v>
          </cell>
          <cell r="O100">
            <v>0</v>
          </cell>
          <cell r="Q100" t="str">
            <v>603.81.006 Gastos Administativos de venta</v>
          </cell>
        </row>
        <row r="101">
          <cell r="B101" t="str">
            <v>#3</v>
          </cell>
          <cell r="C101">
            <v>45835.543055555499</v>
          </cell>
          <cell r="D101">
            <v>400</v>
          </cell>
          <cell r="E101" t="str">
            <v>MXN</v>
          </cell>
          <cell r="F101" t="str">
            <v>Cesar Uriel Romo Trillo</v>
          </cell>
          <cell r="G101" t="str">
            <v>TELEVIA RECARGA        MEXICO DF     MEX</v>
          </cell>
          <cell r="H101" t="str">
            <v>Televia Recarga Mexico Df Mex</v>
          </cell>
          <cell r="I101" t="str">
            <v>Sales</v>
          </cell>
          <cell r="J101" t="str">
            <v>Recarga Tag Visita ESCATO</v>
          </cell>
          <cell r="K101" t="str">
            <v>TICKET</v>
          </cell>
          <cell r="L101">
            <v>0</v>
          </cell>
          <cell r="M101">
            <v>0</v>
          </cell>
          <cell r="N101">
            <v>0</v>
          </cell>
          <cell r="O101">
            <v>0</v>
          </cell>
          <cell r="Q101" t="str">
            <v>603.81.006 Gastos Administativos de venta</v>
          </cell>
        </row>
        <row r="102">
          <cell r="B102" t="str">
            <v>#3</v>
          </cell>
          <cell r="C102">
            <v>45835.765277777697</v>
          </cell>
          <cell r="D102">
            <v>416</v>
          </cell>
          <cell r="E102" t="str">
            <v>MXN</v>
          </cell>
          <cell r="F102" t="str">
            <v>Cesar Uriel Romo Trillo</v>
          </cell>
          <cell r="G102" t="str">
            <v>STARBUCKS C T M KM48   MEX           MEX</v>
          </cell>
          <cell r="H102" t="str">
            <v>Starbucks</v>
          </cell>
          <cell r="I102" t="str">
            <v>Sales</v>
          </cell>
          <cell r="J102" t="str">
            <v>DESAYUNO VISITA ESCATO</v>
          </cell>
          <cell r="K102" t="str">
            <v>TICKET</v>
          </cell>
          <cell r="L102">
            <v>0</v>
          </cell>
          <cell r="M102">
            <v>0</v>
          </cell>
          <cell r="N102">
            <v>0</v>
          </cell>
          <cell r="O102">
            <v>0</v>
          </cell>
          <cell r="Q102" t="str">
            <v>603.81.006 Gastos Administativos de venta</v>
          </cell>
        </row>
        <row r="103">
          <cell r="B103" t="str">
            <v>#3</v>
          </cell>
          <cell r="C103">
            <v>45835.832638888802</v>
          </cell>
          <cell r="D103">
            <v>698.96</v>
          </cell>
          <cell r="E103" t="str">
            <v>MXN</v>
          </cell>
          <cell r="F103" t="str">
            <v>Cesar Uriel Romo Trillo</v>
          </cell>
          <cell r="G103" t="str">
            <v>ERMITA COMBUSTIBLES    CIUDAD DE MEX MEX</v>
          </cell>
          <cell r="H103" t="str">
            <v>Ermita Combustibles Ciudad De Mex Mex</v>
          </cell>
          <cell r="I103" t="str">
            <v>Sales</v>
          </cell>
          <cell r="J103" t="str">
            <v>GASOLINA VISITA ESCATO</v>
          </cell>
          <cell r="K103" t="str">
            <v>B 241178</v>
          </cell>
          <cell r="L103">
            <v>0</v>
          </cell>
          <cell r="M103">
            <v>0</v>
          </cell>
          <cell r="N103">
            <v>0</v>
          </cell>
          <cell r="O103">
            <v>0</v>
          </cell>
          <cell r="Q103" t="str">
            <v>603.81.006 Gastos Administativos de venta</v>
          </cell>
        </row>
        <row r="104">
          <cell r="B104" t="str">
            <v>#4</v>
          </cell>
          <cell r="C104">
            <v>45810.561111111099</v>
          </cell>
          <cell r="D104">
            <v>66</v>
          </cell>
          <cell r="E104" t="str">
            <v>MXN</v>
          </cell>
          <cell r="F104" t="str">
            <v>Daniel Autrique Echeveste</v>
          </cell>
          <cell r="G104" t="str">
            <v>LPQ AICM T2 EXP II 3   CIUDAD DE MEX MEX</v>
          </cell>
          <cell r="H104" t="str">
            <v>L</v>
          </cell>
          <cell r="I104" t="str">
            <v>Recruiting</v>
          </cell>
          <cell r="J104" t="str">
            <v>LinkedIn</v>
          </cell>
          <cell r="K104" t="str">
            <v>.</v>
          </cell>
          <cell r="L104">
            <v>0</v>
          </cell>
          <cell r="M104">
            <v>0</v>
          </cell>
          <cell r="N104">
            <v>0</v>
          </cell>
          <cell r="O104">
            <v>0</v>
          </cell>
          <cell r="Q104" t="str">
            <v>603.81.002 Gastos corporativos ND</v>
          </cell>
        </row>
        <row r="105">
          <cell r="B105" t="str">
            <v>#4</v>
          </cell>
          <cell r="C105">
            <v>45810.636805555499</v>
          </cell>
          <cell r="D105">
            <v>190</v>
          </cell>
          <cell r="E105" t="str">
            <v>MXN</v>
          </cell>
          <cell r="F105" t="str">
            <v>Daniel Autrique Echeveste</v>
          </cell>
          <cell r="G105" t="str">
            <v>WiFiOnboard MX         CDMX          MEX</v>
          </cell>
          <cell r="H105" t="str">
            <v>Wifionboard Mx Cdmx Mex</v>
          </cell>
          <cell r="I105" t="str">
            <v>Sales</v>
          </cell>
          <cell r="J105" t="str">
            <v>Vuelo a chicago Radioflyer</v>
          </cell>
          <cell r="K105" t="str">
            <v>.</v>
          </cell>
          <cell r="L105">
            <v>0</v>
          </cell>
          <cell r="M105">
            <v>0</v>
          </cell>
          <cell r="N105">
            <v>0</v>
          </cell>
          <cell r="O105">
            <v>0</v>
          </cell>
          <cell r="Q105" t="str">
            <v>603.81.002 Gastos corporativos ND</v>
          </cell>
        </row>
        <row r="106">
          <cell r="B106" t="str">
            <v>#4</v>
          </cell>
          <cell r="C106">
            <v>45810.734722222202</v>
          </cell>
          <cell r="D106">
            <v>301.72000000000003</v>
          </cell>
          <cell r="E106" t="str">
            <v>MXN</v>
          </cell>
          <cell r="F106" t="str">
            <v>Daniel Autrique Echeveste</v>
          </cell>
          <cell r="G106" t="str">
            <v>ALAMO RENT-A-CAR RENTA HOUSTON       USA</v>
          </cell>
          <cell r="H106" t="str">
            <v>Alamo Rent A Car</v>
          </cell>
          <cell r="I106" t="str">
            <v>Sales</v>
          </cell>
          <cell r="J106">
            <v>0</v>
          </cell>
          <cell r="K106" t="str">
            <v>.</v>
          </cell>
          <cell r="L106">
            <v>0</v>
          </cell>
          <cell r="M106">
            <v>0</v>
          </cell>
          <cell r="N106">
            <v>0</v>
          </cell>
          <cell r="O106">
            <v>0</v>
          </cell>
          <cell r="Q106" t="str">
            <v>603.81.002 Gastos corporativos ND</v>
          </cell>
        </row>
        <row r="107">
          <cell r="B107" t="str">
            <v>#4</v>
          </cell>
          <cell r="C107">
            <v>45811.6826388888</v>
          </cell>
          <cell r="D107">
            <v>803.12</v>
          </cell>
          <cell r="E107" t="str">
            <v>MXN</v>
          </cell>
          <cell r="F107" t="str">
            <v>Daniel Autrique Echeveste</v>
          </cell>
          <cell r="G107" t="str">
            <v>TST*COMMON BOND ON THE Houston       USA</v>
          </cell>
          <cell r="H107" t="str">
            <v>Common Bond On The Houston USA</v>
          </cell>
          <cell r="I107" t="str">
            <v>Sales</v>
          </cell>
          <cell r="J107">
            <v>0</v>
          </cell>
          <cell r="K107" t="str">
            <v>.</v>
          </cell>
          <cell r="L107">
            <v>0</v>
          </cell>
          <cell r="M107">
            <v>0</v>
          </cell>
          <cell r="N107">
            <v>0</v>
          </cell>
          <cell r="O107">
            <v>0</v>
          </cell>
          <cell r="Q107" t="str">
            <v>603.81.002 Gastos corporativos ND</v>
          </cell>
        </row>
        <row r="108">
          <cell r="B108" t="str">
            <v>#4</v>
          </cell>
          <cell r="C108">
            <v>45812.148611111101</v>
          </cell>
          <cell r="D108">
            <v>4365.2700000000004</v>
          </cell>
          <cell r="E108" t="str">
            <v>MXN</v>
          </cell>
          <cell r="F108" t="str">
            <v>Daniel Autrique Echeveste</v>
          </cell>
          <cell r="G108" t="str">
            <v>PAR*FOGO THE WOODLANDS THE WOODLANDS USA</v>
          </cell>
          <cell r="H108" t="str">
            <v>Par Fogo The Woodlands The Woodlands USA</v>
          </cell>
          <cell r="I108" t="str">
            <v>G&amp;A expenses</v>
          </cell>
          <cell r="J108">
            <v>0</v>
          </cell>
          <cell r="K108" t="str">
            <v>.</v>
          </cell>
          <cell r="L108">
            <v>0</v>
          </cell>
          <cell r="M108">
            <v>0</v>
          </cell>
          <cell r="N108">
            <v>0</v>
          </cell>
          <cell r="O108">
            <v>0</v>
          </cell>
          <cell r="Q108" t="str">
            <v>603.81.002 Gastos corporativos ND</v>
          </cell>
        </row>
        <row r="109">
          <cell r="B109" t="str">
            <v>#4</v>
          </cell>
          <cell r="C109">
            <v>45812.764583333301</v>
          </cell>
          <cell r="D109">
            <v>2831.98</v>
          </cell>
          <cell r="E109" t="str">
            <v>MXN</v>
          </cell>
          <cell r="F109" t="str">
            <v>Daniel Autrique Echeveste</v>
          </cell>
          <cell r="G109" t="str">
            <v>TST*HUNGRYS MEMORIAL   HOUSTON       USA</v>
          </cell>
          <cell r="H109" t="str">
            <v>Hungrys Memorial Houston USA</v>
          </cell>
          <cell r="I109" t="str">
            <v>Sales</v>
          </cell>
          <cell r="J109">
            <v>0</v>
          </cell>
          <cell r="K109" t="str">
            <v>.</v>
          </cell>
          <cell r="L109">
            <v>0</v>
          </cell>
          <cell r="M109">
            <v>0</v>
          </cell>
          <cell r="N109">
            <v>0</v>
          </cell>
          <cell r="O109">
            <v>0</v>
          </cell>
          <cell r="Q109" t="str">
            <v>603.81.002 Gastos corporativos ND</v>
          </cell>
        </row>
        <row r="110">
          <cell r="B110" t="str">
            <v>#4</v>
          </cell>
          <cell r="C110">
            <v>45812.995833333298</v>
          </cell>
          <cell r="D110">
            <v>307.05</v>
          </cell>
          <cell r="E110" t="str">
            <v>MXN</v>
          </cell>
          <cell r="F110" t="str">
            <v>Daniel Autrique Echeveste</v>
          </cell>
          <cell r="G110" t="str">
            <v>IAH Houston Supply Co, Houston       USA</v>
          </cell>
          <cell r="H110" t="str">
            <v>Iah Houston Supply Co Houston USA</v>
          </cell>
          <cell r="I110" t="str">
            <v>Sales</v>
          </cell>
          <cell r="J110">
            <v>0</v>
          </cell>
          <cell r="K110" t="str">
            <v>.</v>
          </cell>
          <cell r="L110">
            <v>0</v>
          </cell>
          <cell r="M110">
            <v>0</v>
          </cell>
          <cell r="N110">
            <v>0</v>
          </cell>
          <cell r="O110">
            <v>0</v>
          </cell>
          <cell r="Q110" t="str">
            <v>603.81.002 Gastos corporativos ND</v>
          </cell>
        </row>
        <row r="111">
          <cell r="B111" t="str">
            <v>#4</v>
          </cell>
          <cell r="C111">
            <v>45813.059027777701</v>
          </cell>
          <cell r="D111">
            <v>160.66</v>
          </cell>
          <cell r="E111" t="str">
            <v>MXN</v>
          </cell>
          <cell r="F111" t="str">
            <v>Daniel Autrique Echeveste</v>
          </cell>
          <cell r="G111" t="str">
            <v>AIRTIME WIFI           630-519-5122  USA</v>
          </cell>
          <cell r="H111" t="str">
            <v>Airtime Wifi USA</v>
          </cell>
          <cell r="I111" t="str">
            <v>Sales</v>
          </cell>
          <cell r="J111">
            <v>0</v>
          </cell>
          <cell r="K111" t="str">
            <v>.</v>
          </cell>
          <cell r="L111">
            <v>0</v>
          </cell>
          <cell r="M111">
            <v>0</v>
          </cell>
          <cell r="N111">
            <v>0</v>
          </cell>
          <cell r="O111">
            <v>0</v>
          </cell>
          <cell r="Q111" t="str">
            <v>603.81.002 Gastos corporativos ND</v>
          </cell>
        </row>
        <row r="112">
          <cell r="B112" t="str">
            <v>#4</v>
          </cell>
          <cell r="C112">
            <v>45813.077777777697</v>
          </cell>
          <cell r="D112">
            <v>100.41</v>
          </cell>
          <cell r="E112" t="str">
            <v>MXN</v>
          </cell>
          <cell r="F112" t="str">
            <v>Daniel Autrique Echeveste</v>
          </cell>
          <cell r="G112" t="str">
            <v>AIRTIME WIFI           630-519-5122  USA</v>
          </cell>
          <cell r="H112" t="str">
            <v>Airtime Wifi USA</v>
          </cell>
          <cell r="I112" t="str">
            <v>Sales</v>
          </cell>
          <cell r="J112">
            <v>0</v>
          </cell>
          <cell r="K112" t="str">
            <v>.</v>
          </cell>
          <cell r="L112">
            <v>0</v>
          </cell>
          <cell r="M112">
            <v>0</v>
          </cell>
          <cell r="N112">
            <v>0</v>
          </cell>
          <cell r="O112">
            <v>0</v>
          </cell>
          <cell r="Q112" t="str">
            <v>603.81.002 Gastos corporativos ND</v>
          </cell>
        </row>
        <row r="113">
          <cell r="B113" t="str">
            <v>#4</v>
          </cell>
          <cell r="C113">
            <v>45813.915972222203</v>
          </cell>
          <cell r="D113">
            <v>1466.25</v>
          </cell>
          <cell r="E113" t="str">
            <v>MXN</v>
          </cell>
          <cell r="F113" t="str">
            <v>Daniel Autrique Echeveste</v>
          </cell>
          <cell r="G113" t="str">
            <v>NIOI                   CIUDAD DE MEX MEX</v>
          </cell>
          <cell r="H113" t="str">
            <v>Nioi Ciudad De Mex Mex</v>
          </cell>
          <cell r="I113">
            <v>0</v>
          </cell>
          <cell r="J113">
            <v>0</v>
          </cell>
          <cell r="K113" t="str">
            <v>.</v>
          </cell>
          <cell r="L113">
            <v>0</v>
          </cell>
          <cell r="M113">
            <v>0</v>
          </cell>
          <cell r="N113">
            <v>0</v>
          </cell>
          <cell r="O113">
            <v>0</v>
          </cell>
          <cell r="Q113" t="str">
            <v>603.81.002 Gastos corporativos ND</v>
          </cell>
        </row>
        <row r="114">
          <cell r="B114" t="str">
            <v>#4</v>
          </cell>
          <cell r="C114">
            <v>45816.801388888802</v>
          </cell>
          <cell r="D114">
            <v>1599.48</v>
          </cell>
          <cell r="E114" t="str">
            <v>MXN</v>
          </cell>
          <cell r="F114" t="str">
            <v>Daniel Autrique Echeveste</v>
          </cell>
          <cell r="G114" t="str">
            <v>GASOL NX LA PAZ I      SN LUIS DE LA MEX</v>
          </cell>
          <cell r="H114" t="str">
            <v>Gasol Nx La Paz I Sn Luis De La Mex</v>
          </cell>
          <cell r="I114">
            <v>0</v>
          </cell>
          <cell r="J114">
            <v>0</v>
          </cell>
          <cell r="K114" t="str">
            <v>.</v>
          </cell>
          <cell r="L114">
            <v>0</v>
          </cell>
          <cell r="M114">
            <v>0</v>
          </cell>
          <cell r="N114">
            <v>0</v>
          </cell>
          <cell r="O114">
            <v>0</v>
          </cell>
          <cell r="Q114" t="str">
            <v>603.81.002 Gastos corporativos ND</v>
          </cell>
        </row>
        <row r="115">
          <cell r="B115" t="str">
            <v>#4</v>
          </cell>
          <cell r="C115">
            <v>45817.8152777777</v>
          </cell>
          <cell r="D115">
            <v>200</v>
          </cell>
          <cell r="E115" t="str">
            <v>MXN</v>
          </cell>
          <cell r="F115" t="str">
            <v>Daniel Autrique Echeveste</v>
          </cell>
          <cell r="G115" t="str">
            <v>MEXPAGO*MUEVECIUDAD    CIUDAD DE MEX MEX</v>
          </cell>
          <cell r="H115" t="str">
            <v>Mexpago Mueveciudad Ciudad De Mex Mex</v>
          </cell>
          <cell r="I115">
            <v>0</v>
          </cell>
          <cell r="J115">
            <v>0</v>
          </cell>
          <cell r="K115" t="str">
            <v>.</v>
          </cell>
          <cell r="L115">
            <v>0</v>
          </cell>
          <cell r="M115">
            <v>0</v>
          </cell>
          <cell r="N115">
            <v>0</v>
          </cell>
          <cell r="O115">
            <v>0</v>
          </cell>
          <cell r="Q115" t="str">
            <v>603.81.002 Gastos corporativos ND</v>
          </cell>
        </row>
        <row r="116">
          <cell r="B116" t="str">
            <v>#4</v>
          </cell>
          <cell r="C116">
            <v>45819.676388888802</v>
          </cell>
          <cell r="D116">
            <v>748.07</v>
          </cell>
          <cell r="E116" t="str">
            <v>MXN</v>
          </cell>
          <cell r="F116" t="str">
            <v>Daniel Autrique Echeveste</v>
          </cell>
          <cell r="G116" t="str">
            <v>ALAMOTOLL 863549732    * 8778601284  USA</v>
          </cell>
          <cell r="H116" t="str">
            <v>Alamotoll USA</v>
          </cell>
          <cell r="I116">
            <v>0</v>
          </cell>
          <cell r="J116">
            <v>0</v>
          </cell>
          <cell r="K116" t="str">
            <v>.</v>
          </cell>
          <cell r="L116">
            <v>0</v>
          </cell>
          <cell r="M116">
            <v>0</v>
          </cell>
          <cell r="N116">
            <v>0</v>
          </cell>
          <cell r="O116">
            <v>0</v>
          </cell>
          <cell r="Q116" t="str">
            <v>603.81.002 Gastos corporativos ND</v>
          </cell>
        </row>
        <row r="117">
          <cell r="B117" t="str">
            <v>#4</v>
          </cell>
          <cell r="C117">
            <v>45820.900694444397</v>
          </cell>
          <cell r="D117">
            <v>2102.1999999999998</v>
          </cell>
          <cell r="E117" t="str">
            <v>MXN</v>
          </cell>
          <cell r="F117" t="str">
            <v>Daniel Autrique Echeveste</v>
          </cell>
          <cell r="G117" t="str">
            <v>BPK*EQUIRETAIL VENTAS2 CIUDAD DE MEX MEX</v>
          </cell>
          <cell r="H117" t="str">
            <v>Bpk Equiretail Ventas2 Ciudad De Mex Mex</v>
          </cell>
          <cell r="I117">
            <v>0</v>
          </cell>
          <cell r="J117">
            <v>0</v>
          </cell>
          <cell r="K117" t="str">
            <v>.</v>
          </cell>
          <cell r="L117">
            <v>0</v>
          </cell>
          <cell r="M117">
            <v>0</v>
          </cell>
          <cell r="N117">
            <v>0</v>
          </cell>
          <cell r="O117">
            <v>0</v>
          </cell>
          <cell r="Q117" t="str">
            <v>603.81.002 Gastos corporativos ND</v>
          </cell>
        </row>
        <row r="118">
          <cell r="B118" t="str">
            <v>#4</v>
          </cell>
          <cell r="C118">
            <v>45821.738888888802</v>
          </cell>
          <cell r="D118">
            <v>1280.3</v>
          </cell>
          <cell r="E118" t="str">
            <v>MXN</v>
          </cell>
          <cell r="F118" t="str">
            <v>Daniel Autrique Echeveste</v>
          </cell>
          <cell r="G118" t="str">
            <v>GASOL VALERO LOMALINDA CIUDAD DE MEX MEX</v>
          </cell>
          <cell r="H118" t="str">
            <v>Gasol Valero Lomalinda Ciudad De Mex Mex</v>
          </cell>
          <cell r="I118">
            <v>0</v>
          </cell>
          <cell r="J118">
            <v>0</v>
          </cell>
          <cell r="K118" t="str">
            <v>.</v>
          </cell>
          <cell r="L118">
            <v>0</v>
          </cell>
          <cell r="M118">
            <v>0</v>
          </cell>
          <cell r="N118">
            <v>0</v>
          </cell>
          <cell r="O118">
            <v>0</v>
          </cell>
          <cell r="Q118" t="str">
            <v>603.81.002 Gastos corporativos ND</v>
          </cell>
        </row>
        <row r="119">
          <cell r="B119" t="str">
            <v>#4</v>
          </cell>
          <cell r="C119">
            <v>45821.924305555498</v>
          </cell>
          <cell r="D119">
            <v>10210</v>
          </cell>
          <cell r="E119" t="str">
            <v>MXN</v>
          </cell>
          <cell r="F119" t="str">
            <v>Daniel Autrique Echeveste</v>
          </cell>
          <cell r="G119" t="str">
            <v>AEROMEXICO WEB PN      CIUDAD DE MEX MEX</v>
          </cell>
          <cell r="H119" t="str">
            <v>Aeromexico</v>
          </cell>
          <cell r="I119">
            <v>0</v>
          </cell>
          <cell r="J119">
            <v>0</v>
          </cell>
          <cell r="K119" t="str">
            <v>.</v>
          </cell>
          <cell r="L119">
            <v>0</v>
          </cell>
          <cell r="M119">
            <v>0</v>
          </cell>
          <cell r="N119">
            <v>0</v>
          </cell>
          <cell r="O119">
            <v>0</v>
          </cell>
          <cell r="Q119" t="str">
            <v>603.81.002 Gastos corporativos ND</v>
          </cell>
        </row>
        <row r="120">
          <cell r="B120" t="str">
            <v>#4</v>
          </cell>
          <cell r="C120">
            <v>45824.729166666599</v>
          </cell>
          <cell r="D120">
            <v>387.55</v>
          </cell>
          <cell r="E120" t="str">
            <v>MXN</v>
          </cell>
          <cell r="F120" t="str">
            <v>Daniel Autrique Echeveste</v>
          </cell>
          <cell r="G120" t="str">
            <v>REST LOCAL 16          CIUDAD DE MEX MEX</v>
          </cell>
          <cell r="H120" t="str">
            <v>Rest Local 16 Ciudad De Mex Mex</v>
          </cell>
          <cell r="I120">
            <v>0</v>
          </cell>
          <cell r="J120">
            <v>0</v>
          </cell>
          <cell r="K120" t="str">
            <v>.</v>
          </cell>
          <cell r="L120">
            <v>0</v>
          </cell>
          <cell r="M120">
            <v>0</v>
          </cell>
          <cell r="N120">
            <v>0</v>
          </cell>
          <cell r="O120">
            <v>0</v>
          </cell>
          <cell r="Q120" t="str">
            <v>603.81.002 Gastos corporativos ND</v>
          </cell>
        </row>
        <row r="121">
          <cell r="B121" t="str">
            <v>#4</v>
          </cell>
          <cell r="C121">
            <v>45826.009722222203</v>
          </cell>
          <cell r="D121">
            <v>709.55</v>
          </cell>
          <cell r="E121" t="str">
            <v>MXN</v>
          </cell>
          <cell r="F121" t="str">
            <v>Daniel Autrique Echeveste</v>
          </cell>
          <cell r="G121" t="str">
            <v>REST NH T2             CIUDAD DE MEX MEX</v>
          </cell>
          <cell r="H121" t="str">
            <v>Rest Nh T2 Ciudad De Mex Mex</v>
          </cell>
          <cell r="I121">
            <v>0</v>
          </cell>
          <cell r="J121">
            <v>0</v>
          </cell>
          <cell r="K121" t="str">
            <v>.</v>
          </cell>
          <cell r="L121">
            <v>0</v>
          </cell>
          <cell r="M121">
            <v>0</v>
          </cell>
          <cell r="N121">
            <v>0</v>
          </cell>
          <cell r="O121">
            <v>0</v>
          </cell>
          <cell r="Q121" t="str">
            <v>603.81.002 Gastos corporativos ND</v>
          </cell>
        </row>
        <row r="122">
          <cell r="B122" t="str">
            <v>#4</v>
          </cell>
          <cell r="C122">
            <v>45826.078472222202</v>
          </cell>
          <cell r="D122">
            <v>535</v>
          </cell>
          <cell r="E122" t="str">
            <v>MXN</v>
          </cell>
          <cell r="F122" t="str">
            <v>Daniel Autrique Echeveste</v>
          </cell>
          <cell r="G122" t="str">
            <v>WiFiOnboard MX         CDMX          MEX</v>
          </cell>
          <cell r="H122" t="str">
            <v>Wifionboard Mx Cdmx Mex</v>
          </cell>
          <cell r="I122">
            <v>0</v>
          </cell>
          <cell r="J122">
            <v>0</v>
          </cell>
          <cell r="K122" t="str">
            <v>.</v>
          </cell>
          <cell r="L122">
            <v>0</v>
          </cell>
          <cell r="M122">
            <v>0</v>
          </cell>
          <cell r="N122">
            <v>0</v>
          </cell>
          <cell r="O122">
            <v>0</v>
          </cell>
          <cell r="Q122" t="str">
            <v>603.81.002 Gastos corporativos ND</v>
          </cell>
        </row>
        <row r="123">
          <cell r="B123" t="str">
            <v>#4</v>
          </cell>
          <cell r="C123">
            <v>45826.264583333301</v>
          </cell>
          <cell r="D123">
            <v>13789.28</v>
          </cell>
          <cell r="E123" t="str">
            <v>MXN</v>
          </cell>
          <cell r="F123" t="str">
            <v>Daniel Autrique Echeveste</v>
          </cell>
          <cell r="G123" t="str">
            <v>MARRIOTT TIJ RECEPCION TIJUANA BCN   MEX</v>
          </cell>
          <cell r="H123" t="str">
            <v>Marriott Hotel</v>
          </cell>
          <cell r="I123">
            <v>0</v>
          </cell>
          <cell r="J123">
            <v>0</v>
          </cell>
          <cell r="K123" t="str">
            <v>.</v>
          </cell>
          <cell r="L123">
            <v>0</v>
          </cell>
          <cell r="M123">
            <v>0</v>
          </cell>
          <cell r="N123">
            <v>0</v>
          </cell>
          <cell r="O123">
            <v>0</v>
          </cell>
          <cell r="Q123" t="str">
            <v>603.81.002 Gastos corporativos ND</v>
          </cell>
        </row>
        <row r="124">
          <cell r="B124" t="str">
            <v>#4</v>
          </cell>
          <cell r="C124">
            <v>45826.834027777702</v>
          </cell>
          <cell r="D124">
            <v>130</v>
          </cell>
          <cell r="E124" t="str">
            <v>MXN</v>
          </cell>
          <cell r="F124" t="str">
            <v>Daniel Autrique Echeveste</v>
          </cell>
          <cell r="G124" t="str">
            <v>REST BARISTI RIO       TIJUANA BCN   MEX</v>
          </cell>
          <cell r="H124" t="str">
            <v>Rest Baristi Rio Tijuana Bcn Mex</v>
          </cell>
          <cell r="I124">
            <v>0</v>
          </cell>
          <cell r="J124">
            <v>0</v>
          </cell>
          <cell r="K124" t="str">
            <v>.</v>
          </cell>
          <cell r="L124">
            <v>0</v>
          </cell>
          <cell r="M124">
            <v>0</v>
          </cell>
          <cell r="N124">
            <v>0</v>
          </cell>
          <cell r="O124">
            <v>0</v>
          </cell>
          <cell r="Q124" t="str">
            <v>603.81.002 Gastos corporativos ND</v>
          </cell>
        </row>
        <row r="125">
          <cell r="B125" t="str">
            <v>#4</v>
          </cell>
          <cell r="C125">
            <v>45827.652777777701</v>
          </cell>
          <cell r="D125">
            <v>889.28</v>
          </cell>
          <cell r="E125" t="str">
            <v>MXN</v>
          </cell>
          <cell r="F125" t="str">
            <v>Daniel Autrique Echeveste</v>
          </cell>
          <cell r="G125" t="str">
            <v>MARRIOTT TIJ RECEPCION TIJUANA BCN   MEX</v>
          </cell>
          <cell r="H125" t="str">
            <v>Marriott Hotel</v>
          </cell>
          <cell r="I125">
            <v>0</v>
          </cell>
          <cell r="J125">
            <v>0</v>
          </cell>
          <cell r="K125" t="str">
            <v>.</v>
          </cell>
          <cell r="L125">
            <v>0</v>
          </cell>
          <cell r="M125">
            <v>0</v>
          </cell>
          <cell r="N125">
            <v>0</v>
          </cell>
          <cell r="O125">
            <v>0</v>
          </cell>
          <cell r="Q125" t="str">
            <v>603.81.002 Gastos corporativos ND</v>
          </cell>
        </row>
        <row r="126">
          <cell r="B126" t="str">
            <v>#4</v>
          </cell>
          <cell r="C126">
            <v>45827.799305555498</v>
          </cell>
          <cell r="D126">
            <v>75</v>
          </cell>
          <cell r="E126" t="str">
            <v>MXN</v>
          </cell>
          <cell r="F126" t="str">
            <v>Daniel Autrique Echeveste</v>
          </cell>
          <cell r="G126" t="str">
            <v>MIAS CAFE              TIJUANA BCN   MEX</v>
          </cell>
          <cell r="H126" t="str">
            <v>Mias Cafe Tijuana Bcn Mex</v>
          </cell>
          <cell r="I126">
            <v>0</v>
          </cell>
          <cell r="J126">
            <v>0</v>
          </cell>
          <cell r="K126" t="str">
            <v>.</v>
          </cell>
          <cell r="L126">
            <v>0</v>
          </cell>
          <cell r="M126">
            <v>0</v>
          </cell>
          <cell r="N126">
            <v>0</v>
          </cell>
          <cell r="O126">
            <v>0</v>
          </cell>
          <cell r="Q126" t="str">
            <v>603.81.002 Gastos corporativos ND</v>
          </cell>
        </row>
        <row r="127">
          <cell r="B127" t="str">
            <v>#4</v>
          </cell>
          <cell r="C127">
            <v>45827.938888888799</v>
          </cell>
          <cell r="D127">
            <v>1695</v>
          </cell>
          <cell r="E127" t="str">
            <v>MXN</v>
          </cell>
          <cell r="F127" t="str">
            <v>Daniel Autrique Echeveste</v>
          </cell>
          <cell r="G127" t="str">
            <v>ZTL*KARLAYADIRASANCHEZ CIUDAD DE MEX MEX</v>
          </cell>
          <cell r="H127" t="str">
            <v>Karlayadirasanchez Ciudad De Mex Mex</v>
          </cell>
          <cell r="I127">
            <v>0</v>
          </cell>
          <cell r="J127">
            <v>0</v>
          </cell>
          <cell r="K127" t="str">
            <v>.</v>
          </cell>
          <cell r="L127">
            <v>0</v>
          </cell>
          <cell r="M127">
            <v>0</v>
          </cell>
          <cell r="N127">
            <v>0</v>
          </cell>
          <cell r="O127">
            <v>0</v>
          </cell>
          <cell r="Q127" t="str">
            <v>603.81.002 Gastos corporativos ND</v>
          </cell>
        </row>
        <row r="128">
          <cell r="B128" t="str">
            <v>#4</v>
          </cell>
          <cell r="C128">
            <v>45828.073611111096</v>
          </cell>
          <cell r="D128">
            <v>99.06</v>
          </cell>
          <cell r="E128" t="str">
            <v>MXN</v>
          </cell>
          <cell r="F128" t="str">
            <v>Daniel Autrique Echeveste</v>
          </cell>
          <cell r="G128" t="str">
            <v>Viasat, Inc.           8669453258    USA</v>
          </cell>
          <cell r="H128" t="str">
            <v>Viasat</v>
          </cell>
          <cell r="I128">
            <v>0</v>
          </cell>
          <cell r="J128">
            <v>0</v>
          </cell>
          <cell r="K128" t="str">
            <v>.</v>
          </cell>
          <cell r="L128">
            <v>0</v>
          </cell>
          <cell r="M128">
            <v>0</v>
          </cell>
          <cell r="N128">
            <v>0</v>
          </cell>
          <cell r="O128">
            <v>0</v>
          </cell>
          <cell r="Q128" t="str">
            <v>603.81.002 Gastos corporativos ND</v>
          </cell>
        </row>
        <row r="129">
          <cell r="B129" t="str">
            <v>#4</v>
          </cell>
          <cell r="C129">
            <v>45828.153472222199</v>
          </cell>
          <cell r="D129">
            <v>560</v>
          </cell>
          <cell r="E129" t="str">
            <v>MXN</v>
          </cell>
          <cell r="F129" t="str">
            <v>Daniel Autrique Echeveste</v>
          </cell>
          <cell r="G129" t="str">
            <v>TAXIS PASA             CIUDAD DE MEX MEX</v>
          </cell>
          <cell r="H129" t="str">
            <v>Taxis Pasa Ciudad De Mex Mex</v>
          </cell>
          <cell r="I129">
            <v>0</v>
          </cell>
          <cell r="J129">
            <v>0</v>
          </cell>
          <cell r="K129" t="str">
            <v>.</v>
          </cell>
          <cell r="L129">
            <v>0</v>
          </cell>
          <cell r="M129">
            <v>0</v>
          </cell>
          <cell r="N129">
            <v>0</v>
          </cell>
          <cell r="O129">
            <v>0</v>
          </cell>
          <cell r="Q129" t="str">
            <v>603.81.002 Gastos corporativos ND</v>
          </cell>
        </row>
        <row r="130">
          <cell r="B130" t="str">
            <v>#4</v>
          </cell>
          <cell r="C130">
            <v>45828.513888888803</v>
          </cell>
          <cell r="D130">
            <v>889.28</v>
          </cell>
          <cell r="E130" t="str">
            <v>MXN</v>
          </cell>
          <cell r="F130" t="str">
            <v>Daniel Autrique Echeveste</v>
          </cell>
          <cell r="G130" t="str">
            <v>20250619T01:01:01/MARRIOTT TIJ RECEPCION\UNKNOWN\TIJUANA BCN\22014        MEX</v>
          </cell>
          <cell r="H130" t="str">
            <v>Marriott Hotel</v>
          </cell>
          <cell r="I130">
            <v>0</v>
          </cell>
          <cell r="J130">
            <v>0</v>
          </cell>
          <cell r="K130" t="str">
            <v>.</v>
          </cell>
          <cell r="L130">
            <v>0</v>
          </cell>
          <cell r="M130">
            <v>0</v>
          </cell>
          <cell r="N130">
            <v>0</v>
          </cell>
          <cell r="O130">
            <v>0</v>
          </cell>
          <cell r="Q130" t="str">
            <v>603.81.002 Gastos corporativos ND</v>
          </cell>
        </row>
        <row r="131">
          <cell r="B131" t="str">
            <v>#4</v>
          </cell>
          <cell r="C131">
            <v>45828.956944444399</v>
          </cell>
          <cell r="D131">
            <v>1376.71</v>
          </cell>
          <cell r="E131" t="str">
            <v>MXN</v>
          </cell>
          <cell r="F131" t="str">
            <v>Daniel Autrique Echeveste</v>
          </cell>
          <cell r="G131" t="str">
            <v>GAS RIO S CRUZ         SN MATEO ATEN MEX</v>
          </cell>
          <cell r="H131" t="str">
            <v>Gas Rio S Cruz Sn Mateo Aten Mex</v>
          </cell>
          <cell r="I131">
            <v>0</v>
          </cell>
          <cell r="J131">
            <v>0</v>
          </cell>
          <cell r="K131" t="str">
            <v>.</v>
          </cell>
          <cell r="L131">
            <v>0</v>
          </cell>
          <cell r="M131">
            <v>0</v>
          </cell>
          <cell r="N131">
            <v>0</v>
          </cell>
          <cell r="O131">
            <v>0</v>
          </cell>
          <cell r="Q131" t="str">
            <v>603.81.002 Gastos corporativos ND</v>
          </cell>
        </row>
        <row r="132">
          <cell r="B132" t="str">
            <v>#5</v>
          </cell>
          <cell r="C132">
            <v>45810.65625</v>
          </cell>
          <cell r="D132">
            <v>1260.25</v>
          </cell>
          <cell r="E132" t="str">
            <v>MXN</v>
          </cell>
          <cell r="F132" t="str">
            <v>Fernanda Sanchez Ruiz</v>
          </cell>
          <cell r="G132" t="str">
            <v>SAMS VENTA EN LINEA    MEXICO DF     MEX</v>
          </cell>
          <cell r="H132" t="str">
            <v>Sam's Club</v>
          </cell>
          <cell r="I132" t="str">
            <v>Office expenses</v>
          </cell>
          <cell r="J132" t="str">
            <v>Snacks para la oficina</v>
          </cell>
          <cell r="K132" t="str">
            <v>.</v>
          </cell>
          <cell r="L132">
            <v>0</v>
          </cell>
          <cell r="M132">
            <v>0</v>
          </cell>
          <cell r="N132">
            <v>0</v>
          </cell>
          <cell r="O132">
            <v>0</v>
          </cell>
          <cell r="Q132" t="str">
            <v>603.81.004 Gastos de Oficina</v>
          </cell>
        </row>
        <row r="133">
          <cell r="B133" t="str">
            <v>#5</v>
          </cell>
          <cell r="C133">
            <v>45813.681944444397</v>
          </cell>
          <cell r="D133">
            <v>218.5</v>
          </cell>
          <cell r="E133" t="str">
            <v>MXN</v>
          </cell>
          <cell r="F133" t="str">
            <v>Fernanda Sanchez Ruiz</v>
          </cell>
          <cell r="G133" t="str">
            <v>UBER* EATS PENDING     CIUDAD DE MEX MEX</v>
          </cell>
          <cell r="H133" t="str">
            <v>Uber Eats</v>
          </cell>
          <cell r="I133" t="str">
            <v>Office expenses</v>
          </cell>
          <cell r="J133">
            <v>0</v>
          </cell>
          <cell r="K133" t="str">
            <v>.</v>
          </cell>
          <cell r="L133">
            <v>0</v>
          </cell>
          <cell r="M133">
            <v>0</v>
          </cell>
          <cell r="N133">
            <v>0</v>
          </cell>
          <cell r="O133">
            <v>0</v>
          </cell>
          <cell r="Q133" t="str">
            <v>603.81.004 Gastos de Oficina</v>
          </cell>
        </row>
        <row r="134">
          <cell r="B134" t="str">
            <v>#5</v>
          </cell>
          <cell r="C134">
            <v>45813.733333333301</v>
          </cell>
          <cell r="D134">
            <v>10.93</v>
          </cell>
          <cell r="E134" t="str">
            <v>MXN</v>
          </cell>
          <cell r="F134" t="str">
            <v>Fernanda Sanchez Ruiz</v>
          </cell>
          <cell r="G134" t="str">
            <v>UBER *EATS HELP.UBER.C CMX           MEX</v>
          </cell>
          <cell r="H134" t="str">
            <v>Uber Eats</v>
          </cell>
          <cell r="I134" t="str">
            <v>Office expenses</v>
          </cell>
          <cell r="J134" t="str">
            <v>Snacks para la oficina</v>
          </cell>
          <cell r="K134" t="str">
            <v>.</v>
          </cell>
          <cell r="L134">
            <v>0</v>
          </cell>
          <cell r="M134">
            <v>0</v>
          </cell>
          <cell r="N134">
            <v>0</v>
          </cell>
          <cell r="O134">
            <v>0</v>
          </cell>
          <cell r="Q134" t="str">
            <v>603.81.004 Gastos de Oficina</v>
          </cell>
        </row>
        <row r="135">
          <cell r="B135" t="str">
            <v>#5</v>
          </cell>
          <cell r="C135">
            <v>45813.953472222202</v>
          </cell>
          <cell r="D135">
            <v>325</v>
          </cell>
          <cell r="E135" t="str">
            <v>MXN</v>
          </cell>
          <cell r="F135" t="str">
            <v>Fernanda Sanchez Ruiz</v>
          </cell>
          <cell r="G135" t="str">
            <v>OLI CAFE               CIUDAD DE MEX MEX</v>
          </cell>
          <cell r="H135" t="str">
            <v>Oli Cafe Ciudad De Mex Mex</v>
          </cell>
          <cell r="I135" t="str">
            <v>Office expenses</v>
          </cell>
          <cell r="J135" t="str">
            <v>Snacks para la oficina</v>
          </cell>
          <cell r="K135" t="str">
            <v>.</v>
          </cell>
          <cell r="L135">
            <v>0</v>
          </cell>
          <cell r="M135">
            <v>0</v>
          </cell>
          <cell r="N135">
            <v>0</v>
          </cell>
          <cell r="O135">
            <v>0</v>
          </cell>
          <cell r="Q135" t="str">
            <v>603.81.004 Gastos de Oficina</v>
          </cell>
        </row>
        <row r="136">
          <cell r="B136" t="str">
            <v>#5</v>
          </cell>
          <cell r="C136">
            <v>45817.201388888803</v>
          </cell>
          <cell r="D136">
            <v>1416.69</v>
          </cell>
          <cell r="E136" t="str">
            <v>MXN</v>
          </cell>
          <cell r="F136" t="str">
            <v>Fernanda Sanchez Ruiz</v>
          </cell>
          <cell r="G136" t="str">
            <v>SAMS VENTA EN LINEA    MEXICO DF     MEX</v>
          </cell>
          <cell r="H136" t="str">
            <v>Sam's Club</v>
          </cell>
          <cell r="I136" t="str">
            <v>Office expenses</v>
          </cell>
          <cell r="J136" t="str">
            <v xml:space="preserve">Botiquin </v>
          </cell>
          <cell r="K136" t="str">
            <v>.</v>
          </cell>
          <cell r="L136">
            <v>0</v>
          </cell>
          <cell r="M136">
            <v>0</v>
          </cell>
          <cell r="N136">
            <v>0</v>
          </cell>
          <cell r="O136">
            <v>0</v>
          </cell>
          <cell r="Q136" t="str">
            <v>603.81.004 Gastos de Oficina</v>
          </cell>
        </row>
        <row r="137">
          <cell r="B137" t="str">
            <v>#5</v>
          </cell>
          <cell r="C137">
            <v>45820.486111111102</v>
          </cell>
          <cell r="D137">
            <v>299</v>
          </cell>
          <cell r="E137" t="str">
            <v>MXN</v>
          </cell>
          <cell r="F137" t="str">
            <v>Fernanda Sanchez Ruiz</v>
          </cell>
          <cell r="G137" t="str">
            <v>ADOBE 2                CIUDAD DE MEX MEX</v>
          </cell>
          <cell r="H137" t="str">
            <v>Adobe</v>
          </cell>
          <cell r="I137" t="str">
            <v>Office expenses</v>
          </cell>
          <cell r="J137" t="str">
            <v>Refill de botiquin</v>
          </cell>
          <cell r="K137" t="str">
            <v>.</v>
          </cell>
          <cell r="L137">
            <v>0</v>
          </cell>
          <cell r="M137">
            <v>0</v>
          </cell>
          <cell r="N137">
            <v>0</v>
          </cell>
          <cell r="O137">
            <v>0</v>
          </cell>
          <cell r="Q137" t="str">
            <v>603.81.004 Gastos de Oficina</v>
          </cell>
        </row>
        <row r="138">
          <cell r="B138" t="str">
            <v>#5</v>
          </cell>
          <cell r="C138">
            <v>45825.7215277777</v>
          </cell>
          <cell r="D138">
            <v>1299.49</v>
          </cell>
          <cell r="E138" t="str">
            <v>MXN</v>
          </cell>
          <cell r="F138" t="str">
            <v>Fernanda Sanchez Ruiz</v>
          </cell>
          <cell r="G138" t="str">
            <v>UBER* EATS PENDING     CIUDAD DE MEX MEX</v>
          </cell>
          <cell r="H138" t="str">
            <v>Uber Eats</v>
          </cell>
          <cell r="I138">
            <v>0</v>
          </cell>
          <cell r="J138">
            <v>0</v>
          </cell>
          <cell r="K138" t="str">
            <v>.</v>
          </cell>
          <cell r="L138">
            <v>0</v>
          </cell>
          <cell r="M138">
            <v>0</v>
          </cell>
          <cell r="N138">
            <v>0</v>
          </cell>
          <cell r="O138">
            <v>0</v>
          </cell>
          <cell r="Q138" t="str">
            <v>603.81.004 Gastos de Oficina</v>
          </cell>
        </row>
        <row r="139">
          <cell r="B139" t="str">
            <v>#5</v>
          </cell>
          <cell r="C139">
            <v>45825.797916666597</v>
          </cell>
          <cell r="D139">
            <v>41.15</v>
          </cell>
          <cell r="E139" t="str">
            <v>MXN</v>
          </cell>
          <cell r="F139" t="str">
            <v>Fernanda Sanchez Ruiz</v>
          </cell>
          <cell r="G139" t="str">
            <v>UBER* EATS             CIUDAD DE MEX MEX</v>
          </cell>
          <cell r="H139" t="str">
            <v>Uber Eats</v>
          </cell>
          <cell r="I139">
            <v>0</v>
          </cell>
          <cell r="J139">
            <v>0</v>
          </cell>
          <cell r="K139" t="str">
            <v>.</v>
          </cell>
          <cell r="L139">
            <v>0</v>
          </cell>
          <cell r="M139">
            <v>0</v>
          </cell>
          <cell r="N139">
            <v>0</v>
          </cell>
          <cell r="O139">
            <v>0</v>
          </cell>
          <cell r="Q139" t="str">
            <v>603.81.004 Gastos de Oficina</v>
          </cell>
        </row>
        <row r="140">
          <cell r="B140" t="str">
            <v>#5</v>
          </cell>
          <cell r="C140">
            <v>45827.715972222199</v>
          </cell>
          <cell r="D140">
            <v>434.25</v>
          </cell>
          <cell r="E140" t="str">
            <v>MXN</v>
          </cell>
          <cell r="F140" t="str">
            <v>Fernanda Sanchez Ruiz</v>
          </cell>
          <cell r="G140" t="str">
            <v>UBER* EATS PENDING     CIUDAD DE MEX MEX</v>
          </cell>
          <cell r="H140" t="str">
            <v>Uber Eats</v>
          </cell>
          <cell r="I140">
            <v>0</v>
          </cell>
          <cell r="J140">
            <v>0</v>
          </cell>
          <cell r="K140" t="str">
            <v>.</v>
          </cell>
          <cell r="L140">
            <v>0</v>
          </cell>
          <cell r="M140">
            <v>0</v>
          </cell>
          <cell r="N140">
            <v>0</v>
          </cell>
          <cell r="O140">
            <v>0</v>
          </cell>
          <cell r="Q140" t="str">
            <v>603.81.004 Gastos de Oficina</v>
          </cell>
        </row>
        <row r="141">
          <cell r="B141" t="str">
            <v>#5</v>
          </cell>
          <cell r="C141">
            <v>45827.783333333296</v>
          </cell>
          <cell r="D141">
            <v>15</v>
          </cell>
          <cell r="E141" t="str">
            <v>MXN</v>
          </cell>
          <cell r="F141" t="str">
            <v>Fernanda Sanchez Ruiz</v>
          </cell>
          <cell r="G141" t="str">
            <v>UBER* EATS             CIUDAD DE MEX MEX</v>
          </cell>
          <cell r="H141" t="str">
            <v>Uber Eats</v>
          </cell>
          <cell r="I141">
            <v>0</v>
          </cell>
          <cell r="J141">
            <v>0</v>
          </cell>
          <cell r="K141" t="str">
            <v>.</v>
          </cell>
          <cell r="L141">
            <v>0</v>
          </cell>
          <cell r="M141">
            <v>0</v>
          </cell>
          <cell r="N141">
            <v>0</v>
          </cell>
          <cell r="O141">
            <v>0</v>
          </cell>
          <cell r="Q141" t="str">
            <v>603.81.004 Gastos de Oficina</v>
          </cell>
        </row>
        <row r="142">
          <cell r="B142" t="str">
            <v>#5</v>
          </cell>
          <cell r="C142">
            <v>45828.1381944444</v>
          </cell>
          <cell r="D142">
            <v>127.42</v>
          </cell>
          <cell r="E142" t="str">
            <v>MXN</v>
          </cell>
          <cell r="F142" t="str">
            <v>Fernanda Sanchez Ruiz</v>
          </cell>
          <cell r="G142" t="str">
            <v>UBER* PENDING          CIUDAD DE MEX MEX</v>
          </cell>
          <cell r="H142" t="str">
            <v>Uber</v>
          </cell>
          <cell r="I142">
            <v>0</v>
          </cell>
          <cell r="J142">
            <v>0</v>
          </cell>
          <cell r="K142" t="str">
            <v>.</v>
          </cell>
          <cell r="L142">
            <v>0</v>
          </cell>
          <cell r="M142">
            <v>0</v>
          </cell>
          <cell r="N142">
            <v>0</v>
          </cell>
          <cell r="O142">
            <v>0</v>
          </cell>
          <cell r="Q142" t="str">
            <v>603.81.004 Gastos de Oficina</v>
          </cell>
        </row>
        <row r="143">
          <cell r="B143" t="str">
            <v>#5</v>
          </cell>
          <cell r="C143">
            <v>45831.215277777701</v>
          </cell>
          <cell r="D143">
            <v>1280.74</v>
          </cell>
          <cell r="E143" t="str">
            <v>MXN</v>
          </cell>
          <cell r="F143" t="str">
            <v>Fernanda Sanchez Ruiz</v>
          </cell>
          <cell r="G143" t="str">
            <v>SAMS VENTA EN LINEA    MEXICO DF     MEX</v>
          </cell>
          <cell r="H143" t="str">
            <v>Sam's Club</v>
          </cell>
          <cell r="I143">
            <v>0</v>
          </cell>
          <cell r="J143">
            <v>0</v>
          </cell>
          <cell r="K143" t="str">
            <v>.</v>
          </cell>
          <cell r="L143">
            <v>0</v>
          </cell>
          <cell r="M143">
            <v>0</v>
          </cell>
          <cell r="N143">
            <v>0</v>
          </cell>
          <cell r="O143">
            <v>0</v>
          </cell>
          <cell r="Q143" t="str">
            <v>603.81.004 Gastos de Oficina</v>
          </cell>
        </row>
        <row r="144">
          <cell r="B144" t="str">
            <v>#5</v>
          </cell>
          <cell r="C144">
            <v>45832.886805555499</v>
          </cell>
          <cell r="D144">
            <v>289.45</v>
          </cell>
          <cell r="E144" t="str">
            <v>MXN</v>
          </cell>
          <cell r="F144" t="str">
            <v>Fernanda Sanchez Ruiz</v>
          </cell>
          <cell r="G144" t="str">
            <v>UBER* EATS PENDING     CIUDAD DE MEX MEX</v>
          </cell>
          <cell r="H144" t="str">
            <v>Uber Eats</v>
          </cell>
          <cell r="I144">
            <v>0</v>
          </cell>
          <cell r="J144">
            <v>0</v>
          </cell>
          <cell r="K144" t="str">
            <v>.</v>
          </cell>
          <cell r="L144">
            <v>0</v>
          </cell>
          <cell r="M144">
            <v>0</v>
          </cell>
          <cell r="N144">
            <v>0</v>
          </cell>
          <cell r="O144">
            <v>0</v>
          </cell>
          <cell r="Q144" t="str">
            <v>603.81.004 Gastos de Oficina</v>
          </cell>
        </row>
        <row r="145">
          <cell r="B145" t="str">
            <v>#5</v>
          </cell>
          <cell r="C145">
            <v>45832.949305555499</v>
          </cell>
          <cell r="D145">
            <v>14.47</v>
          </cell>
          <cell r="E145" t="str">
            <v>MXN</v>
          </cell>
          <cell r="F145" t="str">
            <v>Fernanda Sanchez Ruiz</v>
          </cell>
          <cell r="G145" t="str">
            <v>UBER* EATS             CIUDAD DE MEX MEX</v>
          </cell>
          <cell r="H145" t="str">
            <v>Uber Eats</v>
          </cell>
          <cell r="I145">
            <v>0</v>
          </cell>
          <cell r="J145">
            <v>0</v>
          </cell>
          <cell r="K145" t="str">
            <v>.</v>
          </cell>
          <cell r="L145">
            <v>0</v>
          </cell>
          <cell r="M145">
            <v>0</v>
          </cell>
          <cell r="N145">
            <v>0</v>
          </cell>
          <cell r="O145">
            <v>0</v>
          </cell>
          <cell r="Q145" t="str">
            <v>603.81.004 Gastos de Oficina</v>
          </cell>
        </row>
        <row r="146">
          <cell r="B146" t="str">
            <v>#5</v>
          </cell>
          <cell r="C146">
            <v>45834.661805555501</v>
          </cell>
          <cell r="D146">
            <v>1055</v>
          </cell>
          <cell r="E146" t="str">
            <v>MXN</v>
          </cell>
          <cell r="F146" t="str">
            <v>Fernanda Sanchez Ruiz</v>
          </cell>
          <cell r="G146" t="str">
            <v>MERCADOPAGO *TOTOBAKE  Ciudad de Mex MEX</v>
          </cell>
          <cell r="H146" t="str">
            <v>Mercadopago</v>
          </cell>
          <cell r="I146">
            <v>0</v>
          </cell>
          <cell r="J146">
            <v>0</v>
          </cell>
          <cell r="K146" t="str">
            <v>.</v>
          </cell>
          <cell r="L146">
            <v>0</v>
          </cell>
          <cell r="M146">
            <v>0</v>
          </cell>
          <cell r="N146">
            <v>0</v>
          </cell>
          <cell r="O146">
            <v>0</v>
          </cell>
          <cell r="Q146" t="str">
            <v>603.81.004 Gastos de Oficina</v>
          </cell>
        </row>
        <row r="147">
          <cell r="B147" t="str">
            <v>#5</v>
          </cell>
          <cell r="C147">
            <v>45834.951388888803</v>
          </cell>
          <cell r="D147">
            <v>2048.1</v>
          </cell>
          <cell r="E147" t="str">
            <v>MXN</v>
          </cell>
          <cell r="F147" t="str">
            <v>Fernanda Sanchez Ruiz</v>
          </cell>
          <cell r="G147" t="str">
            <v>UBER* EATS PENDING     CIUDAD DE MEX MEX</v>
          </cell>
          <cell r="H147" t="str">
            <v>Uber Eats</v>
          </cell>
          <cell r="I147">
            <v>0</v>
          </cell>
          <cell r="J147">
            <v>0</v>
          </cell>
          <cell r="K147" t="str">
            <v>.</v>
          </cell>
          <cell r="L147">
            <v>0</v>
          </cell>
          <cell r="M147">
            <v>0</v>
          </cell>
          <cell r="N147">
            <v>0</v>
          </cell>
          <cell r="O147">
            <v>0</v>
          </cell>
          <cell r="Q147" t="str">
            <v>603.81.004 Gastos de Oficina</v>
          </cell>
        </row>
        <row r="148">
          <cell r="B148" t="str">
            <v>#5</v>
          </cell>
          <cell r="C148">
            <v>45835.023611111101</v>
          </cell>
          <cell r="D148">
            <v>40</v>
          </cell>
          <cell r="E148" t="str">
            <v>MXN</v>
          </cell>
          <cell r="F148" t="str">
            <v>Fernanda Sanchez Ruiz</v>
          </cell>
          <cell r="G148" t="str">
            <v>UBER* EATS             CIUDAD DE MEX MEX</v>
          </cell>
          <cell r="H148" t="str">
            <v>Uber Eats</v>
          </cell>
          <cell r="I148">
            <v>0</v>
          </cell>
          <cell r="J148">
            <v>0</v>
          </cell>
          <cell r="K148" t="str">
            <v>.</v>
          </cell>
          <cell r="L148">
            <v>0</v>
          </cell>
          <cell r="M148">
            <v>0</v>
          </cell>
          <cell r="N148">
            <v>0</v>
          </cell>
          <cell r="O148">
            <v>0</v>
          </cell>
          <cell r="Q148" t="str">
            <v>603.81.004 Gastos de Oficina</v>
          </cell>
        </row>
        <row r="149">
          <cell r="B149" t="str">
            <v>#5</v>
          </cell>
          <cell r="C149">
            <v>45835.074305555499</v>
          </cell>
          <cell r="D149">
            <v>181.53</v>
          </cell>
          <cell r="E149" t="str">
            <v>MXN</v>
          </cell>
          <cell r="F149" t="str">
            <v>Fernanda Sanchez Ruiz</v>
          </cell>
          <cell r="G149" t="str">
            <v>DLO*DiDi MX Payin Ride MEXICO        MEX</v>
          </cell>
          <cell r="H149" t="str">
            <v>Dlo Didi Mx Payin Ride Mexico Mex</v>
          </cell>
          <cell r="I149">
            <v>0</v>
          </cell>
          <cell r="J149">
            <v>0</v>
          </cell>
          <cell r="K149" t="str">
            <v>.</v>
          </cell>
          <cell r="L149">
            <v>0</v>
          </cell>
          <cell r="M149">
            <v>0</v>
          </cell>
          <cell r="N149">
            <v>0</v>
          </cell>
          <cell r="O149">
            <v>0</v>
          </cell>
          <cell r="Q149" t="str">
            <v>603.81.004 Gastos de Oficina</v>
          </cell>
        </row>
        <row r="150">
          <cell r="B150" t="str">
            <v>#5</v>
          </cell>
          <cell r="C150">
            <v>45835.826388888803</v>
          </cell>
          <cell r="D150">
            <v>70</v>
          </cell>
          <cell r="E150" t="str">
            <v>MXN</v>
          </cell>
          <cell r="F150" t="str">
            <v>Fernanda Sanchez Ruiz</v>
          </cell>
          <cell r="G150" t="str">
            <v>UBER* PENDING          CIUDAD DE MEX MEX</v>
          </cell>
          <cell r="H150" t="str">
            <v>Uber</v>
          </cell>
          <cell r="I150">
            <v>0</v>
          </cell>
          <cell r="J150">
            <v>0</v>
          </cell>
          <cell r="K150" t="str">
            <v>.</v>
          </cell>
          <cell r="L150">
            <v>0</v>
          </cell>
          <cell r="M150">
            <v>0</v>
          </cell>
          <cell r="N150">
            <v>0</v>
          </cell>
          <cell r="O150">
            <v>0</v>
          </cell>
          <cell r="Q150" t="str">
            <v>603.81.004 Gastos de Oficina</v>
          </cell>
        </row>
        <row r="151">
          <cell r="B151" t="str">
            <v>#5</v>
          </cell>
          <cell r="C151">
            <v>45838.802083333299</v>
          </cell>
          <cell r="D151">
            <v>1253.3699999999999</v>
          </cell>
          <cell r="E151" t="str">
            <v>MXN</v>
          </cell>
          <cell r="F151" t="str">
            <v>Fernanda Sanchez Ruiz</v>
          </cell>
          <cell r="G151" t="str">
            <v>SAMS VENTA EN LINEA    MEXICO DF     MEX</v>
          </cell>
          <cell r="H151" t="str">
            <v>Sam's Club</v>
          </cell>
          <cell r="I151">
            <v>0</v>
          </cell>
          <cell r="J151">
            <v>0</v>
          </cell>
          <cell r="K151" t="str">
            <v>.</v>
          </cell>
          <cell r="L151">
            <v>0</v>
          </cell>
          <cell r="M151">
            <v>0</v>
          </cell>
          <cell r="N151">
            <v>0</v>
          </cell>
          <cell r="O151">
            <v>0</v>
          </cell>
          <cell r="Q151" t="str">
            <v>603.81.004 Gastos de Oficina</v>
          </cell>
        </row>
        <row r="152">
          <cell r="B152" t="str">
            <v>#6</v>
          </cell>
          <cell r="C152">
            <v>45814.961111111101</v>
          </cell>
          <cell r="D152">
            <v>1790.08</v>
          </cell>
          <cell r="E152" t="str">
            <v>MXN</v>
          </cell>
          <cell r="F152" t="str">
            <v>Fernando Sanchez Toledano</v>
          </cell>
          <cell r="G152" t="str">
            <v>GAS COGA LOM CHA MIT 2 CIUDAD DE MEX MEX</v>
          </cell>
          <cell r="H152" t="str">
            <v>Gas Coga Lom Cha Mit 2 Ciudad De Mex Mex</v>
          </cell>
          <cell r="I152" t="str">
            <v>Transaction cost</v>
          </cell>
          <cell r="J152" t="str">
            <v>Transaction cost</v>
          </cell>
          <cell r="K152" t="str">
            <v>Gasolina recolección Fer Marcelo</v>
          </cell>
          <cell r="L152">
            <v>0</v>
          </cell>
          <cell r="M152">
            <v>0</v>
          </cell>
          <cell r="N152">
            <v>0</v>
          </cell>
          <cell r="O152">
            <v>0</v>
          </cell>
          <cell r="Q152" t="str">
            <v>602.16.000 Transporte</v>
          </cell>
        </row>
        <row r="153">
          <cell r="B153" t="str">
            <v>#6</v>
          </cell>
          <cell r="C153">
            <v>45817.860416666597</v>
          </cell>
          <cell r="D153">
            <v>271</v>
          </cell>
          <cell r="E153" t="str">
            <v>MXN</v>
          </cell>
          <cell r="F153" t="str">
            <v>Fernando Sanchez Toledano</v>
          </cell>
          <cell r="G153" t="str">
            <v>FERRE FENIX TEMOAYA    TEMOAYA EM    MEX</v>
          </cell>
          <cell r="H153" t="str">
            <v>Ferre Fenix Temoaya Temoaya Em Mex</v>
          </cell>
          <cell r="I153" t="str">
            <v>Transaction cost</v>
          </cell>
          <cell r="J153" t="str">
            <v>Transaction cost</v>
          </cell>
          <cell r="K153" t="str">
            <v xml:space="preserve">Comida visita fer Marcelo </v>
          </cell>
          <cell r="L153">
            <v>0</v>
          </cell>
          <cell r="M153">
            <v>0</v>
          </cell>
          <cell r="N153">
            <v>0</v>
          </cell>
          <cell r="O153">
            <v>0</v>
          </cell>
          <cell r="Q153" t="str">
            <v>602.16.000 Transporte</v>
          </cell>
        </row>
        <row r="154">
          <cell r="B154" t="str">
            <v>#6</v>
          </cell>
          <cell r="C154">
            <v>45817.867361111101</v>
          </cell>
          <cell r="D154">
            <v>173.5</v>
          </cell>
          <cell r="E154" t="str">
            <v>MXN</v>
          </cell>
          <cell r="F154" t="str">
            <v>Fernando Sanchez Toledano</v>
          </cell>
          <cell r="G154" t="str">
            <v>OXXOSANTO DOMINGO TLC  IXTLAHUACA EM MEX</v>
          </cell>
          <cell r="H154" t="str">
            <v>Oxxosanto Domingo Tlc Ixtlahuaca Em Mex</v>
          </cell>
          <cell r="I154" t="str">
            <v>Transaction cost</v>
          </cell>
          <cell r="J154" t="str">
            <v>Transaction cost</v>
          </cell>
          <cell r="K154" t="str">
            <v>Recarga de tag</v>
          </cell>
          <cell r="L154">
            <v>0</v>
          </cell>
          <cell r="M154">
            <v>0</v>
          </cell>
          <cell r="N154">
            <v>0</v>
          </cell>
          <cell r="O154">
            <v>0</v>
          </cell>
          <cell r="Q154" t="str">
            <v>602.16.000 Transporte</v>
          </cell>
        </row>
        <row r="155">
          <cell r="B155" t="str">
            <v>#6</v>
          </cell>
          <cell r="C155">
            <v>45817.970138888799</v>
          </cell>
          <cell r="D155">
            <v>358</v>
          </cell>
          <cell r="E155" t="str">
            <v>MXN</v>
          </cell>
          <cell r="F155" t="str">
            <v>Fernando Sanchez Toledano</v>
          </cell>
          <cell r="G155" t="str">
            <v>AUTOZONE 7773          OCOYOACAC EM  MEX</v>
          </cell>
          <cell r="H155" t="str">
            <v>Autozone</v>
          </cell>
          <cell r="I155" t="str">
            <v>Transaction cost</v>
          </cell>
          <cell r="J155" t="str">
            <v>Transaction cost</v>
          </cell>
          <cell r="K155" t="str">
            <v xml:space="preserve">Gasolina, entrega en Deacero </v>
          </cell>
          <cell r="L155">
            <v>0</v>
          </cell>
          <cell r="M155">
            <v>0</v>
          </cell>
          <cell r="N155">
            <v>0</v>
          </cell>
          <cell r="O155">
            <v>0</v>
          </cell>
          <cell r="Q155" t="str">
            <v>602.16.000 Transporte</v>
          </cell>
        </row>
        <row r="156">
          <cell r="B156" t="str">
            <v>#6</v>
          </cell>
          <cell r="C156">
            <v>45818.5965277777</v>
          </cell>
          <cell r="D156">
            <v>1000</v>
          </cell>
          <cell r="E156" t="str">
            <v>MXN</v>
          </cell>
          <cell r="F156" t="str">
            <v>Fernando Sanchez Toledano</v>
          </cell>
          <cell r="G156" t="str">
            <v>CASHI ECOMMERCE RC     CIUDAD DE MEX MEX</v>
          </cell>
          <cell r="H156" t="str">
            <v>Cashi Ecommerce Rc Ciudad De Mex Mex</v>
          </cell>
          <cell r="I156" t="str">
            <v>Transaction cost</v>
          </cell>
          <cell r="J156" t="str">
            <v>Transaction cost</v>
          </cell>
          <cell r="K156" t="str">
            <v xml:space="preserve">Comida, entrega en Deacero </v>
          </cell>
          <cell r="L156">
            <v>0</v>
          </cell>
          <cell r="M156">
            <v>0</v>
          </cell>
          <cell r="N156">
            <v>0</v>
          </cell>
          <cell r="O156">
            <v>0</v>
          </cell>
          <cell r="Q156" t="str">
            <v>602.16.000 Transporte</v>
          </cell>
        </row>
        <row r="157">
          <cell r="B157" t="str">
            <v>#6</v>
          </cell>
          <cell r="C157">
            <v>45818.689583333296</v>
          </cell>
          <cell r="D157">
            <v>1596</v>
          </cell>
          <cell r="E157" t="str">
            <v>MXN</v>
          </cell>
          <cell r="F157" t="str">
            <v>Fernando Sanchez Toledano</v>
          </cell>
          <cell r="G157" t="str">
            <v>ESTACION DE SERV P     CELAYA GTO    MEX</v>
          </cell>
          <cell r="H157" t="str">
            <v>Estacion De Serv P Celaya Gto Mex</v>
          </cell>
          <cell r="I157" t="str">
            <v>Transaction cost</v>
          </cell>
          <cell r="J157" t="str">
            <v>Transaction cost</v>
          </cell>
          <cell r="K157" t="str">
            <v xml:space="preserve">Comida, entrega en Deacero </v>
          </cell>
          <cell r="L157">
            <v>0</v>
          </cell>
          <cell r="M157">
            <v>0</v>
          </cell>
          <cell r="N157">
            <v>0</v>
          </cell>
          <cell r="O157">
            <v>0</v>
          </cell>
          <cell r="Q157" t="str">
            <v>602.16.000 Transporte</v>
          </cell>
        </row>
        <row r="158">
          <cell r="B158" t="str">
            <v>#6</v>
          </cell>
          <cell r="C158">
            <v>45818.793749999997</v>
          </cell>
          <cell r="D158">
            <v>185.5</v>
          </cell>
          <cell r="E158" t="str">
            <v>MXN</v>
          </cell>
          <cell r="F158" t="str">
            <v>Fernando Sanchez Toledano</v>
          </cell>
          <cell r="G158" t="str">
            <v>OXXOMICROPARQUE QRF    QUERETARO QRO MEX</v>
          </cell>
          <cell r="H158" t="str">
            <v>Oxxomicroparque Qrf Queretaro Qro Mex</v>
          </cell>
          <cell r="I158" t="str">
            <v>Transaction cost</v>
          </cell>
          <cell r="J158" t="str">
            <v>Transaction cost</v>
          </cell>
          <cell r="K158" t="str">
            <v xml:space="preserve">Gasolina, entrega en SALJAMEX </v>
          </cell>
          <cell r="L158">
            <v>0</v>
          </cell>
          <cell r="M158">
            <v>0</v>
          </cell>
          <cell r="N158">
            <v>0</v>
          </cell>
          <cell r="O158">
            <v>0</v>
          </cell>
          <cell r="Q158" t="str">
            <v>602.16.000 Transporte</v>
          </cell>
        </row>
        <row r="159">
          <cell r="B159" t="str">
            <v>#6</v>
          </cell>
          <cell r="C159">
            <v>45818.884027777698</v>
          </cell>
          <cell r="D159">
            <v>295</v>
          </cell>
          <cell r="E159" t="str">
            <v>MXN</v>
          </cell>
          <cell r="F159" t="str">
            <v>Fernando Sanchez Toledano</v>
          </cell>
          <cell r="G159" t="str">
            <v>MERCADOPAGO *PASTESKI  Zempoala      MEX</v>
          </cell>
          <cell r="H159" t="str">
            <v>Mercadopago</v>
          </cell>
          <cell r="I159" t="str">
            <v>Transaction cost</v>
          </cell>
          <cell r="J159" t="str">
            <v>Transaction cost</v>
          </cell>
          <cell r="K159">
            <v>0</v>
          </cell>
          <cell r="L159">
            <v>0</v>
          </cell>
          <cell r="M159">
            <v>0</v>
          </cell>
          <cell r="N159">
            <v>0</v>
          </cell>
          <cell r="O159">
            <v>0</v>
          </cell>
          <cell r="Q159" t="str">
            <v>602.16.000 Transporte</v>
          </cell>
        </row>
        <row r="160">
          <cell r="B160" t="str">
            <v>#6</v>
          </cell>
          <cell r="C160">
            <v>45818.926388888802</v>
          </cell>
          <cell r="D160">
            <v>1545.89</v>
          </cell>
          <cell r="E160" t="str">
            <v>MXN</v>
          </cell>
          <cell r="F160" t="str">
            <v>Fernando Sanchez Toledano</v>
          </cell>
          <cell r="G160" t="str">
            <v>ESTACION E11721        TEOLOYUCAN EM MEX</v>
          </cell>
          <cell r="H160" t="str">
            <v>Estacion E11721 Teoloyucan Em Mex</v>
          </cell>
          <cell r="I160" t="str">
            <v>Transaction cost</v>
          </cell>
          <cell r="J160" t="str">
            <v>Transaction cost</v>
          </cell>
          <cell r="K160" t="str">
            <v xml:space="preserve">Recolección Fer Marcelo </v>
          </cell>
          <cell r="L160">
            <v>0</v>
          </cell>
          <cell r="M160">
            <v>0</v>
          </cell>
          <cell r="N160">
            <v>0</v>
          </cell>
          <cell r="O160">
            <v>0</v>
          </cell>
          <cell r="Q160" t="str">
            <v>602.16.000 Transporte</v>
          </cell>
        </row>
        <row r="161">
          <cell r="B161" t="str">
            <v>#6</v>
          </cell>
          <cell r="C161">
            <v>45824.767361111102</v>
          </cell>
          <cell r="D161">
            <v>1000</v>
          </cell>
          <cell r="E161" t="str">
            <v>MXN</v>
          </cell>
          <cell r="F161" t="str">
            <v>Fernando Sanchez Toledano</v>
          </cell>
          <cell r="G161" t="str">
            <v>CASHI ECOMMERCE RC     CIUDAD DE MEX MEX</v>
          </cell>
          <cell r="H161" t="str">
            <v>Cashi Ecommerce Rc Ciudad De Mex Mex</v>
          </cell>
          <cell r="I161" t="str">
            <v>Transaction cost</v>
          </cell>
          <cell r="J161" t="str">
            <v>Transaction cost</v>
          </cell>
          <cell r="K161" t="str">
            <v>Gasolina recolección Fer Marcelo</v>
          </cell>
          <cell r="L161">
            <v>0</v>
          </cell>
          <cell r="M161">
            <v>0</v>
          </cell>
          <cell r="N161">
            <v>0</v>
          </cell>
          <cell r="O161">
            <v>0</v>
          </cell>
          <cell r="Q161" t="str">
            <v>602.16.000 Transporte</v>
          </cell>
        </row>
        <row r="162">
          <cell r="B162" t="str">
            <v>#6</v>
          </cell>
          <cell r="C162">
            <v>45824.927777777702</v>
          </cell>
          <cell r="D162">
            <v>1836.93</v>
          </cell>
          <cell r="E162" t="str">
            <v>MXN</v>
          </cell>
          <cell r="F162" t="str">
            <v>Fernando Sanchez Toledano</v>
          </cell>
          <cell r="G162" t="str">
            <v>SALDARRIAGA GASOL      EL MARQUES QR MEX</v>
          </cell>
          <cell r="H162" t="str">
            <v>Saldarriaga Gasol El Marques Qr Mex</v>
          </cell>
          <cell r="I162" t="str">
            <v>Transaction cost</v>
          </cell>
          <cell r="J162" t="str">
            <v>Transaction cost</v>
          </cell>
          <cell r="K162" t="str">
            <v>Parquímetro</v>
          </cell>
          <cell r="L162">
            <v>0</v>
          </cell>
          <cell r="M162">
            <v>0</v>
          </cell>
          <cell r="N162">
            <v>0</v>
          </cell>
          <cell r="O162">
            <v>0</v>
          </cell>
          <cell r="Q162" t="str">
            <v>602.16.000 Transporte</v>
          </cell>
        </row>
        <row r="163">
          <cell r="B163" t="str">
            <v>#6</v>
          </cell>
          <cell r="C163">
            <v>45825.015972222202</v>
          </cell>
          <cell r="D163">
            <v>241</v>
          </cell>
          <cell r="E163" t="str">
            <v>MXN</v>
          </cell>
          <cell r="F163" t="str">
            <v>Fernando Sanchez Toledano</v>
          </cell>
          <cell r="G163" t="str">
            <v>MERCADOPAGO *PASTESKI  Zempoala      MEX</v>
          </cell>
          <cell r="H163" t="str">
            <v>Mercadopago</v>
          </cell>
          <cell r="I163" t="str">
            <v>Transaction cost</v>
          </cell>
          <cell r="J163" t="str">
            <v>Transaction cost</v>
          </cell>
          <cell r="K163" t="str">
            <v>Recarga de tag</v>
          </cell>
          <cell r="L163">
            <v>0</v>
          </cell>
          <cell r="M163">
            <v>0</v>
          </cell>
          <cell r="N163">
            <v>0</v>
          </cell>
          <cell r="O163">
            <v>0</v>
          </cell>
          <cell r="Q163" t="str">
            <v>602.16.000 Transporte</v>
          </cell>
        </row>
        <row r="164">
          <cell r="B164" t="str">
            <v>#6</v>
          </cell>
          <cell r="C164">
            <v>45825.021527777702</v>
          </cell>
          <cell r="D164">
            <v>169.5</v>
          </cell>
          <cell r="E164" t="str">
            <v>MXN</v>
          </cell>
          <cell r="F164" t="str">
            <v>Fernando Sanchez Toledano</v>
          </cell>
          <cell r="G164" t="str">
            <v>OXXOMA TERESA          SN JUAN DEL R MEX</v>
          </cell>
          <cell r="H164" t="str">
            <v>Oxxoma Teresa Sn Juan Del R Mex</v>
          </cell>
          <cell r="I164" t="str">
            <v>Transaction cost</v>
          </cell>
          <cell r="J164" t="str">
            <v>Transaction cost</v>
          </cell>
          <cell r="K164" t="str">
            <v xml:space="preserve">Gasolina, entrega en Deacero </v>
          </cell>
          <cell r="L164">
            <v>0</v>
          </cell>
          <cell r="M164">
            <v>0</v>
          </cell>
          <cell r="N164">
            <v>0</v>
          </cell>
          <cell r="O164">
            <v>0</v>
          </cell>
          <cell r="Q164" t="str">
            <v>602.16.000 Transporte</v>
          </cell>
        </row>
        <row r="165">
          <cell r="B165" t="str">
            <v>#6</v>
          </cell>
          <cell r="C165">
            <v>45825.071527777698</v>
          </cell>
          <cell r="D165">
            <v>1323.5</v>
          </cell>
          <cell r="E165" t="str">
            <v>MXN</v>
          </cell>
          <cell r="F165" t="str">
            <v>Fernando Sanchez Toledano</v>
          </cell>
          <cell r="G165" t="str">
            <v>SERVI FER TECAMAC      TECAMAC EM    MEX</v>
          </cell>
          <cell r="H165" t="str">
            <v>Servi Fer Tecamac Tecamac Em Mex</v>
          </cell>
          <cell r="I165" t="str">
            <v>Transaction cost</v>
          </cell>
          <cell r="J165" t="str">
            <v>Transaction cost</v>
          </cell>
          <cell r="K165" t="str">
            <v>Aceite camioneta</v>
          </cell>
          <cell r="L165">
            <v>0</v>
          </cell>
          <cell r="M165">
            <v>0</v>
          </cell>
          <cell r="N165">
            <v>0</v>
          </cell>
          <cell r="O165">
            <v>0</v>
          </cell>
          <cell r="Q165" t="str">
            <v>602.16.000 Transporte</v>
          </cell>
        </row>
        <row r="166">
          <cell r="B166" t="str">
            <v>#6</v>
          </cell>
          <cell r="C166">
            <v>45831.727777777698</v>
          </cell>
          <cell r="D166">
            <v>500</v>
          </cell>
          <cell r="E166" t="str">
            <v>MXN</v>
          </cell>
          <cell r="F166" t="str">
            <v>Fernando Sanchez Toledano</v>
          </cell>
          <cell r="G166" t="str">
            <v>CASHI ECOMMERCE RC     CIUDAD DE MEX MEX</v>
          </cell>
          <cell r="H166" t="str">
            <v>Cashi Ecommerce Rc Ciudad De Mex Mex</v>
          </cell>
          <cell r="I166" t="str">
            <v>Transaction cost</v>
          </cell>
          <cell r="J166" t="str">
            <v>Transaction cost</v>
          </cell>
          <cell r="K166" t="str">
            <v>Comida entrega en deacero</v>
          </cell>
          <cell r="L166">
            <v>0</v>
          </cell>
          <cell r="M166">
            <v>0</v>
          </cell>
          <cell r="N166">
            <v>0</v>
          </cell>
          <cell r="O166">
            <v>0</v>
          </cell>
          <cell r="Q166" t="str">
            <v>602.16.000 Transporte</v>
          </cell>
        </row>
        <row r="167">
          <cell r="B167" t="str">
            <v>#6</v>
          </cell>
          <cell r="C167">
            <v>45831.912499999999</v>
          </cell>
          <cell r="D167">
            <v>1461.65</v>
          </cell>
          <cell r="E167" t="str">
            <v>MXN</v>
          </cell>
          <cell r="F167" t="str">
            <v>Fernando Sanchez Toledano</v>
          </cell>
          <cell r="G167" t="str">
            <v>GAS SERV CONTRERAS     ALMOLOYA DE J MEX</v>
          </cell>
          <cell r="H167" t="str">
            <v>Gas Serv Contreras Almoloya De J Mex</v>
          </cell>
          <cell r="I167" t="str">
            <v>Transaction cost</v>
          </cell>
          <cell r="J167" t="str">
            <v>Transaction cost</v>
          </cell>
          <cell r="K167" t="str">
            <v>Comida entrega en Deacero</v>
          </cell>
          <cell r="L167">
            <v>0</v>
          </cell>
          <cell r="M167">
            <v>0</v>
          </cell>
          <cell r="N167">
            <v>0</v>
          </cell>
          <cell r="O167">
            <v>0</v>
          </cell>
          <cell r="Q167" t="str">
            <v>602.16.000 Transporte</v>
          </cell>
        </row>
        <row r="168">
          <cell r="B168" t="str">
            <v>#6</v>
          </cell>
          <cell r="C168">
            <v>45831.988194444399</v>
          </cell>
          <cell r="D168">
            <v>215</v>
          </cell>
          <cell r="E168" t="str">
            <v>MXN</v>
          </cell>
          <cell r="F168" t="str">
            <v>Fernando Sanchez Toledano</v>
          </cell>
          <cell r="G168" t="str">
            <v>OXXO JAJALPA TLC       OCOYOACAC EM  MEX</v>
          </cell>
          <cell r="H168" t="str">
            <v>Oxxo</v>
          </cell>
          <cell r="I168" t="str">
            <v>Transaction cost</v>
          </cell>
          <cell r="J168" t="str">
            <v>Transaction cost</v>
          </cell>
          <cell r="K168" t="str">
            <v>Gasolina recolección en wonderdesk</v>
          </cell>
          <cell r="L168">
            <v>0</v>
          </cell>
          <cell r="M168">
            <v>0</v>
          </cell>
          <cell r="N168">
            <v>0</v>
          </cell>
          <cell r="O168">
            <v>0</v>
          </cell>
          <cell r="Q168" t="str">
            <v>602.16.000 Transporte</v>
          </cell>
        </row>
        <row r="169">
          <cell r="B169" t="str">
            <v>#6</v>
          </cell>
          <cell r="C169">
            <v>45832.588194444397</v>
          </cell>
          <cell r="D169">
            <v>1000</v>
          </cell>
          <cell r="E169" t="str">
            <v>MXN</v>
          </cell>
          <cell r="F169" t="str">
            <v>Fernando Sanchez Toledano</v>
          </cell>
          <cell r="G169" t="str">
            <v>CASHI ECOMMERCE RC     CIUDAD DE MEX MEX</v>
          </cell>
          <cell r="H169" t="str">
            <v>Cashi Ecommerce Rc Ciudad De Mex Mex</v>
          </cell>
          <cell r="I169" t="str">
            <v>Transaction cost</v>
          </cell>
          <cell r="J169" t="str">
            <v>Transaction cost</v>
          </cell>
          <cell r="K169" t="str">
            <v>Comoda, recolección en Fer Marcelo</v>
          </cell>
          <cell r="L169">
            <v>0</v>
          </cell>
          <cell r="M169">
            <v>0</v>
          </cell>
          <cell r="N169">
            <v>0</v>
          </cell>
          <cell r="O169">
            <v>0</v>
          </cell>
          <cell r="Q169" t="str">
            <v>602.16.000 Transporte</v>
          </cell>
        </row>
        <row r="170">
          <cell r="B170" t="str">
            <v>#6</v>
          </cell>
          <cell r="C170">
            <v>45832.792361111096</v>
          </cell>
          <cell r="D170">
            <v>1612.24</v>
          </cell>
          <cell r="E170" t="str">
            <v>MXN</v>
          </cell>
          <cell r="F170" t="str">
            <v>Fernando Sanchez Toledano</v>
          </cell>
          <cell r="G170" t="str">
            <v>EST 181 PALMILLAS SAN  CIUDAD DE MEX MEX</v>
          </cell>
          <cell r="H170" t="str">
            <v>Est 181 Palmillas San Ciudad De Mex Mex</v>
          </cell>
          <cell r="I170" t="str">
            <v>Transaction cost</v>
          </cell>
          <cell r="J170" t="str">
            <v>Transaction cost</v>
          </cell>
          <cell r="K170" t="str">
            <v>Recarga de tag</v>
          </cell>
          <cell r="L170">
            <v>0</v>
          </cell>
          <cell r="M170">
            <v>0</v>
          </cell>
          <cell r="N170">
            <v>0</v>
          </cell>
          <cell r="O170">
            <v>0</v>
          </cell>
          <cell r="Q170" t="str">
            <v>602.16.000 Transporte</v>
          </cell>
        </row>
        <row r="171">
          <cell r="B171" t="str">
            <v>#6</v>
          </cell>
          <cell r="C171">
            <v>45832.798611111102</v>
          </cell>
          <cell r="D171">
            <v>220.5</v>
          </cell>
          <cell r="E171" t="str">
            <v>MXN</v>
          </cell>
          <cell r="F171" t="str">
            <v>Fernando Sanchez Toledano</v>
          </cell>
          <cell r="G171" t="str">
            <v>OXXO MACRO PALMILL QRF HUIMILPAN QRO MEX</v>
          </cell>
          <cell r="H171" t="str">
            <v>Oxxo</v>
          </cell>
          <cell r="I171" t="str">
            <v>Transaction cost</v>
          </cell>
          <cell r="J171" t="str">
            <v>Transaction cost</v>
          </cell>
          <cell r="K171" t="str">
            <v xml:space="preserve">Gasolina entrega en Deacero, PROSI </v>
          </cell>
          <cell r="L171">
            <v>0</v>
          </cell>
          <cell r="M171">
            <v>0</v>
          </cell>
          <cell r="N171">
            <v>0</v>
          </cell>
          <cell r="O171">
            <v>0</v>
          </cell>
          <cell r="Q171" t="str">
            <v>602.16.000 Transporte</v>
          </cell>
        </row>
        <row r="172">
          <cell r="B172" t="str">
            <v>#6</v>
          </cell>
          <cell r="C172">
            <v>45832.861111111102</v>
          </cell>
          <cell r="D172">
            <v>1540.21</v>
          </cell>
          <cell r="E172" t="str">
            <v>MXN</v>
          </cell>
          <cell r="F172" t="str">
            <v>Fernando Sanchez Toledano</v>
          </cell>
          <cell r="G172" t="str">
            <v>ESTACION E11721        TEOLOYUCAN EM MEX</v>
          </cell>
          <cell r="H172" t="str">
            <v>Estacion E11721 Teoloyucan Em Mex</v>
          </cell>
          <cell r="I172" t="str">
            <v>Transaction cost</v>
          </cell>
          <cell r="J172" t="str">
            <v>Transaction cost</v>
          </cell>
          <cell r="K172" t="str">
            <v>Comida entrega en Deacero</v>
          </cell>
          <cell r="L172">
            <v>0</v>
          </cell>
          <cell r="M172">
            <v>0</v>
          </cell>
          <cell r="N172">
            <v>0</v>
          </cell>
          <cell r="O172">
            <v>0</v>
          </cell>
          <cell r="Q172" t="str">
            <v>602.16.000 Transporte</v>
          </cell>
        </row>
        <row r="173">
          <cell r="B173" t="str">
            <v>#7</v>
          </cell>
          <cell r="C173">
            <v>45817.665277777698</v>
          </cell>
          <cell r="D173">
            <v>4300.54</v>
          </cell>
          <cell r="E173" t="str">
            <v>MXN</v>
          </cell>
          <cell r="F173" t="str">
            <v>Isaac Mendoza Ruiz</v>
          </cell>
          <cell r="G173" t="str">
            <v>VIVAAEROBUS WEB        APODACA NL    MEX</v>
          </cell>
          <cell r="H173" t="str">
            <v>Vivaaerobus</v>
          </cell>
          <cell r="I173" t="str">
            <v>Office expenses</v>
          </cell>
          <cell r="J173" t="str">
            <v>Viaje reccurrente a MTY</v>
          </cell>
          <cell r="K173" t="str">
            <v>.</v>
          </cell>
          <cell r="L173">
            <v>0</v>
          </cell>
          <cell r="M173">
            <v>0</v>
          </cell>
          <cell r="N173">
            <v>0</v>
          </cell>
          <cell r="O173">
            <v>0</v>
          </cell>
          <cell r="Q173" t="str">
            <v>603.81.004 Gastos de Oficina</v>
          </cell>
        </row>
        <row r="174">
          <cell r="B174" t="str">
            <v>#7</v>
          </cell>
          <cell r="C174">
            <v>45818.800694444399</v>
          </cell>
          <cell r="D174">
            <v>619.5</v>
          </cell>
          <cell r="E174" t="str">
            <v>MXN</v>
          </cell>
          <cell r="F174" t="str">
            <v>Isaac Mendoza Ruiz</v>
          </cell>
          <cell r="G174" t="str">
            <v>UBER* EATS PENDING     CIUDAD DE MEX MEX</v>
          </cell>
          <cell r="H174" t="str">
            <v>Uber Eats</v>
          </cell>
          <cell r="I174" t="str">
            <v>Office expenses</v>
          </cell>
          <cell r="J174" t="str">
            <v>Viaje reccurrente a MTY</v>
          </cell>
          <cell r="K174" t="str">
            <v>.</v>
          </cell>
          <cell r="L174">
            <v>0</v>
          </cell>
          <cell r="M174">
            <v>0</v>
          </cell>
          <cell r="N174">
            <v>0</v>
          </cell>
          <cell r="O174">
            <v>0</v>
          </cell>
          <cell r="Q174" t="str">
            <v>603.81.004 Gastos de Oficina</v>
          </cell>
        </row>
        <row r="175">
          <cell r="B175" t="str">
            <v>#7</v>
          </cell>
          <cell r="C175">
            <v>45819.070138888797</v>
          </cell>
          <cell r="D175">
            <v>332.03</v>
          </cell>
          <cell r="E175" t="str">
            <v>MXN</v>
          </cell>
          <cell r="F175" t="str">
            <v>Isaac Mendoza Ruiz</v>
          </cell>
          <cell r="G175" t="str">
            <v>UBER* EATS PENDING     CIUDAD DE MEX MEX</v>
          </cell>
          <cell r="H175" t="str">
            <v>Uber Eats</v>
          </cell>
          <cell r="I175" t="str">
            <v>Sales</v>
          </cell>
          <cell r="J175" t="str">
            <v>Visita MP Funalco</v>
          </cell>
          <cell r="K175" t="str">
            <v>.</v>
          </cell>
          <cell r="L175">
            <v>0</v>
          </cell>
          <cell r="M175">
            <v>0</v>
          </cell>
          <cell r="N175">
            <v>0</v>
          </cell>
          <cell r="O175">
            <v>0</v>
          </cell>
          <cell r="Q175" t="str">
            <v>603.81.004 Gastos de Oficina</v>
          </cell>
        </row>
        <row r="176">
          <cell r="B176" t="str">
            <v>#7</v>
          </cell>
          <cell r="C176">
            <v>45820.578472222202</v>
          </cell>
          <cell r="D176">
            <v>264.64</v>
          </cell>
          <cell r="E176" t="str">
            <v>MXN</v>
          </cell>
          <cell r="F176" t="str">
            <v>Isaac Mendoza Ruiz</v>
          </cell>
          <cell r="G176" t="str">
            <v>UBER* TRIP             CIUDAD DE MEX MEX</v>
          </cell>
          <cell r="H176" t="str">
            <v>Uber</v>
          </cell>
          <cell r="I176" t="str">
            <v>Office expenses</v>
          </cell>
          <cell r="J176" t="str">
            <v>Viaje reccurrente a MTY</v>
          </cell>
          <cell r="K176" t="str">
            <v>.</v>
          </cell>
          <cell r="L176">
            <v>0</v>
          </cell>
          <cell r="M176">
            <v>0</v>
          </cell>
          <cell r="N176">
            <v>0</v>
          </cell>
          <cell r="O176">
            <v>0</v>
          </cell>
          <cell r="Q176" t="str">
            <v>603.81.004 Gastos de Oficina</v>
          </cell>
        </row>
        <row r="177">
          <cell r="B177" t="str">
            <v>#7</v>
          </cell>
          <cell r="C177">
            <v>45820.606249999997</v>
          </cell>
          <cell r="D177">
            <v>466.4</v>
          </cell>
          <cell r="E177" t="str">
            <v>MXN</v>
          </cell>
          <cell r="F177" t="str">
            <v>Isaac Mendoza Ruiz</v>
          </cell>
          <cell r="G177" t="str">
            <v>OJO DE AGUA            CIUDAD DE MEX MEX</v>
          </cell>
          <cell r="H177" t="str">
            <v>Ojo De Agua Ciudad De Mex Mex</v>
          </cell>
          <cell r="I177" t="str">
            <v>Office expenses</v>
          </cell>
          <cell r="J177" t="str">
            <v>Viaje reccurrente a MTY</v>
          </cell>
          <cell r="K177" t="str">
            <v>.</v>
          </cell>
          <cell r="L177">
            <v>0</v>
          </cell>
          <cell r="M177">
            <v>0</v>
          </cell>
          <cell r="N177">
            <v>0</v>
          </cell>
          <cell r="O177">
            <v>0</v>
          </cell>
          <cell r="Q177" t="str">
            <v>603.81.004 Gastos de Oficina</v>
          </cell>
        </row>
        <row r="178">
          <cell r="B178" t="str">
            <v>#7</v>
          </cell>
          <cell r="C178">
            <v>45820.726388888797</v>
          </cell>
          <cell r="D178">
            <v>656.69</v>
          </cell>
          <cell r="E178" t="str">
            <v>MXN</v>
          </cell>
          <cell r="F178" t="str">
            <v>Isaac Mendoza Ruiz</v>
          </cell>
          <cell r="G178" t="str">
            <v>UBER* PENDING          CIUDAD DE MEX MEX</v>
          </cell>
          <cell r="H178" t="str">
            <v>Uber</v>
          </cell>
          <cell r="I178" t="str">
            <v>Office expenses</v>
          </cell>
          <cell r="J178" t="str">
            <v>Viaje reccurrente a MTY</v>
          </cell>
          <cell r="K178" t="str">
            <v>.</v>
          </cell>
          <cell r="L178">
            <v>0</v>
          </cell>
          <cell r="M178">
            <v>0</v>
          </cell>
          <cell r="N178">
            <v>0</v>
          </cell>
          <cell r="O178">
            <v>0</v>
          </cell>
          <cell r="Q178" t="str">
            <v>603.81.004 Gastos de Oficina</v>
          </cell>
        </row>
        <row r="179">
          <cell r="B179" t="str">
            <v>#7</v>
          </cell>
          <cell r="C179">
            <v>45820.805555555497</v>
          </cell>
          <cell r="D179">
            <v>302</v>
          </cell>
          <cell r="E179" t="str">
            <v>MXN</v>
          </cell>
          <cell r="F179" t="str">
            <v>Isaac Mendoza Ruiz</v>
          </cell>
          <cell r="G179" t="str">
            <v>REST POLLO LOCO CENTRI SN PEDRO GARZ MEX</v>
          </cell>
          <cell r="H179" t="str">
            <v>Rest Pollo Loco Centri Sn Pedro Garz Mex</v>
          </cell>
          <cell r="I179" t="str">
            <v>Office expenses</v>
          </cell>
          <cell r="J179" t="str">
            <v>Viaje reccurrente a MTY</v>
          </cell>
          <cell r="K179" t="str">
            <v>.</v>
          </cell>
          <cell r="L179">
            <v>0</v>
          </cell>
          <cell r="M179">
            <v>0</v>
          </cell>
          <cell r="N179">
            <v>0</v>
          </cell>
          <cell r="O179">
            <v>0</v>
          </cell>
          <cell r="Q179" t="str">
            <v>603.81.004 Gastos de Oficina</v>
          </cell>
        </row>
        <row r="180">
          <cell r="B180" t="str">
            <v>#7</v>
          </cell>
          <cell r="C180">
            <v>45820.916666666599</v>
          </cell>
          <cell r="D180">
            <v>67.25</v>
          </cell>
          <cell r="E180" t="str">
            <v>MXN</v>
          </cell>
          <cell r="F180" t="str">
            <v>Isaac Mendoza Ruiz</v>
          </cell>
          <cell r="G180" t="str">
            <v>UBER* TRIP             CIUDAD DE MEX MEX</v>
          </cell>
          <cell r="H180" t="str">
            <v>Uber</v>
          </cell>
          <cell r="I180" t="str">
            <v>Office expenses</v>
          </cell>
          <cell r="J180" t="str">
            <v>Viaje reccurrente a MTY</v>
          </cell>
          <cell r="K180" t="str">
            <v>.</v>
          </cell>
          <cell r="L180">
            <v>0</v>
          </cell>
          <cell r="M180">
            <v>0</v>
          </cell>
          <cell r="N180">
            <v>0</v>
          </cell>
          <cell r="O180">
            <v>0</v>
          </cell>
          <cell r="Q180" t="str">
            <v>603.81.004 Gastos de Oficina</v>
          </cell>
        </row>
        <row r="181">
          <cell r="B181" t="str">
            <v>#7</v>
          </cell>
          <cell r="C181">
            <v>45821.206250000003</v>
          </cell>
          <cell r="D181">
            <v>63.27</v>
          </cell>
          <cell r="E181" t="str">
            <v>MXN</v>
          </cell>
          <cell r="F181" t="str">
            <v>Isaac Mendoza Ruiz</v>
          </cell>
          <cell r="G181" t="str">
            <v>UBER* PENDING          CIUDAD DE MEX MEX</v>
          </cell>
          <cell r="H181" t="str">
            <v>Uber</v>
          </cell>
          <cell r="I181" t="str">
            <v>Office expenses</v>
          </cell>
          <cell r="J181" t="str">
            <v>Viaje reccurrente a MTY</v>
          </cell>
          <cell r="K181" t="str">
            <v>.</v>
          </cell>
          <cell r="L181">
            <v>0</v>
          </cell>
          <cell r="M181">
            <v>0</v>
          </cell>
          <cell r="N181">
            <v>0</v>
          </cell>
          <cell r="O181">
            <v>0</v>
          </cell>
          <cell r="Q181" t="str">
            <v>603.81.004 Gastos de Oficina</v>
          </cell>
        </row>
        <row r="182">
          <cell r="B182" t="str">
            <v>#7</v>
          </cell>
          <cell r="C182">
            <v>45821.762499999997</v>
          </cell>
          <cell r="D182">
            <v>87.73</v>
          </cell>
          <cell r="E182" t="str">
            <v>MXN</v>
          </cell>
          <cell r="F182" t="str">
            <v>Isaac Mendoza Ruiz</v>
          </cell>
          <cell r="G182" t="str">
            <v>UBER* TRIP             CIUDAD DE MEX MEX</v>
          </cell>
          <cell r="H182" t="str">
            <v>Uber</v>
          </cell>
          <cell r="I182" t="str">
            <v>Office expenses</v>
          </cell>
          <cell r="J182" t="str">
            <v>Viaje reccurrente a MTY</v>
          </cell>
          <cell r="K182" t="str">
            <v>.</v>
          </cell>
          <cell r="L182">
            <v>0</v>
          </cell>
          <cell r="M182">
            <v>0</v>
          </cell>
          <cell r="N182">
            <v>0</v>
          </cell>
          <cell r="O182">
            <v>0</v>
          </cell>
          <cell r="Q182" t="str">
            <v>603.81.004 Gastos de Oficina</v>
          </cell>
        </row>
        <row r="183">
          <cell r="B183" t="str">
            <v>#7</v>
          </cell>
          <cell r="C183">
            <v>45824.743055555497</v>
          </cell>
          <cell r="D183">
            <v>81.66</v>
          </cell>
          <cell r="E183" t="str">
            <v>MXN</v>
          </cell>
          <cell r="F183" t="str">
            <v>Isaac Mendoza Ruiz</v>
          </cell>
          <cell r="G183" t="str">
            <v>UBER* TRIP             CIUDAD DE MEX MEX</v>
          </cell>
          <cell r="H183" t="str">
            <v>Uber</v>
          </cell>
          <cell r="I183" t="str">
            <v>Office expenses</v>
          </cell>
          <cell r="J183" t="str">
            <v>Viaje reccurrente a MTY</v>
          </cell>
          <cell r="K183" t="str">
            <v>.</v>
          </cell>
          <cell r="L183">
            <v>0</v>
          </cell>
          <cell r="M183">
            <v>0</v>
          </cell>
          <cell r="N183">
            <v>0</v>
          </cell>
          <cell r="O183">
            <v>0</v>
          </cell>
          <cell r="Q183" t="str">
            <v>603.81.004 Gastos de Oficina</v>
          </cell>
        </row>
        <row r="184">
          <cell r="B184" t="str">
            <v>#7</v>
          </cell>
          <cell r="C184">
            <v>45824.813888888799</v>
          </cell>
          <cell r="D184">
            <v>355.33</v>
          </cell>
          <cell r="E184" t="str">
            <v>MXN</v>
          </cell>
          <cell r="F184" t="str">
            <v>Isaac Mendoza Ruiz</v>
          </cell>
          <cell r="G184" t="str">
            <v>UBER* EATS PENDING     CIUDAD DE MEX MEX</v>
          </cell>
          <cell r="H184" t="str">
            <v>Uber Eats</v>
          </cell>
          <cell r="I184" t="str">
            <v>Office expenses</v>
          </cell>
          <cell r="J184" t="str">
            <v>Comida trimestral equipo MTY</v>
          </cell>
          <cell r="K184" t="str">
            <v>.</v>
          </cell>
          <cell r="L184">
            <v>0</v>
          </cell>
          <cell r="M184">
            <v>0</v>
          </cell>
          <cell r="N184">
            <v>0</v>
          </cell>
          <cell r="O184">
            <v>0</v>
          </cell>
          <cell r="Q184" t="str">
            <v>603.81.004 Gastos de Oficina</v>
          </cell>
        </row>
        <row r="185">
          <cell r="B185" t="str">
            <v>#7</v>
          </cell>
          <cell r="C185">
            <v>45825.069444444402</v>
          </cell>
          <cell r="D185">
            <v>105.33</v>
          </cell>
          <cell r="E185" t="str">
            <v>MXN</v>
          </cell>
          <cell r="F185" t="str">
            <v>Isaac Mendoza Ruiz</v>
          </cell>
          <cell r="G185" t="str">
            <v>UBER* TRIP             CIUDAD DE MEX MEX</v>
          </cell>
          <cell r="H185" t="str">
            <v>Uber</v>
          </cell>
          <cell r="I185" t="str">
            <v>Office expenses</v>
          </cell>
          <cell r="J185" t="str">
            <v>Viaje reccurrente a MTY</v>
          </cell>
          <cell r="K185" t="str">
            <v>.</v>
          </cell>
          <cell r="L185">
            <v>0</v>
          </cell>
          <cell r="M185">
            <v>0</v>
          </cell>
          <cell r="N185">
            <v>0</v>
          </cell>
          <cell r="O185">
            <v>0</v>
          </cell>
          <cell r="Q185" t="str">
            <v>603.81.004 Gastos de Oficina</v>
          </cell>
        </row>
        <row r="186">
          <cell r="B186" t="str">
            <v>#7</v>
          </cell>
          <cell r="C186">
            <v>45825.6902777777</v>
          </cell>
          <cell r="D186">
            <v>537.04999999999995</v>
          </cell>
          <cell r="E186" t="str">
            <v>MXN</v>
          </cell>
          <cell r="F186" t="str">
            <v>Isaac Mendoza Ruiz</v>
          </cell>
          <cell r="G186" t="str">
            <v>UBER* TRIP             CIUDAD DE MEX MEX</v>
          </cell>
          <cell r="H186" t="str">
            <v>Uber</v>
          </cell>
          <cell r="I186" t="str">
            <v>Office expenses</v>
          </cell>
          <cell r="J186" t="str">
            <v>Viaje reccurrente a MTY</v>
          </cell>
          <cell r="K186" t="str">
            <v>.</v>
          </cell>
          <cell r="L186">
            <v>0</v>
          </cell>
          <cell r="M186">
            <v>0</v>
          </cell>
          <cell r="N186">
            <v>0</v>
          </cell>
          <cell r="O186">
            <v>0</v>
          </cell>
          <cell r="Q186" t="str">
            <v>603.81.004 Gastos de Oficina</v>
          </cell>
        </row>
        <row r="187">
          <cell r="B187" t="str">
            <v>#7</v>
          </cell>
          <cell r="C187">
            <v>45825.7319444444</v>
          </cell>
          <cell r="D187">
            <v>668.09</v>
          </cell>
          <cell r="E187" t="str">
            <v>MXN</v>
          </cell>
          <cell r="F187" t="str">
            <v>Isaac Mendoza Ruiz</v>
          </cell>
          <cell r="G187" t="str">
            <v>UBER* PENDING          CIUDAD DE MEX MEX</v>
          </cell>
          <cell r="H187" t="str">
            <v>Uber</v>
          </cell>
          <cell r="I187" t="str">
            <v>Office expenses</v>
          </cell>
          <cell r="J187" t="str">
            <v>Viaje reccurrente a MTY</v>
          </cell>
          <cell r="K187" t="str">
            <v>.</v>
          </cell>
          <cell r="L187">
            <v>0</v>
          </cell>
          <cell r="M187">
            <v>0</v>
          </cell>
          <cell r="N187">
            <v>0</v>
          </cell>
          <cell r="O187">
            <v>0</v>
          </cell>
          <cell r="Q187" t="str">
            <v>603.81.004 Gastos de Oficina</v>
          </cell>
        </row>
        <row r="188">
          <cell r="B188" t="str">
            <v>#7</v>
          </cell>
          <cell r="C188">
            <v>45825.842361111099</v>
          </cell>
          <cell r="D188">
            <v>321.16000000000003</v>
          </cell>
          <cell r="E188" t="str">
            <v>MXN</v>
          </cell>
          <cell r="F188" t="str">
            <v>Isaac Mendoza Ruiz</v>
          </cell>
          <cell r="G188" t="str">
            <v>UBER* EATS PENDING     CIUDAD DE MEX MEX</v>
          </cell>
          <cell r="H188" t="str">
            <v>Uber Eats</v>
          </cell>
          <cell r="I188" t="str">
            <v>Office expenses</v>
          </cell>
          <cell r="J188" t="str">
            <v>Viaje reccurrente a MTY</v>
          </cell>
          <cell r="K188" t="str">
            <v>.</v>
          </cell>
          <cell r="L188">
            <v>0</v>
          </cell>
          <cell r="M188">
            <v>0</v>
          </cell>
          <cell r="N188">
            <v>0</v>
          </cell>
          <cell r="O188">
            <v>0</v>
          </cell>
          <cell r="Q188" t="str">
            <v>603.81.004 Gastos de Oficina</v>
          </cell>
        </row>
        <row r="189">
          <cell r="B189" t="str">
            <v>#7</v>
          </cell>
          <cell r="C189">
            <v>45825.881944444402</v>
          </cell>
          <cell r="D189">
            <v>494.29</v>
          </cell>
          <cell r="E189" t="str">
            <v>MXN</v>
          </cell>
          <cell r="F189" t="str">
            <v>Isaac Mendoza Ruiz</v>
          </cell>
          <cell r="G189" t="str">
            <v>UBER* EATS PENDING     CIUDAD DE MEX MEX</v>
          </cell>
          <cell r="H189" t="str">
            <v>Uber Eats</v>
          </cell>
          <cell r="I189" t="str">
            <v>Sales</v>
          </cell>
          <cell r="J189" t="str">
            <v>Comida Mytra</v>
          </cell>
          <cell r="K189" t="str">
            <v>.</v>
          </cell>
          <cell r="L189">
            <v>0</v>
          </cell>
          <cell r="M189">
            <v>0</v>
          </cell>
          <cell r="N189">
            <v>0</v>
          </cell>
          <cell r="O189">
            <v>0</v>
          </cell>
          <cell r="Q189" t="str">
            <v>603.81.004 Gastos de Oficina</v>
          </cell>
        </row>
        <row r="190">
          <cell r="B190" t="str">
            <v>#7</v>
          </cell>
          <cell r="C190">
            <v>45826.706944444399</v>
          </cell>
          <cell r="D190">
            <v>628.25</v>
          </cell>
          <cell r="E190" t="str">
            <v>MXN</v>
          </cell>
          <cell r="F190" t="str">
            <v>Isaac Mendoza Ruiz</v>
          </cell>
          <cell r="G190" t="str">
            <v>UBER* TRIP             CIUDAD DE MEX MEX</v>
          </cell>
          <cell r="H190" t="str">
            <v>Uber</v>
          </cell>
          <cell r="I190" t="str">
            <v>Sales</v>
          </cell>
          <cell r="J190" t="str">
            <v>Comida Mytra</v>
          </cell>
          <cell r="K190" t="str">
            <v>.</v>
          </cell>
          <cell r="L190">
            <v>0</v>
          </cell>
          <cell r="M190">
            <v>0</v>
          </cell>
          <cell r="N190">
            <v>0</v>
          </cell>
          <cell r="O190">
            <v>0</v>
          </cell>
          <cell r="Q190" t="str">
            <v>603.81.004 Gastos de Oficina</v>
          </cell>
        </row>
        <row r="191">
          <cell r="B191" t="str">
            <v>#7</v>
          </cell>
          <cell r="C191">
            <v>45826.729861111096</v>
          </cell>
          <cell r="D191">
            <v>121</v>
          </cell>
          <cell r="E191" t="str">
            <v>MXN</v>
          </cell>
          <cell r="F191" t="str">
            <v>Isaac Mendoza Ruiz</v>
          </cell>
          <cell r="G191" t="str">
            <v>STARBUCKS A MTY TA SUE NLE           MEX</v>
          </cell>
          <cell r="H191" t="str">
            <v>Starbucks</v>
          </cell>
          <cell r="I191" t="str">
            <v>Sales</v>
          </cell>
          <cell r="J191" t="str">
            <v>Comida Mytra</v>
          </cell>
          <cell r="K191" t="str">
            <v>.</v>
          </cell>
          <cell r="L191">
            <v>0</v>
          </cell>
          <cell r="M191">
            <v>0</v>
          </cell>
          <cell r="N191">
            <v>0</v>
          </cell>
          <cell r="O191">
            <v>0</v>
          </cell>
          <cell r="Q191" t="str">
            <v>603.81.004 Gastos de Oficina</v>
          </cell>
        </row>
        <row r="192">
          <cell r="B192" t="str">
            <v>#7</v>
          </cell>
          <cell r="C192">
            <v>45826.827777777697</v>
          </cell>
          <cell r="D192">
            <v>365.24</v>
          </cell>
          <cell r="E192" t="str">
            <v>MXN</v>
          </cell>
          <cell r="F192" t="str">
            <v>Isaac Mendoza Ruiz</v>
          </cell>
          <cell r="G192" t="str">
            <v>UBER* PENDING          CIUDAD DE MEX MEX</v>
          </cell>
          <cell r="H192" t="str">
            <v>Uber</v>
          </cell>
          <cell r="I192" t="str">
            <v>Office expenses</v>
          </cell>
          <cell r="J192" t="str">
            <v>Cena JP y equipo</v>
          </cell>
          <cell r="K192" t="str">
            <v>.</v>
          </cell>
          <cell r="L192">
            <v>0</v>
          </cell>
          <cell r="M192">
            <v>0</v>
          </cell>
          <cell r="N192">
            <v>0</v>
          </cell>
          <cell r="O192">
            <v>0</v>
          </cell>
          <cell r="Q192" t="str">
            <v>603.81.004 Gastos de Oficina</v>
          </cell>
        </row>
        <row r="193">
          <cell r="B193" t="str">
            <v>#7</v>
          </cell>
          <cell r="C193">
            <v>45827.750694444403</v>
          </cell>
          <cell r="D193">
            <v>18.41</v>
          </cell>
          <cell r="E193" t="str">
            <v>MXN</v>
          </cell>
          <cell r="F193" t="str">
            <v>Isaac Mendoza Ruiz</v>
          </cell>
          <cell r="G193" t="str">
            <v>UBER* PENDING          CIUDAD DE MEX MEX</v>
          </cell>
          <cell r="H193" t="str">
            <v>Uber</v>
          </cell>
          <cell r="I193" t="str">
            <v>Sales</v>
          </cell>
          <cell r="J193" t="str">
            <v>Visita MP Fundición A (aún no hay PO asignada)</v>
          </cell>
          <cell r="K193" t="str">
            <v>.</v>
          </cell>
          <cell r="L193">
            <v>0</v>
          </cell>
          <cell r="M193">
            <v>0</v>
          </cell>
          <cell r="N193">
            <v>0</v>
          </cell>
          <cell r="O193">
            <v>0</v>
          </cell>
          <cell r="Q193" t="str">
            <v>603.81.004 Gastos de Oficina</v>
          </cell>
        </row>
        <row r="194">
          <cell r="B194" t="str">
            <v>#7</v>
          </cell>
          <cell r="C194">
            <v>45827.8256944444</v>
          </cell>
          <cell r="D194">
            <v>10.51</v>
          </cell>
          <cell r="E194" t="str">
            <v>MXN</v>
          </cell>
          <cell r="F194" t="str">
            <v>Isaac Mendoza Ruiz</v>
          </cell>
          <cell r="G194" t="str">
            <v>UBER* PENDING          CIUDAD DE MEX MEX</v>
          </cell>
          <cell r="H194" t="str">
            <v>Uber</v>
          </cell>
          <cell r="I194" t="str">
            <v>Sales</v>
          </cell>
          <cell r="J194" t="str">
            <v>Visita MP Fundición A (aún no hay PO asignada)</v>
          </cell>
          <cell r="K194" t="str">
            <v>.</v>
          </cell>
          <cell r="L194">
            <v>0</v>
          </cell>
          <cell r="M194">
            <v>0</v>
          </cell>
          <cell r="N194">
            <v>0</v>
          </cell>
          <cell r="O194">
            <v>0</v>
          </cell>
          <cell r="Q194" t="str">
            <v>603.81.004 Gastos de Oficina</v>
          </cell>
        </row>
        <row r="195">
          <cell r="B195" t="str">
            <v>#7</v>
          </cell>
          <cell r="C195">
            <v>45828.027777777701</v>
          </cell>
          <cell r="D195">
            <v>206.73</v>
          </cell>
          <cell r="E195" t="str">
            <v>MXN</v>
          </cell>
          <cell r="F195" t="str">
            <v>Isaac Mendoza Ruiz</v>
          </cell>
          <cell r="G195" t="str">
            <v>UBER* TRIP             CIUDAD DE MEX MEX</v>
          </cell>
          <cell r="H195" t="str">
            <v>Uber</v>
          </cell>
          <cell r="I195" t="str">
            <v>Sales</v>
          </cell>
          <cell r="J195" t="str">
            <v>Visita IMESA</v>
          </cell>
          <cell r="K195" t="str">
            <v>.</v>
          </cell>
          <cell r="L195">
            <v>0</v>
          </cell>
          <cell r="M195">
            <v>0</v>
          </cell>
          <cell r="N195">
            <v>0</v>
          </cell>
          <cell r="O195">
            <v>0</v>
          </cell>
          <cell r="Q195" t="str">
            <v>603.81.004 Gastos de Oficina</v>
          </cell>
        </row>
        <row r="196">
          <cell r="B196" t="str">
            <v>#7</v>
          </cell>
          <cell r="C196">
            <v>45830.8256944444</v>
          </cell>
          <cell r="D196">
            <v>70</v>
          </cell>
          <cell r="E196" t="str">
            <v>MXN</v>
          </cell>
          <cell r="F196" t="str">
            <v>Isaac Mendoza Ruiz</v>
          </cell>
          <cell r="G196" t="str">
            <v>UBER* PENDING          CIUDAD DE MEX MEX</v>
          </cell>
          <cell r="H196" t="str">
            <v>Uber</v>
          </cell>
          <cell r="I196" t="str">
            <v>Sales</v>
          </cell>
          <cell r="J196" t="str">
            <v>Error ya compensado</v>
          </cell>
          <cell r="K196" t="str">
            <v>.</v>
          </cell>
          <cell r="L196">
            <v>0</v>
          </cell>
          <cell r="M196">
            <v>0</v>
          </cell>
          <cell r="N196">
            <v>0</v>
          </cell>
          <cell r="O196">
            <v>0</v>
          </cell>
          <cell r="Q196" t="str">
            <v>603.81.004 Gastos de Oficina</v>
          </cell>
        </row>
        <row r="197">
          <cell r="B197" t="str">
            <v>#8</v>
          </cell>
          <cell r="C197">
            <v>45810.597222222197</v>
          </cell>
          <cell r="D197">
            <v>572.57000000000005</v>
          </cell>
          <cell r="E197" t="str">
            <v>MXN</v>
          </cell>
          <cell r="F197" t="str">
            <v>Jose Ignacio Martinez Flemate</v>
          </cell>
          <cell r="G197" t="str">
            <v>SERVI FER TECAMAC      TECAMAC EM    MEX</v>
          </cell>
          <cell r="H197" t="str">
            <v>Servi Fer Tecamac Tecamac Em Mex</v>
          </cell>
          <cell r="I197" t="str">
            <v>Transaction cost</v>
          </cell>
          <cell r="J197" t="str">
            <v>GASOLINA VISITA A ESCATO - FDA (RFQ 320)</v>
          </cell>
          <cell r="K197" t="str">
            <v>.</v>
          </cell>
          <cell r="L197">
            <v>0</v>
          </cell>
          <cell r="M197">
            <v>0</v>
          </cell>
          <cell r="N197">
            <v>0</v>
          </cell>
          <cell r="O197">
            <v>0</v>
          </cell>
          <cell r="Q197" t="str">
            <v>173.01.002 Gastos por inspecciones de calidad</v>
          </cell>
        </row>
        <row r="198">
          <cell r="B198" t="str">
            <v>#8</v>
          </cell>
          <cell r="C198">
            <v>45810.813888888799</v>
          </cell>
          <cell r="D198">
            <v>628.65</v>
          </cell>
          <cell r="E198" t="str">
            <v>MXN</v>
          </cell>
          <cell r="F198" t="str">
            <v>Jose Ignacio Martinez Flemate</v>
          </cell>
          <cell r="G198" t="str">
            <v>CHILIS SENDERO TOLUCA  LERMA EM      MEX</v>
          </cell>
          <cell r="H198" t="str">
            <v>Chili's</v>
          </cell>
          <cell r="I198" t="str">
            <v>Transaction cost</v>
          </cell>
          <cell r="J198" t="str">
            <v>COMIDA VISITA A ESCATO - FDA (RFQ 320)</v>
          </cell>
          <cell r="K198" t="str">
            <v>.</v>
          </cell>
          <cell r="L198">
            <v>0</v>
          </cell>
          <cell r="M198">
            <v>0</v>
          </cell>
          <cell r="N198">
            <v>0</v>
          </cell>
          <cell r="O198">
            <v>0</v>
          </cell>
          <cell r="Q198" t="str">
            <v>173.01.002 Gastos por inspecciones de calidad</v>
          </cell>
        </row>
        <row r="199">
          <cell r="B199" t="str">
            <v>#8</v>
          </cell>
          <cell r="C199">
            <v>45810.876388888799</v>
          </cell>
          <cell r="D199">
            <v>92</v>
          </cell>
          <cell r="E199" t="str">
            <v>MXN</v>
          </cell>
          <cell r="F199" t="str">
            <v>Jose Ignacio Martinez Flemate</v>
          </cell>
          <cell r="G199" t="str">
            <v>OXXO PARQUE COHEN TLC  LERMA EM      MEX</v>
          </cell>
          <cell r="H199" t="str">
            <v>Oxxo</v>
          </cell>
          <cell r="I199" t="str">
            <v>Transaction cost</v>
          </cell>
          <cell r="J199" t="str">
            <v>AGUAS VISITA A ESCATO - FDA (RFQ 320)</v>
          </cell>
          <cell r="K199" t="str">
            <v>.</v>
          </cell>
          <cell r="L199">
            <v>0</v>
          </cell>
          <cell r="M199">
            <v>0</v>
          </cell>
          <cell r="N199">
            <v>0</v>
          </cell>
          <cell r="O199">
            <v>0</v>
          </cell>
          <cell r="Q199" t="str">
            <v>173.01.002 Gastos por inspecciones de calidad</v>
          </cell>
        </row>
        <row r="200">
          <cell r="B200" t="str">
            <v>#8</v>
          </cell>
          <cell r="C200">
            <v>45811.003472222197</v>
          </cell>
          <cell r="D200">
            <v>2010</v>
          </cell>
          <cell r="E200" t="str">
            <v>MXN</v>
          </cell>
          <cell r="F200" t="str">
            <v>Jose Ignacio Martinez Flemate</v>
          </cell>
          <cell r="G200" t="str">
            <v>MERCADOPAGO *PASE      Miguel Hidalg MEX</v>
          </cell>
          <cell r="H200" t="str">
            <v>Mercadopago</v>
          </cell>
          <cell r="I200" t="str">
            <v>Transaction cost</v>
          </cell>
          <cell r="J200" t="str">
            <v>CASETAS VISITAS ESCATO / SMB   - FDA (RFQ 320) / CEMENTOS FORTALEZA (2195)</v>
          </cell>
          <cell r="K200" t="str">
            <v>.</v>
          </cell>
          <cell r="L200">
            <v>0</v>
          </cell>
          <cell r="M200">
            <v>0</v>
          </cell>
          <cell r="N200">
            <v>0</v>
          </cell>
          <cell r="O200">
            <v>0</v>
          </cell>
          <cell r="Q200" t="str">
            <v>173.01.002 Gastos por inspecciones de calidad</v>
          </cell>
        </row>
        <row r="201">
          <cell r="B201" t="str">
            <v>#8</v>
          </cell>
          <cell r="C201">
            <v>45811.144444444399</v>
          </cell>
          <cell r="D201">
            <v>445.56</v>
          </cell>
          <cell r="E201" t="str">
            <v>MXN</v>
          </cell>
          <cell r="F201" t="str">
            <v>Jose Ignacio Martinez Flemate</v>
          </cell>
          <cell r="G201" t="str">
            <v>LUNA GAS TECAMAC       TECAMAC EM    MEX</v>
          </cell>
          <cell r="H201" t="str">
            <v>Luna Gas Tecamac Tecamac Em Mex</v>
          </cell>
          <cell r="I201" t="str">
            <v>Transaction cost</v>
          </cell>
          <cell r="J201" t="str">
            <v>GASOLINA VISITA IDA A ESCATO - FDA (RFQ 320)</v>
          </cell>
          <cell r="K201" t="str">
            <v>.</v>
          </cell>
          <cell r="L201">
            <v>0</v>
          </cell>
          <cell r="M201">
            <v>0</v>
          </cell>
          <cell r="N201">
            <v>0</v>
          </cell>
          <cell r="O201">
            <v>0</v>
          </cell>
          <cell r="Q201" t="str">
            <v>173.01.002 Gastos por inspecciones de calidad</v>
          </cell>
        </row>
        <row r="202">
          <cell r="B202" t="str">
            <v>#8</v>
          </cell>
          <cell r="C202">
            <v>45811.311805555502</v>
          </cell>
          <cell r="D202">
            <v>1320</v>
          </cell>
          <cell r="E202" t="str">
            <v>MXN</v>
          </cell>
          <cell r="F202" t="str">
            <v>Jose Ignacio Martinez Flemate</v>
          </cell>
          <cell r="G202" t="str">
            <v>MERCADOPAGO *LALO      Tecamac       MEX</v>
          </cell>
          <cell r="H202" t="str">
            <v>Mercadopago</v>
          </cell>
          <cell r="I202" t="str">
            <v>Transaction cost</v>
          </cell>
          <cell r="J202" t="str">
            <v>LLANTA POR PONCHADURA POR INUNDACION EN TOLUCA - FDA (RFQ 320)</v>
          </cell>
          <cell r="K202" t="str">
            <v>.</v>
          </cell>
          <cell r="L202">
            <v>0</v>
          </cell>
          <cell r="M202">
            <v>0</v>
          </cell>
          <cell r="N202">
            <v>0</v>
          </cell>
          <cell r="O202">
            <v>0</v>
          </cell>
          <cell r="Q202" t="str">
            <v>173.01.002 Gastos por inspecciones de calidad</v>
          </cell>
        </row>
        <row r="203">
          <cell r="B203" t="str">
            <v>#8</v>
          </cell>
          <cell r="C203">
            <v>45811.840972222199</v>
          </cell>
          <cell r="D203">
            <v>192</v>
          </cell>
          <cell r="E203" t="str">
            <v>MXN</v>
          </cell>
          <cell r="F203" t="str">
            <v>Jose Ignacio Martinez Flemate</v>
          </cell>
          <cell r="G203" t="str">
            <v>CLIP MX*GAS POLGAS     TECAMAC       MEX</v>
          </cell>
          <cell r="H203" t="str">
            <v>Clip Mx Gas Polgas Tecamac Mex</v>
          </cell>
          <cell r="I203" t="str">
            <v>Transaction cost</v>
          </cell>
          <cell r="J203" t="str">
            <v>GASOLINA VISITA REGRESO DE ESCATO - FDA (RFQ 320)</v>
          </cell>
          <cell r="K203" t="str">
            <v>.</v>
          </cell>
          <cell r="L203">
            <v>0</v>
          </cell>
          <cell r="M203">
            <v>0</v>
          </cell>
          <cell r="N203">
            <v>0</v>
          </cell>
          <cell r="O203">
            <v>0</v>
          </cell>
          <cell r="Q203" t="str">
            <v>173.01.002 Gastos por inspecciones de calidad</v>
          </cell>
        </row>
        <row r="204">
          <cell r="B204" t="str">
            <v>#8</v>
          </cell>
          <cell r="C204">
            <v>45825.581250000003</v>
          </cell>
          <cell r="D204">
            <v>779.27</v>
          </cell>
          <cell r="E204" t="str">
            <v>MXN</v>
          </cell>
          <cell r="F204" t="str">
            <v>Jose Ignacio Martinez Flemate</v>
          </cell>
          <cell r="G204" t="str">
            <v>SERVIFACIL OZUMBILLA 2 TECAMAC EM    MEX</v>
          </cell>
          <cell r="H204" t="str">
            <v>Servifacil Ozumbilla 2 Tecamac Em Mex</v>
          </cell>
          <cell r="I204" t="str">
            <v>Transaction cost</v>
          </cell>
          <cell r="J204" t="str">
            <v>GASOLINA VISITA A QRO - SMB / CEMENTOS FORTALEZA (2195) REGRESO</v>
          </cell>
          <cell r="K204" t="str">
            <v>.</v>
          </cell>
          <cell r="L204">
            <v>0</v>
          </cell>
          <cell r="M204">
            <v>0</v>
          </cell>
          <cell r="N204">
            <v>0</v>
          </cell>
          <cell r="O204">
            <v>0</v>
          </cell>
          <cell r="Q204" t="str">
            <v>173.01.002 Gastos por inspecciones de calidad</v>
          </cell>
        </row>
        <row r="205">
          <cell r="B205" t="str">
            <v>#8</v>
          </cell>
          <cell r="C205">
            <v>45825.760416666599</v>
          </cell>
          <cell r="D205">
            <v>1010</v>
          </cell>
          <cell r="E205" t="str">
            <v>MXN</v>
          </cell>
          <cell r="F205" t="str">
            <v>Jose Ignacio Martinez Flemate</v>
          </cell>
          <cell r="G205" t="str">
            <v>MERCADOPAGO *PASE      Miguel Hidalg MEX</v>
          </cell>
          <cell r="H205" t="str">
            <v>Mercadopago</v>
          </cell>
          <cell r="I205" t="str">
            <v>Transaction cost</v>
          </cell>
          <cell r="J205" t="str">
            <v>CASETAS VISITA SMB   -  CEMENTOS FORTALEZA (2195)</v>
          </cell>
          <cell r="K205" t="str">
            <v>.</v>
          </cell>
          <cell r="L205">
            <v>0</v>
          </cell>
          <cell r="M205">
            <v>0</v>
          </cell>
          <cell r="N205">
            <v>0</v>
          </cell>
          <cell r="O205">
            <v>0</v>
          </cell>
          <cell r="Q205" t="str">
            <v>173.01.002 Gastos por inspecciones de calidad</v>
          </cell>
        </row>
        <row r="206">
          <cell r="B206" t="str">
            <v>#8</v>
          </cell>
          <cell r="C206">
            <v>45826.018750000003</v>
          </cell>
          <cell r="D206">
            <v>1135</v>
          </cell>
          <cell r="E206" t="str">
            <v>MXN</v>
          </cell>
          <cell r="F206" t="str">
            <v>Jose Ignacio Martinez Flemate</v>
          </cell>
          <cell r="G206" t="str">
            <v>HOTEL BEWOW QUERETARO  SANTIAGO DE Q MEX</v>
          </cell>
          <cell r="H206" t="str">
            <v>Hotel Bewow Queretaro Santiago De Q Mex</v>
          </cell>
          <cell r="I206" t="str">
            <v>Transaction cost</v>
          </cell>
          <cell r="J206" t="str">
            <v>HOSPEDAJE VISITA A QRO - SMB / CEMENTOS FORTALEZA (2195)</v>
          </cell>
          <cell r="K206" t="str">
            <v>.</v>
          </cell>
          <cell r="L206">
            <v>0</v>
          </cell>
          <cell r="M206">
            <v>0</v>
          </cell>
          <cell r="N206">
            <v>0</v>
          </cell>
          <cell r="O206">
            <v>0</v>
          </cell>
          <cell r="Q206" t="str">
            <v>173.01.002 Gastos por inspecciones de calidad</v>
          </cell>
        </row>
        <row r="207">
          <cell r="B207" t="str">
            <v>#8</v>
          </cell>
          <cell r="C207">
            <v>45826.156944444403</v>
          </cell>
          <cell r="D207">
            <v>378.4</v>
          </cell>
          <cell r="E207" t="str">
            <v>MXN</v>
          </cell>
          <cell r="F207" t="str">
            <v>Jose Ignacio Martinez Flemate</v>
          </cell>
          <cell r="G207" t="str">
            <v>TACOS EL PATA          EL PUEBLITO Q MEX</v>
          </cell>
          <cell r="H207" t="str">
            <v>Tacos El Pata El Pueblito Q Mex</v>
          </cell>
          <cell r="I207" t="str">
            <v>Transaction cost</v>
          </cell>
          <cell r="J207" t="str">
            <v>COMIDA EN QRO - SMB / CEMENTOS FORTALEZA (2195)</v>
          </cell>
          <cell r="K207" t="str">
            <v>.</v>
          </cell>
          <cell r="L207">
            <v>0</v>
          </cell>
          <cell r="M207">
            <v>0</v>
          </cell>
          <cell r="N207">
            <v>0</v>
          </cell>
          <cell r="O207">
            <v>0</v>
          </cell>
          <cell r="Q207" t="str">
            <v>173.01.002 Gastos por inspecciones de calidad</v>
          </cell>
        </row>
        <row r="208">
          <cell r="B208" t="str">
            <v>#8</v>
          </cell>
          <cell r="C208">
            <v>45826.645833333299</v>
          </cell>
          <cell r="D208">
            <v>2270</v>
          </cell>
          <cell r="E208" t="str">
            <v>MXN</v>
          </cell>
          <cell r="F208" t="str">
            <v>Jose Ignacio Martinez Flemate</v>
          </cell>
          <cell r="G208" t="str">
            <v>HOTEL BEWOW QUERETARO  SANTIAGO DE Q MEX</v>
          </cell>
          <cell r="H208" t="str">
            <v>Hotel Bewow Queretaro Santiago De Q Mex</v>
          </cell>
          <cell r="I208" t="str">
            <v>Transaction cost</v>
          </cell>
          <cell r="J208" t="str">
            <v>HOSPEDAJE VISITA A QRO - SMB / CEMENTOS FORTALEZA (2195)</v>
          </cell>
          <cell r="K208" t="str">
            <v>.</v>
          </cell>
          <cell r="L208">
            <v>0</v>
          </cell>
          <cell r="M208">
            <v>0</v>
          </cell>
          <cell r="N208">
            <v>0</v>
          </cell>
          <cell r="O208">
            <v>0</v>
          </cell>
          <cell r="Q208" t="str">
            <v>173.01.002 Gastos por inspecciones de calidad</v>
          </cell>
        </row>
        <row r="209">
          <cell r="B209" t="str">
            <v>#8</v>
          </cell>
          <cell r="C209">
            <v>45826.697916666599</v>
          </cell>
          <cell r="D209">
            <v>350</v>
          </cell>
          <cell r="E209" t="str">
            <v>MXN</v>
          </cell>
          <cell r="F209" t="str">
            <v>Jose Ignacio Martinez Flemate</v>
          </cell>
          <cell r="G209" t="str">
            <v>FERRETERIA UNION       CORREGIDORA Q MEX</v>
          </cell>
          <cell r="H209" t="str">
            <v>Ferreteria Union Corregidora Q Mex</v>
          </cell>
          <cell r="I209" t="str">
            <v>Transaction cost</v>
          </cell>
          <cell r="J209" t="str">
            <v>DISCO DE LIMPIEZA PARA PIÑON - SMB / CEMENTOS FORTALEZA (2195)</v>
          </cell>
          <cell r="K209" t="str">
            <v>.</v>
          </cell>
          <cell r="L209">
            <v>0</v>
          </cell>
          <cell r="M209">
            <v>0</v>
          </cell>
          <cell r="N209">
            <v>0</v>
          </cell>
          <cell r="O209">
            <v>0</v>
          </cell>
          <cell r="Q209" t="str">
            <v>173.01.002 Gastos por inspecciones de calidad</v>
          </cell>
        </row>
        <row r="210">
          <cell r="B210" t="str">
            <v>#8</v>
          </cell>
          <cell r="C210">
            <v>45826.962500000001</v>
          </cell>
          <cell r="D210">
            <v>250</v>
          </cell>
          <cell r="E210" t="str">
            <v>MXN</v>
          </cell>
          <cell r="F210" t="str">
            <v>Jose Ignacio Martinez Flemate</v>
          </cell>
          <cell r="G210" t="str">
            <v>EST PUNTA ESMERALDA    CORREGIDORA Q MEX</v>
          </cell>
          <cell r="H210" t="str">
            <v>Est Punta Esmeralda Corregidora Q Mex</v>
          </cell>
          <cell r="I210" t="str">
            <v>Transaction cost</v>
          </cell>
          <cell r="J210" t="str">
            <v>CENA A QRO - SMB / CEMENTOS FORTALEZA (2195)</v>
          </cell>
          <cell r="K210" t="str">
            <v>.</v>
          </cell>
          <cell r="L210">
            <v>0</v>
          </cell>
          <cell r="M210">
            <v>0</v>
          </cell>
          <cell r="N210">
            <v>0</v>
          </cell>
          <cell r="O210">
            <v>0</v>
          </cell>
          <cell r="Q210" t="str">
            <v>173.01.002 Gastos por inspecciones de calidad</v>
          </cell>
        </row>
        <row r="211">
          <cell r="B211" t="str">
            <v>#8</v>
          </cell>
          <cell r="C211">
            <v>45827.033333333296</v>
          </cell>
          <cell r="D211">
            <v>102</v>
          </cell>
          <cell r="E211" t="str">
            <v>MXN</v>
          </cell>
          <cell r="F211" t="str">
            <v>Jose Ignacio Martinez Flemate</v>
          </cell>
          <cell r="G211" t="str">
            <v>MISCELANEA ELI 1       CORREGIDORA Q MEX</v>
          </cell>
          <cell r="H211" t="str">
            <v>Miscelanea Eli 1 Corregidora Q Mex</v>
          </cell>
          <cell r="I211" t="str">
            <v>Transaction cost</v>
          </cell>
          <cell r="J211" t="str">
            <v>AGUAS EN QRO - SMB / CEMENTOS FORTALEZA (2195)</v>
          </cell>
          <cell r="K211" t="str">
            <v>.</v>
          </cell>
          <cell r="L211">
            <v>0</v>
          </cell>
          <cell r="M211">
            <v>0</v>
          </cell>
          <cell r="N211">
            <v>0</v>
          </cell>
          <cell r="O211">
            <v>0</v>
          </cell>
          <cell r="Q211" t="str">
            <v>173.01.002 Gastos por inspecciones de calidad</v>
          </cell>
        </row>
        <row r="212">
          <cell r="B212" t="str">
            <v>#8</v>
          </cell>
          <cell r="C212">
            <v>45827.1291666666</v>
          </cell>
          <cell r="D212">
            <v>335.5</v>
          </cell>
          <cell r="E212" t="str">
            <v>MXN</v>
          </cell>
          <cell r="F212" t="str">
            <v>Jose Ignacio Martinez Flemate</v>
          </cell>
          <cell r="G212" t="str">
            <v>REST VICOS CONSTITUYEN SANTIAGO DE Q MEX</v>
          </cell>
          <cell r="H212" t="str">
            <v>Rest Vicos Constituyen Santiago De Q Mex</v>
          </cell>
          <cell r="I212" t="str">
            <v>Transaction cost</v>
          </cell>
          <cell r="J212" t="str">
            <v>COMIDA EN QRO - SMB / CEMENTOS FORTALEZA (2195)</v>
          </cell>
          <cell r="K212" t="str">
            <v>.</v>
          </cell>
          <cell r="L212">
            <v>0</v>
          </cell>
          <cell r="M212">
            <v>0</v>
          </cell>
          <cell r="N212">
            <v>0</v>
          </cell>
          <cell r="O212">
            <v>0</v>
          </cell>
          <cell r="Q212" t="str">
            <v>173.01.002 Gastos por inspecciones de calidad</v>
          </cell>
        </row>
        <row r="213">
          <cell r="B213" t="str">
            <v>#8</v>
          </cell>
          <cell r="C213">
            <v>45827.625694444403</v>
          </cell>
          <cell r="D213">
            <v>120</v>
          </cell>
          <cell r="E213" t="str">
            <v>MXN</v>
          </cell>
          <cell r="F213" t="str">
            <v>Jose Ignacio Martinez Flemate</v>
          </cell>
          <cell r="G213" t="str">
            <v>POINTMP*TACOSCHIKI     CIUDAD DE MEX MEX</v>
          </cell>
          <cell r="H213" t="str">
            <v>Pointmp Tacoschiki Ciudad De Mex Mex</v>
          </cell>
          <cell r="I213" t="str">
            <v>Transaction cost</v>
          </cell>
          <cell r="J213" t="str">
            <v>CENA A QRO - SMB / CEMENTOS FORTALEZA (2195)</v>
          </cell>
          <cell r="K213" t="str">
            <v>.</v>
          </cell>
          <cell r="L213">
            <v>0</v>
          </cell>
          <cell r="M213">
            <v>0</v>
          </cell>
          <cell r="N213">
            <v>0</v>
          </cell>
          <cell r="O213">
            <v>0</v>
          </cell>
          <cell r="Q213" t="str">
            <v>173.01.002 Gastos por inspecciones de calidad</v>
          </cell>
        </row>
        <row r="214">
          <cell r="B214" t="str">
            <v>#8</v>
          </cell>
          <cell r="C214">
            <v>45827.920138888803</v>
          </cell>
          <cell r="D214">
            <v>514</v>
          </cell>
          <cell r="E214" t="str">
            <v>MXN</v>
          </cell>
          <cell r="F214" t="str">
            <v>Jose Ignacio Martinez Flemate</v>
          </cell>
          <cell r="G214" t="str">
            <v>ABTS OPI EL CARMEN 2   EL MARQUES QR MEX</v>
          </cell>
          <cell r="H214" t="str">
            <v>Abts Opi El Carmen 2 El Marques Qr Mex</v>
          </cell>
          <cell r="I214" t="str">
            <v>Transaction cost</v>
          </cell>
          <cell r="J214" t="str">
            <v>AGUAS EN QRO - SMB / CEMENTOS FORTALEZA (2195) (POR 4 DÍAS)</v>
          </cell>
          <cell r="K214" t="str">
            <v>.</v>
          </cell>
          <cell r="L214">
            <v>0</v>
          </cell>
          <cell r="M214">
            <v>0</v>
          </cell>
          <cell r="N214">
            <v>0</v>
          </cell>
          <cell r="O214">
            <v>0</v>
          </cell>
          <cell r="Q214" t="str">
            <v>173.01.002 Gastos por inspecciones de calidad</v>
          </cell>
        </row>
        <row r="215">
          <cell r="B215" t="str">
            <v>#8</v>
          </cell>
          <cell r="C215">
            <v>45828.8076388888</v>
          </cell>
          <cell r="D215">
            <v>1944</v>
          </cell>
          <cell r="E215" t="str">
            <v>MXN</v>
          </cell>
          <cell r="F215" t="str">
            <v>Jose Ignacio Martinez Flemate</v>
          </cell>
          <cell r="G215" t="str">
            <v>HDM 1170 CORREGUIDORA  CORREGIDORA Q MEX</v>
          </cell>
          <cell r="H215" t="str">
            <v>Hdm 1170 Correguidora Corregidora Q Mex</v>
          </cell>
          <cell r="I215" t="str">
            <v>Transaction cost</v>
          </cell>
          <cell r="J215" t="str">
            <v>INSUMOS PARA PIÑON  - SMB / CEMENTOS FORTALEZA (2195)</v>
          </cell>
          <cell r="K215" t="str">
            <v>.</v>
          </cell>
          <cell r="L215">
            <v>0</v>
          </cell>
          <cell r="M215">
            <v>0</v>
          </cell>
          <cell r="N215">
            <v>0</v>
          </cell>
          <cell r="O215">
            <v>0</v>
          </cell>
          <cell r="Q215" t="str">
            <v>173.01.002 Gastos por inspecciones de calidad</v>
          </cell>
        </row>
        <row r="216">
          <cell r="B216" t="str">
            <v>#8</v>
          </cell>
          <cell r="C216">
            <v>45828.8465277777</v>
          </cell>
          <cell r="D216">
            <v>320</v>
          </cell>
          <cell r="E216" t="str">
            <v>MXN</v>
          </cell>
          <cell r="F216" t="str">
            <v>Jose Ignacio Martinez Flemate</v>
          </cell>
          <cell r="G216" t="str">
            <v>FERRETERIA UNION       CORREGIDORA Q MEX</v>
          </cell>
          <cell r="H216" t="str">
            <v>Ferreteria Union Corregidora Q Mex</v>
          </cell>
          <cell r="I216" t="str">
            <v>Transaction cost</v>
          </cell>
          <cell r="J216" t="str">
            <v>DISCO DE LIMPIEZA PARA PIÑON - SMB / CEMENTOS FORTALEZA (2195)</v>
          </cell>
          <cell r="K216" t="str">
            <v>.</v>
          </cell>
          <cell r="L216">
            <v>0</v>
          </cell>
          <cell r="M216">
            <v>0</v>
          </cell>
          <cell r="N216">
            <v>0</v>
          </cell>
          <cell r="O216">
            <v>0</v>
          </cell>
          <cell r="Q216" t="str">
            <v>173.01.002 Gastos por inspecciones de calidad</v>
          </cell>
        </row>
        <row r="217">
          <cell r="B217" t="str">
            <v>#8</v>
          </cell>
          <cell r="C217">
            <v>45829.049305555498</v>
          </cell>
          <cell r="D217">
            <v>691.18</v>
          </cell>
          <cell r="E217" t="str">
            <v>MXN</v>
          </cell>
          <cell r="F217" t="str">
            <v>Jose Ignacio Martinez Flemate</v>
          </cell>
          <cell r="G217" t="str">
            <v>EST 181 PALMILLAS SAN  CIUDAD DE MEX MEX</v>
          </cell>
          <cell r="H217" t="str">
            <v>Est 181 Palmillas San Ciudad De Mex Mex</v>
          </cell>
          <cell r="I217" t="str">
            <v>Transaction cost</v>
          </cell>
          <cell r="J217" t="str">
            <v>COMIDA EN QRO - SMB / CEMENTOS FORTALEZA (2195)</v>
          </cell>
          <cell r="K217" t="str">
            <v>.</v>
          </cell>
          <cell r="L217">
            <v>0</v>
          </cell>
          <cell r="M217">
            <v>0</v>
          </cell>
          <cell r="N217">
            <v>0</v>
          </cell>
          <cell r="O217">
            <v>0</v>
          </cell>
          <cell r="Q217" t="str">
            <v>173.01.002 Gastos por inspecciones de calidad</v>
          </cell>
        </row>
        <row r="218">
          <cell r="B218" t="str">
            <v>#8</v>
          </cell>
          <cell r="C218">
            <v>45829.054166666603</v>
          </cell>
          <cell r="D218">
            <v>159.5</v>
          </cell>
          <cell r="E218" t="str">
            <v>MXN</v>
          </cell>
          <cell r="F218" t="str">
            <v>Jose Ignacio Martinez Flemate</v>
          </cell>
          <cell r="G218" t="str">
            <v>OXXO MACRO PALMILL QRF HUIMILPAN QRO MEX</v>
          </cell>
          <cell r="H218" t="str">
            <v>Oxxo</v>
          </cell>
          <cell r="I218" t="str">
            <v>Transaction cost</v>
          </cell>
          <cell r="J218" t="str">
            <v xml:space="preserve">AGUAS EN QRO - SMB / CEMENTOS FORTALEZA (2195) </v>
          </cell>
          <cell r="K218" t="str">
            <v>.</v>
          </cell>
          <cell r="L218">
            <v>0</v>
          </cell>
          <cell r="M218">
            <v>0</v>
          </cell>
          <cell r="N218">
            <v>0</v>
          </cell>
          <cell r="O218">
            <v>0</v>
          </cell>
          <cell r="Q218" t="str">
            <v>173.01.002 Gastos por inspecciones de calidad</v>
          </cell>
        </row>
        <row r="219">
          <cell r="B219" t="str">
            <v>#8</v>
          </cell>
          <cell r="C219">
            <v>45829.100694444402</v>
          </cell>
          <cell r="D219">
            <v>621</v>
          </cell>
          <cell r="E219" t="str">
            <v>MXN</v>
          </cell>
          <cell r="F219" t="str">
            <v>Jose Ignacio Martinez Flemate</v>
          </cell>
          <cell r="G219" t="str">
            <v>SUPER MATY             POLOTITLAN EM MEX</v>
          </cell>
          <cell r="H219" t="str">
            <v>Super Mex</v>
          </cell>
          <cell r="I219" t="str">
            <v>Transaction cost</v>
          </cell>
          <cell r="J219" t="str">
            <v>AGUAS EN QRO - SMB / CEMENTOS FORTALEZA (2195)</v>
          </cell>
          <cell r="K219" t="str">
            <v>.</v>
          </cell>
          <cell r="L219">
            <v>0</v>
          </cell>
          <cell r="M219">
            <v>0</v>
          </cell>
          <cell r="N219">
            <v>0</v>
          </cell>
          <cell r="O219">
            <v>0</v>
          </cell>
          <cell r="Q219" t="str">
            <v>173.01.002 Gastos por inspecciones de calidad</v>
          </cell>
        </row>
        <row r="220">
          <cell r="B220" t="str">
            <v>#8</v>
          </cell>
          <cell r="C220">
            <v>45831.7319444444</v>
          </cell>
          <cell r="D220">
            <v>1510</v>
          </cell>
          <cell r="E220" t="str">
            <v>MXN</v>
          </cell>
          <cell r="F220" t="str">
            <v>Jose Ignacio Martinez Flemate</v>
          </cell>
          <cell r="G220" t="str">
            <v>MERCADOPAGO *PASE      Ciudad de Mex MEX</v>
          </cell>
          <cell r="H220" t="str">
            <v>Mercadopago</v>
          </cell>
          <cell r="I220" t="str">
            <v>Transaction cost</v>
          </cell>
          <cell r="J220" t="str">
            <v>CASETAS VISITA SMB   -  CEMENTOS FORTALEZA (2195)</v>
          </cell>
          <cell r="K220" t="str">
            <v>.</v>
          </cell>
          <cell r="L220">
            <v>0</v>
          </cell>
          <cell r="M220">
            <v>0</v>
          </cell>
          <cell r="N220">
            <v>0</v>
          </cell>
          <cell r="O220">
            <v>0</v>
          </cell>
          <cell r="Q220" t="str">
            <v>173.01.002 Gastos por inspecciones de calidad</v>
          </cell>
        </row>
        <row r="221">
          <cell r="B221" t="str">
            <v>#8</v>
          </cell>
          <cell r="C221">
            <v>45831.859027777697</v>
          </cell>
          <cell r="D221">
            <v>132</v>
          </cell>
          <cell r="E221" t="str">
            <v>MXN</v>
          </cell>
          <cell r="F221" t="str">
            <v>Jose Ignacio Martinez Flemate</v>
          </cell>
          <cell r="G221" t="str">
            <v>FERREMAYORISTAS BAJIO  SANTIAGO DE Q MEX</v>
          </cell>
          <cell r="H221" t="str">
            <v>Ferremayoristas Bajio Santiago De Q Mex</v>
          </cell>
          <cell r="I221" t="str">
            <v>Transaction cost</v>
          </cell>
          <cell r="J221" t="str">
            <v>INSUMOS PARA PIÑON  - SMB / CEMENTOS FORTALEZA (2195)</v>
          </cell>
          <cell r="K221" t="str">
            <v>.</v>
          </cell>
          <cell r="L221">
            <v>0</v>
          </cell>
          <cell r="M221">
            <v>0</v>
          </cell>
          <cell r="N221">
            <v>0</v>
          </cell>
          <cell r="O221">
            <v>0</v>
          </cell>
          <cell r="Q221" t="str">
            <v>173.01.002 Gastos por inspecciones de calidad</v>
          </cell>
        </row>
        <row r="222">
          <cell r="B222" t="str">
            <v>#8</v>
          </cell>
          <cell r="C222">
            <v>45832.140277777697</v>
          </cell>
          <cell r="D222">
            <v>555</v>
          </cell>
          <cell r="E222" t="str">
            <v>MXN</v>
          </cell>
          <cell r="F222" t="str">
            <v>Jose Ignacio Martinez Flemate</v>
          </cell>
          <cell r="G222" t="str">
            <v>MARIOS PIZZA 2         CORREGIDORA Q MEX</v>
          </cell>
          <cell r="H222" t="str">
            <v>Mario's Pizza</v>
          </cell>
          <cell r="I222" t="str">
            <v>Transaction cost</v>
          </cell>
          <cell r="J222" t="str">
            <v>CENA A QRO - SMB / CEMENTOS FORTALEZA (2195)</v>
          </cell>
          <cell r="K222" t="str">
            <v>.</v>
          </cell>
          <cell r="L222">
            <v>0</v>
          </cell>
          <cell r="M222">
            <v>0</v>
          </cell>
          <cell r="N222">
            <v>0</v>
          </cell>
          <cell r="O222">
            <v>0</v>
          </cell>
          <cell r="Q222" t="str">
            <v>173.01.002 Gastos por inspecciones de calidad</v>
          </cell>
        </row>
        <row r="223">
          <cell r="B223" t="str">
            <v>#8</v>
          </cell>
          <cell r="C223">
            <v>45832.223611111098</v>
          </cell>
          <cell r="D223">
            <v>284</v>
          </cell>
          <cell r="E223" t="str">
            <v>MXN</v>
          </cell>
          <cell r="F223" t="str">
            <v>Jose Ignacio Martinez Flemate</v>
          </cell>
          <cell r="G223" t="str">
            <v>MERCADOPAGO *FARMACIA  Ciudad de Mex MEX</v>
          </cell>
          <cell r="H223" t="str">
            <v>Mercadopago</v>
          </cell>
          <cell r="I223" t="str">
            <v>Transaction cost</v>
          </cell>
          <cell r="J223" t="str">
            <v>INSUMOS DE URGENCIA DE ESTADIA EN QRO  - SMB / CEMENTOS FORTALEZA (2195)</v>
          </cell>
          <cell r="K223" t="str">
            <v>.</v>
          </cell>
          <cell r="L223">
            <v>0</v>
          </cell>
          <cell r="M223">
            <v>0</v>
          </cell>
          <cell r="N223">
            <v>0</v>
          </cell>
          <cell r="O223">
            <v>0</v>
          </cell>
          <cell r="Q223" t="str">
            <v>173.01.002 Gastos por inspecciones de calidad</v>
          </cell>
        </row>
        <row r="224">
          <cell r="B224" t="str">
            <v>#8</v>
          </cell>
          <cell r="C224">
            <v>45832.237500000003</v>
          </cell>
          <cell r="D224">
            <v>1135</v>
          </cell>
          <cell r="E224" t="str">
            <v>MXN</v>
          </cell>
          <cell r="F224" t="str">
            <v>Jose Ignacio Martinez Flemate</v>
          </cell>
          <cell r="G224" t="str">
            <v>REST BEWOW QRO         SANTIAGO DE Q MEX</v>
          </cell>
          <cell r="H224" t="str">
            <v>Rest Bewow Qro Santiago De Q Mex</v>
          </cell>
          <cell r="I224" t="str">
            <v>Transaction cost</v>
          </cell>
          <cell r="J224" t="str">
            <v>HOSPEDAJE VISITA A QRO - SMB / CEMENTOS FORTALEZA (2195)</v>
          </cell>
          <cell r="K224" t="str">
            <v>.</v>
          </cell>
          <cell r="L224">
            <v>0</v>
          </cell>
          <cell r="M224">
            <v>0</v>
          </cell>
          <cell r="N224">
            <v>0</v>
          </cell>
          <cell r="O224">
            <v>0</v>
          </cell>
          <cell r="Q224" t="str">
            <v>173.01.002 Gastos por inspecciones de calidad</v>
          </cell>
        </row>
        <row r="225">
          <cell r="B225" t="str">
            <v>#8</v>
          </cell>
          <cell r="C225">
            <v>45832.732638888803</v>
          </cell>
          <cell r="D225">
            <v>288</v>
          </cell>
          <cell r="E225" t="str">
            <v>MXN</v>
          </cell>
          <cell r="F225" t="str">
            <v>Jose Ignacio Martinez Flemate</v>
          </cell>
          <cell r="G225" t="str">
            <v>MERCADOPAGO *CARNITAS  Ciudad de Mex MEX</v>
          </cell>
          <cell r="H225" t="str">
            <v>Mercadopago</v>
          </cell>
          <cell r="I225" t="str">
            <v>Transaction cost</v>
          </cell>
          <cell r="J225" t="str">
            <v>COMIDA QRO - SMB / CEMENTOS FORTALEZA (2195)</v>
          </cell>
          <cell r="K225" t="str">
            <v>.</v>
          </cell>
          <cell r="L225">
            <v>0</v>
          </cell>
          <cell r="M225">
            <v>0</v>
          </cell>
          <cell r="N225">
            <v>0</v>
          </cell>
          <cell r="O225">
            <v>0</v>
          </cell>
          <cell r="Q225" t="str">
            <v>173.01.002 Gastos por inspecciones de calidad</v>
          </cell>
        </row>
        <row r="226">
          <cell r="B226" t="str">
            <v>#8</v>
          </cell>
          <cell r="C226">
            <v>45832.811111111099</v>
          </cell>
          <cell r="D226">
            <v>655.74</v>
          </cell>
          <cell r="E226" t="str">
            <v>MXN</v>
          </cell>
          <cell r="F226" t="str">
            <v>Jose Ignacio Martinez Flemate</v>
          </cell>
          <cell r="G226" t="str">
            <v>EST 181 PALMILLAS SAN  CIUDAD DE MEX MEX</v>
          </cell>
          <cell r="H226" t="str">
            <v>Est 181 Palmillas San Ciudad De Mex Mex</v>
          </cell>
          <cell r="I226" t="str">
            <v>Transaction cost</v>
          </cell>
          <cell r="J226" t="str">
            <v>GASOLINA VISITA A QRO - CEMENTOS FORTALEZA (2195) REGRESO</v>
          </cell>
          <cell r="K226" t="str">
            <v>.</v>
          </cell>
          <cell r="L226">
            <v>0</v>
          </cell>
          <cell r="M226">
            <v>0</v>
          </cell>
          <cell r="N226">
            <v>0</v>
          </cell>
          <cell r="O226">
            <v>0</v>
          </cell>
          <cell r="Q226" t="str">
            <v>173.01.002 Gastos por inspecciones de calidad</v>
          </cell>
        </row>
        <row r="227">
          <cell r="B227" t="str">
            <v>#8</v>
          </cell>
          <cell r="C227">
            <v>45833.686111111099</v>
          </cell>
          <cell r="D227">
            <v>70</v>
          </cell>
          <cell r="E227" t="str">
            <v>MXN</v>
          </cell>
          <cell r="F227" t="str">
            <v>Jose Ignacio Martinez Flemate</v>
          </cell>
          <cell r="G227" t="str">
            <v>UBER* PENDING          CIUDAD DE MEX MEX</v>
          </cell>
          <cell r="H227" t="str">
            <v>Uber</v>
          </cell>
          <cell r="I227" t="str">
            <v>Transaction cost</v>
          </cell>
          <cell r="J227" t="str">
            <v>UBER DE DMRB A HH - ONEST (3894)</v>
          </cell>
          <cell r="K227" t="str">
            <v>.</v>
          </cell>
          <cell r="L227">
            <v>0</v>
          </cell>
          <cell r="M227">
            <v>0</v>
          </cell>
          <cell r="N227">
            <v>0</v>
          </cell>
          <cell r="O227">
            <v>0</v>
          </cell>
          <cell r="Q227" t="str">
            <v>173.01.002 Gastos por inspecciones de calidad</v>
          </cell>
        </row>
        <row r="228">
          <cell r="B228" t="str">
            <v>#8</v>
          </cell>
          <cell r="C228">
            <v>45834.138888888803</v>
          </cell>
          <cell r="D228">
            <v>118</v>
          </cell>
          <cell r="E228" t="str">
            <v>MXN</v>
          </cell>
          <cell r="F228" t="str">
            <v>Jose Ignacio Martinez Flemate</v>
          </cell>
          <cell r="G228" t="str">
            <v>MERCADOPAGO *CASALOPE  Ciudad de Mex MEX</v>
          </cell>
          <cell r="H228" t="str">
            <v>Mercadopago</v>
          </cell>
          <cell r="I228" t="str">
            <v>Transaction cost</v>
          </cell>
          <cell r="J228" t="str">
            <v>COMIDA VISITA A ONEST (3894)</v>
          </cell>
          <cell r="K228" t="str">
            <v>.</v>
          </cell>
          <cell r="L228">
            <v>0</v>
          </cell>
          <cell r="M228">
            <v>0</v>
          </cell>
          <cell r="N228">
            <v>0</v>
          </cell>
          <cell r="O228">
            <v>0</v>
          </cell>
          <cell r="Q228" t="str">
            <v>173.01.002 Gastos por inspecciones de calidad</v>
          </cell>
        </row>
        <row r="229">
          <cell r="B229" t="str">
            <v>#8</v>
          </cell>
          <cell r="C229">
            <v>45834.7215277777</v>
          </cell>
          <cell r="D229">
            <v>715.7</v>
          </cell>
          <cell r="E229" t="str">
            <v>MXN</v>
          </cell>
          <cell r="F229" t="str">
            <v>Jose Ignacio Martinez Flemate</v>
          </cell>
          <cell r="G229" t="str">
            <v>SERVICIO FACIL ES12990 HUEHUETOCA EM MEX</v>
          </cell>
          <cell r="H229" t="str">
            <v>Servicio Facil Es12990 Huehuetoca Em Mex</v>
          </cell>
          <cell r="I229" t="str">
            <v>Transaction cost</v>
          </cell>
          <cell r="J229" t="str">
            <v>GASOLINA VISITA A ONEST (3894)</v>
          </cell>
          <cell r="K229" t="str">
            <v>.</v>
          </cell>
          <cell r="L229">
            <v>0</v>
          </cell>
          <cell r="M229">
            <v>0</v>
          </cell>
          <cell r="N229">
            <v>0</v>
          </cell>
          <cell r="O229">
            <v>0</v>
          </cell>
          <cell r="Q229" t="str">
            <v>173.01.002 Gastos por inspecciones de calidad</v>
          </cell>
        </row>
        <row r="230">
          <cell r="B230" t="str">
            <v>#8</v>
          </cell>
          <cell r="C230">
            <v>45834.780555555502</v>
          </cell>
          <cell r="D230">
            <v>125</v>
          </cell>
          <cell r="E230" t="str">
            <v>MXN</v>
          </cell>
          <cell r="F230" t="str">
            <v>Jose Ignacio Martinez Flemate</v>
          </cell>
          <cell r="G230" t="str">
            <v>CLIP MX*REST COFFEE EX ZUMPANGO      MEX</v>
          </cell>
          <cell r="H230" t="str">
            <v>Clip Mx Rest Coffee Ex Zumpango Mex</v>
          </cell>
          <cell r="I230" t="str">
            <v>Transaction cost</v>
          </cell>
          <cell r="J230" t="str">
            <v>COMIDA VISITA A ONEST (3894)</v>
          </cell>
          <cell r="K230" t="str">
            <v>.</v>
          </cell>
          <cell r="L230">
            <v>0</v>
          </cell>
          <cell r="M230">
            <v>0</v>
          </cell>
          <cell r="N230">
            <v>0</v>
          </cell>
          <cell r="O230">
            <v>0</v>
          </cell>
          <cell r="Q230" t="str">
            <v>173.01.002 Gastos por inspecciones de calidad</v>
          </cell>
        </row>
        <row r="231">
          <cell r="B231" t="str">
            <v>#8</v>
          </cell>
          <cell r="C231">
            <v>45834.947222222203</v>
          </cell>
          <cell r="D231">
            <v>286</v>
          </cell>
          <cell r="E231" t="str">
            <v>MXN</v>
          </cell>
          <cell r="F231" t="str">
            <v>Jose Ignacio Martinez Flemate</v>
          </cell>
          <cell r="G231" t="str">
            <v>REST SDN STA LUCIA     ZUMPANGO EM   MEX</v>
          </cell>
          <cell r="H231" t="str">
            <v>Rest Sdn Sta Lucia Zumpango Em Mex</v>
          </cell>
          <cell r="I231" t="str">
            <v>Transaction cost</v>
          </cell>
          <cell r="J231" t="str">
            <v>CENA VISITA A ONEST (3894)</v>
          </cell>
          <cell r="K231" t="str">
            <v>.</v>
          </cell>
          <cell r="L231">
            <v>0</v>
          </cell>
          <cell r="M231">
            <v>0</v>
          </cell>
          <cell r="N231">
            <v>0</v>
          </cell>
          <cell r="O231">
            <v>0</v>
          </cell>
          <cell r="Q231" t="str">
            <v>173.01.002 Gastos por inspecciones de calidad</v>
          </cell>
        </row>
        <row r="232">
          <cell r="B232" t="str">
            <v>#8</v>
          </cell>
          <cell r="C232">
            <v>45836.1916666666</v>
          </cell>
          <cell r="D232">
            <v>1079.0999999999999</v>
          </cell>
          <cell r="E232" t="str">
            <v>MXN</v>
          </cell>
          <cell r="F232" t="str">
            <v>Jose Ignacio Martinez Flemate</v>
          </cell>
          <cell r="G232" t="str">
            <v>POINTMP*DONCHEVE       CIUDAD DE MEX MEX</v>
          </cell>
          <cell r="H232" t="str">
            <v>Pointmp Doncheve Ciudad De Mex Mex</v>
          </cell>
          <cell r="I232" t="str">
            <v>Transaction cost</v>
          </cell>
          <cell r="J232" t="str">
            <v>COMIDA / CENA VISITA A ONEST (3894)</v>
          </cell>
          <cell r="K232" t="str">
            <v>.</v>
          </cell>
          <cell r="L232">
            <v>0</v>
          </cell>
          <cell r="M232">
            <v>0</v>
          </cell>
          <cell r="N232">
            <v>0</v>
          </cell>
          <cell r="O232">
            <v>0</v>
          </cell>
          <cell r="Q232" t="str">
            <v>173.01.002 Gastos por inspecciones de calidad</v>
          </cell>
        </row>
        <row r="233">
          <cell r="B233" t="str">
            <v>#8</v>
          </cell>
          <cell r="C233">
            <v>45836.961111111101</v>
          </cell>
          <cell r="D233">
            <v>270.87</v>
          </cell>
          <cell r="E233" t="str">
            <v>MXN</v>
          </cell>
          <cell r="F233" t="str">
            <v>Jose Ignacio Martinez Flemate</v>
          </cell>
          <cell r="G233" t="str">
            <v>T SEDENA SANTA LUCIA   TECAMAC EM    MEX</v>
          </cell>
          <cell r="H233" t="str">
            <v>T Sedena Santa Lucia Tecamac Em Mex</v>
          </cell>
          <cell r="I233" t="str">
            <v>Transaction cost</v>
          </cell>
          <cell r="J233" t="str">
            <v>IMPERMEABLE PARA LLUVIA / CENA VISITA A ONEST (3894)</v>
          </cell>
          <cell r="K233" t="str">
            <v>.</v>
          </cell>
          <cell r="L233">
            <v>0</v>
          </cell>
          <cell r="M233">
            <v>0</v>
          </cell>
          <cell r="N233">
            <v>0</v>
          </cell>
          <cell r="O233">
            <v>0</v>
          </cell>
          <cell r="Q233" t="str">
            <v>173.01.002 Gastos por inspecciones de calidad</v>
          </cell>
        </row>
        <row r="234">
          <cell r="B234" t="str">
            <v>#8</v>
          </cell>
          <cell r="C234">
            <v>45837.104166666599</v>
          </cell>
          <cell r="D234">
            <v>239.5</v>
          </cell>
          <cell r="E234" t="str">
            <v>MXN</v>
          </cell>
          <cell r="F234" t="str">
            <v>Jose Ignacio Martinez Flemate</v>
          </cell>
          <cell r="G234" t="str">
            <v>POINTMP*RECREO         CIUDAD DE MEX MEX</v>
          </cell>
          <cell r="H234" t="str">
            <v>Pointmp Recreo Ciudad De Mex Mex</v>
          </cell>
          <cell r="I234" t="str">
            <v>Transaction cost</v>
          </cell>
          <cell r="J234" t="str">
            <v>CENA VISITA A ONEST (3894)</v>
          </cell>
          <cell r="K234" t="str">
            <v>.</v>
          </cell>
          <cell r="L234">
            <v>0</v>
          </cell>
          <cell r="M234">
            <v>0</v>
          </cell>
          <cell r="N234">
            <v>0</v>
          </cell>
          <cell r="O234">
            <v>0</v>
          </cell>
          <cell r="Q234" t="str">
            <v>173.01.002 Gastos por inspecciones de calidad</v>
          </cell>
        </row>
        <row r="235">
          <cell r="B235" t="str">
            <v>#8</v>
          </cell>
          <cell r="C235">
            <v>45838.902083333298</v>
          </cell>
          <cell r="D235">
            <v>153</v>
          </cell>
          <cell r="E235" t="str">
            <v>MXN</v>
          </cell>
          <cell r="F235" t="str">
            <v>Jose Ignacio Martinez Flemate</v>
          </cell>
          <cell r="G235" t="str">
            <v>OXXO PERLILLAR         MEXICO DF     MEX</v>
          </cell>
          <cell r="H235" t="str">
            <v>Oxxo</v>
          </cell>
          <cell r="I235" t="str">
            <v>Transaction cost</v>
          </cell>
          <cell r="J235" t="str">
            <v>AGUAS VISITA A ONEST (3894)</v>
          </cell>
          <cell r="K235" t="str">
            <v>.</v>
          </cell>
          <cell r="L235">
            <v>0</v>
          </cell>
          <cell r="M235">
            <v>0</v>
          </cell>
          <cell r="N235">
            <v>0</v>
          </cell>
          <cell r="O235">
            <v>0</v>
          </cell>
          <cell r="Q235" t="str">
            <v>173.01.002 Gastos por inspecciones de calidad</v>
          </cell>
        </row>
        <row r="236">
          <cell r="B236" t="str">
            <v>#9</v>
          </cell>
          <cell r="C236">
            <v>45811.634722222203</v>
          </cell>
          <cell r="D236">
            <v>810</v>
          </cell>
          <cell r="E236" t="str">
            <v>MXN</v>
          </cell>
          <cell r="F236" t="str">
            <v>Jose Maria Garcia Hernandez</v>
          </cell>
          <cell r="G236" t="str">
            <v>MERCADOPAGO *PASE      Miguel Hidalg MEX</v>
          </cell>
          <cell r="H236" t="str">
            <v>Mercadopago</v>
          </cell>
          <cell r="I236" t="str">
            <v>Sales</v>
          </cell>
          <cell r="J236" t="str">
            <v xml:space="preserve">Vuelo Guadalajara, reunion con OLX </v>
          </cell>
          <cell r="K236" t="str">
            <v>.</v>
          </cell>
          <cell r="L236">
            <v>0</v>
          </cell>
          <cell r="M236">
            <v>0</v>
          </cell>
          <cell r="N236">
            <v>0</v>
          </cell>
          <cell r="O236">
            <v>0</v>
          </cell>
          <cell r="Q236" t="str">
            <v>603.81.006 Gastos Administativos de venta</v>
          </cell>
        </row>
        <row r="237">
          <cell r="B237" t="str">
            <v>#9</v>
          </cell>
          <cell r="C237">
            <v>45813.718055555502</v>
          </cell>
          <cell r="D237">
            <v>990</v>
          </cell>
          <cell r="E237" t="str">
            <v>MXN</v>
          </cell>
          <cell r="F237" t="str">
            <v>Jose Maria Garcia Hernandez</v>
          </cell>
          <cell r="G237" t="str">
            <v>CLIP MX*ATRAC MUSAK EX MIGUEL HIDALG MEX</v>
          </cell>
          <cell r="H237" t="str">
            <v>Clip Mx Atrac Musak Ex Miguel Hidalg Mex</v>
          </cell>
          <cell r="I237" t="str">
            <v>Sales</v>
          </cell>
          <cell r="J237" t="str">
            <v>Uber</v>
          </cell>
          <cell r="K237" t="str">
            <v>.</v>
          </cell>
          <cell r="L237">
            <v>0</v>
          </cell>
          <cell r="M237">
            <v>0</v>
          </cell>
          <cell r="N237">
            <v>0</v>
          </cell>
          <cell r="O237">
            <v>0</v>
          </cell>
          <cell r="Q237" t="str">
            <v>603.81.006 Gastos Administativos de venta</v>
          </cell>
        </row>
        <row r="238">
          <cell r="B238" t="str">
            <v>#9</v>
          </cell>
          <cell r="C238">
            <v>45818.617361111101</v>
          </cell>
          <cell r="D238">
            <v>1051.3399999999999</v>
          </cell>
          <cell r="E238" t="str">
            <v>MXN</v>
          </cell>
          <cell r="F238" t="str">
            <v>Jose Maria Garcia Hernandez</v>
          </cell>
          <cell r="G238" t="str">
            <v>GASOL ESTAC CARGA ERMI HUIXQUILUCAN  MEX</v>
          </cell>
          <cell r="H238" t="str">
            <v>Gasol Estac Carga Ermi Huixquilucan Mex</v>
          </cell>
          <cell r="I238" t="str">
            <v>Sales</v>
          </cell>
          <cell r="J238" t="str">
            <v>Cafe con Mario Salomon</v>
          </cell>
          <cell r="K238" t="str">
            <v>.</v>
          </cell>
          <cell r="L238">
            <v>0</v>
          </cell>
          <cell r="M238">
            <v>0</v>
          </cell>
          <cell r="N238">
            <v>0</v>
          </cell>
          <cell r="O238">
            <v>0</v>
          </cell>
          <cell r="Q238" t="str">
            <v>603.81.006 Gastos Administativos de venta</v>
          </cell>
        </row>
        <row r="239">
          <cell r="B239" t="str">
            <v>#9</v>
          </cell>
          <cell r="C239">
            <v>45819.661111111098</v>
          </cell>
          <cell r="D239">
            <v>3922.58</v>
          </cell>
          <cell r="E239" t="str">
            <v>MXN</v>
          </cell>
          <cell r="F239" t="str">
            <v>Jose Maria Garcia Hernandez</v>
          </cell>
          <cell r="G239" t="str">
            <v>VIVAAEROBUS WEB        APODACA NL    MEX</v>
          </cell>
          <cell r="H239" t="str">
            <v>Vivaaerobus</v>
          </cell>
          <cell r="I239" t="str">
            <v>Sales</v>
          </cell>
          <cell r="J239" t="str">
            <v>Desayuno en GDL</v>
          </cell>
          <cell r="K239" t="str">
            <v>.</v>
          </cell>
          <cell r="L239">
            <v>0</v>
          </cell>
          <cell r="M239">
            <v>0</v>
          </cell>
          <cell r="N239">
            <v>0</v>
          </cell>
          <cell r="O239">
            <v>0</v>
          </cell>
          <cell r="Q239" t="str">
            <v>603.81.006 Gastos Administativos de venta</v>
          </cell>
        </row>
        <row r="240">
          <cell r="B240" t="str">
            <v>#9</v>
          </cell>
          <cell r="C240">
            <v>45820.630555555501</v>
          </cell>
          <cell r="D240">
            <v>600</v>
          </cell>
          <cell r="E240" t="str">
            <v>MXN</v>
          </cell>
          <cell r="F240" t="str">
            <v>Jose Maria Garcia Hernandez</v>
          </cell>
          <cell r="G240" t="str">
            <v>RECARGA PASE TUTAG     CIUDAD DE MEX MEX</v>
          </cell>
          <cell r="H240" t="str">
            <v>Recarga Pase Tutag Ciudad De Mex Mex</v>
          </cell>
          <cell r="I240" t="str">
            <v>Sales</v>
          </cell>
          <cell r="J240" t="str">
            <v>Uber</v>
          </cell>
          <cell r="K240" t="str">
            <v>.</v>
          </cell>
          <cell r="L240">
            <v>0</v>
          </cell>
          <cell r="M240">
            <v>0</v>
          </cell>
          <cell r="N240">
            <v>0</v>
          </cell>
          <cell r="O240">
            <v>0</v>
          </cell>
          <cell r="Q240" t="str">
            <v>603.81.006 Gastos Administativos de venta</v>
          </cell>
        </row>
        <row r="241">
          <cell r="B241" t="str">
            <v>#9</v>
          </cell>
          <cell r="C241">
            <v>45820.84375</v>
          </cell>
          <cell r="D241">
            <v>194.65</v>
          </cell>
          <cell r="E241" t="str">
            <v>MXN</v>
          </cell>
          <cell r="F241" t="str">
            <v>Jose Maria Garcia Hernandez</v>
          </cell>
          <cell r="G241" t="str">
            <v>UBER* PENDING          CIUDAD DE MEX MEX</v>
          </cell>
          <cell r="H241" t="str">
            <v>Uber</v>
          </cell>
          <cell r="I241" t="str">
            <v>Sales</v>
          </cell>
          <cell r="J241" t="str">
            <v>Cafe gdl / Comida viatico.</v>
          </cell>
          <cell r="K241" t="str">
            <v>.</v>
          </cell>
          <cell r="L241">
            <v>0</v>
          </cell>
          <cell r="M241">
            <v>0</v>
          </cell>
          <cell r="N241">
            <v>0</v>
          </cell>
          <cell r="O241">
            <v>0</v>
          </cell>
          <cell r="Q241" t="str">
            <v>603.81.006 Gastos Administativos de venta</v>
          </cell>
        </row>
        <row r="242">
          <cell r="B242" t="str">
            <v>#9</v>
          </cell>
          <cell r="C242">
            <v>45820.890277777697</v>
          </cell>
          <cell r="D242">
            <v>574.91</v>
          </cell>
          <cell r="E242" t="str">
            <v>MXN</v>
          </cell>
          <cell r="F242" t="str">
            <v>Jose Maria Garcia Hernandez</v>
          </cell>
          <cell r="G242" t="str">
            <v>UBER * PENDING         CMX           MEX</v>
          </cell>
          <cell r="H242" t="str">
            <v>Uber</v>
          </cell>
          <cell r="I242" t="str">
            <v>Sales</v>
          </cell>
          <cell r="J242" t="str">
            <v>Uber</v>
          </cell>
          <cell r="K242" t="str">
            <v>.</v>
          </cell>
          <cell r="L242">
            <v>0</v>
          </cell>
          <cell r="M242">
            <v>0</v>
          </cell>
          <cell r="N242">
            <v>0</v>
          </cell>
          <cell r="O242">
            <v>0</v>
          </cell>
          <cell r="Q242" t="str">
            <v>603.81.006 Gastos Administativos de venta</v>
          </cell>
        </row>
        <row r="243">
          <cell r="B243" t="str">
            <v>#9</v>
          </cell>
          <cell r="C243">
            <v>45821.934722222199</v>
          </cell>
          <cell r="D243">
            <v>6095</v>
          </cell>
          <cell r="E243" t="str">
            <v>MXN</v>
          </cell>
          <cell r="F243" t="str">
            <v>Jose Maria Garcia Hernandez</v>
          </cell>
          <cell r="G243" t="str">
            <v>LOS ALAMOS RESTAURANTE CUAUTITLAN IZ MEX</v>
          </cell>
          <cell r="H243" t="str">
            <v>Los Alamos Restaurante Cuautitlan Iz Mex</v>
          </cell>
          <cell r="I243" t="str">
            <v>Sales</v>
          </cell>
          <cell r="J243" t="str">
            <v>TAG</v>
          </cell>
          <cell r="K243" t="str">
            <v>.</v>
          </cell>
          <cell r="L243">
            <v>0</v>
          </cell>
          <cell r="M243">
            <v>0</v>
          </cell>
          <cell r="N243">
            <v>0</v>
          </cell>
          <cell r="O243">
            <v>0</v>
          </cell>
          <cell r="Q243" t="str">
            <v>603.81.006 Gastos Administativos de venta</v>
          </cell>
        </row>
        <row r="244">
          <cell r="B244" t="str">
            <v>#9</v>
          </cell>
          <cell r="C244">
            <v>45821.964583333298</v>
          </cell>
          <cell r="D244">
            <v>510</v>
          </cell>
          <cell r="E244" t="str">
            <v>MXN</v>
          </cell>
          <cell r="F244" t="str">
            <v>Jose Maria Garcia Hernandez</v>
          </cell>
          <cell r="G244" t="str">
            <v>MERCADOPAGO *PASE      Miguel Hidalg MEX</v>
          </cell>
          <cell r="H244" t="str">
            <v>Mercadopago</v>
          </cell>
          <cell r="I244" t="str">
            <v>Sales</v>
          </cell>
          <cell r="J244" t="str">
            <v>TAG</v>
          </cell>
          <cell r="K244" t="str">
            <v>.</v>
          </cell>
          <cell r="L244">
            <v>0</v>
          </cell>
          <cell r="M244">
            <v>0</v>
          </cell>
          <cell r="N244">
            <v>0</v>
          </cell>
          <cell r="O244">
            <v>0</v>
          </cell>
          <cell r="Q244" t="str">
            <v>603.81.006 Gastos Administativos de venta</v>
          </cell>
        </row>
        <row r="245">
          <cell r="B245" t="str">
            <v>#9</v>
          </cell>
          <cell r="C245">
            <v>45822.018750000003</v>
          </cell>
          <cell r="D245">
            <v>1231.07</v>
          </cell>
          <cell r="E245" t="str">
            <v>MXN</v>
          </cell>
          <cell r="F245" t="str">
            <v>Jose Maria Garcia Hernandez</v>
          </cell>
          <cell r="G245" t="str">
            <v>GASOL VEVEGA           HUIXQUILUCAN  MEX</v>
          </cell>
          <cell r="H245" t="str">
            <v>Gasol Vevega Huixquilucan Mex</v>
          </cell>
          <cell r="I245" t="str">
            <v>Sales</v>
          </cell>
          <cell r="J245" t="str">
            <v xml:space="preserve">Comida / cliente potencial Puebla </v>
          </cell>
          <cell r="K245" t="str">
            <v>.</v>
          </cell>
          <cell r="L245">
            <v>0</v>
          </cell>
          <cell r="M245">
            <v>0</v>
          </cell>
          <cell r="N245">
            <v>0</v>
          </cell>
          <cell r="O245">
            <v>0</v>
          </cell>
          <cell r="Q245" t="str">
            <v>603.81.006 Gastos Administativos de venta</v>
          </cell>
        </row>
        <row r="246">
          <cell r="B246" t="str">
            <v>#9</v>
          </cell>
          <cell r="C246">
            <v>45825.820138888797</v>
          </cell>
          <cell r="D246">
            <v>288.51</v>
          </cell>
          <cell r="E246" t="str">
            <v>MXN</v>
          </cell>
          <cell r="F246" t="str">
            <v>Jose Maria Garcia Hernandez</v>
          </cell>
          <cell r="G246" t="str">
            <v>UBER* PENDING          CIUDAD DE MEX MEX</v>
          </cell>
          <cell r="H246" t="str">
            <v>Uber</v>
          </cell>
          <cell r="I246" t="str">
            <v>Sales</v>
          </cell>
          <cell r="J246" t="str">
            <v>Tag</v>
          </cell>
          <cell r="K246" t="str">
            <v>.</v>
          </cell>
          <cell r="L246">
            <v>0</v>
          </cell>
          <cell r="M246">
            <v>0</v>
          </cell>
          <cell r="N246">
            <v>0</v>
          </cell>
          <cell r="O246">
            <v>0</v>
          </cell>
          <cell r="Q246" t="str">
            <v>603.81.006 Gastos Administativos de venta</v>
          </cell>
        </row>
        <row r="247">
          <cell r="B247" t="str">
            <v>#9</v>
          </cell>
          <cell r="C247">
            <v>45825.9194444444</v>
          </cell>
          <cell r="D247">
            <v>2282.75</v>
          </cell>
          <cell r="E247" t="str">
            <v>MXN</v>
          </cell>
          <cell r="F247" t="str">
            <v>Jose Maria Garcia Hernandez</v>
          </cell>
          <cell r="G247" t="str">
            <v>REST LA 20 POLANCO     CIUDAD DE MEX MEX</v>
          </cell>
          <cell r="H247" t="str">
            <v>Rest La 20 Polanco Ciudad De Mex Mex</v>
          </cell>
          <cell r="I247" t="str">
            <v>Sales</v>
          </cell>
          <cell r="J247" t="str">
            <v>Gasolina</v>
          </cell>
          <cell r="K247" t="str">
            <v>.</v>
          </cell>
          <cell r="L247">
            <v>0</v>
          </cell>
          <cell r="M247">
            <v>0</v>
          </cell>
          <cell r="N247">
            <v>0</v>
          </cell>
          <cell r="O247">
            <v>0</v>
          </cell>
          <cell r="Q247" t="str">
            <v>603.81.006 Gastos Administativos de venta</v>
          </cell>
        </row>
        <row r="248">
          <cell r="B248" t="str">
            <v>#9</v>
          </cell>
          <cell r="C248">
            <v>45827.052777777702</v>
          </cell>
          <cell r="D248">
            <v>1681.87</v>
          </cell>
          <cell r="E248" t="str">
            <v>MXN</v>
          </cell>
          <cell r="F248" t="str">
            <v>Jose Maria Garcia Hernandez</v>
          </cell>
          <cell r="G248" t="str">
            <v>REST BLANCO CASTELAR   CIUDAD DE MEX MEX</v>
          </cell>
          <cell r="H248" t="str">
            <v>Rest Blanco Castelar Ciudad De Mex Mex</v>
          </cell>
          <cell r="I248" t="str">
            <v>Sales</v>
          </cell>
          <cell r="J248" t="str">
            <v>Desayuno Rafa de baysa</v>
          </cell>
          <cell r="K248" t="str">
            <v>.</v>
          </cell>
          <cell r="L248">
            <v>0</v>
          </cell>
          <cell r="M248">
            <v>0</v>
          </cell>
          <cell r="N248">
            <v>0</v>
          </cell>
          <cell r="O248">
            <v>0</v>
          </cell>
          <cell r="Q248" t="str">
            <v>603.81.006 Gastos Administativos de venta</v>
          </cell>
        </row>
        <row r="249">
          <cell r="B249" t="str">
            <v>#9</v>
          </cell>
          <cell r="C249">
            <v>45831.5979166666</v>
          </cell>
          <cell r="D249">
            <v>810</v>
          </cell>
          <cell r="E249" t="str">
            <v>MXN</v>
          </cell>
          <cell r="F249" t="str">
            <v>Jose Maria Garcia Hernandez</v>
          </cell>
          <cell r="G249" t="str">
            <v>MERCADOPAGO *PASE      Ciudad de Mex MEX</v>
          </cell>
          <cell r="H249" t="str">
            <v>Mercadopago</v>
          </cell>
          <cell r="I249" t="str">
            <v>Sales</v>
          </cell>
          <cell r="J249" t="str">
            <v>Uber</v>
          </cell>
          <cell r="K249" t="str">
            <v>.</v>
          </cell>
          <cell r="L249">
            <v>0</v>
          </cell>
          <cell r="M249">
            <v>0</v>
          </cell>
          <cell r="N249">
            <v>0</v>
          </cell>
          <cell r="O249">
            <v>0</v>
          </cell>
          <cell r="Q249" t="str">
            <v>603.81.006 Gastos Administativos de venta</v>
          </cell>
        </row>
        <row r="250">
          <cell r="B250" t="str">
            <v>#9</v>
          </cell>
          <cell r="C250">
            <v>45831.635416666599</v>
          </cell>
          <cell r="D250">
            <v>1179.8800000000001</v>
          </cell>
          <cell r="E250" t="str">
            <v>MXN</v>
          </cell>
          <cell r="F250" t="str">
            <v>Jose Maria Garcia Hernandez</v>
          </cell>
          <cell r="G250" t="str">
            <v>GASOL VEVEGA           HUIXQUILUCAN  MEX</v>
          </cell>
          <cell r="H250" t="str">
            <v>Gasol Vevega Huixquilucan Mex</v>
          </cell>
          <cell r="I250" t="str">
            <v>Sales</v>
          </cell>
          <cell r="J250" t="str">
            <v>Uber</v>
          </cell>
          <cell r="K250" t="str">
            <v>.</v>
          </cell>
          <cell r="L250">
            <v>0</v>
          </cell>
          <cell r="M250">
            <v>0</v>
          </cell>
          <cell r="N250">
            <v>0</v>
          </cell>
          <cell r="O250">
            <v>0</v>
          </cell>
          <cell r="Q250" t="str">
            <v>603.81.006 Gastos Administativos de venta</v>
          </cell>
        </row>
        <row r="251">
          <cell r="B251" t="str">
            <v>#9</v>
          </cell>
          <cell r="C251">
            <v>45831.843055555502</v>
          </cell>
          <cell r="D251">
            <v>425.5</v>
          </cell>
          <cell r="E251" t="str">
            <v>MXN</v>
          </cell>
          <cell r="F251" t="str">
            <v>Jose Maria Garcia Hernandez</v>
          </cell>
          <cell r="G251" t="str">
            <v>PARRILLA LEONESA B QUI SANTIAGO DE Q MEX</v>
          </cell>
          <cell r="H251" t="str">
            <v>La Parilla Grill &amp; Wine Bar</v>
          </cell>
          <cell r="I251" t="str">
            <v>Sales</v>
          </cell>
          <cell r="J251">
            <v>0</v>
          </cell>
          <cell r="K251" t="str">
            <v>.</v>
          </cell>
          <cell r="L251">
            <v>0</v>
          </cell>
          <cell r="M251">
            <v>0</v>
          </cell>
          <cell r="N251">
            <v>0</v>
          </cell>
          <cell r="O251">
            <v>0</v>
          </cell>
          <cell r="Q251" t="str">
            <v>603.81.006 Gastos Administativos de venta</v>
          </cell>
        </row>
        <row r="252">
          <cell r="B252" t="str">
            <v>#9</v>
          </cell>
          <cell r="C252">
            <v>45831.90625</v>
          </cell>
          <cell r="D252">
            <v>210</v>
          </cell>
          <cell r="E252" t="str">
            <v>MXN</v>
          </cell>
          <cell r="F252" t="str">
            <v>Jose Maria Garcia Hernandez</v>
          </cell>
          <cell r="G252" t="str">
            <v>MERCADOPAGO *PASE      Ciudad de Mex MEX</v>
          </cell>
          <cell r="H252" t="str">
            <v>Mercadopago</v>
          </cell>
          <cell r="I252" t="str">
            <v>Sales</v>
          </cell>
          <cell r="J252">
            <v>0</v>
          </cell>
          <cell r="K252" t="str">
            <v>.</v>
          </cell>
          <cell r="L252">
            <v>0</v>
          </cell>
          <cell r="M252">
            <v>0</v>
          </cell>
          <cell r="N252">
            <v>0</v>
          </cell>
          <cell r="O252">
            <v>0</v>
          </cell>
          <cell r="Q252" t="str">
            <v>603.81.006 Gastos Administativos de venta</v>
          </cell>
        </row>
        <row r="253">
          <cell r="B253" t="str">
            <v>#9</v>
          </cell>
          <cell r="C253">
            <v>45833.759027777698</v>
          </cell>
          <cell r="D253">
            <v>8509.5</v>
          </cell>
          <cell r="E253" t="str">
            <v>MXN</v>
          </cell>
          <cell r="F253" t="str">
            <v>Jose Maria Garcia Hernandez</v>
          </cell>
          <cell r="G253" t="str">
            <v>Viva Aerobus           APO           MEX</v>
          </cell>
          <cell r="H253" t="str">
            <v>Viva Aerobus Apo Mex</v>
          </cell>
          <cell r="I253" t="str">
            <v>Sales</v>
          </cell>
          <cell r="J253">
            <v>0</v>
          </cell>
          <cell r="K253" t="str">
            <v>.</v>
          </cell>
          <cell r="L253">
            <v>0</v>
          </cell>
          <cell r="M253">
            <v>0</v>
          </cell>
          <cell r="N253">
            <v>0</v>
          </cell>
          <cell r="O253">
            <v>0</v>
          </cell>
          <cell r="Q253" t="str">
            <v>603.81.006 Gastos Administativos de venta</v>
          </cell>
        </row>
        <row r="254">
          <cell r="B254" t="str">
            <v>#9</v>
          </cell>
          <cell r="C254">
            <v>45834.688888888799</v>
          </cell>
          <cell r="D254">
            <v>157.08000000000001</v>
          </cell>
          <cell r="E254" t="str">
            <v>MXN</v>
          </cell>
          <cell r="F254" t="str">
            <v>Jose Maria Garcia Hernandez</v>
          </cell>
          <cell r="G254" t="str">
            <v>UBER* PENDING          CIUDAD DE MEX MEX</v>
          </cell>
          <cell r="H254" t="str">
            <v>Uber</v>
          </cell>
          <cell r="I254" t="str">
            <v>Sales</v>
          </cell>
          <cell r="J254">
            <v>0</v>
          </cell>
          <cell r="K254" t="str">
            <v>.</v>
          </cell>
          <cell r="L254">
            <v>0</v>
          </cell>
          <cell r="M254">
            <v>0</v>
          </cell>
          <cell r="N254">
            <v>0</v>
          </cell>
          <cell r="O254">
            <v>0</v>
          </cell>
          <cell r="Q254" t="str">
            <v>603.81.006 Gastos Administativos de venta</v>
          </cell>
        </row>
        <row r="255">
          <cell r="B255" t="str">
            <v>#9</v>
          </cell>
          <cell r="C255">
            <v>45834.800694444399</v>
          </cell>
          <cell r="D255">
            <v>409.65</v>
          </cell>
          <cell r="E255" t="str">
            <v>MXN</v>
          </cell>
          <cell r="F255" t="str">
            <v>Jose Maria Garcia Hernandez</v>
          </cell>
          <cell r="G255" t="str">
            <v>UBER* TRIP             CIUDAD DE MEX MEX</v>
          </cell>
          <cell r="H255" t="str">
            <v>Uber</v>
          </cell>
          <cell r="I255" t="str">
            <v>Sales</v>
          </cell>
          <cell r="J255">
            <v>0</v>
          </cell>
          <cell r="K255" t="str">
            <v>.</v>
          </cell>
          <cell r="L255">
            <v>0</v>
          </cell>
          <cell r="M255">
            <v>0</v>
          </cell>
          <cell r="N255">
            <v>0</v>
          </cell>
          <cell r="O255">
            <v>0</v>
          </cell>
          <cell r="Q255" t="str">
            <v>603.81.006 Gastos Administativos de venta</v>
          </cell>
        </row>
        <row r="256">
          <cell r="B256" t="str">
            <v>#9</v>
          </cell>
          <cell r="C256">
            <v>45834.801388888802</v>
          </cell>
          <cell r="D256">
            <v>127.18</v>
          </cell>
          <cell r="E256" t="str">
            <v>MXN</v>
          </cell>
          <cell r="F256" t="str">
            <v>Jose Maria Garcia Hernandez</v>
          </cell>
          <cell r="G256" t="str">
            <v>UBER* PENDING          CIUDAD DE MEX MEX</v>
          </cell>
          <cell r="H256" t="str">
            <v>Uber</v>
          </cell>
          <cell r="I256" t="str">
            <v>Sales</v>
          </cell>
          <cell r="J256">
            <v>0</v>
          </cell>
          <cell r="K256" t="str">
            <v>.</v>
          </cell>
          <cell r="L256">
            <v>0</v>
          </cell>
          <cell r="M256">
            <v>0</v>
          </cell>
          <cell r="N256">
            <v>0</v>
          </cell>
          <cell r="O256">
            <v>0</v>
          </cell>
          <cell r="Q256" t="str">
            <v>603.81.006 Gastos Administativos de venta</v>
          </cell>
        </row>
        <row r="257">
          <cell r="B257" t="str">
            <v>#9</v>
          </cell>
          <cell r="C257">
            <v>45834.990277777702</v>
          </cell>
          <cell r="D257">
            <v>556.88</v>
          </cell>
          <cell r="E257" t="str">
            <v>MXN</v>
          </cell>
          <cell r="F257" t="str">
            <v>Jose Maria Garcia Hernandez</v>
          </cell>
          <cell r="G257" t="str">
            <v>UBER* PENDING          CIUDAD DE MEX MEX</v>
          </cell>
          <cell r="H257" t="str">
            <v>Uber</v>
          </cell>
          <cell r="I257" t="str">
            <v>Sales</v>
          </cell>
          <cell r="J257">
            <v>0</v>
          </cell>
          <cell r="K257" t="str">
            <v>.</v>
          </cell>
          <cell r="L257">
            <v>0</v>
          </cell>
          <cell r="M257">
            <v>0</v>
          </cell>
          <cell r="N257">
            <v>0</v>
          </cell>
          <cell r="O257">
            <v>0</v>
          </cell>
          <cell r="Q257" t="str">
            <v>603.81.006 Gastos Administativos de venta</v>
          </cell>
        </row>
        <row r="258">
          <cell r="B258" t="str">
            <v>#9</v>
          </cell>
          <cell r="C258">
            <v>45835.059722222199</v>
          </cell>
          <cell r="D258">
            <v>102</v>
          </cell>
          <cell r="E258" t="str">
            <v>MXN</v>
          </cell>
          <cell r="F258" t="str">
            <v>Jose Maria Garcia Hernandez</v>
          </cell>
          <cell r="G258" t="str">
            <v>STARBUCKS AEROP GUAD   CIUDAD DE MEX MEX</v>
          </cell>
          <cell r="H258" t="str">
            <v>Starbucks</v>
          </cell>
          <cell r="I258" t="str">
            <v>Sales</v>
          </cell>
          <cell r="J258">
            <v>0</v>
          </cell>
          <cell r="K258" t="str">
            <v>.</v>
          </cell>
          <cell r="L258">
            <v>0</v>
          </cell>
          <cell r="M258">
            <v>0</v>
          </cell>
          <cell r="N258">
            <v>0</v>
          </cell>
          <cell r="O258">
            <v>0</v>
          </cell>
          <cell r="Q258" t="str">
            <v>603.81.006 Gastos Administativos de venta</v>
          </cell>
        </row>
        <row r="259">
          <cell r="B259" t="str">
            <v>#9</v>
          </cell>
          <cell r="C259">
            <v>45835.186111111099</v>
          </cell>
          <cell r="D259">
            <v>378</v>
          </cell>
          <cell r="E259" t="str">
            <v>MXN</v>
          </cell>
          <cell r="F259" t="str">
            <v>Jose Maria Garcia Hernandez</v>
          </cell>
          <cell r="G259" t="str">
            <v>AICM TI 5              CIUDAD DE MEX MEX</v>
          </cell>
          <cell r="H259" t="str">
            <v>Aicm Ti 5 Ciudad De Mex Mex</v>
          </cell>
          <cell r="I259" t="str">
            <v>Sales</v>
          </cell>
          <cell r="J259">
            <v>0</v>
          </cell>
          <cell r="K259" t="str">
            <v>.</v>
          </cell>
          <cell r="L259">
            <v>0</v>
          </cell>
          <cell r="M259">
            <v>0</v>
          </cell>
          <cell r="N259">
            <v>0</v>
          </cell>
          <cell r="O259">
            <v>0</v>
          </cell>
          <cell r="Q259" t="str">
            <v>603.81.006 Gastos Administativos de venta</v>
          </cell>
        </row>
        <row r="260">
          <cell r="B260" t="str">
            <v>#13</v>
          </cell>
          <cell r="C260">
            <v>45810.6875</v>
          </cell>
          <cell r="D260">
            <v>368</v>
          </cell>
          <cell r="E260" t="str">
            <v>MXN</v>
          </cell>
          <cell r="F260" t="str">
            <v>Miguel De Lascurain</v>
          </cell>
          <cell r="G260" t="str">
            <v>WUZIPAY*MAXIMUS        TORREON COAH  MEX</v>
          </cell>
          <cell r="H260" t="str">
            <v>Wuzipay Maximus Torreon Coah Mex</v>
          </cell>
          <cell r="I260" t="str">
            <v>Transaction cost</v>
          </cell>
          <cell r="J260" t="str">
            <v>Café en Café Toscano. Asistentes:
- Miguel de Lascurain
- Alfredo Aguado</v>
          </cell>
          <cell r="K260" t="str">
            <v>EBC92015-6184-40CD-8946-516F89EEFD3B</v>
          </cell>
          <cell r="L260">
            <v>0</v>
          </cell>
          <cell r="M260">
            <v>0</v>
          </cell>
          <cell r="N260">
            <v>0</v>
          </cell>
          <cell r="O260">
            <v>0</v>
          </cell>
          <cell r="Q260" t="str">
            <v>603.81.006 Gastos Administativos de venta</v>
          </cell>
        </row>
        <row r="261">
          <cell r="B261" t="str">
            <v>#13</v>
          </cell>
          <cell r="C261">
            <v>45810.938194444403</v>
          </cell>
          <cell r="D261">
            <v>388</v>
          </cell>
          <cell r="E261" t="str">
            <v>MXN</v>
          </cell>
          <cell r="F261" t="str">
            <v>Miguel De Lascurain</v>
          </cell>
          <cell r="G261" t="str">
            <v>CAFE 37                CIUDAD DE MEX MEX</v>
          </cell>
          <cell r="H261" t="str">
            <v>Cafe 37 Ciudad De Mex Mex</v>
          </cell>
          <cell r="I261" t="str">
            <v>Transaction cost</v>
          </cell>
          <cell r="J261" t="str">
            <v>Café Von Wobesser. Asistentes:
- Alfonso Bello
- Miguel de Lascurain
- Personal de Segem
Sin factura</v>
          </cell>
          <cell r="K261" t="str">
            <v>Sin factura</v>
          </cell>
          <cell r="L261">
            <v>0</v>
          </cell>
          <cell r="M261">
            <v>0</v>
          </cell>
          <cell r="N261">
            <v>0</v>
          </cell>
          <cell r="O261">
            <v>0</v>
          </cell>
          <cell r="Q261" t="str">
            <v>603.81.006 Gastos Administativos de venta</v>
          </cell>
        </row>
        <row r="262">
          <cell r="B262" t="str">
            <v>#13</v>
          </cell>
          <cell r="C262">
            <v>45811.068749999999</v>
          </cell>
          <cell r="D262">
            <v>193</v>
          </cell>
          <cell r="E262" t="str">
            <v>MXN</v>
          </cell>
          <cell r="F262" t="str">
            <v>Miguel De Lascurain</v>
          </cell>
          <cell r="G262" t="str">
            <v>DLO*DIDI RIDES         CIUDAD DE MEX MEX</v>
          </cell>
          <cell r="H262" t="str">
            <v>Didi Chuxing</v>
          </cell>
          <cell r="I262" t="str">
            <v>Sales</v>
          </cell>
          <cell r="J262" t="str">
            <v>Didi oficina a cena con Jeremías</v>
          </cell>
          <cell r="K262" t="str">
            <v>Sin factura</v>
          </cell>
          <cell r="L262">
            <v>0</v>
          </cell>
          <cell r="M262">
            <v>0</v>
          </cell>
          <cell r="N262">
            <v>0</v>
          </cell>
          <cell r="O262">
            <v>0</v>
          </cell>
          <cell r="Q262" t="str">
            <v>603.81.006 Gastos Administativos de venta</v>
          </cell>
        </row>
        <row r="263">
          <cell r="B263" t="str">
            <v>#13</v>
          </cell>
          <cell r="C263">
            <v>45811.095138888799</v>
          </cell>
          <cell r="D263">
            <v>1.84</v>
          </cell>
          <cell r="E263" t="str">
            <v>MXN</v>
          </cell>
          <cell r="F263" t="str">
            <v>Miguel De Lascurain</v>
          </cell>
          <cell r="G263" t="str">
            <v>DLO*DiDi MX Payin Ride MEXICO        MEX</v>
          </cell>
          <cell r="H263" t="str">
            <v>Dlo Didi Mx Payin Ride Mexico Mex</v>
          </cell>
          <cell r="I263" t="str">
            <v>Sales</v>
          </cell>
          <cell r="J263" t="str">
            <v>Didi oficina a cena con Jeremías</v>
          </cell>
          <cell r="K263" t="str">
            <v>Sin factura</v>
          </cell>
          <cell r="L263">
            <v>0</v>
          </cell>
          <cell r="M263">
            <v>0</v>
          </cell>
          <cell r="N263">
            <v>0</v>
          </cell>
          <cell r="O263">
            <v>0</v>
          </cell>
          <cell r="Q263" t="str">
            <v>603.81.006 Gastos Administativos de venta</v>
          </cell>
        </row>
        <row r="264">
          <cell r="B264" t="str">
            <v>#13</v>
          </cell>
          <cell r="C264">
            <v>45811.723611111098</v>
          </cell>
          <cell r="D264">
            <v>101</v>
          </cell>
          <cell r="E264" t="str">
            <v>MXN</v>
          </cell>
          <cell r="F264" t="str">
            <v>Miguel De Lascurain</v>
          </cell>
          <cell r="G264" t="str">
            <v>DLO*DIDI RIDES         CIUDAD DE MEX MEX</v>
          </cell>
          <cell r="H264" t="str">
            <v>Didi Chuxing</v>
          </cell>
          <cell r="I264" t="str">
            <v>Sales</v>
          </cell>
          <cell r="J264" t="str">
            <v>Didi casa a Dominion</v>
          </cell>
          <cell r="K264" t="str">
            <v>Sin factura</v>
          </cell>
          <cell r="L264">
            <v>0</v>
          </cell>
          <cell r="M264">
            <v>0</v>
          </cell>
          <cell r="N264">
            <v>0</v>
          </cell>
          <cell r="O264">
            <v>0</v>
          </cell>
          <cell r="Q264" t="str">
            <v>603.81.006 Gastos Administativos de venta</v>
          </cell>
        </row>
        <row r="265">
          <cell r="B265" t="str">
            <v>#13</v>
          </cell>
          <cell r="C265">
            <v>45811.913194444402</v>
          </cell>
          <cell r="D265">
            <v>908.5</v>
          </cell>
          <cell r="E265" t="str">
            <v>MXN</v>
          </cell>
          <cell r="F265" t="str">
            <v>Miguel De Lascurain</v>
          </cell>
          <cell r="G265" t="str">
            <v>SANBORNS FORUM BUENA V MEXICO DF     MEX</v>
          </cell>
          <cell r="H265" t="str">
            <v>Sanborns Forum Buena V Mexico Df Mex</v>
          </cell>
          <cell r="I265" t="str">
            <v>Sales</v>
          </cell>
          <cell r="J265" t="str">
            <v>Comida con Cliente. Asistentes:
- Rafael Boietti (Jeremías)
- Eduardo de la O (EAcero)
- Miguel de Lascurain</v>
          </cell>
          <cell r="K265" t="str">
            <v>F9889D4C-0C9B-4DE5-AB05-9F770740A750</v>
          </cell>
          <cell r="L265">
            <v>0</v>
          </cell>
          <cell r="M265">
            <v>0</v>
          </cell>
          <cell r="N265">
            <v>0</v>
          </cell>
          <cell r="O265">
            <v>0</v>
          </cell>
          <cell r="Q265" t="str">
            <v>603.81.006 Gastos Administativos de venta</v>
          </cell>
        </row>
        <row r="266">
          <cell r="B266" t="str">
            <v>#13</v>
          </cell>
          <cell r="C266">
            <v>45812.186111111099</v>
          </cell>
          <cell r="D266">
            <v>2162.71</v>
          </cell>
          <cell r="E266" t="str">
            <v>MXN</v>
          </cell>
          <cell r="F266" t="str">
            <v>Miguel De Lascurain</v>
          </cell>
          <cell r="G266" t="str">
            <v>Viva Aerobus           APO           MEX</v>
          </cell>
          <cell r="H266" t="str">
            <v>Viva Aerobus Apo Mex</v>
          </cell>
          <cell r="I266" t="str">
            <v>Sales</v>
          </cell>
          <cell r="J266" t="str">
            <v>Vuelo CDMX - Monterrey</v>
          </cell>
          <cell r="K266" t="str">
            <v>5e2250f4-89c2-4a8c-aa5e-ba84fedf1b00</v>
          </cell>
          <cell r="L266">
            <v>0</v>
          </cell>
          <cell r="M266">
            <v>0</v>
          </cell>
          <cell r="N266">
            <v>0</v>
          </cell>
          <cell r="O266">
            <v>0</v>
          </cell>
          <cell r="Q266" t="str">
            <v>603.81.006 Gastos Administativos de venta</v>
          </cell>
        </row>
        <row r="267">
          <cell r="B267" t="str">
            <v>#13</v>
          </cell>
          <cell r="C267">
            <v>45812.881249999999</v>
          </cell>
          <cell r="D267">
            <v>270</v>
          </cell>
          <cell r="E267" t="str">
            <v>MXN</v>
          </cell>
          <cell r="F267" t="str">
            <v>Miguel De Lascurain</v>
          </cell>
          <cell r="G267" t="str">
            <v>DLO*DIDI RIDES         CIUDAD DE MEX MEX</v>
          </cell>
          <cell r="H267" t="str">
            <v>Didi Chuxing</v>
          </cell>
          <cell r="I267" t="str">
            <v>Sales</v>
          </cell>
          <cell r="J267" t="str">
            <v>Didi oficina al AIFA</v>
          </cell>
          <cell r="K267" t="str">
            <v>Sin factura</v>
          </cell>
          <cell r="L267">
            <v>0</v>
          </cell>
          <cell r="M267">
            <v>0</v>
          </cell>
          <cell r="N267">
            <v>0</v>
          </cell>
          <cell r="O267">
            <v>0</v>
          </cell>
          <cell r="Q267" t="str">
            <v>603.81.006 Gastos Administativos de venta</v>
          </cell>
        </row>
        <row r="268">
          <cell r="B268" t="str">
            <v>#13</v>
          </cell>
          <cell r="C268">
            <v>45813.037499999999</v>
          </cell>
          <cell r="D268">
            <v>2110.69</v>
          </cell>
          <cell r="E268" t="str">
            <v>MXN</v>
          </cell>
          <cell r="F268" t="str">
            <v>Miguel De Lascurain</v>
          </cell>
          <cell r="G268" t="str">
            <v>AVIS MXN               MERIDA YUC    MEX</v>
          </cell>
          <cell r="H268" t="str">
            <v>Avis Rent A Car</v>
          </cell>
          <cell r="I268" t="str">
            <v>Sales</v>
          </cell>
          <cell r="J268" t="str">
            <v>Renta carro Monterrey</v>
          </cell>
          <cell r="K268" t="str">
            <v>8cb78218-e404-43c9-80c8-2b6f1aaca7d6</v>
          </cell>
          <cell r="L268">
            <v>0</v>
          </cell>
          <cell r="M268">
            <v>0</v>
          </cell>
          <cell r="N268">
            <v>0</v>
          </cell>
          <cell r="O268">
            <v>0</v>
          </cell>
          <cell r="Q268" t="str">
            <v>603.81.006 Gastos Administativos de venta</v>
          </cell>
        </row>
        <row r="269">
          <cell r="B269" t="str">
            <v>#13</v>
          </cell>
          <cell r="C269">
            <v>45813.646527777702</v>
          </cell>
          <cell r="D269">
            <v>719.9</v>
          </cell>
          <cell r="E269" t="str">
            <v>MXN</v>
          </cell>
          <cell r="F269" t="str">
            <v>Miguel De Lascurain</v>
          </cell>
          <cell r="G269" t="str">
            <v>REST CAFE LAUREL ARBO  SN PEDRO GARZ MEX</v>
          </cell>
          <cell r="H269" t="str">
            <v>Rest Cafe Laurel Arbo Sn Pedro Garz Mex</v>
          </cell>
          <cell r="I269" t="str">
            <v>G&amp;A expenses</v>
          </cell>
          <cell r="J269" t="str">
            <v>Desayuno Monterrey. Asistentes:
- Miguel de Lascurain
- Emiliano Cavazos</v>
          </cell>
          <cell r="K269" t="str">
            <v>9C897853-8766-4924-8559-BF8360F318FA</v>
          </cell>
          <cell r="L269">
            <v>0</v>
          </cell>
          <cell r="M269">
            <v>0</v>
          </cell>
          <cell r="N269">
            <v>0</v>
          </cell>
          <cell r="O269">
            <v>0</v>
          </cell>
          <cell r="Q269" t="str">
            <v>603.81.006 Gastos Administativos de venta</v>
          </cell>
        </row>
        <row r="270">
          <cell r="B270" t="str">
            <v>#13</v>
          </cell>
          <cell r="C270">
            <v>45813.890277777697</v>
          </cell>
          <cell r="D270">
            <v>344</v>
          </cell>
          <cell r="E270" t="str">
            <v>MXN</v>
          </cell>
          <cell r="F270" t="str">
            <v>Miguel De Lascurain</v>
          </cell>
          <cell r="G270" t="str">
            <v>STARBUCKS XO           NLE           MEX</v>
          </cell>
          <cell r="H270" t="str">
            <v>Starbucks</v>
          </cell>
          <cell r="I270" t="str">
            <v>G&amp;A expenses</v>
          </cell>
          <cell r="J270" t="str">
            <v>Comida Monterrey. Asistentes:
- Miguel de Lascurain
- Jorge Ramírez</v>
          </cell>
          <cell r="K270" t="str">
            <v>Sin factura</v>
          </cell>
          <cell r="L270">
            <v>0</v>
          </cell>
          <cell r="M270">
            <v>0</v>
          </cell>
          <cell r="N270">
            <v>0</v>
          </cell>
          <cell r="O270">
            <v>0</v>
          </cell>
          <cell r="Q270" t="str">
            <v>603.81.006 Gastos Administativos de venta</v>
          </cell>
        </row>
        <row r="271">
          <cell r="B271" t="str">
            <v>#13</v>
          </cell>
          <cell r="C271">
            <v>45814.101388888797</v>
          </cell>
          <cell r="D271">
            <v>225.03</v>
          </cell>
          <cell r="E271" t="str">
            <v>MXN</v>
          </cell>
          <cell r="F271" t="str">
            <v>Miguel De Lascurain</v>
          </cell>
          <cell r="G271" t="str">
            <v>OXXO GAS AEROGAS       APODACA NL    MEX</v>
          </cell>
          <cell r="H271" t="str">
            <v>Oxxo</v>
          </cell>
          <cell r="I271" t="str">
            <v>Sales</v>
          </cell>
          <cell r="J271" t="str">
            <v>Gasolina Monterrey</v>
          </cell>
          <cell r="K271" t="str">
            <v>493b82ce-104-46e7-9e-aaa913608324e5</v>
          </cell>
          <cell r="L271">
            <v>0</v>
          </cell>
          <cell r="M271">
            <v>0</v>
          </cell>
          <cell r="N271">
            <v>0</v>
          </cell>
          <cell r="O271">
            <v>0</v>
          </cell>
          <cell r="Q271" t="str">
            <v>603.81.006 Gastos Administativos de venta</v>
          </cell>
        </row>
        <row r="272">
          <cell r="B272" t="str">
            <v>#13</v>
          </cell>
          <cell r="C272">
            <v>45814.320138888797</v>
          </cell>
          <cell r="D272">
            <v>950</v>
          </cell>
          <cell r="E272" t="str">
            <v>MXN</v>
          </cell>
          <cell r="F272" t="str">
            <v>Miguel De Lascurain</v>
          </cell>
          <cell r="G272" t="str">
            <v>ATAXA AIFA TAXI2       ZUMPANGO EM   MEX</v>
          </cell>
          <cell r="H272" t="str">
            <v>Ataxa Aifa Taxi2 Zumpango Em Mex</v>
          </cell>
          <cell r="I272" t="str">
            <v>Sales</v>
          </cell>
          <cell r="J272" t="str">
            <v>Taxi AIFA - casa</v>
          </cell>
          <cell r="K272" t="str">
            <v>141759f1-1374-4d5e-825f-b13c14a91bed</v>
          </cell>
          <cell r="L272">
            <v>0</v>
          </cell>
          <cell r="M272">
            <v>0</v>
          </cell>
          <cell r="N272">
            <v>0</v>
          </cell>
          <cell r="O272">
            <v>0</v>
          </cell>
          <cell r="Q272" t="str">
            <v>603.81.006 Gastos Administativos de venta</v>
          </cell>
        </row>
        <row r="273">
          <cell r="B273" t="str">
            <v>#13</v>
          </cell>
          <cell r="C273">
            <v>45817.680555555497</v>
          </cell>
          <cell r="D273">
            <v>385.25</v>
          </cell>
          <cell r="E273" t="str">
            <v>MXN</v>
          </cell>
          <cell r="F273" t="str">
            <v>Miguel De Lascurain</v>
          </cell>
          <cell r="G273" t="str">
            <v>OLI CAFE               CIUDAD DE MEX MEX</v>
          </cell>
          <cell r="H273" t="str">
            <v>Oli Cafe Ciudad De Mex Mex</v>
          </cell>
          <cell r="I273" t="str">
            <v>Sales</v>
          </cell>
          <cell r="J273" t="str">
            <v>Desayuno Cliente. Asistentes:
- Patricio Servitje
- Miguel de Lascurain
- Eduardo Barnetche (Vimar Steel)
- Eduardo Vigil (Vimar Steel)</v>
          </cell>
          <cell r="K273" t="str">
            <v>4CE00B16-C88A-432A-81B1-4ADFE882356C</v>
          </cell>
          <cell r="L273">
            <v>0</v>
          </cell>
          <cell r="M273">
            <v>0</v>
          </cell>
          <cell r="N273">
            <v>0</v>
          </cell>
          <cell r="O273">
            <v>0</v>
          </cell>
          <cell r="Q273" t="str">
            <v>603.81.006 Gastos Administativos de venta</v>
          </cell>
        </row>
        <row r="274">
          <cell r="B274" t="str">
            <v>#13</v>
          </cell>
          <cell r="C274">
            <v>45818.006944444402</v>
          </cell>
          <cell r="D274">
            <v>96</v>
          </cell>
          <cell r="E274" t="str">
            <v>MXN</v>
          </cell>
          <cell r="F274" t="str">
            <v>Miguel De Lascurain</v>
          </cell>
          <cell r="G274" t="str">
            <v>DLO*DIDI RIDES         CIUDAD DE MEX MEX</v>
          </cell>
          <cell r="H274" t="str">
            <v>Didi Chuxing</v>
          </cell>
          <cell r="I274" t="str">
            <v>Transaction cost</v>
          </cell>
          <cell r="J274" t="str">
            <v>Didi Galicia a oficina</v>
          </cell>
          <cell r="K274" t="str">
            <v>Sin factura</v>
          </cell>
          <cell r="L274">
            <v>0</v>
          </cell>
          <cell r="M274">
            <v>0</v>
          </cell>
          <cell r="N274">
            <v>0</v>
          </cell>
          <cell r="O274">
            <v>0</v>
          </cell>
          <cell r="Q274" t="str">
            <v>603.81.006 Gastos Administativos de venta</v>
          </cell>
        </row>
        <row r="275">
          <cell r="B275" t="str">
            <v>#13</v>
          </cell>
          <cell r="C275">
            <v>45822.094444444403</v>
          </cell>
          <cell r="D275">
            <v>956.8</v>
          </cell>
          <cell r="E275" t="str">
            <v>MXN</v>
          </cell>
          <cell r="F275" t="str">
            <v>Miguel De Lascurain</v>
          </cell>
          <cell r="G275" t="str">
            <v>RESTAURANTS LA MANSION SANTIAGO DE Q MEX</v>
          </cell>
          <cell r="H275" t="str">
            <v>Restaurants La Mansion Santiago De Q Mex</v>
          </cell>
          <cell r="I275" t="str">
            <v>Transaction cost</v>
          </cell>
          <cell r="J275" t="str">
            <v>Comida / cena Querétaro</v>
          </cell>
          <cell r="K275" t="str">
            <v>B27C6EF9-875E-48C5-AC71-EC03C4B8C568</v>
          </cell>
          <cell r="L275">
            <v>0</v>
          </cell>
          <cell r="M275">
            <v>0</v>
          </cell>
          <cell r="N275">
            <v>0</v>
          </cell>
          <cell r="O275">
            <v>0</v>
          </cell>
          <cell r="Q275" t="str">
            <v>603.81.006 Gastos Administativos de venta</v>
          </cell>
        </row>
        <row r="276">
          <cell r="B276" t="str">
            <v>#13</v>
          </cell>
          <cell r="C276">
            <v>45822.106249999997</v>
          </cell>
          <cell r="D276">
            <v>1151.0999999999999</v>
          </cell>
          <cell r="E276" t="str">
            <v>MXN</v>
          </cell>
          <cell r="F276" t="str">
            <v>Miguel De Lascurain</v>
          </cell>
          <cell r="G276" t="str">
            <v>IBIS QUERETARO         QUERETARO QRO MEX</v>
          </cell>
          <cell r="H276" t="str">
            <v>Ibis Queretaro Queretaro Qro Mex</v>
          </cell>
          <cell r="I276" t="str">
            <v>Sales</v>
          </cell>
          <cell r="J276" t="str">
            <v>Hotel Querétaro</v>
          </cell>
          <cell r="K276" t="str">
            <v>06D94F4E-0F88-5FD5-9DC1-9BEF370B0679</v>
          </cell>
          <cell r="L276">
            <v>0</v>
          </cell>
          <cell r="M276">
            <v>0</v>
          </cell>
          <cell r="N276">
            <v>0</v>
          </cell>
          <cell r="O276">
            <v>0</v>
          </cell>
          <cell r="Q276" t="str">
            <v>603.81.006 Gastos Administativos de venta</v>
          </cell>
        </row>
        <row r="277">
          <cell r="B277" t="str">
            <v>#13</v>
          </cell>
          <cell r="C277">
            <v>45822.551388888802</v>
          </cell>
          <cell r="D277">
            <v>945.95</v>
          </cell>
          <cell r="E277" t="str">
            <v>MXN</v>
          </cell>
          <cell r="F277" t="str">
            <v>Miguel De Lascurain</v>
          </cell>
          <cell r="G277" t="str">
            <v>SERVICIOS LA VIRGEN    SN JUAN DEL R MEX</v>
          </cell>
          <cell r="H277" t="str">
            <v>Servicios La Virgen Sn Juan Del R Mex</v>
          </cell>
          <cell r="I277" t="str">
            <v>Sales</v>
          </cell>
          <cell r="J277" t="str">
            <v>Gasolina Querétaro</v>
          </cell>
          <cell r="K277" t="str">
            <v>0bdceb16-6392-4b1e-84c4-d16632ae28b5</v>
          </cell>
          <cell r="L277">
            <v>0</v>
          </cell>
          <cell r="M277">
            <v>0</v>
          </cell>
          <cell r="N277">
            <v>0</v>
          </cell>
          <cell r="O277">
            <v>0</v>
          </cell>
          <cell r="Q277" t="str">
            <v>603.81.006 Gastos Administativos de venta</v>
          </cell>
        </row>
        <row r="278">
          <cell r="B278" t="str">
            <v>#13</v>
          </cell>
          <cell r="C278">
            <v>45825.8465277777</v>
          </cell>
          <cell r="D278">
            <v>1009</v>
          </cell>
          <cell r="E278" t="str">
            <v>MXN</v>
          </cell>
          <cell r="F278" t="str">
            <v>Miguel De Lascurain</v>
          </cell>
          <cell r="G278" t="str">
            <v>REST LOCAL 16          CIUDAD DE MEX MEX</v>
          </cell>
          <cell r="H278" t="str">
            <v>Rest Local 16 Ciudad De Mex Mex</v>
          </cell>
          <cell r="I278" t="str">
            <v>Sales</v>
          </cell>
          <cell r="J278" t="str">
            <v>Comida comercial. Asistentes:
- Miguel de Lascurain
- Carlos Abogado</v>
          </cell>
          <cell r="K278" t="str">
            <v>POR FACTURAR</v>
          </cell>
          <cell r="L278">
            <v>0</v>
          </cell>
          <cell r="M278">
            <v>0</v>
          </cell>
          <cell r="N278">
            <v>0</v>
          </cell>
          <cell r="O278">
            <v>0</v>
          </cell>
          <cell r="Q278" t="str">
            <v>603.81.006 Gastos Administativos de venta</v>
          </cell>
        </row>
        <row r="279">
          <cell r="B279" t="str">
            <v>#13</v>
          </cell>
          <cell r="C279">
            <v>45832.723611111098</v>
          </cell>
          <cell r="D279">
            <v>80</v>
          </cell>
          <cell r="E279" t="str">
            <v>MXN</v>
          </cell>
          <cell r="F279" t="str">
            <v>Miguel De Lascurain</v>
          </cell>
          <cell r="G279" t="str">
            <v>D LOCAL*DIDI RIDES     CIUDAD DE MEX MEX</v>
          </cell>
          <cell r="H279" t="str">
            <v>Didi Chuxing</v>
          </cell>
          <cell r="I279" t="str">
            <v>Sales</v>
          </cell>
          <cell r="J279" t="str">
            <v>Didi Oficina - Gaya</v>
          </cell>
          <cell r="K279" t="str">
            <v>Sin factura</v>
          </cell>
          <cell r="L279">
            <v>0</v>
          </cell>
          <cell r="M279">
            <v>0</v>
          </cell>
          <cell r="N279">
            <v>0</v>
          </cell>
          <cell r="O279">
            <v>0</v>
          </cell>
          <cell r="Q279" t="str">
            <v>603.81.006 Gastos Administativos de venta</v>
          </cell>
        </row>
        <row r="280">
          <cell r="B280" t="str">
            <v>#13</v>
          </cell>
          <cell r="C280">
            <v>45832.842361111099</v>
          </cell>
          <cell r="D280">
            <v>74</v>
          </cell>
          <cell r="E280" t="str">
            <v>MXN</v>
          </cell>
          <cell r="F280" t="str">
            <v>Miguel De Lascurain</v>
          </cell>
          <cell r="G280" t="str">
            <v>DLO*DiDi MX Payin Ride MEXICO        MEX</v>
          </cell>
          <cell r="H280" t="str">
            <v>Dlo Didi Mx Payin Ride Mexico Mex</v>
          </cell>
          <cell r="I280" t="str">
            <v>Sales</v>
          </cell>
          <cell r="J280" t="str">
            <v>Didi Gaya - Oficina</v>
          </cell>
          <cell r="K280" t="str">
            <v>Sin factura</v>
          </cell>
          <cell r="L280">
            <v>0</v>
          </cell>
          <cell r="M280">
            <v>0</v>
          </cell>
          <cell r="N280">
            <v>0</v>
          </cell>
          <cell r="O280">
            <v>0</v>
          </cell>
          <cell r="Q280" t="str">
            <v>603.81.006 Gastos Administativos de venta</v>
          </cell>
        </row>
        <row r="281">
          <cell r="B281" t="str">
            <v>#13</v>
          </cell>
          <cell r="C281">
            <v>45838.866666666603</v>
          </cell>
          <cell r="D281">
            <v>1184.5</v>
          </cell>
          <cell r="E281" t="str">
            <v>MXN</v>
          </cell>
          <cell r="F281" t="str">
            <v>Miguel De Lascurain</v>
          </cell>
          <cell r="G281" t="str">
            <v>REST OPER SHUF         CIUDAD DE MEX MEX</v>
          </cell>
          <cell r="H281" t="str">
            <v>Rest Oper Shuf Ciudad De Mex Mex</v>
          </cell>
          <cell r="I281" t="str">
            <v>G&amp;A expenses</v>
          </cell>
          <cell r="J281" t="str">
            <v>Comida de equipo. Asistentes:
- Jesús González
- Elisa Sánchez
- Carlos López
- Miguel de Lascurain</v>
          </cell>
          <cell r="K281" t="str">
            <v>POR FACTURAR</v>
          </cell>
          <cell r="L281">
            <v>0</v>
          </cell>
          <cell r="M281">
            <v>0</v>
          </cell>
          <cell r="N281">
            <v>0</v>
          </cell>
          <cell r="O281">
            <v>0</v>
          </cell>
          <cell r="Q281" t="str">
            <v>603.81.006 Gastos Administativos de venta</v>
          </cell>
        </row>
        <row r="282">
          <cell r="B282" t="str">
            <v>#14</v>
          </cell>
          <cell r="C282">
            <v>45810.909722222197</v>
          </cell>
          <cell r="D282">
            <v>161.68</v>
          </cell>
          <cell r="E282" t="str">
            <v>MXN</v>
          </cell>
          <cell r="F282" t="str">
            <v>Patricio Servitje Azcarraga</v>
          </cell>
          <cell r="G282" t="str">
            <v>Viasat, Inc.           8669453258    USA</v>
          </cell>
          <cell r="H282" t="str">
            <v>Viasat</v>
          </cell>
          <cell r="I282" t="str">
            <v/>
          </cell>
          <cell r="J282">
            <v>0</v>
          </cell>
          <cell r="K282" t="str">
            <v>.</v>
          </cell>
          <cell r="L282">
            <v>0</v>
          </cell>
          <cell r="M282">
            <v>0</v>
          </cell>
          <cell r="N282">
            <v>0</v>
          </cell>
          <cell r="O282">
            <v>0</v>
          </cell>
          <cell r="Q282" t="str">
            <v>603.81.002 Gastos corporativos ND</v>
          </cell>
        </row>
        <row r="283">
          <cell r="B283" t="str">
            <v>#19</v>
          </cell>
          <cell r="C283">
            <v>45810.617361111101</v>
          </cell>
          <cell r="D283">
            <v>90</v>
          </cell>
          <cell r="E283" t="str">
            <v>MXN</v>
          </cell>
          <cell r="F283" t="str">
            <v>Daniel Alejandro Castillo Rivera</v>
          </cell>
          <cell r="G283" t="str">
            <v>AUTO TRANSP PASAJEROS  CIUDAD DE MEX MEX</v>
          </cell>
          <cell r="H283" t="str">
            <v>Auto Transp Pasajeros Ciudad De Mex Mex</v>
          </cell>
          <cell r="I283" t="str">
            <v>Transaction cost</v>
          </cell>
          <cell r="J283" t="str">
            <v>FDA</v>
          </cell>
          <cell r="K283" t="str">
            <v>9F704462-00CA-4272-82A5-E2BFD6B5E741</v>
          </cell>
          <cell r="L283">
            <v>0</v>
          </cell>
          <cell r="M283">
            <v>0</v>
          </cell>
          <cell r="N283">
            <v>0</v>
          </cell>
          <cell r="O283">
            <v>0</v>
          </cell>
          <cell r="Q283" t="str">
            <v>602.34.002 Gastos por visita tencica</v>
          </cell>
        </row>
        <row r="284">
          <cell r="B284" t="str">
            <v>#19</v>
          </cell>
          <cell r="C284">
            <v>45810.814583333296</v>
          </cell>
          <cell r="D284">
            <v>628.65</v>
          </cell>
          <cell r="E284" t="str">
            <v>MXN</v>
          </cell>
          <cell r="F284" t="str">
            <v>Daniel Alejandro Castillo Rivera</v>
          </cell>
          <cell r="G284" t="str">
            <v>CHILIS SENDERO TOLUCA  LERMA EM      MEX</v>
          </cell>
          <cell r="H284" t="str">
            <v>Chili's</v>
          </cell>
          <cell r="I284" t="str">
            <v>Transaction cost</v>
          </cell>
          <cell r="J284" t="str">
            <v>FDA</v>
          </cell>
          <cell r="K284" t="str">
            <v>-</v>
          </cell>
          <cell r="L284">
            <v>0</v>
          </cell>
          <cell r="M284">
            <v>0</v>
          </cell>
          <cell r="N284">
            <v>0</v>
          </cell>
          <cell r="O284">
            <v>0</v>
          </cell>
          <cell r="Q284" t="str">
            <v>602.34.002 Gastos por visita tencica</v>
          </cell>
        </row>
        <row r="285">
          <cell r="B285" t="str">
            <v>#19</v>
          </cell>
          <cell r="C285">
            <v>45810.885416666599</v>
          </cell>
          <cell r="D285">
            <v>45.37</v>
          </cell>
          <cell r="E285" t="str">
            <v>MXN</v>
          </cell>
          <cell r="F285" t="str">
            <v>Daniel Alejandro Castillo Rivera</v>
          </cell>
          <cell r="G285" t="str">
            <v>UBER* PENDING          CIUDAD DE MEX MEX</v>
          </cell>
          <cell r="H285" t="str">
            <v>Uber</v>
          </cell>
          <cell r="I285" t="str">
            <v>Transaction cost</v>
          </cell>
          <cell r="J285" t="str">
            <v>FDA</v>
          </cell>
          <cell r="K285" t="str">
            <v>no me facturo uber</v>
          </cell>
          <cell r="L285">
            <v>0</v>
          </cell>
          <cell r="M285">
            <v>0</v>
          </cell>
          <cell r="N285">
            <v>0</v>
          </cell>
          <cell r="O285">
            <v>0</v>
          </cell>
          <cell r="Q285" t="str">
            <v>602.34.002 Gastos por visita tencica</v>
          </cell>
        </row>
        <row r="286">
          <cell r="B286" t="str">
            <v>#19</v>
          </cell>
          <cell r="C286">
            <v>45810.900694444397</v>
          </cell>
          <cell r="D286">
            <v>80</v>
          </cell>
          <cell r="E286" t="str">
            <v>MXN</v>
          </cell>
          <cell r="F286" t="str">
            <v>Daniel Alejandro Castillo Rivera</v>
          </cell>
          <cell r="G286" t="str">
            <v>FLECHA ROJA SAN MATEO  SN MATEO ATEN MEX</v>
          </cell>
          <cell r="H286" t="str">
            <v>Flecha Roja San Mateo Sn Mateo Aten Mex</v>
          </cell>
          <cell r="I286" t="str">
            <v>Transaction cost</v>
          </cell>
          <cell r="J286" t="str">
            <v>FDA</v>
          </cell>
          <cell r="K286" t="str">
            <v>9F704462-00CA-4272-82A5-E2BFD6B5E741</v>
          </cell>
          <cell r="L286">
            <v>0</v>
          </cell>
          <cell r="M286">
            <v>0</v>
          </cell>
          <cell r="N286">
            <v>0</v>
          </cell>
          <cell r="O286">
            <v>0</v>
          </cell>
          <cell r="Q286" t="str">
            <v>602.34.002 Gastos por visita tencica</v>
          </cell>
        </row>
        <row r="287">
          <cell r="B287" t="str">
            <v>#19</v>
          </cell>
          <cell r="C287">
            <v>45811.0979166666</v>
          </cell>
          <cell r="D287">
            <v>748.57</v>
          </cell>
          <cell r="E287" t="str">
            <v>MXN</v>
          </cell>
          <cell r="F287" t="str">
            <v>Daniel Alejandro Castillo Rivera</v>
          </cell>
          <cell r="G287" t="str">
            <v>UBER* TRIP             CIUDAD DE MEX MEX</v>
          </cell>
          <cell r="H287" t="str">
            <v>Uber</v>
          </cell>
          <cell r="I287" t="str">
            <v>Transaction cost</v>
          </cell>
          <cell r="J287" t="str">
            <v>FDA</v>
          </cell>
          <cell r="K287" t="str">
            <v>no me facturo uber</v>
          </cell>
          <cell r="L287">
            <v>0</v>
          </cell>
          <cell r="M287">
            <v>0</v>
          </cell>
          <cell r="N287">
            <v>0</v>
          </cell>
          <cell r="O287">
            <v>0</v>
          </cell>
          <cell r="Q287" t="str">
            <v>602.34.002 Gastos por visita tencica</v>
          </cell>
        </row>
        <row r="288">
          <cell r="B288" t="str">
            <v>#19</v>
          </cell>
          <cell r="C288">
            <v>45814.5888888888</v>
          </cell>
          <cell r="D288">
            <v>150</v>
          </cell>
          <cell r="E288" t="str">
            <v>MXN</v>
          </cell>
          <cell r="F288" t="str">
            <v>Daniel Alejandro Castillo Rivera</v>
          </cell>
          <cell r="G288" t="str">
            <v>AUTO TRANSP PASAJEROS  CIUDAD DE MEX MEX</v>
          </cell>
          <cell r="H288" t="str">
            <v>Auto Transp Pasajeros Ciudad De Mex Mex</v>
          </cell>
          <cell r="I288" t="str">
            <v>Transaction cost</v>
          </cell>
          <cell r="J288" t="str">
            <v>Grapa de bronce</v>
          </cell>
          <cell r="K288" t="str">
            <v>9F704462-00CA-4272-82A5-E2BFD6B5E741</v>
          </cell>
          <cell r="L288">
            <v>0</v>
          </cell>
          <cell r="M288">
            <v>0</v>
          </cell>
          <cell r="N288">
            <v>0</v>
          </cell>
          <cell r="O288">
            <v>0</v>
          </cell>
          <cell r="Q288" t="str">
            <v>602.34.002 Gastos por visita tencica</v>
          </cell>
        </row>
        <row r="289">
          <cell r="B289" t="str">
            <v>#19</v>
          </cell>
          <cell r="C289">
            <v>45815.0534722222</v>
          </cell>
          <cell r="D289">
            <v>150</v>
          </cell>
          <cell r="E289" t="str">
            <v>MXN</v>
          </cell>
          <cell r="F289" t="str">
            <v>Daniel Alejandro Castillo Rivera</v>
          </cell>
          <cell r="G289" t="str">
            <v>FLECHAROJA IXTLAHUACA  IXTLAHUACA    MEX</v>
          </cell>
          <cell r="H289" t="str">
            <v>Flecharoja Ixtlahuaca Ixtlahuaca Mex</v>
          </cell>
          <cell r="I289" t="str">
            <v>Transaction cost</v>
          </cell>
          <cell r="J289" t="str">
            <v>Grapa de bronce</v>
          </cell>
          <cell r="K289" t="str">
            <v>9F704462-00CA-4272-82A5-E2BFD6B5E741</v>
          </cell>
          <cell r="L289">
            <v>0</v>
          </cell>
          <cell r="M289">
            <v>0</v>
          </cell>
          <cell r="N289">
            <v>0</v>
          </cell>
          <cell r="O289">
            <v>0</v>
          </cell>
          <cell r="Q289" t="str">
            <v>602.34.002 Gastos por visita tencica</v>
          </cell>
        </row>
        <row r="290">
          <cell r="B290" t="str">
            <v>#19</v>
          </cell>
          <cell r="C290">
            <v>45815.170138888803</v>
          </cell>
          <cell r="D290">
            <v>219.93</v>
          </cell>
          <cell r="E290" t="str">
            <v>MXN</v>
          </cell>
          <cell r="F290" t="str">
            <v>Daniel Alejandro Castillo Rivera</v>
          </cell>
          <cell r="G290" t="str">
            <v>UBER* PENDING          CIUDAD DE MEX MEX</v>
          </cell>
          <cell r="H290" t="str">
            <v>Uber</v>
          </cell>
          <cell r="I290" t="str">
            <v>Transaction cost</v>
          </cell>
          <cell r="J290" t="str">
            <v>Grapa de bronce</v>
          </cell>
          <cell r="K290" t="str">
            <v>no me facturo uber</v>
          </cell>
          <cell r="L290">
            <v>0</v>
          </cell>
          <cell r="M290">
            <v>0</v>
          </cell>
          <cell r="N290">
            <v>0</v>
          </cell>
          <cell r="O290">
            <v>0</v>
          </cell>
          <cell r="Q290" t="str">
            <v>602.34.002 Gastos por visita tencica</v>
          </cell>
        </row>
        <row r="291">
          <cell r="B291" t="str">
            <v>#19</v>
          </cell>
          <cell r="C291">
            <v>45817.8256944444</v>
          </cell>
          <cell r="D291">
            <v>99.93</v>
          </cell>
          <cell r="E291" t="str">
            <v>MXN</v>
          </cell>
          <cell r="F291" t="str">
            <v>Daniel Alejandro Castillo Rivera</v>
          </cell>
          <cell r="G291" t="str">
            <v>UBER* PENDING          CIUDAD DE MEX MEX</v>
          </cell>
          <cell r="H291" t="str">
            <v>Uber</v>
          </cell>
          <cell r="I291" t="str">
            <v>Transaction cost</v>
          </cell>
          <cell r="J291" t="str">
            <v>safeinthebox</v>
          </cell>
          <cell r="K291" t="str">
            <v>no me facturo uber</v>
          </cell>
          <cell r="L291">
            <v>0</v>
          </cell>
          <cell r="M291">
            <v>0</v>
          </cell>
          <cell r="N291">
            <v>0</v>
          </cell>
          <cell r="O291">
            <v>0</v>
          </cell>
          <cell r="Q291" t="str">
            <v>602.34.002 Gastos por visita tencica</v>
          </cell>
        </row>
        <row r="292">
          <cell r="B292" t="str">
            <v>#19</v>
          </cell>
          <cell r="C292">
            <v>45818.706944444399</v>
          </cell>
          <cell r="D292">
            <v>201.24</v>
          </cell>
          <cell r="E292" t="str">
            <v>MXN</v>
          </cell>
          <cell r="F292" t="str">
            <v>Daniel Alejandro Castillo Rivera</v>
          </cell>
          <cell r="G292" t="str">
            <v>UBER* TRIP             CIUDAD DE MEX MEX</v>
          </cell>
          <cell r="H292" t="str">
            <v>Uber</v>
          </cell>
          <cell r="I292" t="str">
            <v>Transaction cost</v>
          </cell>
          <cell r="J292" t="str">
            <v>syvasa PO 1685</v>
          </cell>
          <cell r="K292" t="str">
            <v>no me facturo uber</v>
          </cell>
          <cell r="L292">
            <v>0</v>
          </cell>
          <cell r="M292">
            <v>0</v>
          </cell>
          <cell r="N292">
            <v>0</v>
          </cell>
          <cell r="O292">
            <v>0</v>
          </cell>
          <cell r="Q292" t="str">
            <v>602.34.002 Gastos por visita tencica</v>
          </cell>
        </row>
        <row r="293">
          <cell r="B293" t="str">
            <v>#19</v>
          </cell>
          <cell r="C293">
            <v>45818.736805555498</v>
          </cell>
          <cell r="D293">
            <v>189.92</v>
          </cell>
          <cell r="E293" t="str">
            <v>MXN</v>
          </cell>
          <cell r="F293" t="str">
            <v>Daniel Alejandro Castillo Rivera</v>
          </cell>
          <cell r="G293" t="str">
            <v>UBER* PENDING          CIUDAD DE MEX MEX</v>
          </cell>
          <cell r="H293" t="str">
            <v>Uber</v>
          </cell>
          <cell r="I293" t="str">
            <v>Transaction cost</v>
          </cell>
          <cell r="J293" t="str">
            <v>syvasa PO 1685</v>
          </cell>
          <cell r="K293" t="str">
            <v>no me facturo uber</v>
          </cell>
          <cell r="L293">
            <v>0</v>
          </cell>
          <cell r="M293">
            <v>0</v>
          </cell>
          <cell r="N293">
            <v>0</v>
          </cell>
          <cell r="O293">
            <v>0</v>
          </cell>
          <cell r="Q293" t="str">
            <v>602.34.002 Gastos por visita tencica</v>
          </cell>
        </row>
        <row r="294">
          <cell r="B294" t="str">
            <v>#19</v>
          </cell>
          <cell r="C294">
            <v>45819.7451388888</v>
          </cell>
          <cell r="D294">
            <v>329.94</v>
          </cell>
          <cell r="E294" t="str">
            <v>MXN</v>
          </cell>
          <cell r="F294" t="str">
            <v>Daniel Alejandro Castillo Rivera</v>
          </cell>
          <cell r="G294" t="str">
            <v>UBER* PENDING          CIUDAD DE MEX MEX</v>
          </cell>
          <cell r="H294" t="str">
            <v>Uber</v>
          </cell>
          <cell r="I294" t="str">
            <v>Transaction cost</v>
          </cell>
          <cell r="J294" t="str">
            <v>cementos fortaleza 2195</v>
          </cell>
          <cell r="K294" t="str">
            <v>no me facturo uber</v>
          </cell>
          <cell r="L294">
            <v>0</v>
          </cell>
          <cell r="M294">
            <v>0</v>
          </cell>
          <cell r="N294">
            <v>0</v>
          </cell>
          <cell r="O294">
            <v>0</v>
          </cell>
          <cell r="Q294" t="str">
            <v>602.34.002 Gastos por visita tencica</v>
          </cell>
        </row>
        <row r="295">
          <cell r="B295" t="str">
            <v>#19</v>
          </cell>
          <cell r="C295">
            <v>45819.896527777702</v>
          </cell>
          <cell r="D295">
            <v>319.91000000000003</v>
          </cell>
          <cell r="E295" t="str">
            <v>MXN</v>
          </cell>
          <cell r="F295" t="str">
            <v>Daniel Alejandro Castillo Rivera</v>
          </cell>
          <cell r="G295" t="str">
            <v>UBER* PENDING          CIUDAD DE MEX MEX</v>
          </cell>
          <cell r="H295" t="str">
            <v>Uber</v>
          </cell>
          <cell r="I295" t="str">
            <v>Transaction cost</v>
          </cell>
          <cell r="J295" t="str">
            <v>cementos fortaleza 2195</v>
          </cell>
          <cell r="K295" t="str">
            <v>no me facturo uber</v>
          </cell>
          <cell r="L295">
            <v>0</v>
          </cell>
          <cell r="M295">
            <v>0</v>
          </cell>
          <cell r="N295">
            <v>0</v>
          </cell>
          <cell r="O295">
            <v>0</v>
          </cell>
          <cell r="Q295" t="str">
            <v>602.34.002 Gastos por visita tencica</v>
          </cell>
        </row>
        <row r="296">
          <cell r="B296" t="str">
            <v>#19</v>
          </cell>
          <cell r="C296">
            <v>45826.949305555499</v>
          </cell>
          <cell r="D296">
            <v>331</v>
          </cell>
          <cell r="E296" t="str">
            <v>MXN</v>
          </cell>
          <cell r="F296" t="str">
            <v>Daniel Alejandro Castillo Rivera</v>
          </cell>
          <cell r="G296" t="str">
            <v>MR SUSHI TEZONTLE      CIUDAD DE MEX MEX</v>
          </cell>
          <cell r="H296" t="str">
            <v>Mr Sushi Tezontle Ciudad De Mex Mex</v>
          </cell>
          <cell r="I296" t="str">
            <v>Transaction cost</v>
          </cell>
          <cell r="J296" t="str">
            <v>velement 3260</v>
          </cell>
          <cell r="K296" t="str">
            <v>9C13DBF8-5126-4965-981A-00A8B4965F19</v>
          </cell>
          <cell r="L296">
            <v>0</v>
          </cell>
          <cell r="M296">
            <v>0</v>
          </cell>
          <cell r="N296">
            <v>0</v>
          </cell>
          <cell r="O296">
            <v>0</v>
          </cell>
          <cell r="Q296" t="str">
            <v>602.34.002 Gastos por visita tencica</v>
          </cell>
        </row>
        <row r="297">
          <cell r="B297" t="str">
            <v>#19</v>
          </cell>
          <cell r="C297">
            <v>45827.783333333296</v>
          </cell>
          <cell r="D297">
            <v>259.93</v>
          </cell>
          <cell r="E297" t="str">
            <v>MXN</v>
          </cell>
          <cell r="F297" t="str">
            <v>Daniel Alejandro Castillo Rivera</v>
          </cell>
          <cell r="G297" t="str">
            <v>UBER* PENDING          CIUDAD DE MEX MEX</v>
          </cell>
          <cell r="H297" t="str">
            <v>Uber</v>
          </cell>
          <cell r="I297" t="str">
            <v>Transaction cost</v>
          </cell>
          <cell r="J297" t="str">
            <v>onest</v>
          </cell>
          <cell r="K297" t="str">
            <v>no me facturo uber</v>
          </cell>
          <cell r="L297">
            <v>0</v>
          </cell>
          <cell r="M297">
            <v>0</v>
          </cell>
          <cell r="N297">
            <v>0</v>
          </cell>
          <cell r="O297">
            <v>0</v>
          </cell>
          <cell r="Q297" t="str">
            <v>602.34.002 Gastos por visita tencica</v>
          </cell>
        </row>
        <row r="298">
          <cell r="B298" t="str">
            <v>#19</v>
          </cell>
          <cell r="C298">
            <v>45827.826388888803</v>
          </cell>
          <cell r="D298">
            <v>356</v>
          </cell>
          <cell r="E298" t="str">
            <v>MXN</v>
          </cell>
          <cell r="F298" t="str">
            <v>Daniel Alejandro Castillo Rivera</v>
          </cell>
          <cell r="G298" t="str">
            <v>KFC 345 RIO DE LOS REM TLALNEPANTLA  MEX</v>
          </cell>
          <cell r="H298" t="str">
            <v>Kentucky Fried Chicken</v>
          </cell>
          <cell r="I298" t="str">
            <v>Transaction cost</v>
          </cell>
          <cell r="J298" t="str">
            <v>onest</v>
          </cell>
          <cell r="K298" t="str">
            <v>-</v>
          </cell>
          <cell r="L298">
            <v>0</v>
          </cell>
          <cell r="M298">
            <v>0</v>
          </cell>
          <cell r="N298">
            <v>0</v>
          </cell>
          <cell r="O298">
            <v>0</v>
          </cell>
          <cell r="Q298" t="str">
            <v>602.34.002 Gastos por visita tencica</v>
          </cell>
        </row>
        <row r="299">
          <cell r="B299" t="str">
            <v>#19</v>
          </cell>
          <cell r="C299">
            <v>45827.8479166666</v>
          </cell>
          <cell r="D299">
            <v>59.92</v>
          </cell>
          <cell r="E299" t="str">
            <v>MXN</v>
          </cell>
          <cell r="F299" t="str">
            <v>Daniel Alejandro Castillo Rivera</v>
          </cell>
          <cell r="G299" t="str">
            <v>UBER* PENDING          CIUDAD DE MEX MEX</v>
          </cell>
          <cell r="H299" t="str">
            <v>Uber</v>
          </cell>
          <cell r="I299" t="str">
            <v>Transaction cost</v>
          </cell>
          <cell r="J299" t="str">
            <v>onest</v>
          </cell>
          <cell r="K299" t="str">
            <v>no me facturo uber</v>
          </cell>
          <cell r="L299">
            <v>0</v>
          </cell>
          <cell r="M299">
            <v>0</v>
          </cell>
          <cell r="N299">
            <v>0</v>
          </cell>
          <cell r="O299">
            <v>0</v>
          </cell>
          <cell r="Q299" t="str">
            <v>602.34.002 Gastos por visita tencica</v>
          </cell>
        </row>
        <row r="300">
          <cell r="B300" t="str">
            <v>#19</v>
          </cell>
          <cell r="C300">
            <v>45827.876388888799</v>
          </cell>
          <cell r="D300">
            <v>259.93</v>
          </cell>
          <cell r="E300" t="str">
            <v>MXN</v>
          </cell>
          <cell r="F300" t="str">
            <v>Daniel Alejandro Castillo Rivera</v>
          </cell>
          <cell r="G300" t="str">
            <v>UBER* PENDING          CIUDAD DE MEX MEX</v>
          </cell>
          <cell r="H300" t="str">
            <v>Uber</v>
          </cell>
          <cell r="I300" t="str">
            <v>Transaction cost</v>
          </cell>
          <cell r="J300" t="str">
            <v>onest</v>
          </cell>
          <cell r="K300" t="str">
            <v>no me facturo uber</v>
          </cell>
          <cell r="L300">
            <v>0</v>
          </cell>
          <cell r="M300">
            <v>0</v>
          </cell>
          <cell r="N300">
            <v>0</v>
          </cell>
          <cell r="O300">
            <v>0</v>
          </cell>
          <cell r="Q300" t="str">
            <v>602.34.002 Gastos por visita tencica</v>
          </cell>
        </row>
        <row r="301">
          <cell r="B301" t="str">
            <v>#19</v>
          </cell>
          <cell r="C301">
            <v>45832.904861111099</v>
          </cell>
          <cell r="D301">
            <v>289.89999999999998</v>
          </cell>
          <cell r="E301" t="str">
            <v>MXN</v>
          </cell>
          <cell r="F301" t="str">
            <v>Daniel Alejandro Castillo Rivera</v>
          </cell>
          <cell r="G301" t="str">
            <v>UBER* PENDING          CIUDAD DE MEX MEX</v>
          </cell>
          <cell r="H301" t="str">
            <v>Uber</v>
          </cell>
          <cell r="I301" t="str">
            <v>Transaction cost</v>
          </cell>
          <cell r="J301" t="str">
            <v>onest</v>
          </cell>
          <cell r="K301" t="str">
            <v>no me facturo uber</v>
          </cell>
          <cell r="L301">
            <v>0</v>
          </cell>
          <cell r="M301">
            <v>0</v>
          </cell>
          <cell r="N301">
            <v>0</v>
          </cell>
          <cell r="O301">
            <v>0</v>
          </cell>
          <cell r="Q301" t="str">
            <v>602.34.002 Gastos por visita tencica</v>
          </cell>
        </row>
        <row r="302">
          <cell r="B302" t="str">
            <v>#19</v>
          </cell>
          <cell r="C302">
            <v>45833.1472222222</v>
          </cell>
          <cell r="D302">
            <v>453.5</v>
          </cell>
          <cell r="E302" t="str">
            <v>MXN</v>
          </cell>
          <cell r="F302" t="str">
            <v>Daniel Alejandro Castillo Rivera</v>
          </cell>
          <cell r="G302" t="str">
            <v>UBER* PENDING          CIUDAD DE MEX MEX</v>
          </cell>
          <cell r="H302" t="str">
            <v>Uber</v>
          </cell>
          <cell r="I302" t="str">
            <v>Transaction cost</v>
          </cell>
          <cell r="J302" t="str">
            <v>onest</v>
          </cell>
          <cell r="K302" t="str">
            <v>no me facturo uber</v>
          </cell>
          <cell r="L302">
            <v>0</v>
          </cell>
          <cell r="M302">
            <v>0</v>
          </cell>
          <cell r="N302">
            <v>0</v>
          </cell>
          <cell r="O302">
            <v>0</v>
          </cell>
          <cell r="Q302" t="str">
            <v>602.34.002 Gastos por visita tencica</v>
          </cell>
        </row>
        <row r="303">
          <cell r="B303" t="str">
            <v>#19</v>
          </cell>
          <cell r="C303">
            <v>45833.7097222222</v>
          </cell>
          <cell r="D303">
            <v>159.96</v>
          </cell>
          <cell r="E303" t="str">
            <v>MXN</v>
          </cell>
          <cell r="F303" t="str">
            <v>Daniel Alejandro Castillo Rivera</v>
          </cell>
          <cell r="G303" t="str">
            <v>UBER* PENDING          CIUDAD DE MEX MEX</v>
          </cell>
          <cell r="H303" t="str">
            <v>Uber</v>
          </cell>
          <cell r="I303" t="str">
            <v>Transaction cost</v>
          </cell>
          <cell r="J303" t="str">
            <v>velement 3260</v>
          </cell>
          <cell r="K303" t="str">
            <v>no me facturo uber</v>
          </cell>
          <cell r="L303">
            <v>0</v>
          </cell>
          <cell r="M303">
            <v>0</v>
          </cell>
          <cell r="N303">
            <v>0</v>
          </cell>
          <cell r="O303">
            <v>0</v>
          </cell>
          <cell r="Q303" t="str">
            <v>602.34.002 Gastos por visita tencica</v>
          </cell>
        </row>
        <row r="304">
          <cell r="B304" t="str">
            <v>#19</v>
          </cell>
          <cell r="C304">
            <v>45834.258333333302</v>
          </cell>
          <cell r="D304">
            <v>317.36</v>
          </cell>
          <cell r="E304" t="str">
            <v>MXN</v>
          </cell>
          <cell r="F304" t="str">
            <v>Daniel Alejandro Castillo Rivera</v>
          </cell>
          <cell r="G304" t="str">
            <v>3DEXPERIENCE DASSAULT  WALTHAM       USA</v>
          </cell>
          <cell r="H304" t="str">
            <v>3dexperience Dassault Waltham USA</v>
          </cell>
          <cell r="I304" t="str">
            <v>Tech&amp;Product</v>
          </cell>
          <cell r="J304" t="str">
            <v>licencia solidworks</v>
          </cell>
          <cell r="K304" t="str">
            <v>no me facturo uber</v>
          </cell>
          <cell r="L304">
            <v>0</v>
          </cell>
          <cell r="M304">
            <v>0</v>
          </cell>
          <cell r="N304">
            <v>0</v>
          </cell>
          <cell r="O304">
            <v>0</v>
          </cell>
          <cell r="Q304" t="str">
            <v>602.34.002 Gastos por visita tencica</v>
          </cell>
        </row>
        <row r="305">
          <cell r="B305" t="str">
            <v>#19</v>
          </cell>
          <cell r="C305">
            <v>45834.878472222197</v>
          </cell>
          <cell r="D305">
            <v>29.99</v>
          </cell>
          <cell r="E305" t="str">
            <v>MXN</v>
          </cell>
          <cell r="F305" t="str">
            <v>Daniel Alejandro Castillo Rivera</v>
          </cell>
          <cell r="G305" t="str">
            <v>UBER* PENDING          CIUDAD DE MEX MEX</v>
          </cell>
          <cell r="H305" t="str">
            <v>Uber</v>
          </cell>
          <cell r="I305" t="str">
            <v>Transaction cost</v>
          </cell>
          <cell r="J305" t="str">
            <v>velement 3260</v>
          </cell>
          <cell r="K305" t="str">
            <v>no me facturo uber</v>
          </cell>
          <cell r="L305">
            <v>0</v>
          </cell>
          <cell r="M305">
            <v>0</v>
          </cell>
          <cell r="N305">
            <v>0</v>
          </cell>
          <cell r="O305">
            <v>0</v>
          </cell>
          <cell r="Q305" t="str">
            <v>602.34.002 Gastos por visita tencica</v>
          </cell>
        </row>
        <row r="306">
          <cell r="B306" t="str">
            <v>#19</v>
          </cell>
          <cell r="C306">
            <v>45834.913888888797</v>
          </cell>
          <cell r="D306">
            <v>406</v>
          </cell>
          <cell r="E306" t="str">
            <v>MXN</v>
          </cell>
          <cell r="F306" t="str">
            <v>Daniel Alejandro Castillo Rivera</v>
          </cell>
          <cell r="G306" t="str">
            <v>REST SUSHIROLL PZA CTR CIUDAD DE MEX MEX</v>
          </cell>
          <cell r="H306" t="str">
            <v>Rest Sushiroll Pza Ctr Ciudad De Mex Mex</v>
          </cell>
          <cell r="I306" t="str">
            <v>Transaction cost</v>
          </cell>
          <cell r="J306" t="str">
            <v>velement 3260</v>
          </cell>
          <cell r="K306" t="str">
            <v>6666A77A-D08D-44E3-B41C-A51AFB6C20B1</v>
          </cell>
          <cell r="L306">
            <v>0</v>
          </cell>
          <cell r="M306">
            <v>0</v>
          </cell>
          <cell r="N306">
            <v>0</v>
          </cell>
          <cell r="O306">
            <v>0</v>
          </cell>
          <cell r="Q306" t="str">
            <v>602.34.002 Gastos por visita tencica</v>
          </cell>
        </row>
        <row r="307">
          <cell r="B307" t="str">
            <v>#19</v>
          </cell>
          <cell r="C307">
            <v>45834.920138888803</v>
          </cell>
          <cell r="D307">
            <v>139.91</v>
          </cell>
          <cell r="E307" t="str">
            <v>MXN</v>
          </cell>
          <cell r="F307" t="str">
            <v>Daniel Alejandro Castillo Rivera</v>
          </cell>
          <cell r="G307" t="str">
            <v>UBER* PENDING          CIUDAD DE MEX MEX</v>
          </cell>
          <cell r="H307" t="str">
            <v>Uber</v>
          </cell>
          <cell r="I307" t="str">
            <v>Transaction cost</v>
          </cell>
          <cell r="J307" t="str">
            <v>velement 3260</v>
          </cell>
          <cell r="K307" t="str">
            <v>no me facturo uber</v>
          </cell>
          <cell r="L307">
            <v>0</v>
          </cell>
          <cell r="M307">
            <v>0</v>
          </cell>
          <cell r="N307">
            <v>0</v>
          </cell>
          <cell r="O307">
            <v>0</v>
          </cell>
          <cell r="Q307" t="str">
            <v>602.34.002 Gastos por visita tencica</v>
          </cell>
        </row>
        <row r="308">
          <cell r="B308" t="str">
            <v>#19</v>
          </cell>
          <cell r="C308">
            <v>45835.992361111101</v>
          </cell>
          <cell r="D308">
            <v>279.91000000000003</v>
          </cell>
          <cell r="E308" t="str">
            <v>MXN</v>
          </cell>
          <cell r="F308" t="str">
            <v>Daniel Alejandro Castillo Rivera</v>
          </cell>
          <cell r="G308" t="str">
            <v>UBER* PENDING          CIUDAD DE MEX MEX</v>
          </cell>
          <cell r="H308" t="str">
            <v>Uber</v>
          </cell>
          <cell r="I308" t="str">
            <v>Transaction cost</v>
          </cell>
          <cell r="J308" t="str">
            <v>frialsa 1410</v>
          </cell>
          <cell r="K308" t="str">
            <v>no me facturo uber</v>
          </cell>
          <cell r="L308">
            <v>0</v>
          </cell>
          <cell r="M308">
            <v>0</v>
          </cell>
          <cell r="N308">
            <v>0</v>
          </cell>
          <cell r="O308">
            <v>0</v>
          </cell>
          <cell r="Q308" t="str">
            <v>602.34.002 Gastos por visita tencica</v>
          </cell>
        </row>
        <row r="309">
          <cell r="B309" t="str">
            <v>#20</v>
          </cell>
          <cell r="C309">
            <v>45815.095138888799</v>
          </cell>
          <cell r="D309">
            <v>1318.61</v>
          </cell>
          <cell r="E309" t="str">
            <v>MXN</v>
          </cell>
          <cell r="F309" t="str">
            <v>Gerardo Guadalupe Ruiz Huerta</v>
          </cell>
          <cell r="G309" t="str">
            <v>OXXO GAS RINCON OTE    SN NICOLAS DE MEX</v>
          </cell>
          <cell r="H309" t="str">
            <v>Oxxo</v>
          </cell>
          <cell r="I309" t="str">
            <v>Transaction cost</v>
          </cell>
          <cell r="J309" t="str">
            <v>Gas Operaciones JUN 2025</v>
          </cell>
          <cell r="K309" t="str">
            <v>CLI51246862</v>
          </cell>
          <cell r="L309">
            <v>0</v>
          </cell>
          <cell r="M309">
            <v>0</v>
          </cell>
          <cell r="N309">
            <v>0</v>
          </cell>
          <cell r="O309">
            <v>0</v>
          </cell>
          <cell r="Q309" t="str">
            <v>602.34.002 Gastos por visita tencica</v>
          </cell>
        </row>
        <row r="310">
          <cell r="B310" t="str">
            <v>#20</v>
          </cell>
          <cell r="C310">
            <v>45816.116666666603</v>
          </cell>
          <cell r="D310">
            <v>61.2</v>
          </cell>
          <cell r="E310" t="str">
            <v>MXN</v>
          </cell>
          <cell r="F310" t="str">
            <v>Gerardo Guadalupe Ruiz Huerta</v>
          </cell>
          <cell r="G310" t="str">
            <v>REA AUTOPISTA GPE      CADEREYTA JIM MEX</v>
          </cell>
          <cell r="H310" t="str">
            <v>Rea Autopista Gpe Cadereyta Jim Mex</v>
          </cell>
          <cell r="I310" t="str">
            <v>Transaction cost</v>
          </cell>
          <cell r="J310" t="str">
            <v>Visita MP Rembro</v>
          </cell>
          <cell r="K310">
            <v>0</v>
          </cell>
          <cell r="L310">
            <v>0</v>
          </cell>
          <cell r="M310">
            <v>0</v>
          </cell>
          <cell r="N310">
            <v>0</v>
          </cell>
          <cell r="O310">
            <v>0</v>
          </cell>
          <cell r="Q310" t="str">
            <v>602.34.002 Gastos por visita tencica</v>
          </cell>
        </row>
        <row r="311">
          <cell r="B311" t="str">
            <v>#20</v>
          </cell>
          <cell r="C311">
            <v>45816.145138888802</v>
          </cell>
          <cell r="D311">
            <v>61.2</v>
          </cell>
          <cell r="E311" t="str">
            <v>MXN</v>
          </cell>
          <cell r="F311" t="str">
            <v>Gerardo Guadalupe Ruiz Huerta</v>
          </cell>
          <cell r="G311" t="str">
            <v>REA AUTOPISTA GPE      CADEREYTA JIM MEX</v>
          </cell>
          <cell r="H311" t="str">
            <v>Rea Autopista Gpe Cadereyta Jim Mex</v>
          </cell>
          <cell r="I311" t="str">
            <v>Transaction cost</v>
          </cell>
          <cell r="J311" t="str">
            <v>Visita MP Rembro</v>
          </cell>
          <cell r="K311">
            <v>0</v>
          </cell>
          <cell r="L311">
            <v>0</v>
          </cell>
          <cell r="M311">
            <v>0</v>
          </cell>
          <cell r="N311">
            <v>0</v>
          </cell>
          <cell r="O311">
            <v>0</v>
          </cell>
          <cell r="Q311" t="str">
            <v>602.34.002 Gastos por visita tencica</v>
          </cell>
        </row>
        <row r="312">
          <cell r="B312" t="str">
            <v>#20</v>
          </cell>
          <cell r="C312">
            <v>45820.645833333299</v>
          </cell>
          <cell r="D312">
            <v>1277.4000000000001</v>
          </cell>
          <cell r="E312" t="str">
            <v>MXN</v>
          </cell>
          <cell r="F312" t="str">
            <v>Gerardo Guadalupe Ruiz Huerta</v>
          </cell>
          <cell r="G312" t="str">
            <v>OXXO GAS LAS TORRES    SN PEDRO GARZ MEX</v>
          </cell>
          <cell r="H312" t="str">
            <v>Oxxo Gas Las Torres Sn Pedro Garz Mex</v>
          </cell>
          <cell r="I312" t="str">
            <v>Sales</v>
          </cell>
          <cell r="J312" t="str">
            <v>Gas Visitas Saltillo Jun 2025</v>
          </cell>
          <cell r="K312" t="str">
            <v>CLI51246577</v>
          </cell>
          <cell r="L312">
            <v>0</v>
          </cell>
          <cell r="M312">
            <v>0</v>
          </cell>
          <cell r="N312">
            <v>0</v>
          </cell>
          <cell r="O312">
            <v>0</v>
          </cell>
          <cell r="Q312" t="str">
            <v>602.34.002 Gastos por visita tencica</v>
          </cell>
        </row>
        <row r="313">
          <cell r="B313" t="str">
            <v>#20</v>
          </cell>
          <cell r="C313">
            <v>45820.672222222202</v>
          </cell>
          <cell r="D313">
            <v>143</v>
          </cell>
          <cell r="E313" t="str">
            <v>MXN</v>
          </cell>
          <cell r="F313" t="str">
            <v>Gerardo Guadalupe Ruiz Huerta</v>
          </cell>
          <cell r="G313" t="str">
            <v>CONCESIONARIA AUT MTY  SANTA CATARIN MEX</v>
          </cell>
          <cell r="H313" t="str">
            <v>Concesionaria Aut Mty Santa Catarin Mex</v>
          </cell>
          <cell r="I313" t="str">
            <v>Sales</v>
          </cell>
          <cell r="J313" t="str">
            <v>Visita MP Goyma</v>
          </cell>
          <cell r="K313">
            <v>0</v>
          </cell>
          <cell r="L313">
            <v>0</v>
          </cell>
          <cell r="M313">
            <v>0</v>
          </cell>
          <cell r="N313">
            <v>0</v>
          </cell>
          <cell r="O313">
            <v>0</v>
          </cell>
          <cell r="Q313" t="str">
            <v>602.34.002 Gastos por visita tencica</v>
          </cell>
        </row>
        <row r="314">
          <cell r="B314" t="str">
            <v>#20</v>
          </cell>
          <cell r="C314">
            <v>45820.997916666602</v>
          </cell>
          <cell r="D314">
            <v>143</v>
          </cell>
          <cell r="E314" t="str">
            <v>MXN</v>
          </cell>
          <cell r="F314" t="str">
            <v>Gerardo Guadalupe Ruiz Huerta</v>
          </cell>
          <cell r="G314" t="str">
            <v>CONCESIONARIA AUT MTY  SANTA CATARIN MEX</v>
          </cell>
          <cell r="H314" t="str">
            <v>Concesionaria Aut Mty Santa Catarin Mex</v>
          </cell>
          <cell r="I314" t="str">
            <v>Sales</v>
          </cell>
          <cell r="J314" t="str">
            <v>Visita MP Goyma</v>
          </cell>
          <cell r="K314">
            <v>0</v>
          </cell>
          <cell r="L314">
            <v>0</v>
          </cell>
          <cell r="M314">
            <v>0</v>
          </cell>
          <cell r="N314">
            <v>0</v>
          </cell>
          <cell r="O314">
            <v>0</v>
          </cell>
          <cell r="Q314" t="str">
            <v>602.34.002 Gastos por visita tencica</v>
          </cell>
        </row>
        <row r="315">
          <cell r="B315" t="str">
            <v>#20</v>
          </cell>
          <cell r="C315">
            <v>45822.067361111098</v>
          </cell>
          <cell r="D315">
            <v>499.93</v>
          </cell>
          <cell r="E315" t="str">
            <v>MXN</v>
          </cell>
          <cell r="F315" t="str">
            <v>Gerardo Guadalupe Ruiz Huerta</v>
          </cell>
          <cell r="G315" t="str">
            <v>UBER* PENDING          CIUDAD DE MEX MEX</v>
          </cell>
          <cell r="H315" t="str">
            <v>Uber</v>
          </cell>
          <cell r="I315" t="str">
            <v>Transaction cost</v>
          </cell>
          <cell r="J315" t="str">
            <v>Envío Piezas Casquillos PO 1569</v>
          </cell>
          <cell r="K315">
            <v>0</v>
          </cell>
          <cell r="L315">
            <v>0</v>
          </cell>
          <cell r="M315">
            <v>0</v>
          </cell>
          <cell r="N315">
            <v>0</v>
          </cell>
          <cell r="O315">
            <v>0</v>
          </cell>
          <cell r="Q315" t="str">
            <v>602.34.002 Gastos por visita tencica</v>
          </cell>
        </row>
        <row r="316">
          <cell r="B316" t="str">
            <v>#20</v>
          </cell>
          <cell r="C316">
            <v>45823.862500000003</v>
          </cell>
          <cell r="D316">
            <v>4039.58</v>
          </cell>
          <cell r="E316" t="str">
            <v>MXN</v>
          </cell>
          <cell r="F316" t="str">
            <v>Gerardo Guadalupe Ruiz Huerta</v>
          </cell>
          <cell r="G316" t="str">
            <v>AVIS RENT-A-CAR 1      VIRGINIA BEAC USA</v>
          </cell>
          <cell r="H316" t="str">
            <v>Avis Rent A Car</v>
          </cell>
          <cell r="I316" t="str">
            <v>Transaction cost</v>
          </cell>
          <cell r="J316" t="str">
            <v>Viaje USA Liberación HTAL Abraz. PO 780</v>
          </cell>
          <cell r="K316" t="str">
            <v>N/A</v>
          </cell>
          <cell r="L316">
            <v>0</v>
          </cell>
          <cell r="M316">
            <v>0</v>
          </cell>
          <cell r="N316">
            <v>0</v>
          </cell>
          <cell r="O316">
            <v>0</v>
          </cell>
          <cell r="Q316" t="str">
            <v>602.34.002 Gastos por visita tencica</v>
          </cell>
        </row>
        <row r="317">
          <cell r="B317" t="str">
            <v>#20</v>
          </cell>
          <cell r="C317">
            <v>45831.6159722222</v>
          </cell>
          <cell r="D317">
            <v>500</v>
          </cell>
          <cell r="E317" t="str">
            <v>MXN</v>
          </cell>
          <cell r="F317" t="str">
            <v>Gerardo Guadalupe Ruiz Huerta</v>
          </cell>
          <cell r="G317" t="str">
            <v>PROTEC BAG TIJ3        TIJUANA BCN   MEX</v>
          </cell>
          <cell r="H317" t="str">
            <v>Protec Bag Tij3 Tijuana Bcn Mex</v>
          </cell>
          <cell r="I317" t="str">
            <v>Transaction cost</v>
          </cell>
          <cell r="J317" t="str">
            <v>Viaje USA Liberación HTAL Abraz. PO 780</v>
          </cell>
          <cell r="K317" t="str">
            <v>N/A</v>
          </cell>
          <cell r="L317">
            <v>0</v>
          </cell>
          <cell r="M317">
            <v>0</v>
          </cell>
          <cell r="N317">
            <v>0</v>
          </cell>
          <cell r="O317">
            <v>0</v>
          </cell>
          <cell r="Q317" t="str">
            <v>602.34.002 Gastos por visita tencica</v>
          </cell>
        </row>
        <row r="318">
          <cell r="B318" t="str">
            <v>#20</v>
          </cell>
          <cell r="C318">
            <v>45831.979166666599</v>
          </cell>
          <cell r="D318">
            <v>422</v>
          </cell>
          <cell r="E318" t="str">
            <v>MXN</v>
          </cell>
          <cell r="F318" t="str">
            <v>Gerardo Guadalupe Ruiz Huerta</v>
          </cell>
          <cell r="G318" t="str">
            <v>D LOCAL*DIDI RIDES     CIUDAD DE MEX MEX</v>
          </cell>
          <cell r="H318" t="str">
            <v>Didi Chuxing</v>
          </cell>
          <cell r="I318" t="str">
            <v>Transaction cost</v>
          </cell>
          <cell r="J318" t="str">
            <v>Envío Cancelado</v>
          </cell>
          <cell r="K318" t="str">
            <v>N/A</v>
          </cell>
          <cell r="L318">
            <v>0</v>
          </cell>
          <cell r="M318">
            <v>0</v>
          </cell>
          <cell r="N318">
            <v>0</v>
          </cell>
          <cell r="O318">
            <v>0</v>
          </cell>
          <cell r="Q318" t="str">
            <v>602.34.002 Gastos por visita tencica</v>
          </cell>
        </row>
        <row r="319">
          <cell r="B319" t="str">
            <v>#20</v>
          </cell>
          <cell r="C319">
            <v>45831.983333333301</v>
          </cell>
          <cell r="D319">
            <v>419</v>
          </cell>
          <cell r="E319" t="str">
            <v>MXN</v>
          </cell>
          <cell r="F319" t="str">
            <v>Gerardo Guadalupe Ruiz Huerta</v>
          </cell>
          <cell r="G319" t="str">
            <v>D LOCAL*DIDI RIDES     CIUDAD DE MEX MEX</v>
          </cell>
          <cell r="H319" t="str">
            <v>Didi Chuxing</v>
          </cell>
          <cell r="I319" t="str">
            <v>Transaction cost</v>
          </cell>
          <cell r="J319" t="str">
            <v>Envío Cancelado</v>
          </cell>
          <cell r="K319" t="str">
            <v>N/A</v>
          </cell>
          <cell r="L319">
            <v>0</v>
          </cell>
          <cell r="M319">
            <v>0</v>
          </cell>
          <cell r="N319">
            <v>0</v>
          </cell>
          <cell r="O319">
            <v>0</v>
          </cell>
          <cell r="Q319" t="str">
            <v>602.34.002 Gastos por visita tencica</v>
          </cell>
        </row>
        <row r="320">
          <cell r="B320" t="str">
            <v>#20</v>
          </cell>
          <cell r="C320">
            <v>45831.985416666597</v>
          </cell>
          <cell r="D320">
            <v>569.98</v>
          </cell>
          <cell r="E320" t="str">
            <v>MXN</v>
          </cell>
          <cell r="F320" t="str">
            <v>Gerardo Guadalupe Ruiz Huerta</v>
          </cell>
          <cell r="G320" t="str">
            <v>UBER* PENDING          CIUDAD DE MEX MEX</v>
          </cell>
          <cell r="H320" t="str">
            <v>Uber</v>
          </cell>
          <cell r="I320" t="str">
            <v>Sales</v>
          </cell>
          <cell r="J320" t="str">
            <v>Envío Piezas Casquillos PO 1569</v>
          </cell>
          <cell r="K320">
            <v>0</v>
          </cell>
          <cell r="L320">
            <v>0</v>
          </cell>
          <cell r="M320">
            <v>0</v>
          </cell>
          <cell r="N320">
            <v>0</v>
          </cell>
          <cell r="O320">
            <v>0</v>
          </cell>
          <cell r="Q320" t="str">
            <v>602.34.002 Gastos por visita tencica</v>
          </cell>
        </row>
        <row r="321">
          <cell r="B321" t="str">
            <v>#20</v>
          </cell>
          <cell r="C321">
            <v>45832.665277777698</v>
          </cell>
          <cell r="D321">
            <v>1250.02</v>
          </cell>
          <cell r="E321" t="str">
            <v>MXN</v>
          </cell>
          <cell r="F321" t="str">
            <v>Gerardo Guadalupe Ruiz Huerta</v>
          </cell>
          <cell r="G321" t="str">
            <v>GAS LIBRAM A LAS PEDRE GENERAL ESCOB MEX</v>
          </cell>
          <cell r="H321" t="str">
            <v>Gas Libram A Las Pedre General Escob Mex</v>
          </cell>
          <cell r="I321" t="str">
            <v>Transaction cost</v>
          </cell>
          <cell r="J321" t="str">
            <v>Gas Operaciones JUN 2025</v>
          </cell>
          <cell r="K321">
            <v>1217220</v>
          </cell>
          <cell r="L321">
            <v>0</v>
          </cell>
          <cell r="M321">
            <v>0</v>
          </cell>
          <cell r="N321">
            <v>0</v>
          </cell>
          <cell r="O321">
            <v>0</v>
          </cell>
          <cell r="Q321" t="str">
            <v>602.34.002 Gastos por visita tencica</v>
          </cell>
        </row>
        <row r="322">
          <cell r="B322" t="str">
            <v>#20</v>
          </cell>
          <cell r="C322">
            <v>45832.7229166666</v>
          </cell>
          <cell r="D322">
            <v>422</v>
          </cell>
          <cell r="E322" t="str">
            <v>MXN</v>
          </cell>
          <cell r="F322" t="str">
            <v>Gerardo Guadalupe Ruiz Huerta</v>
          </cell>
          <cell r="G322" t="str">
            <v>20250623T01:01:01/D LOCAL*DIDI RIDES\UNKNOWN\UNKNOWN\06600        MEX</v>
          </cell>
          <cell r="H322" t="str">
            <v>Didi Chuxing</v>
          </cell>
          <cell r="I322" t="str">
            <v>Transaction cost</v>
          </cell>
          <cell r="J322" t="str">
            <v>Reembolso Envío Cancelado</v>
          </cell>
          <cell r="K322" t="str">
            <v>N/A</v>
          </cell>
          <cell r="L322">
            <v>0</v>
          </cell>
          <cell r="M322">
            <v>0</v>
          </cell>
          <cell r="N322">
            <v>0</v>
          </cell>
          <cell r="O322">
            <v>0</v>
          </cell>
          <cell r="Q322" t="str">
            <v>602.34.002 Gastos por visita tencica</v>
          </cell>
        </row>
        <row r="323">
          <cell r="B323" t="str">
            <v>#20</v>
          </cell>
          <cell r="C323">
            <v>45832.7229166666</v>
          </cell>
          <cell r="D323">
            <v>419</v>
          </cell>
          <cell r="E323" t="str">
            <v>MXN</v>
          </cell>
          <cell r="F323" t="str">
            <v>Gerardo Guadalupe Ruiz Huerta</v>
          </cell>
          <cell r="G323" t="str">
            <v>20250623T01:01:01/D LOCAL*DIDI RIDES\UNKNOWN\UNKNOWN\06600        MEX</v>
          </cell>
          <cell r="H323" t="str">
            <v>Didi Chuxing</v>
          </cell>
          <cell r="I323" t="str">
            <v>Transaction cost</v>
          </cell>
          <cell r="J323" t="str">
            <v>Reembolso Envío Cancelado</v>
          </cell>
          <cell r="K323" t="str">
            <v>N/A</v>
          </cell>
          <cell r="L323">
            <v>0</v>
          </cell>
          <cell r="M323">
            <v>0</v>
          </cell>
          <cell r="N323">
            <v>0</v>
          </cell>
          <cell r="O323">
            <v>0</v>
          </cell>
          <cell r="Q323" t="str">
            <v>602.34.002 Gastos por visita tencica</v>
          </cell>
        </row>
        <row r="324">
          <cell r="B324" t="str">
            <v>#20</v>
          </cell>
          <cell r="C324">
            <v>45832.860416666597</v>
          </cell>
          <cell r="D324">
            <v>135.66</v>
          </cell>
          <cell r="E324" t="str">
            <v>MXN</v>
          </cell>
          <cell r="F324" t="str">
            <v>Gerardo Guadalupe Ruiz Huerta</v>
          </cell>
          <cell r="G324" t="str">
            <v>RED ESTATAL DE AUTOPIS GARCIA NL     MEX</v>
          </cell>
          <cell r="H324" t="str">
            <v>Red Estatal De Autopis Garcia Nl Mex</v>
          </cell>
          <cell r="I324" t="str">
            <v>Sales</v>
          </cell>
          <cell r="J324" t="str">
            <v>Visita MP Welmon / Javier</v>
          </cell>
          <cell r="K324">
            <v>0</v>
          </cell>
          <cell r="L324">
            <v>0</v>
          </cell>
          <cell r="M324">
            <v>0</v>
          </cell>
          <cell r="N324">
            <v>0</v>
          </cell>
          <cell r="O324">
            <v>0</v>
          </cell>
          <cell r="Q324" t="str">
            <v>602.34.002 Gastos por visita tencica</v>
          </cell>
        </row>
        <row r="325">
          <cell r="B325" t="str">
            <v>#21</v>
          </cell>
          <cell r="C325">
            <v>45817.884722222203</v>
          </cell>
          <cell r="D325">
            <v>1395</v>
          </cell>
          <cell r="E325" t="str">
            <v>MXN</v>
          </cell>
          <cell r="F325" t="str">
            <v>Jesus Gonzalez Grana</v>
          </cell>
          <cell r="G325" t="str">
            <v>REST LA ONDA           CIUDAD DE MEX MEX</v>
          </cell>
          <cell r="H325" t="str">
            <v>Rest La Onda Ciudad De Mex Mex</v>
          </cell>
          <cell r="I325" t="str">
            <v>Recruiting</v>
          </cell>
          <cell r="J325" t="str">
            <v>Comida de bienvenida de Elisa y Sammy</v>
          </cell>
          <cell r="K325" t="str">
            <v>No pedí factura y perdí el ticket... descuentenmela por pendejo</v>
          </cell>
          <cell r="L325">
            <v>0</v>
          </cell>
          <cell r="M325">
            <v>0</v>
          </cell>
          <cell r="N325">
            <v>0</v>
          </cell>
          <cell r="O325">
            <v>0</v>
          </cell>
          <cell r="Q325" t="str">
            <v>602.16.000 Transporte</v>
          </cell>
        </row>
        <row r="326">
          <cell r="B326" t="str">
            <v>#25</v>
          </cell>
          <cell r="C326">
            <v>45811.881249999999</v>
          </cell>
          <cell r="D326">
            <v>1265</v>
          </cell>
          <cell r="E326" t="str">
            <v>MXN</v>
          </cell>
          <cell r="F326" t="str">
            <v>Jorge Eduardo Estrada Becerril</v>
          </cell>
          <cell r="G326" t="str">
            <v>TORINO                 CIUDAD DE MEX MEX</v>
          </cell>
          <cell r="H326" t="str">
            <v>Torino Ciudad De Mex Mex</v>
          </cell>
          <cell r="I326" t="str">
            <v>G&amp;A expenses</v>
          </cell>
          <cell r="J326" t="str">
            <v>PO 1445 - Reunión en Obra con cliente</v>
          </cell>
          <cell r="K326" t="str">
            <v>.</v>
          </cell>
          <cell r="L326">
            <v>0</v>
          </cell>
          <cell r="M326">
            <v>0</v>
          </cell>
          <cell r="N326">
            <v>0</v>
          </cell>
          <cell r="O326">
            <v>0</v>
          </cell>
          <cell r="Q326" t="str">
            <v>602.34.002 Gastos por visita tencica</v>
          </cell>
        </row>
        <row r="327">
          <cell r="B327" t="str">
            <v>#25</v>
          </cell>
          <cell r="C327">
            <v>45818.850694444402</v>
          </cell>
          <cell r="D327">
            <v>314.95999999999998</v>
          </cell>
          <cell r="E327" t="str">
            <v>MXN</v>
          </cell>
          <cell r="F327" t="str">
            <v>Jorge Eduardo Estrada Becerril</v>
          </cell>
          <cell r="G327" t="str">
            <v>UBER* PENDING          CIUDAD DE MEX MEX</v>
          </cell>
          <cell r="H327" t="str">
            <v>Uber</v>
          </cell>
          <cell r="I327" t="str">
            <v>G&amp;A expenses</v>
          </cell>
          <cell r="J327" t="str">
            <v>PO 1445 - Reunión en Obra con cliente</v>
          </cell>
          <cell r="K327" t="str">
            <v>.</v>
          </cell>
          <cell r="L327">
            <v>0</v>
          </cell>
          <cell r="M327">
            <v>0</v>
          </cell>
          <cell r="N327">
            <v>0</v>
          </cell>
          <cell r="O327">
            <v>0</v>
          </cell>
          <cell r="Q327" t="str">
            <v>602.34.002 Gastos por visita tencica</v>
          </cell>
        </row>
        <row r="328">
          <cell r="B328" t="str">
            <v>#25</v>
          </cell>
          <cell r="C328">
            <v>45821.936111111099</v>
          </cell>
          <cell r="D328">
            <v>1497.59</v>
          </cell>
          <cell r="E328" t="str">
            <v>MXN</v>
          </cell>
          <cell r="F328" t="str">
            <v>Jorge Eduardo Estrada Becerril</v>
          </cell>
          <cell r="G328" t="str">
            <v>UBER* EATS PENDING     CIUDAD DE MEX MEX</v>
          </cell>
          <cell r="H328" t="str">
            <v>Uber Eats</v>
          </cell>
          <cell r="I328" t="str">
            <v>G&amp;A expenses</v>
          </cell>
          <cell r="J328" t="str">
            <v>PO 1027 - visita a Obra</v>
          </cell>
          <cell r="K328" t="str">
            <v>.</v>
          </cell>
          <cell r="L328">
            <v>0</v>
          </cell>
          <cell r="M328">
            <v>0</v>
          </cell>
          <cell r="N328">
            <v>0</v>
          </cell>
          <cell r="O328">
            <v>0</v>
          </cell>
          <cell r="Q328" t="str">
            <v>602.34.002 Gastos por visita tencica</v>
          </cell>
        </row>
        <row r="329">
          <cell r="B329" t="str">
            <v>#25</v>
          </cell>
          <cell r="C329">
            <v>45824.038888888797</v>
          </cell>
          <cell r="D329">
            <v>60.13</v>
          </cell>
          <cell r="E329" t="str">
            <v>MXN</v>
          </cell>
          <cell r="F329" t="str">
            <v>Jorge Eduardo Estrada Becerril</v>
          </cell>
          <cell r="G329" t="str">
            <v>UBER* TRIP             CIUDAD DE MEX MEX</v>
          </cell>
          <cell r="H329" t="str">
            <v>Uber</v>
          </cell>
          <cell r="I329" t="str">
            <v>G&amp;A expenses</v>
          </cell>
          <cell r="J329" t="str">
            <v>PO 1027 - visita a Obra</v>
          </cell>
          <cell r="K329" t="str">
            <v>.</v>
          </cell>
          <cell r="L329">
            <v>0</v>
          </cell>
          <cell r="M329">
            <v>0</v>
          </cell>
          <cell r="N329">
            <v>0</v>
          </cell>
          <cell r="O329">
            <v>0</v>
          </cell>
          <cell r="Q329" t="str">
            <v>602.34.002 Gastos por visita tencica</v>
          </cell>
        </row>
        <row r="330">
          <cell r="B330" t="str">
            <v>#25</v>
          </cell>
          <cell r="C330">
            <v>45834.909722222197</v>
          </cell>
          <cell r="D330">
            <v>970</v>
          </cell>
          <cell r="E330" t="str">
            <v>MXN</v>
          </cell>
          <cell r="F330" t="str">
            <v>Jorge Eduardo Estrada Becerril</v>
          </cell>
          <cell r="G330" t="str">
            <v>SERV BOULEVARES I      NAUCALPAN DE  MEX</v>
          </cell>
          <cell r="H330" t="str">
            <v>Serv Boulevares I Naucalpan De Mex</v>
          </cell>
          <cell r="I330" t="str">
            <v>Sales</v>
          </cell>
          <cell r="J330">
            <v>0</v>
          </cell>
          <cell r="K330" t="str">
            <v>.</v>
          </cell>
          <cell r="L330">
            <v>0</v>
          </cell>
          <cell r="M330">
            <v>0</v>
          </cell>
          <cell r="N330">
            <v>0</v>
          </cell>
          <cell r="O330">
            <v>0</v>
          </cell>
          <cell r="Q330" t="str">
            <v>602.34.002 Gastos por visita tencica</v>
          </cell>
        </row>
        <row r="331">
          <cell r="B331" t="str">
            <v>#26</v>
          </cell>
          <cell r="C331">
            <v>45825.8388888888</v>
          </cell>
          <cell r="D331">
            <v>286.83</v>
          </cell>
          <cell r="E331" t="str">
            <v>MXN</v>
          </cell>
          <cell r="F331" t="str">
            <v>Karen Alexandra Ballesteros Contreras</v>
          </cell>
          <cell r="G331" t="str">
            <v>UBER* PENDING          CIUDAD DE MEX MEX</v>
          </cell>
          <cell r="H331" t="str">
            <v>Uber</v>
          </cell>
          <cell r="I331" t="str">
            <v>Recruiting</v>
          </cell>
          <cell r="J331" t="str">
            <v>PO-2395  UBER TRASLADO DE PROYECTO GALICIA</v>
          </cell>
          <cell r="K331" t="str">
            <v>CB226791-C459-5AC9-A96C-5DFDC1D3E599</v>
          </cell>
          <cell r="L331">
            <v>0</v>
          </cell>
          <cell r="M331">
            <v>0</v>
          </cell>
          <cell r="N331">
            <v>0</v>
          </cell>
          <cell r="O331">
            <v>0</v>
          </cell>
          <cell r="Q331" t="str">
            <v>603.81.006 Gastos Administativos de venta</v>
          </cell>
        </row>
        <row r="332">
          <cell r="B332" t="str">
            <v>#26</v>
          </cell>
          <cell r="C332">
            <v>45827.956944444399</v>
          </cell>
          <cell r="D332">
            <v>754.6</v>
          </cell>
          <cell r="E332" t="str">
            <v>MXN</v>
          </cell>
          <cell r="F332" t="str">
            <v>Karen Alexandra Ballesteros Contreras</v>
          </cell>
          <cell r="G332" t="str">
            <v>REST CASA IMPERIAL     CIUDAD DE MEX MEX</v>
          </cell>
          <cell r="H332" t="str">
            <v>Casa Imperial</v>
          </cell>
          <cell r="I332" t="str">
            <v>Recruiting</v>
          </cell>
          <cell r="J332" t="str">
            <v>PO-2395  COMIDA PERSONAL PRIMA,PERSONAL GAYA , PERSONAL NUMAD</v>
          </cell>
          <cell r="K332" t="str">
            <v>50AEE9AC-F1C4-4B87-98B3-A94EA50B8589</v>
          </cell>
          <cell r="L332">
            <v>0</v>
          </cell>
          <cell r="M332">
            <v>0</v>
          </cell>
          <cell r="N332">
            <v>0</v>
          </cell>
          <cell r="O332">
            <v>0</v>
          </cell>
          <cell r="Q332" t="str">
            <v>603.81.006 Gastos Administativos de venta</v>
          </cell>
        </row>
        <row r="333">
          <cell r="B333" t="str">
            <v>#26</v>
          </cell>
          <cell r="C333">
            <v>45827.962500000001</v>
          </cell>
          <cell r="D333">
            <v>351.21</v>
          </cell>
          <cell r="E333" t="str">
            <v>MXN</v>
          </cell>
          <cell r="F333" t="str">
            <v>Karen Alexandra Ballesteros Contreras</v>
          </cell>
          <cell r="G333" t="str">
            <v>UBER* PENDING          CIUDAD DE MEX MEX</v>
          </cell>
          <cell r="H333" t="str">
            <v>Uber</v>
          </cell>
          <cell r="I333" t="str">
            <v>Recruiting</v>
          </cell>
          <cell r="J333" t="str">
            <v>PO-2395 UBER TRASLADO DE PROYECTO GALICIA</v>
          </cell>
          <cell r="K333" t="str">
            <v>79B75ED9-86E2-589A-B25B-A60F067583B6</v>
          </cell>
          <cell r="L333">
            <v>0</v>
          </cell>
          <cell r="M333">
            <v>0</v>
          </cell>
          <cell r="N333">
            <v>0</v>
          </cell>
          <cell r="O333">
            <v>0</v>
          </cell>
          <cell r="Q333" t="str">
            <v>603.81.006 Gastos Administativos de venta</v>
          </cell>
        </row>
        <row r="334">
          <cell r="B334" t="str">
            <v>#26</v>
          </cell>
          <cell r="C334">
            <v>45828.546527777697</v>
          </cell>
          <cell r="D334">
            <v>39.979999999999997</v>
          </cell>
          <cell r="E334" t="str">
            <v>MXN</v>
          </cell>
          <cell r="F334" t="str">
            <v>Karen Alexandra Ballesteros Contreras</v>
          </cell>
          <cell r="G334" t="str">
            <v>UBER* PENDING          CIUDAD DE MEX MEX</v>
          </cell>
          <cell r="H334" t="str">
            <v>Uber</v>
          </cell>
          <cell r="I334" t="str">
            <v>Recruiting</v>
          </cell>
          <cell r="J334" t="str">
            <v>PO-3089 UBER TRASLADO A PROYECTO NOKIA</v>
          </cell>
          <cell r="K334" t="str">
            <v>EA1CF861-5842-5226-AE69-B5D4C787E9E4</v>
          </cell>
          <cell r="L334">
            <v>0</v>
          </cell>
          <cell r="M334">
            <v>0</v>
          </cell>
          <cell r="N334">
            <v>0</v>
          </cell>
          <cell r="O334">
            <v>0</v>
          </cell>
          <cell r="Q334" t="str">
            <v>603.81.006 Gastos Administativos de venta</v>
          </cell>
        </row>
        <row r="335">
          <cell r="B335" t="str">
            <v>#26</v>
          </cell>
          <cell r="C335">
            <v>45828.847222222197</v>
          </cell>
          <cell r="D335">
            <v>1218.8</v>
          </cell>
          <cell r="E335" t="str">
            <v>MXN</v>
          </cell>
          <cell r="F335" t="str">
            <v>Karen Alexandra Ballesteros Contreras</v>
          </cell>
          <cell r="G335" t="str">
            <v>REST CAMARO GUASAVE S4 CUAUTITLAN IZ MEX</v>
          </cell>
          <cell r="H335" t="str">
            <v>Rest Camaro Guasave S4 Cuautitlan Iz Mex</v>
          </cell>
          <cell r="I335" t="str">
            <v>Recruiting</v>
          </cell>
          <cell r="J335" t="str">
            <v>PO-3089 COMIDA PERSONAL PRIMA JORGE,ALEXA,RESIDENTE TRAACSA</v>
          </cell>
          <cell r="K335" t="str">
            <v>A5C23AFC-A60C-4D84-A76E-7EBA407D6488</v>
          </cell>
          <cell r="L335">
            <v>0</v>
          </cell>
          <cell r="M335">
            <v>0</v>
          </cell>
          <cell r="N335">
            <v>0</v>
          </cell>
          <cell r="O335">
            <v>0</v>
          </cell>
          <cell r="Q335" t="str">
            <v>603.81.006 Gastos Administativos de venta</v>
          </cell>
        </row>
        <row r="336">
          <cell r="B336" t="str">
            <v>#26</v>
          </cell>
          <cell r="C336">
            <v>45828.999305555502</v>
          </cell>
          <cell r="D336">
            <v>108.89</v>
          </cell>
          <cell r="E336" t="str">
            <v>MXN</v>
          </cell>
          <cell r="F336" t="str">
            <v>Karen Alexandra Ballesteros Contreras</v>
          </cell>
          <cell r="G336" t="str">
            <v>UBER* PENDING          CIUDAD DE MEX MEX</v>
          </cell>
          <cell r="H336" t="str">
            <v>Uber</v>
          </cell>
          <cell r="I336" t="str">
            <v>Recruiting</v>
          </cell>
          <cell r="J336" t="str">
            <v>PO-3089 UBER TRASLADO DE PROYECTO NOKIA</v>
          </cell>
          <cell r="K336" t="str">
            <v>AA165679-EE29-578B-954C-A5A3E072F917</v>
          </cell>
          <cell r="L336">
            <v>0</v>
          </cell>
          <cell r="M336">
            <v>0</v>
          </cell>
          <cell r="N336">
            <v>0</v>
          </cell>
          <cell r="O336">
            <v>0</v>
          </cell>
          <cell r="Q336" t="str">
            <v>603.81.006 Gastos Administativos de venta</v>
          </cell>
        </row>
        <row r="337">
          <cell r="B337" t="str">
            <v>#26</v>
          </cell>
          <cell r="C337">
            <v>45829.5576388888</v>
          </cell>
          <cell r="D337">
            <v>59.94</v>
          </cell>
          <cell r="E337" t="str">
            <v>MXN</v>
          </cell>
          <cell r="F337" t="str">
            <v>Karen Alexandra Ballesteros Contreras</v>
          </cell>
          <cell r="G337" t="str">
            <v>UBER* PENDING          CIUDAD DE MEX MEX</v>
          </cell>
          <cell r="H337" t="str">
            <v>Uber</v>
          </cell>
          <cell r="I337" t="str">
            <v>Recruiting</v>
          </cell>
          <cell r="J337" t="str">
            <v>PO-3089 UBER TRASLADO A PROYECTO NOKIA</v>
          </cell>
          <cell r="K337" t="str">
            <v>D74440A4-68BA-5607-859B-0ED7F409440B</v>
          </cell>
          <cell r="L337">
            <v>0</v>
          </cell>
          <cell r="M337">
            <v>0</v>
          </cell>
          <cell r="N337">
            <v>0</v>
          </cell>
          <cell r="O337">
            <v>0</v>
          </cell>
          <cell r="Q337" t="str">
            <v>603.81.006 Gastos Administativos de venta</v>
          </cell>
        </row>
        <row r="338">
          <cell r="B338" t="str">
            <v>#26</v>
          </cell>
          <cell r="C338">
            <v>45829.804166666603</v>
          </cell>
          <cell r="D338">
            <v>89.92</v>
          </cell>
          <cell r="E338" t="str">
            <v>MXN</v>
          </cell>
          <cell r="F338" t="str">
            <v>Karen Alexandra Ballesteros Contreras</v>
          </cell>
          <cell r="G338" t="str">
            <v>UBER* PENDING          CIUDAD DE MEX MEX</v>
          </cell>
          <cell r="H338" t="str">
            <v>Uber</v>
          </cell>
          <cell r="I338" t="str">
            <v>Recruiting</v>
          </cell>
          <cell r="J338" t="str">
            <v>PO-3089 UBER TRASLADO DE PROYECTO NOKIA</v>
          </cell>
          <cell r="K338" t="str">
            <v>E15029C8-37E1-57BB-8A1A-2232D3F3CAB5</v>
          </cell>
          <cell r="L338">
            <v>0</v>
          </cell>
          <cell r="M338">
            <v>0</v>
          </cell>
          <cell r="N338">
            <v>0</v>
          </cell>
          <cell r="O338">
            <v>0</v>
          </cell>
          <cell r="Q338" t="str">
            <v>603.81.006 Gastos Administativos de venta</v>
          </cell>
        </row>
        <row r="339">
          <cell r="B339" t="str">
            <v>#26</v>
          </cell>
          <cell r="C339">
            <v>45830.007638888797</v>
          </cell>
          <cell r="D339">
            <v>299</v>
          </cell>
          <cell r="E339" t="str">
            <v>MXN</v>
          </cell>
          <cell r="F339" t="str">
            <v>Karen Alexandra Ballesteros Contreras</v>
          </cell>
          <cell r="G339" t="str">
            <v>DP 11168 IZCALLI       CUAUTITLAN IZ MEX</v>
          </cell>
          <cell r="H339" t="str">
            <v>Dp Izcalli Cuautitlan Iz Mex</v>
          </cell>
          <cell r="I339" t="str">
            <v>Recruiting</v>
          </cell>
          <cell r="J339" t="str">
            <v>PO-3089 COMIDA ALEXA</v>
          </cell>
          <cell r="K339" t="str">
            <v>EA4AB0EF-5B92-4459-AB8E-7B0897CAED7C</v>
          </cell>
          <cell r="L339">
            <v>0</v>
          </cell>
          <cell r="M339">
            <v>0</v>
          </cell>
          <cell r="N339">
            <v>0</v>
          </cell>
          <cell r="O339">
            <v>0</v>
          </cell>
          <cell r="Q339" t="str">
            <v>603.81.006 Gastos Administativos de venta</v>
          </cell>
        </row>
        <row r="340">
          <cell r="B340" t="str">
            <v>#26</v>
          </cell>
          <cell r="C340">
            <v>45830.0756944444</v>
          </cell>
          <cell r="D340">
            <v>583.12</v>
          </cell>
          <cell r="E340" t="str">
            <v>MXN</v>
          </cell>
          <cell r="F340" t="str">
            <v>Karen Alexandra Ballesteros Contreras</v>
          </cell>
          <cell r="G340" t="str">
            <v>OFFICE DEPOT IZCALLI   CUAUTITLAN IZ MEX</v>
          </cell>
          <cell r="H340" t="str">
            <v>Office Depot</v>
          </cell>
          <cell r="I340" t="str">
            <v>Recruiting</v>
          </cell>
          <cell r="J340" t="str">
            <v>PO-2395 PAPELERIA PARA ENTREGA DE ESTIMACIONES PROYECTO GALICIA</v>
          </cell>
          <cell r="K340" t="str">
            <v>B3235031-C33C-4671-BC3B-4B53BF205DCB</v>
          </cell>
          <cell r="L340">
            <v>0</v>
          </cell>
          <cell r="M340">
            <v>0</v>
          </cell>
          <cell r="N340">
            <v>0</v>
          </cell>
          <cell r="O340">
            <v>0</v>
          </cell>
          <cell r="Q340" t="str">
            <v>603.81.006 Gastos Administativos de venta</v>
          </cell>
        </row>
        <row r="341">
          <cell r="B341" t="str">
            <v>#26</v>
          </cell>
          <cell r="C341">
            <v>45831.929166666603</v>
          </cell>
          <cell r="D341">
            <v>279.91000000000003</v>
          </cell>
          <cell r="E341" t="str">
            <v>MXN</v>
          </cell>
          <cell r="F341" t="str">
            <v>Karen Alexandra Ballesteros Contreras</v>
          </cell>
          <cell r="G341" t="str">
            <v>UBER* PENDING          CIUDAD DE MEX MEX</v>
          </cell>
          <cell r="H341" t="str">
            <v>Uber</v>
          </cell>
          <cell r="I341" t="str">
            <v>Recruiting</v>
          </cell>
          <cell r="J341" t="str">
            <v>PO-2395 UBER TRASLADO DE PROYECTO GALICIA</v>
          </cell>
          <cell r="K341" t="str">
            <v>3D06B3DC-1C3F-5EAA-BE98-20DE1DDCF05C</v>
          </cell>
          <cell r="L341">
            <v>0</v>
          </cell>
          <cell r="M341">
            <v>0</v>
          </cell>
          <cell r="N341">
            <v>0</v>
          </cell>
          <cell r="O341">
            <v>0</v>
          </cell>
          <cell r="Q341" t="str">
            <v>603.81.006 Gastos Administativos de venta</v>
          </cell>
        </row>
        <row r="342">
          <cell r="B342" t="str">
            <v>#26</v>
          </cell>
          <cell r="C342">
            <v>45831.979166666599</v>
          </cell>
          <cell r="D342">
            <v>237.66</v>
          </cell>
          <cell r="E342" t="str">
            <v>MXN</v>
          </cell>
          <cell r="F342" t="str">
            <v>Karen Alexandra Ballesteros Contreras</v>
          </cell>
          <cell r="G342" t="str">
            <v>UBER* EATS PENDING     CIUDAD DE MEX MEX</v>
          </cell>
          <cell r="H342" t="str">
            <v>Uber Eats</v>
          </cell>
          <cell r="I342" t="str">
            <v>Recruiting</v>
          </cell>
          <cell r="J342" t="str">
            <v>PO-3089 COMIDA ALEXA</v>
          </cell>
          <cell r="K342" t="str">
            <v>5501F3A0-CA73-4CA3-81A6-5C168C867BD5</v>
          </cell>
          <cell r="L342">
            <v>0</v>
          </cell>
          <cell r="M342">
            <v>0</v>
          </cell>
          <cell r="N342">
            <v>0</v>
          </cell>
          <cell r="O342">
            <v>0</v>
          </cell>
          <cell r="Q342" t="str">
            <v>603.81.006 Gastos Administativos de venta</v>
          </cell>
        </row>
        <row r="343">
          <cell r="B343" t="str">
            <v>#26</v>
          </cell>
          <cell r="C343">
            <v>45832.670138888803</v>
          </cell>
          <cell r="D343">
            <v>133.82</v>
          </cell>
          <cell r="E343" t="str">
            <v>MXN</v>
          </cell>
          <cell r="F343" t="str">
            <v>Karen Alexandra Ballesteros Contreras</v>
          </cell>
          <cell r="G343" t="str">
            <v>UBER* TRIP             CIUDAD DE MEX MEX</v>
          </cell>
          <cell r="H343" t="str">
            <v>Uber</v>
          </cell>
          <cell r="I343" t="str">
            <v>Recruiting</v>
          </cell>
          <cell r="J343" t="str">
            <v>PO-2395 PEAGE UBER TRASLADO DE PROYECTO GALICIA</v>
          </cell>
          <cell r="K343" t="str">
            <v>.</v>
          </cell>
          <cell r="L343">
            <v>0</v>
          </cell>
          <cell r="M343">
            <v>0</v>
          </cell>
          <cell r="N343">
            <v>0</v>
          </cell>
          <cell r="O343">
            <v>0</v>
          </cell>
          <cell r="Q343" t="str">
            <v>603.81.006 Gastos Administativos de venta</v>
          </cell>
        </row>
        <row r="344">
          <cell r="B344" t="str">
            <v>#26</v>
          </cell>
          <cell r="C344">
            <v>45832.9090277777</v>
          </cell>
          <cell r="D344">
            <v>279.91000000000003</v>
          </cell>
          <cell r="E344" t="str">
            <v>MXN</v>
          </cell>
          <cell r="F344" t="str">
            <v>Karen Alexandra Ballesteros Contreras</v>
          </cell>
          <cell r="G344" t="str">
            <v>UBER* PENDING          CIUDAD DE MEX MEX</v>
          </cell>
          <cell r="H344" t="str">
            <v>Uber</v>
          </cell>
          <cell r="I344" t="str">
            <v>Recruiting</v>
          </cell>
          <cell r="J344" t="str">
            <v>PO-2395 UBER TRASLADO DE PROYECTO GALICIA</v>
          </cell>
          <cell r="K344" t="str">
            <v>F550DC73-AF39-53C5-BD68-CD1221E8C5E9</v>
          </cell>
          <cell r="L344">
            <v>0</v>
          </cell>
          <cell r="M344">
            <v>0</v>
          </cell>
          <cell r="N344">
            <v>0</v>
          </cell>
          <cell r="O344">
            <v>0</v>
          </cell>
          <cell r="Q344" t="str">
            <v>603.81.006 Gastos Administativos de venta</v>
          </cell>
        </row>
        <row r="345">
          <cell r="B345" t="str">
            <v>#26</v>
          </cell>
          <cell r="C345">
            <v>45832.952083333301</v>
          </cell>
          <cell r="D345">
            <v>134.88</v>
          </cell>
          <cell r="E345" t="str">
            <v>MXN</v>
          </cell>
          <cell r="F345" t="str">
            <v>Karen Alexandra Ballesteros Contreras</v>
          </cell>
          <cell r="G345" t="str">
            <v>UBER* TRIP             CIUDAD DE MEX MEX</v>
          </cell>
          <cell r="H345" t="str">
            <v>Uber</v>
          </cell>
          <cell r="I345" t="str">
            <v>Recruiting</v>
          </cell>
          <cell r="J345" t="str">
            <v>PO-2395 PEAGE UBER TRASLADO DE PROYECTO GALICIA</v>
          </cell>
          <cell r="K345" t="str">
            <v>.</v>
          </cell>
          <cell r="L345">
            <v>0</v>
          </cell>
          <cell r="M345">
            <v>0</v>
          </cell>
          <cell r="N345">
            <v>0</v>
          </cell>
          <cell r="O345">
            <v>0</v>
          </cell>
          <cell r="Q345" t="str">
            <v>603.81.006 Gastos Administativos de venta</v>
          </cell>
        </row>
        <row r="346">
          <cell r="B346" t="str">
            <v>#26</v>
          </cell>
          <cell r="C346">
            <v>45833.892361111102</v>
          </cell>
          <cell r="D346">
            <v>249.91</v>
          </cell>
          <cell r="E346" t="str">
            <v>MXN</v>
          </cell>
          <cell r="F346" t="str">
            <v>Karen Alexandra Ballesteros Contreras</v>
          </cell>
          <cell r="G346" t="str">
            <v>UBER* PENDING          CIUDAD DE MEX MEX</v>
          </cell>
          <cell r="H346" t="str">
            <v>Uber</v>
          </cell>
          <cell r="I346" t="str">
            <v>Recruiting</v>
          </cell>
          <cell r="J346" t="str">
            <v>PO-2395 UBER TRASLADO DE PROYECTO GALICIA</v>
          </cell>
          <cell r="K346" t="str">
            <v>F2BCAB7B-1C70-5EDE-983F-E70033E242D3</v>
          </cell>
          <cell r="L346">
            <v>0</v>
          </cell>
          <cell r="M346">
            <v>0</v>
          </cell>
          <cell r="N346">
            <v>0</v>
          </cell>
          <cell r="O346">
            <v>0</v>
          </cell>
          <cell r="Q346" t="str">
            <v>603.81.006 Gastos Administativos de venta</v>
          </cell>
        </row>
        <row r="347">
          <cell r="B347" t="str">
            <v>#26</v>
          </cell>
          <cell r="C347">
            <v>45834.637499999997</v>
          </cell>
          <cell r="D347">
            <v>46.1</v>
          </cell>
          <cell r="E347" t="str">
            <v>MXN</v>
          </cell>
          <cell r="F347" t="str">
            <v>Karen Alexandra Ballesteros Contreras</v>
          </cell>
          <cell r="G347" t="str">
            <v>UBER* TRIP             CIUDAD DE MEX MEX</v>
          </cell>
          <cell r="H347" t="str">
            <v>Uber</v>
          </cell>
          <cell r="I347" t="str">
            <v>Recruiting</v>
          </cell>
          <cell r="J347" t="str">
            <v>PO-3089 UBER TRASLADO A PROYECTO NOKIA</v>
          </cell>
          <cell r="K347" t="str">
            <v>2014B4FF-8843-5C57-8555-405E7A487844</v>
          </cell>
          <cell r="L347">
            <v>0</v>
          </cell>
          <cell r="M347">
            <v>0</v>
          </cell>
          <cell r="N347">
            <v>0</v>
          </cell>
          <cell r="O347">
            <v>0</v>
          </cell>
          <cell r="Q347" t="str">
            <v>603.81.006 Gastos Administativos de venta</v>
          </cell>
        </row>
        <row r="348">
          <cell r="B348" t="str">
            <v>#26</v>
          </cell>
          <cell r="C348">
            <v>45834.716666666602</v>
          </cell>
          <cell r="D348">
            <v>182.64</v>
          </cell>
          <cell r="E348" t="str">
            <v>MXN</v>
          </cell>
          <cell r="F348" t="str">
            <v>Karen Alexandra Ballesteros Contreras</v>
          </cell>
          <cell r="G348" t="str">
            <v>UBER* TRIP             CIUDAD DE MEX MEX</v>
          </cell>
          <cell r="H348" t="str">
            <v>Uber</v>
          </cell>
          <cell r="I348" t="str">
            <v>Recruiting</v>
          </cell>
          <cell r="J348" t="str">
            <v>PO-2395 PEAGE UBER TRASLADO DE PROYECTO GALICIA</v>
          </cell>
          <cell r="K348" t="str">
            <v>.</v>
          </cell>
          <cell r="L348">
            <v>0</v>
          </cell>
          <cell r="M348">
            <v>0</v>
          </cell>
          <cell r="N348">
            <v>0</v>
          </cell>
          <cell r="O348">
            <v>0</v>
          </cell>
          <cell r="Q348" t="str">
            <v>603.81.006 Gastos Administativos de venta</v>
          </cell>
        </row>
        <row r="349">
          <cell r="B349" t="str">
            <v>#26</v>
          </cell>
          <cell r="C349">
            <v>45834.922222222202</v>
          </cell>
          <cell r="D349">
            <v>379</v>
          </cell>
          <cell r="E349" t="str">
            <v>MXN</v>
          </cell>
          <cell r="F349" t="str">
            <v>Karen Alexandra Ballesteros Contreras</v>
          </cell>
          <cell r="G349" t="str">
            <v>WINGSTOP IZCALLI       CUAUTITLAN IZ MEX</v>
          </cell>
          <cell r="H349" t="str">
            <v>Wingstop</v>
          </cell>
          <cell r="I349" t="str">
            <v>Recruiting</v>
          </cell>
          <cell r="J349" t="str">
            <v>PO-3089 COMIDA ALEXA</v>
          </cell>
          <cell r="K349" t="str">
            <v>DD593EFF-7832-493E-9571-2248A7C41F8B</v>
          </cell>
          <cell r="L349">
            <v>0</v>
          </cell>
          <cell r="M349">
            <v>0</v>
          </cell>
          <cell r="N349">
            <v>0</v>
          </cell>
          <cell r="O349">
            <v>0</v>
          </cell>
          <cell r="Q349" t="str">
            <v>603.81.006 Gastos Administativos de venta</v>
          </cell>
        </row>
        <row r="350">
          <cell r="B350" t="str">
            <v>#26</v>
          </cell>
          <cell r="C350">
            <v>45835.982638888803</v>
          </cell>
          <cell r="D350">
            <v>260</v>
          </cell>
          <cell r="E350" t="str">
            <v>MXN</v>
          </cell>
          <cell r="F350" t="str">
            <v>Karen Alexandra Ballesteros Contreras</v>
          </cell>
          <cell r="G350" t="str">
            <v>MC DONALD S POLANCO    CIUDAD DE MEX MEX</v>
          </cell>
          <cell r="H350" t="str">
            <v>Mc Donald S Polanco Ciudad De Mex Mex</v>
          </cell>
          <cell r="I350" t="str">
            <v>Recruiting</v>
          </cell>
          <cell r="J350" t="str">
            <v>PO-2395 COMIDA ALEXA</v>
          </cell>
          <cell r="K350" t="str">
            <v>AC1FD39C-0D34-4583-9AE3-AA351FE9C11B</v>
          </cell>
          <cell r="L350">
            <v>0</v>
          </cell>
          <cell r="M350">
            <v>0</v>
          </cell>
          <cell r="N350">
            <v>0</v>
          </cell>
          <cell r="O350">
            <v>0</v>
          </cell>
          <cell r="Q350" t="str">
            <v>603.81.006 Gastos Administativos de venta</v>
          </cell>
        </row>
        <row r="351">
          <cell r="B351" t="str">
            <v>#26</v>
          </cell>
          <cell r="C351">
            <v>45836.013888888803</v>
          </cell>
          <cell r="D351">
            <v>209.65</v>
          </cell>
          <cell r="E351" t="str">
            <v>MXN</v>
          </cell>
          <cell r="F351" t="str">
            <v>Karen Alexandra Ballesteros Contreras</v>
          </cell>
          <cell r="G351" t="str">
            <v>UBER* PENDING          CIUDAD DE MEX MEX</v>
          </cell>
          <cell r="H351" t="str">
            <v>Uber</v>
          </cell>
          <cell r="I351" t="str">
            <v>Recruiting</v>
          </cell>
          <cell r="J351" t="str">
            <v>PO-2395 UBER TRASLADO DE PROYECTO GALICIA</v>
          </cell>
          <cell r="K351" t="str">
            <v>35837797-D240-5D32-A814-885742906EEE</v>
          </cell>
          <cell r="L351">
            <v>0</v>
          </cell>
          <cell r="M351">
            <v>0</v>
          </cell>
          <cell r="N351">
            <v>0</v>
          </cell>
          <cell r="O351">
            <v>0</v>
          </cell>
          <cell r="Q351" t="str">
            <v>603.81.006 Gastos Administativos de venta</v>
          </cell>
        </row>
        <row r="352">
          <cell r="B352" t="str">
            <v>#26</v>
          </cell>
          <cell r="C352">
            <v>45838.613888888802</v>
          </cell>
          <cell r="D352">
            <v>133.82</v>
          </cell>
          <cell r="E352" t="str">
            <v>MXN</v>
          </cell>
          <cell r="F352" t="str">
            <v>Karen Alexandra Ballesteros Contreras</v>
          </cell>
          <cell r="G352" t="str">
            <v>UBER* TRIP             CIUDAD DE MEX MEX</v>
          </cell>
          <cell r="H352" t="str">
            <v>Uber</v>
          </cell>
          <cell r="I352" t="str">
            <v>Recruiting</v>
          </cell>
          <cell r="J352" t="str">
            <v>PO-2395 PEAGE UBER TRASLADO DE PROYECTO GALICIA</v>
          </cell>
          <cell r="K352" t="str">
            <v>.</v>
          </cell>
          <cell r="L352">
            <v>0</v>
          </cell>
          <cell r="M352">
            <v>0</v>
          </cell>
          <cell r="N352">
            <v>0</v>
          </cell>
          <cell r="O352">
            <v>0</v>
          </cell>
          <cell r="Q352" t="str">
            <v>603.81.006 Gastos Administativos de venta</v>
          </cell>
        </row>
        <row r="353">
          <cell r="B353" t="str">
            <v>#26</v>
          </cell>
          <cell r="C353">
            <v>45838.927777777702</v>
          </cell>
          <cell r="D353">
            <v>11</v>
          </cell>
          <cell r="E353" t="str">
            <v>MXN</v>
          </cell>
          <cell r="F353" t="str">
            <v>Karen Alexandra Ballesteros Contreras</v>
          </cell>
          <cell r="G353" t="str">
            <v>UBER* TRIP             CIUDAD DE MEX MEX</v>
          </cell>
          <cell r="H353" t="str">
            <v>Uber</v>
          </cell>
          <cell r="I353" t="str">
            <v>Recruiting</v>
          </cell>
          <cell r="J353" t="str">
            <v>PO-2395 PEAGE UBER TRASLADO DE PROYECTO GALICIA</v>
          </cell>
          <cell r="K353" t="str">
            <v>D0EE62F6-899F-579D-9144-63C22A642961</v>
          </cell>
          <cell r="L353">
            <v>0</v>
          </cell>
          <cell r="M353">
            <v>0</v>
          </cell>
          <cell r="N353">
            <v>0</v>
          </cell>
          <cell r="O353">
            <v>0</v>
          </cell>
          <cell r="Q353" t="str">
            <v>603.81.006 Gastos Administativos de venta</v>
          </cell>
        </row>
        <row r="354">
          <cell r="B354" t="str">
            <v>#28</v>
          </cell>
          <cell r="C354">
            <v>45811.713194444397</v>
          </cell>
          <cell r="D354">
            <v>4043.39</v>
          </cell>
          <cell r="E354" t="str">
            <v>MXN</v>
          </cell>
          <cell r="F354" t="str">
            <v>Fernando Villalobos Lara</v>
          </cell>
          <cell r="G354" t="str">
            <v>VIVAAEROBUS CALL CENTE APODACA NL    MEX</v>
          </cell>
          <cell r="H354" t="str">
            <v>Vivaaerobus</v>
          </cell>
          <cell r="I354" t="str">
            <v/>
          </cell>
          <cell r="J354">
            <v>0</v>
          </cell>
          <cell r="K354">
            <v>0</v>
          </cell>
          <cell r="L354">
            <v>0</v>
          </cell>
          <cell r="M354">
            <v>0</v>
          </cell>
          <cell r="N354">
            <v>0</v>
          </cell>
          <cell r="O354">
            <v>0</v>
          </cell>
          <cell r="Q354" t="str">
            <v>603.81.004 Gastos de Oficina</v>
          </cell>
        </row>
        <row r="355">
          <cell r="B355" t="str">
            <v>#28</v>
          </cell>
          <cell r="C355">
            <v>45812.110416666597</v>
          </cell>
          <cell r="D355">
            <v>126</v>
          </cell>
          <cell r="E355" t="str">
            <v>MXN</v>
          </cell>
          <cell r="F355" t="str">
            <v>Fernando Villalobos Lara</v>
          </cell>
          <cell r="G355" t="str">
            <v>DLO*DIDI RIDES         CIUDAD DE MEX MEX</v>
          </cell>
          <cell r="H355" t="str">
            <v>Didi Chuxing</v>
          </cell>
          <cell r="I355">
            <v>0</v>
          </cell>
          <cell r="J355">
            <v>0</v>
          </cell>
          <cell r="K355">
            <v>0</v>
          </cell>
          <cell r="L355">
            <v>0</v>
          </cell>
          <cell r="M355">
            <v>0</v>
          </cell>
          <cell r="N355">
            <v>0</v>
          </cell>
          <cell r="O355">
            <v>0</v>
          </cell>
          <cell r="Q355" t="str">
            <v>603.81.004 Gastos de Oficina</v>
          </cell>
        </row>
        <row r="356">
          <cell r="B356" t="str">
            <v>#28</v>
          </cell>
          <cell r="C356">
            <v>45812.247916666602</v>
          </cell>
          <cell r="D356">
            <v>344.58</v>
          </cell>
          <cell r="E356" t="str">
            <v>MXN</v>
          </cell>
          <cell r="F356" t="str">
            <v>Fernando Villalobos Lara</v>
          </cell>
          <cell r="G356" t="str">
            <v>3DS.COM                +33161626162  FRA</v>
          </cell>
          <cell r="H356" t="str">
            <v>3ds.com</v>
          </cell>
          <cell r="I356" t="str">
            <v>Tech&amp;Product</v>
          </cell>
          <cell r="J356" t="str">
            <v>Licencia 3DS</v>
          </cell>
          <cell r="K356">
            <v>0</v>
          </cell>
          <cell r="L356">
            <v>0</v>
          </cell>
          <cell r="M356">
            <v>0</v>
          </cell>
          <cell r="N356">
            <v>0</v>
          </cell>
          <cell r="O356">
            <v>0</v>
          </cell>
          <cell r="Q356" t="str">
            <v>603.81.004 Gastos de Oficina</v>
          </cell>
        </row>
        <row r="357">
          <cell r="B357" t="str">
            <v>#28</v>
          </cell>
          <cell r="C357">
            <v>45812.249305555502</v>
          </cell>
          <cell r="D357">
            <v>286</v>
          </cell>
          <cell r="E357" t="str">
            <v>MXN</v>
          </cell>
          <cell r="F357" t="str">
            <v>Fernando Villalobos Lara</v>
          </cell>
          <cell r="G357" t="str">
            <v>DLO*DIDI RIDES         CIUDAD DE MEX MEX</v>
          </cell>
          <cell r="H357" t="str">
            <v>Didi Chuxing</v>
          </cell>
          <cell r="I357">
            <v>0</v>
          </cell>
          <cell r="J357">
            <v>0</v>
          </cell>
          <cell r="K357">
            <v>0</v>
          </cell>
          <cell r="L357">
            <v>0</v>
          </cell>
          <cell r="M357">
            <v>0</v>
          </cell>
          <cell r="N357">
            <v>0</v>
          </cell>
          <cell r="O357">
            <v>0</v>
          </cell>
          <cell r="Q357" t="str">
            <v>603.81.004 Gastos de Oficina</v>
          </cell>
        </row>
        <row r="358">
          <cell r="B358" t="str">
            <v>#28</v>
          </cell>
          <cell r="C358">
            <v>45812.2631944444</v>
          </cell>
          <cell r="D358">
            <v>0.01</v>
          </cell>
          <cell r="E358" t="str">
            <v>MXN</v>
          </cell>
          <cell r="F358" t="str">
            <v>Fernando Villalobos Lara</v>
          </cell>
          <cell r="G358" t="str">
            <v>HERTZ APTO GUADAL MXN  TLAJOMULCO DE MEX</v>
          </cell>
          <cell r="H358" t="str">
            <v>Hertz</v>
          </cell>
          <cell r="I358">
            <v>0</v>
          </cell>
          <cell r="J358">
            <v>0</v>
          </cell>
          <cell r="K358">
            <v>0</v>
          </cell>
          <cell r="L358">
            <v>0</v>
          </cell>
          <cell r="M358">
            <v>0</v>
          </cell>
          <cell r="N358">
            <v>0</v>
          </cell>
          <cell r="O358">
            <v>0</v>
          </cell>
          <cell r="Q358" t="str">
            <v>603.81.004 Gastos de Oficina</v>
          </cell>
        </row>
        <row r="359">
          <cell r="B359" t="str">
            <v>#28</v>
          </cell>
          <cell r="C359">
            <v>45812.263888888803</v>
          </cell>
          <cell r="D359">
            <v>627</v>
          </cell>
          <cell r="E359" t="str">
            <v>MXN</v>
          </cell>
          <cell r="F359" t="str">
            <v>Fernando Villalobos Lara</v>
          </cell>
          <cell r="G359" t="str">
            <v>HERTZ APTO GUADAL MXN  TLAJOMULCO DE MEX</v>
          </cell>
          <cell r="H359" t="str">
            <v>Hertz</v>
          </cell>
          <cell r="I359">
            <v>0</v>
          </cell>
          <cell r="J359">
            <v>0</v>
          </cell>
          <cell r="K359">
            <v>0</v>
          </cell>
          <cell r="L359">
            <v>0</v>
          </cell>
          <cell r="M359">
            <v>0</v>
          </cell>
          <cell r="N359">
            <v>0</v>
          </cell>
          <cell r="O359">
            <v>0</v>
          </cell>
          <cell r="Q359" t="str">
            <v>603.81.004 Gastos de Oficina</v>
          </cell>
        </row>
        <row r="360">
          <cell r="B360" t="str">
            <v>#28</v>
          </cell>
          <cell r="C360">
            <v>45812.298611111102</v>
          </cell>
          <cell r="D360">
            <v>1448</v>
          </cell>
          <cell r="E360" t="str">
            <v>MXN</v>
          </cell>
          <cell r="F360" t="str">
            <v>Fernando Villalobos Lara</v>
          </cell>
          <cell r="G360" t="str">
            <v>HOTEL AVA              GUADALAJARA J MEX</v>
          </cell>
          <cell r="H360" t="str">
            <v>Hotel Ava Guadalajara J Mex</v>
          </cell>
          <cell r="I360">
            <v>0</v>
          </cell>
          <cell r="J360">
            <v>0</v>
          </cell>
          <cell r="K360">
            <v>0</v>
          </cell>
          <cell r="L360">
            <v>0</v>
          </cell>
          <cell r="M360">
            <v>0</v>
          </cell>
          <cell r="N360">
            <v>0</v>
          </cell>
          <cell r="O360">
            <v>0</v>
          </cell>
          <cell r="Q360" t="str">
            <v>603.81.004 Gastos de Oficina</v>
          </cell>
        </row>
        <row r="361">
          <cell r="B361" t="str">
            <v>#28</v>
          </cell>
          <cell r="C361">
            <v>45812.655555555502</v>
          </cell>
          <cell r="D361">
            <v>294.8</v>
          </cell>
          <cell r="E361" t="str">
            <v>MXN</v>
          </cell>
          <cell r="F361" t="str">
            <v>Fernando Villalobos Lara</v>
          </cell>
          <cell r="G361" t="str">
            <v>CAFE SAN PEDRO CHAPULT GUADALAJARA J MEX</v>
          </cell>
          <cell r="H361" t="str">
            <v>Cafe San Pedro Chapult Guadalajara J Mex</v>
          </cell>
          <cell r="I361">
            <v>0</v>
          </cell>
          <cell r="J361">
            <v>0</v>
          </cell>
          <cell r="K361">
            <v>0</v>
          </cell>
          <cell r="L361">
            <v>0</v>
          </cell>
          <cell r="M361">
            <v>0</v>
          </cell>
          <cell r="N361">
            <v>0</v>
          </cell>
          <cell r="O361">
            <v>0</v>
          </cell>
          <cell r="Q361" t="str">
            <v>603.81.004 Gastos de Oficina</v>
          </cell>
        </row>
        <row r="362">
          <cell r="B362" t="str">
            <v>#28</v>
          </cell>
          <cell r="C362">
            <v>45812.915972222203</v>
          </cell>
          <cell r="D362">
            <v>210</v>
          </cell>
          <cell r="E362" t="str">
            <v>MXN</v>
          </cell>
          <cell r="F362" t="str">
            <v>Fernando Villalobos Lara</v>
          </cell>
          <cell r="G362" t="str">
            <v>REST SSAM              GUADALAJARA J MEX</v>
          </cell>
          <cell r="H362" t="str">
            <v>Rest Ssam Guadalajara J Mex</v>
          </cell>
          <cell r="I362">
            <v>0</v>
          </cell>
          <cell r="J362">
            <v>0</v>
          </cell>
          <cell r="K362">
            <v>0</v>
          </cell>
          <cell r="L362">
            <v>0</v>
          </cell>
          <cell r="M362">
            <v>0</v>
          </cell>
          <cell r="N362">
            <v>0</v>
          </cell>
          <cell r="O362">
            <v>0</v>
          </cell>
          <cell r="Q362" t="str">
            <v>603.81.004 Gastos de Oficina</v>
          </cell>
        </row>
        <row r="363">
          <cell r="B363" t="str">
            <v>#28</v>
          </cell>
          <cell r="C363">
            <v>45812.9194444444</v>
          </cell>
          <cell r="D363">
            <v>40</v>
          </cell>
          <cell r="E363" t="str">
            <v>MXN</v>
          </cell>
          <cell r="F363" t="str">
            <v>Fernando Villalobos Lara</v>
          </cell>
          <cell r="G363" t="str">
            <v>PARCO                  ZAPOPAN JAL   MEX</v>
          </cell>
          <cell r="H363" t="str">
            <v>Parco Zapopan Jal Mex</v>
          </cell>
          <cell r="I363">
            <v>0</v>
          </cell>
          <cell r="J363">
            <v>0</v>
          </cell>
          <cell r="K363">
            <v>0</v>
          </cell>
          <cell r="L363">
            <v>0</v>
          </cell>
          <cell r="M363">
            <v>0</v>
          </cell>
          <cell r="N363">
            <v>0</v>
          </cell>
          <cell r="O363">
            <v>0</v>
          </cell>
          <cell r="Q363" t="str">
            <v>603.81.004 Gastos de Oficina</v>
          </cell>
        </row>
        <row r="364">
          <cell r="B364" t="str">
            <v>#28</v>
          </cell>
          <cell r="C364">
            <v>45812.988888888802</v>
          </cell>
          <cell r="D364">
            <v>141.9</v>
          </cell>
          <cell r="E364" t="str">
            <v>MXN</v>
          </cell>
          <cell r="F364" t="str">
            <v>Fernando Villalobos Lara</v>
          </cell>
          <cell r="G364" t="str">
            <v>CHILIS HAMPTON EL SALT EL SALTO JAL  MEX</v>
          </cell>
          <cell r="H364" t="str">
            <v>Chili's</v>
          </cell>
          <cell r="I364">
            <v>0</v>
          </cell>
          <cell r="J364">
            <v>0</v>
          </cell>
          <cell r="K364">
            <v>0</v>
          </cell>
          <cell r="L364">
            <v>0</v>
          </cell>
          <cell r="M364">
            <v>0</v>
          </cell>
          <cell r="N364">
            <v>0</v>
          </cell>
          <cell r="O364">
            <v>0</v>
          </cell>
          <cell r="Q364" t="str">
            <v>603.81.004 Gastos de Oficina</v>
          </cell>
        </row>
        <row r="365">
          <cell r="B365" t="str">
            <v>#28</v>
          </cell>
          <cell r="C365">
            <v>45812.996527777701</v>
          </cell>
          <cell r="D365">
            <v>455.7</v>
          </cell>
          <cell r="E365" t="str">
            <v>MXN</v>
          </cell>
          <cell r="F365" t="str">
            <v>Fernando Villalobos Lara</v>
          </cell>
          <cell r="G365" t="str">
            <v>GASOL LOLITA           EL SALTO JAL  MEX</v>
          </cell>
          <cell r="H365" t="str">
            <v>Gasol Lolita El Salto Jal Mex</v>
          </cell>
          <cell r="I365">
            <v>0</v>
          </cell>
          <cell r="J365">
            <v>0</v>
          </cell>
          <cell r="K365">
            <v>0</v>
          </cell>
          <cell r="L365">
            <v>0</v>
          </cell>
          <cell r="M365">
            <v>0</v>
          </cell>
          <cell r="N365">
            <v>0</v>
          </cell>
          <cell r="O365">
            <v>0</v>
          </cell>
          <cell r="Q365" t="str">
            <v>603.81.004 Gastos de Oficina</v>
          </cell>
        </row>
        <row r="366">
          <cell r="B366" t="str">
            <v>#28</v>
          </cell>
          <cell r="C366">
            <v>45813.079861111102</v>
          </cell>
          <cell r="D366">
            <v>5301.68</v>
          </cell>
          <cell r="E366" t="str">
            <v>MXN</v>
          </cell>
          <cell r="F366" t="str">
            <v>Fernando Villalobos Lara</v>
          </cell>
          <cell r="G366" t="str">
            <v>Microsoft-G094938572   msbill.info   USA</v>
          </cell>
          <cell r="H366" t="str">
            <v>Microsoft</v>
          </cell>
          <cell r="I366" t="str">
            <v>Tech&amp;Product</v>
          </cell>
          <cell r="J366" t="str">
            <v>Licencia Microsoft</v>
          </cell>
          <cell r="K366">
            <v>0</v>
          </cell>
          <cell r="L366">
            <v>0</v>
          </cell>
          <cell r="M366">
            <v>0</v>
          </cell>
          <cell r="N366">
            <v>0</v>
          </cell>
          <cell r="O366">
            <v>0</v>
          </cell>
          <cell r="Q366" t="str">
            <v>603.81.004 Gastos de Oficina</v>
          </cell>
        </row>
        <row r="367">
          <cell r="B367" t="str">
            <v>#28</v>
          </cell>
          <cell r="C367">
            <v>45813.161805555501</v>
          </cell>
          <cell r="D367">
            <v>119</v>
          </cell>
          <cell r="E367" t="str">
            <v>MXN</v>
          </cell>
          <cell r="F367" t="str">
            <v>Fernando Villalobos Lara</v>
          </cell>
          <cell r="G367" t="str">
            <v>DLO*DIDI RIDES         CIUDAD DE MEX MEX</v>
          </cell>
          <cell r="H367" t="str">
            <v>Didi Chuxing</v>
          </cell>
          <cell r="I367">
            <v>0</v>
          </cell>
          <cell r="J367">
            <v>0</v>
          </cell>
          <cell r="K367">
            <v>0</v>
          </cell>
          <cell r="L367">
            <v>0</v>
          </cell>
          <cell r="M367">
            <v>0</v>
          </cell>
          <cell r="N367">
            <v>0</v>
          </cell>
          <cell r="O367">
            <v>0</v>
          </cell>
          <cell r="Q367" t="str">
            <v>603.81.004 Gastos de Oficina</v>
          </cell>
        </row>
        <row r="368">
          <cell r="B368" t="str">
            <v>#28</v>
          </cell>
          <cell r="C368">
            <v>45813.163888888797</v>
          </cell>
          <cell r="D368">
            <v>25</v>
          </cell>
          <cell r="E368" t="str">
            <v>MXN</v>
          </cell>
          <cell r="F368" t="str">
            <v>Fernando Villalobos Lara</v>
          </cell>
          <cell r="G368" t="str">
            <v>EXTRA K APTO T1E 15    MEXICO DF     MEX</v>
          </cell>
          <cell r="H368" t="str">
            <v>Extra K Apto T1e 15 Mexico Df Mex</v>
          </cell>
          <cell r="I368">
            <v>0</v>
          </cell>
          <cell r="J368">
            <v>0</v>
          </cell>
          <cell r="K368">
            <v>0</v>
          </cell>
          <cell r="L368">
            <v>0</v>
          </cell>
          <cell r="M368">
            <v>0</v>
          </cell>
          <cell r="N368">
            <v>0</v>
          </cell>
          <cell r="O368">
            <v>0</v>
          </cell>
          <cell r="Q368" t="str">
            <v>603.81.004 Gastos de Oficina</v>
          </cell>
        </row>
        <row r="369">
          <cell r="B369" t="str">
            <v>#28</v>
          </cell>
          <cell r="C369">
            <v>45813.519444444399</v>
          </cell>
          <cell r="D369">
            <v>286</v>
          </cell>
          <cell r="E369" t="str">
            <v>MXN</v>
          </cell>
          <cell r="F369" t="str">
            <v>Fernando Villalobos Lara</v>
          </cell>
          <cell r="G369" t="str">
            <v>20250604T01:01:01/DLO*DIDI RIDES\UNKNOWN\UNKNOWN\06600        MEX</v>
          </cell>
          <cell r="H369" t="str">
            <v>Didi Chuxing</v>
          </cell>
          <cell r="I369">
            <v>0</v>
          </cell>
          <cell r="J369">
            <v>0</v>
          </cell>
          <cell r="K369">
            <v>0</v>
          </cell>
          <cell r="L369">
            <v>0</v>
          </cell>
          <cell r="M369">
            <v>0</v>
          </cell>
          <cell r="N369">
            <v>0</v>
          </cell>
          <cell r="O369">
            <v>0</v>
          </cell>
          <cell r="Q369" t="str">
            <v>603.81.004 Gastos de Oficina</v>
          </cell>
        </row>
        <row r="370">
          <cell r="B370" t="str">
            <v>#28</v>
          </cell>
          <cell r="C370">
            <v>45813.641666666597</v>
          </cell>
          <cell r="D370">
            <v>191</v>
          </cell>
          <cell r="E370" t="str">
            <v>MXN</v>
          </cell>
          <cell r="F370" t="str">
            <v>Fernando Villalobos Lara</v>
          </cell>
          <cell r="G370" t="str">
            <v>COM RAP 16989 PRADO NO CIUDAD DE MEX MEX</v>
          </cell>
          <cell r="H370" t="str">
            <v>Com Rap Prado No Ciudad De Mex Mex</v>
          </cell>
          <cell r="I370">
            <v>0</v>
          </cell>
          <cell r="J370">
            <v>0</v>
          </cell>
          <cell r="K370">
            <v>0</v>
          </cell>
          <cell r="L370">
            <v>0</v>
          </cell>
          <cell r="M370">
            <v>0</v>
          </cell>
          <cell r="N370">
            <v>0</v>
          </cell>
          <cell r="O370">
            <v>0</v>
          </cell>
          <cell r="Q370" t="str">
            <v>603.81.004 Gastos de Oficina</v>
          </cell>
        </row>
        <row r="371">
          <cell r="B371" t="str">
            <v>#28</v>
          </cell>
          <cell r="C371">
            <v>45818.792361111096</v>
          </cell>
          <cell r="D371">
            <v>104</v>
          </cell>
          <cell r="E371" t="str">
            <v>MXN</v>
          </cell>
          <cell r="F371" t="str">
            <v>Fernando Villalobos Lara</v>
          </cell>
          <cell r="G371" t="str">
            <v>DLO*DiDi MX Payin Ride MEXICO        MEX</v>
          </cell>
          <cell r="H371" t="str">
            <v>Dlo Didi Mx Payin Ride Mexico Mex</v>
          </cell>
          <cell r="I371">
            <v>0</v>
          </cell>
          <cell r="J371">
            <v>0</v>
          </cell>
          <cell r="K371">
            <v>0</v>
          </cell>
          <cell r="L371">
            <v>0</v>
          </cell>
          <cell r="M371">
            <v>0</v>
          </cell>
          <cell r="N371">
            <v>0</v>
          </cell>
          <cell r="O371">
            <v>0</v>
          </cell>
          <cell r="Q371" t="str">
            <v>603.81.004 Gastos de Oficina</v>
          </cell>
        </row>
        <row r="372">
          <cell r="B372" t="str">
            <v>#28</v>
          </cell>
          <cell r="C372">
            <v>45819.005555555501</v>
          </cell>
          <cell r="D372">
            <v>2630</v>
          </cell>
          <cell r="E372" t="str">
            <v>MXN</v>
          </cell>
          <cell r="F372" t="str">
            <v>Fernando Villalobos Lara</v>
          </cell>
          <cell r="G372" t="str">
            <v>PRINCESS M IMPERIAL MU ACAPULCO DE J MEX</v>
          </cell>
          <cell r="H372" t="str">
            <v>Princess M Imperial Mu Acapulco De J Mex</v>
          </cell>
          <cell r="I372">
            <v>0</v>
          </cell>
          <cell r="J372">
            <v>0</v>
          </cell>
          <cell r="K372">
            <v>0</v>
          </cell>
          <cell r="L372">
            <v>0</v>
          </cell>
          <cell r="M372">
            <v>0</v>
          </cell>
          <cell r="N372">
            <v>0</v>
          </cell>
          <cell r="O372">
            <v>0</v>
          </cell>
          <cell r="Q372" t="str">
            <v>603.81.004 Gastos de Oficina</v>
          </cell>
        </row>
        <row r="373">
          <cell r="B373" t="str">
            <v>#28</v>
          </cell>
          <cell r="C373">
            <v>45819.030555555502</v>
          </cell>
          <cell r="D373">
            <v>220</v>
          </cell>
          <cell r="E373" t="str">
            <v>MXN</v>
          </cell>
          <cell r="F373" t="str">
            <v>Fernando Villalobos Lara</v>
          </cell>
          <cell r="G373" t="str">
            <v>PRINCESS M IMPERIAL    ACAPULCO      MEX</v>
          </cell>
          <cell r="H373" t="str">
            <v>Princess M Imperial Acapulco Mex</v>
          </cell>
          <cell r="I373">
            <v>0</v>
          </cell>
          <cell r="J373">
            <v>0</v>
          </cell>
          <cell r="K373">
            <v>0</v>
          </cell>
          <cell r="L373">
            <v>0</v>
          </cell>
          <cell r="M373">
            <v>0</v>
          </cell>
          <cell r="N373">
            <v>0</v>
          </cell>
          <cell r="O373">
            <v>0</v>
          </cell>
          <cell r="Q373" t="str">
            <v>603.81.004 Gastos de Oficina</v>
          </cell>
        </row>
        <row r="374">
          <cell r="B374" t="str">
            <v>#28</v>
          </cell>
          <cell r="C374">
            <v>45819.1277777777</v>
          </cell>
          <cell r="D374">
            <v>197</v>
          </cell>
          <cell r="E374" t="str">
            <v>MXN</v>
          </cell>
          <cell r="F374" t="str">
            <v>Fernando Villalobos Lara</v>
          </cell>
          <cell r="G374" t="str">
            <v>UBER * EATS PENDING    CMX           MEX</v>
          </cell>
          <cell r="H374" t="str">
            <v>Uber Eats</v>
          </cell>
          <cell r="I374">
            <v>0</v>
          </cell>
          <cell r="J374">
            <v>0</v>
          </cell>
          <cell r="K374">
            <v>0</v>
          </cell>
          <cell r="L374">
            <v>0</v>
          </cell>
          <cell r="M374">
            <v>0</v>
          </cell>
          <cell r="N374">
            <v>0</v>
          </cell>
          <cell r="O374">
            <v>0</v>
          </cell>
          <cell r="Q374" t="str">
            <v>603.81.004 Gastos de Oficina</v>
          </cell>
        </row>
        <row r="375">
          <cell r="B375" t="str">
            <v>#28</v>
          </cell>
          <cell r="C375">
            <v>45820.063888888799</v>
          </cell>
          <cell r="D375">
            <v>29.91</v>
          </cell>
          <cell r="E375" t="str">
            <v>MXN</v>
          </cell>
          <cell r="F375" t="str">
            <v>Fernando Villalobos Lara</v>
          </cell>
          <cell r="G375" t="str">
            <v>UBER* PENDING          CIUDAD DE MEX MEX</v>
          </cell>
          <cell r="H375" t="str">
            <v>Uber</v>
          </cell>
          <cell r="I375">
            <v>0</v>
          </cell>
          <cell r="J375">
            <v>0</v>
          </cell>
          <cell r="K375">
            <v>0</v>
          </cell>
          <cell r="L375">
            <v>0</v>
          </cell>
          <cell r="M375">
            <v>0</v>
          </cell>
          <cell r="N375">
            <v>0</v>
          </cell>
          <cell r="O375">
            <v>0</v>
          </cell>
          <cell r="Q375" t="str">
            <v>603.81.004 Gastos de Oficina</v>
          </cell>
        </row>
        <row r="376">
          <cell r="B376" t="str">
            <v>#28</v>
          </cell>
          <cell r="C376">
            <v>45820.094444444403</v>
          </cell>
          <cell r="D376">
            <v>220</v>
          </cell>
          <cell r="E376" t="str">
            <v>MXN</v>
          </cell>
          <cell r="F376" t="str">
            <v>Fernando Villalobos Lara</v>
          </cell>
          <cell r="G376" t="str">
            <v>REST LA RUTA DE LA SED CIUDAD DE MEX MEX</v>
          </cell>
          <cell r="H376" t="str">
            <v>Rest La Ruta De La Sed Ciudad De Mex Mex</v>
          </cell>
          <cell r="I376">
            <v>0</v>
          </cell>
          <cell r="J376">
            <v>0</v>
          </cell>
          <cell r="K376">
            <v>0</v>
          </cell>
          <cell r="L376">
            <v>0</v>
          </cell>
          <cell r="M376">
            <v>0</v>
          </cell>
          <cell r="N376">
            <v>0</v>
          </cell>
          <cell r="O376">
            <v>0</v>
          </cell>
          <cell r="Q376" t="str">
            <v>603.81.004 Gastos de Oficina</v>
          </cell>
        </row>
        <row r="377">
          <cell r="B377" t="str">
            <v>#28</v>
          </cell>
          <cell r="C377">
            <v>45820.210416666603</v>
          </cell>
          <cell r="D377">
            <v>3697.96</v>
          </cell>
          <cell r="E377" t="str">
            <v>MXN</v>
          </cell>
          <cell r="F377" t="str">
            <v>Fernando Villalobos Lara</v>
          </cell>
          <cell r="G377" t="str">
            <v>VIVAAEROBUS WEB        APODACA NL    MEX</v>
          </cell>
          <cell r="H377" t="str">
            <v>Vivaaerobus</v>
          </cell>
          <cell r="I377">
            <v>0</v>
          </cell>
          <cell r="J377">
            <v>0</v>
          </cell>
          <cell r="K377">
            <v>0</v>
          </cell>
          <cell r="L377">
            <v>0</v>
          </cell>
          <cell r="M377">
            <v>0</v>
          </cell>
          <cell r="N377">
            <v>0</v>
          </cell>
          <cell r="O377">
            <v>0</v>
          </cell>
          <cell r="Q377" t="str">
            <v>603.81.004 Gastos de Oficina</v>
          </cell>
        </row>
        <row r="378">
          <cell r="B378" t="str">
            <v>#28</v>
          </cell>
          <cell r="C378">
            <v>45820.729861111096</v>
          </cell>
          <cell r="D378">
            <v>75</v>
          </cell>
          <cell r="E378" t="str">
            <v>MXN</v>
          </cell>
          <cell r="F378" t="str">
            <v>Fernando Villalobos Lara</v>
          </cell>
          <cell r="G378" t="str">
            <v>20250611T01:01:01/OXXO REVOLCADERO ACA\UNKNOWN\ACAPULCO DE J\39880        MEX</v>
          </cell>
          <cell r="H378" t="str">
            <v>Oxxo</v>
          </cell>
          <cell r="I378">
            <v>0</v>
          </cell>
          <cell r="J378">
            <v>0</v>
          </cell>
          <cell r="K378">
            <v>0</v>
          </cell>
          <cell r="L378">
            <v>0</v>
          </cell>
          <cell r="M378">
            <v>0</v>
          </cell>
          <cell r="N378">
            <v>0</v>
          </cell>
          <cell r="O378">
            <v>0</v>
          </cell>
          <cell r="Q378" t="str">
            <v>603.81.004 Gastos de Oficina</v>
          </cell>
        </row>
        <row r="379">
          <cell r="B379" t="str">
            <v>#28</v>
          </cell>
          <cell r="C379">
            <v>45821.117361111101</v>
          </cell>
          <cell r="D379">
            <v>356.2</v>
          </cell>
          <cell r="E379" t="str">
            <v>MXN</v>
          </cell>
          <cell r="F379" t="str">
            <v>Fernando Villalobos Lara</v>
          </cell>
          <cell r="G379" t="str">
            <v>OFFICE MAX PALMAS      CIUDAD DE MEX MEX</v>
          </cell>
          <cell r="H379" t="str">
            <v>Office Depot</v>
          </cell>
          <cell r="I379">
            <v>0</v>
          </cell>
          <cell r="J379">
            <v>0</v>
          </cell>
          <cell r="K379">
            <v>0</v>
          </cell>
          <cell r="L379">
            <v>0</v>
          </cell>
          <cell r="M379">
            <v>0</v>
          </cell>
          <cell r="N379">
            <v>0</v>
          </cell>
          <cell r="O379">
            <v>0</v>
          </cell>
          <cell r="Q379" t="str">
            <v>603.81.004 Gastos de Oficina</v>
          </cell>
        </row>
        <row r="380">
          <cell r="B380" t="str">
            <v>#28</v>
          </cell>
          <cell r="C380">
            <v>45821.1201388888</v>
          </cell>
          <cell r="D380">
            <v>111</v>
          </cell>
          <cell r="E380" t="str">
            <v>MXN</v>
          </cell>
          <cell r="F380" t="str">
            <v>Fernando Villalobos Lara</v>
          </cell>
          <cell r="G380" t="str">
            <v>OFFICE MAX PALMAS      CIUDAD DE MEX MEX</v>
          </cell>
          <cell r="H380" t="str">
            <v>Office Depot</v>
          </cell>
          <cell r="I380">
            <v>0</v>
          </cell>
          <cell r="J380">
            <v>0</v>
          </cell>
          <cell r="K380">
            <v>0</v>
          </cell>
          <cell r="L380">
            <v>0</v>
          </cell>
          <cell r="M380">
            <v>0</v>
          </cell>
          <cell r="N380">
            <v>0</v>
          </cell>
          <cell r="O380">
            <v>0</v>
          </cell>
          <cell r="Q380" t="str">
            <v>603.81.004 Gastos de Oficina</v>
          </cell>
        </row>
        <row r="381">
          <cell r="B381" t="str">
            <v>#28</v>
          </cell>
          <cell r="C381">
            <v>45821.162499999999</v>
          </cell>
          <cell r="D381">
            <v>512.71</v>
          </cell>
          <cell r="E381" t="str">
            <v>MXN</v>
          </cell>
          <cell r="F381" t="str">
            <v>Fernando Villalobos Lara</v>
          </cell>
          <cell r="G381" t="str">
            <v>HERTZ WEB MXN MXN      MERIDA YUC    MEX</v>
          </cell>
          <cell r="H381" t="str">
            <v>Hertz</v>
          </cell>
          <cell r="I381">
            <v>0</v>
          </cell>
          <cell r="J381">
            <v>0</v>
          </cell>
          <cell r="K381">
            <v>0</v>
          </cell>
          <cell r="L381">
            <v>0</v>
          </cell>
          <cell r="M381">
            <v>0</v>
          </cell>
          <cell r="N381">
            <v>0</v>
          </cell>
          <cell r="O381">
            <v>0</v>
          </cell>
          <cell r="Q381" t="str">
            <v>603.81.004 Gastos de Oficina</v>
          </cell>
        </row>
        <row r="382">
          <cell r="B382" t="str">
            <v>#28</v>
          </cell>
          <cell r="C382">
            <v>45821.165972222203</v>
          </cell>
          <cell r="D382">
            <v>1188</v>
          </cell>
          <cell r="E382" t="str">
            <v>MXN</v>
          </cell>
          <cell r="F382" t="str">
            <v>Fernando Villalobos Lara</v>
          </cell>
          <cell r="G382" t="str">
            <v>Hotel at Booking.com   Amsterdam     NLD</v>
          </cell>
          <cell r="H382" t="str">
            <v>Booking.Com</v>
          </cell>
          <cell r="I382">
            <v>0</v>
          </cell>
          <cell r="J382">
            <v>0</v>
          </cell>
          <cell r="K382">
            <v>0</v>
          </cell>
          <cell r="L382">
            <v>0</v>
          </cell>
          <cell r="M382">
            <v>0</v>
          </cell>
          <cell r="N382">
            <v>0</v>
          </cell>
          <cell r="O382">
            <v>0</v>
          </cell>
          <cell r="Q382" t="str">
            <v>603.81.004 Gastos de Oficina</v>
          </cell>
        </row>
        <row r="383">
          <cell r="B383" t="str">
            <v>#28</v>
          </cell>
          <cell r="C383">
            <v>45821.434722222199</v>
          </cell>
          <cell r="D383">
            <v>126</v>
          </cell>
          <cell r="E383" t="str">
            <v>MXN</v>
          </cell>
          <cell r="F383" t="str">
            <v>Fernando Villalobos Lara</v>
          </cell>
          <cell r="G383" t="str">
            <v>DLO*DIDI RIDES         CIUDAD DE MEX MEX</v>
          </cell>
          <cell r="H383" t="str">
            <v>Didi Chuxing</v>
          </cell>
          <cell r="I383">
            <v>0</v>
          </cell>
          <cell r="J383">
            <v>0</v>
          </cell>
          <cell r="K383">
            <v>0</v>
          </cell>
          <cell r="L383">
            <v>0</v>
          </cell>
          <cell r="M383">
            <v>0</v>
          </cell>
          <cell r="N383">
            <v>0</v>
          </cell>
          <cell r="O383">
            <v>0</v>
          </cell>
          <cell r="Q383" t="str">
            <v>603.81.004 Gastos de Oficina</v>
          </cell>
        </row>
        <row r="384">
          <cell r="B384" t="str">
            <v>#28</v>
          </cell>
          <cell r="C384">
            <v>45821.434722222199</v>
          </cell>
          <cell r="D384">
            <v>140</v>
          </cell>
          <cell r="E384" t="str">
            <v>MXN</v>
          </cell>
          <cell r="F384" t="str">
            <v>Fernando Villalobos Lara</v>
          </cell>
          <cell r="G384" t="str">
            <v>DLO*DIDI RIDES         CIUDAD DE MEX MEX</v>
          </cell>
          <cell r="H384" t="str">
            <v>Didi Chuxing</v>
          </cell>
          <cell r="I384">
            <v>0</v>
          </cell>
          <cell r="J384">
            <v>0</v>
          </cell>
          <cell r="K384">
            <v>0</v>
          </cell>
          <cell r="L384">
            <v>0</v>
          </cell>
          <cell r="M384">
            <v>0</v>
          </cell>
          <cell r="N384">
            <v>0</v>
          </cell>
          <cell r="O384">
            <v>0</v>
          </cell>
          <cell r="Q384" t="str">
            <v>603.81.004 Gastos de Oficina</v>
          </cell>
        </row>
        <row r="385">
          <cell r="B385" t="str">
            <v>#28</v>
          </cell>
          <cell r="C385">
            <v>45821.574999999997</v>
          </cell>
          <cell r="D385">
            <v>0.01</v>
          </cell>
          <cell r="E385" t="str">
            <v>MXN</v>
          </cell>
          <cell r="F385" t="str">
            <v>Fernando Villalobos Lara</v>
          </cell>
          <cell r="G385" t="str">
            <v>HERTZ APTO GUADAL MXN  TLAJOMULCO DE MEX</v>
          </cell>
          <cell r="H385" t="str">
            <v>Hertz</v>
          </cell>
          <cell r="I385">
            <v>0</v>
          </cell>
          <cell r="J385">
            <v>0</v>
          </cell>
          <cell r="K385">
            <v>0</v>
          </cell>
          <cell r="L385">
            <v>0</v>
          </cell>
          <cell r="M385">
            <v>0</v>
          </cell>
          <cell r="N385">
            <v>0</v>
          </cell>
          <cell r="O385">
            <v>0</v>
          </cell>
          <cell r="Q385" t="str">
            <v>603.81.004 Gastos de Oficina</v>
          </cell>
        </row>
        <row r="386">
          <cell r="B386" t="str">
            <v>#28</v>
          </cell>
          <cell r="C386">
            <v>45821.576388888803</v>
          </cell>
          <cell r="D386">
            <v>1275.4100000000001</v>
          </cell>
          <cell r="E386" t="str">
            <v>MXN</v>
          </cell>
          <cell r="F386" t="str">
            <v>Fernando Villalobos Lara</v>
          </cell>
          <cell r="G386" t="str">
            <v>HERTZ APTO GUADAL MXN  TLAJOMULCO DE MEX</v>
          </cell>
          <cell r="H386" t="str">
            <v>Hertz</v>
          </cell>
          <cell r="I386">
            <v>0</v>
          </cell>
          <cell r="J386">
            <v>0</v>
          </cell>
          <cell r="K386">
            <v>0</v>
          </cell>
          <cell r="L386">
            <v>0</v>
          </cell>
          <cell r="M386">
            <v>0</v>
          </cell>
          <cell r="N386">
            <v>0</v>
          </cell>
          <cell r="O386">
            <v>0</v>
          </cell>
          <cell r="Q386" t="str">
            <v>603.81.004 Gastos de Oficina</v>
          </cell>
        </row>
        <row r="387">
          <cell r="B387" t="str">
            <v>#28</v>
          </cell>
          <cell r="C387">
            <v>45821.636111111096</v>
          </cell>
          <cell r="D387">
            <v>245.3</v>
          </cell>
          <cell r="E387" t="str">
            <v>MXN</v>
          </cell>
          <cell r="F387" t="str">
            <v>Fernando Villalobos Lara</v>
          </cell>
          <cell r="G387" t="str">
            <v>REST LA CABANA CHAPALA EL SALTO JAL  MEX</v>
          </cell>
          <cell r="H387" t="str">
            <v>La Cabana</v>
          </cell>
          <cell r="I387">
            <v>0</v>
          </cell>
          <cell r="J387">
            <v>0</v>
          </cell>
          <cell r="K387">
            <v>0</v>
          </cell>
          <cell r="L387">
            <v>0</v>
          </cell>
          <cell r="M387">
            <v>0</v>
          </cell>
          <cell r="N387">
            <v>0</v>
          </cell>
          <cell r="O387">
            <v>0</v>
          </cell>
          <cell r="Q387" t="str">
            <v>603.81.004 Gastos de Oficina</v>
          </cell>
        </row>
        <row r="388">
          <cell r="B388" t="str">
            <v>#28</v>
          </cell>
          <cell r="C388">
            <v>45821.693749999999</v>
          </cell>
          <cell r="D388">
            <v>349</v>
          </cell>
          <cell r="E388" t="str">
            <v>MXN</v>
          </cell>
          <cell r="F388" t="str">
            <v>Fernando Villalobos Lara</v>
          </cell>
          <cell r="G388" t="str">
            <v>OFFICE DEPOT L MATEOS  ZAPOPAN       MEX</v>
          </cell>
          <cell r="H388" t="str">
            <v>Office Depot</v>
          </cell>
          <cell r="I388">
            <v>0</v>
          </cell>
          <cell r="J388">
            <v>0</v>
          </cell>
          <cell r="K388">
            <v>0</v>
          </cell>
          <cell r="L388">
            <v>0</v>
          </cell>
          <cell r="M388">
            <v>0</v>
          </cell>
          <cell r="N388">
            <v>0</v>
          </cell>
          <cell r="O388">
            <v>0</v>
          </cell>
          <cell r="Q388" t="str">
            <v>603.81.004 Gastos de Oficina</v>
          </cell>
        </row>
        <row r="389">
          <cell r="B389" t="str">
            <v>#28</v>
          </cell>
          <cell r="C389">
            <v>45821.745833333298</v>
          </cell>
          <cell r="D389">
            <v>99</v>
          </cell>
          <cell r="E389" t="str">
            <v>MXN</v>
          </cell>
          <cell r="F389" t="str">
            <v>Fernando Villalobos Lara</v>
          </cell>
          <cell r="G389" t="str">
            <v>STARBUCKS PATIO PATRIA JAL           MEX</v>
          </cell>
          <cell r="H389" t="str">
            <v>Starbucks</v>
          </cell>
          <cell r="I389">
            <v>0</v>
          </cell>
          <cell r="J389">
            <v>0</v>
          </cell>
          <cell r="K389">
            <v>0</v>
          </cell>
          <cell r="L389">
            <v>0</v>
          </cell>
          <cell r="M389">
            <v>0</v>
          </cell>
          <cell r="N389">
            <v>0</v>
          </cell>
          <cell r="O389">
            <v>0</v>
          </cell>
          <cell r="Q389" t="str">
            <v>603.81.004 Gastos de Oficina</v>
          </cell>
        </row>
        <row r="390">
          <cell r="B390" t="str">
            <v>#28</v>
          </cell>
          <cell r="C390">
            <v>45821.916666666599</v>
          </cell>
          <cell r="D390">
            <v>1000.5</v>
          </cell>
          <cell r="E390" t="str">
            <v>MXN</v>
          </cell>
          <cell r="F390" t="str">
            <v>Fernando Villalobos Lara</v>
          </cell>
          <cell r="G390" t="str">
            <v>REST R FUEGO ASADOR PR GUADALAJARA J MEX</v>
          </cell>
          <cell r="H390" t="str">
            <v>Rest R Fuego Asador Pr Guadalajara J Mex</v>
          </cell>
          <cell r="I390">
            <v>0</v>
          </cell>
          <cell r="J390">
            <v>0</v>
          </cell>
          <cell r="K390">
            <v>0</v>
          </cell>
          <cell r="L390">
            <v>0</v>
          </cell>
          <cell r="M390">
            <v>0</v>
          </cell>
          <cell r="N390">
            <v>0</v>
          </cell>
          <cell r="O390">
            <v>0</v>
          </cell>
          <cell r="Q390" t="str">
            <v>603.81.004 Gastos de Oficina</v>
          </cell>
        </row>
        <row r="391">
          <cell r="B391" t="str">
            <v>#28</v>
          </cell>
          <cell r="C391">
            <v>45821.931250000001</v>
          </cell>
          <cell r="D391">
            <v>73</v>
          </cell>
          <cell r="E391" t="str">
            <v>MXN</v>
          </cell>
          <cell r="F391" t="str">
            <v>Fernando Villalobos Lara</v>
          </cell>
          <cell r="G391" t="str">
            <v>PARCO                  ZAPOPAN JAL   MEX</v>
          </cell>
          <cell r="H391" t="str">
            <v>Parco Zapopan Jal Mex</v>
          </cell>
          <cell r="I391">
            <v>0</v>
          </cell>
          <cell r="J391">
            <v>0</v>
          </cell>
          <cell r="K391">
            <v>0</v>
          </cell>
          <cell r="L391">
            <v>0</v>
          </cell>
          <cell r="M391">
            <v>0</v>
          </cell>
          <cell r="N391">
            <v>0</v>
          </cell>
          <cell r="O391">
            <v>0</v>
          </cell>
          <cell r="Q391" t="str">
            <v>603.81.004 Gastos de Oficina</v>
          </cell>
        </row>
        <row r="392">
          <cell r="B392" t="str">
            <v>#28</v>
          </cell>
          <cell r="C392">
            <v>45822.118055555497</v>
          </cell>
          <cell r="D392">
            <v>247.3</v>
          </cell>
          <cell r="E392" t="str">
            <v>MXN</v>
          </cell>
          <cell r="F392" t="str">
            <v>Fernando Villalobos Lara</v>
          </cell>
          <cell r="G392" t="str">
            <v>UBER* EATS PENDING     CIUDAD DE MEX MEX</v>
          </cell>
          <cell r="H392" t="str">
            <v>Uber Eats</v>
          </cell>
          <cell r="I392">
            <v>0</v>
          </cell>
          <cell r="J392">
            <v>0</v>
          </cell>
          <cell r="K392">
            <v>0</v>
          </cell>
          <cell r="L392">
            <v>0</v>
          </cell>
          <cell r="M392">
            <v>0</v>
          </cell>
          <cell r="N392">
            <v>0</v>
          </cell>
          <cell r="O392">
            <v>0</v>
          </cell>
          <cell r="Q392" t="str">
            <v>603.81.004 Gastos de Oficina</v>
          </cell>
        </row>
        <row r="393">
          <cell r="B393" t="str">
            <v>#28</v>
          </cell>
          <cell r="C393">
            <v>45822.434027777701</v>
          </cell>
          <cell r="D393">
            <v>320</v>
          </cell>
          <cell r="E393" t="str">
            <v>MXN</v>
          </cell>
          <cell r="F393" t="str">
            <v>Fernando Villalobos Lara</v>
          </cell>
          <cell r="G393" t="str">
            <v>GASMEX AEROPUERTO      EL SALTO JAL  MEX</v>
          </cell>
          <cell r="H393" t="str">
            <v>Gasmex Aeropuerto El Salto Jal Mex</v>
          </cell>
          <cell r="I393">
            <v>0</v>
          </cell>
          <cell r="J393">
            <v>0</v>
          </cell>
          <cell r="K393">
            <v>0</v>
          </cell>
          <cell r="L393">
            <v>0</v>
          </cell>
          <cell r="M393">
            <v>0</v>
          </cell>
          <cell r="N393">
            <v>0</v>
          </cell>
          <cell r="O393">
            <v>0</v>
          </cell>
          <cell r="Q393" t="str">
            <v>603.81.004 Gastos de Oficina</v>
          </cell>
        </row>
        <row r="394">
          <cell r="B394" t="str">
            <v>#28</v>
          </cell>
          <cell r="C394">
            <v>45822.516666666597</v>
          </cell>
          <cell r="D394">
            <v>126</v>
          </cell>
          <cell r="E394" t="str">
            <v>MXN</v>
          </cell>
          <cell r="F394" t="str">
            <v>Fernando Villalobos Lara</v>
          </cell>
          <cell r="G394" t="str">
            <v>20250613T01:01:01/DLO*DIDI RIDES\UNKNOWN\UNKNOWN\06600        MEX</v>
          </cell>
          <cell r="H394" t="str">
            <v>Didi Chuxing</v>
          </cell>
          <cell r="I394">
            <v>0</v>
          </cell>
          <cell r="J394">
            <v>0</v>
          </cell>
          <cell r="K394">
            <v>0</v>
          </cell>
          <cell r="L394">
            <v>0</v>
          </cell>
          <cell r="M394">
            <v>0</v>
          </cell>
          <cell r="N394">
            <v>0</v>
          </cell>
          <cell r="O394">
            <v>0</v>
          </cell>
          <cell r="Q394" t="str">
            <v>603.81.004 Gastos de Oficina</v>
          </cell>
        </row>
        <row r="395">
          <cell r="B395" t="str">
            <v>#28</v>
          </cell>
          <cell r="C395">
            <v>45822.5666666666</v>
          </cell>
          <cell r="D395">
            <v>165.66</v>
          </cell>
          <cell r="E395" t="str">
            <v>MXN</v>
          </cell>
          <cell r="F395" t="str">
            <v>Fernando Villalobos Lara</v>
          </cell>
          <cell r="G395" t="str">
            <v>UBER* PENDING          CIUDAD DE MEX MEX</v>
          </cell>
          <cell r="H395" t="str">
            <v>Uber</v>
          </cell>
          <cell r="I395">
            <v>0</v>
          </cell>
          <cell r="J395">
            <v>0</v>
          </cell>
          <cell r="K395">
            <v>0</v>
          </cell>
          <cell r="L395">
            <v>0</v>
          </cell>
          <cell r="M395">
            <v>0</v>
          </cell>
          <cell r="N395">
            <v>0</v>
          </cell>
          <cell r="O395">
            <v>0</v>
          </cell>
          <cell r="Q395" t="str">
            <v>603.81.004 Gastos de Oficina</v>
          </cell>
        </row>
        <row r="396">
          <cell r="B396" t="str">
            <v>#28</v>
          </cell>
          <cell r="C396">
            <v>45824.666666666599</v>
          </cell>
          <cell r="D396">
            <v>130</v>
          </cell>
          <cell r="E396" t="str">
            <v>MXN</v>
          </cell>
          <cell r="F396" t="str">
            <v>Fernando Villalobos Lara</v>
          </cell>
          <cell r="G396" t="str">
            <v>STARBUCKS EMBASSY STES CMX           MEX</v>
          </cell>
          <cell r="H396" t="str">
            <v>Starbucks</v>
          </cell>
          <cell r="I396">
            <v>0</v>
          </cell>
          <cell r="J396">
            <v>0</v>
          </cell>
          <cell r="K396">
            <v>0</v>
          </cell>
          <cell r="L396">
            <v>0</v>
          </cell>
          <cell r="M396">
            <v>0</v>
          </cell>
          <cell r="N396">
            <v>0</v>
          </cell>
          <cell r="O396">
            <v>0</v>
          </cell>
          <cell r="Q396" t="str">
            <v>603.81.004 Gastos de Oficina</v>
          </cell>
        </row>
        <row r="397">
          <cell r="B397" t="str">
            <v>#28</v>
          </cell>
          <cell r="C397">
            <v>45826.790972222203</v>
          </cell>
          <cell r="D397">
            <v>78</v>
          </cell>
          <cell r="E397" t="str">
            <v>MXN</v>
          </cell>
          <cell r="F397" t="str">
            <v>Fernando Villalobos Lara</v>
          </cell>
          <cell r="G397" t="str">
            <v>D LOCAL*DIDI RIDES     CIUDAD DE MEX MEX</v>
          </cell>
          <cell r="H397" t="str">
            <v>Didi Chuxing</v>
          </cell>
          <cell r="I397">
            <v>0</v>
          </cell>
          <cell r="J397">
            <v>0</v>
          </cell>
          <cell r="K397">
            <v>0</v>
          </cell>
          <cell r="L397">
            <v>0</v>
          </cell>
          <cell r="M397">
            <v>0</v>
          </cell>
          <cell r="N397">
            <v>0</v>
          </cell>
          <cell r="O397">
            <v>0</v>
          </cell>
          <cell r="Q397" t="str">
            <v>603.81.004 Gastos de Oficina</v>
          </cell>
        </row>
        <row r="398">
          <cell r="B398" t="str">
            <v>#28</v>
          </cell>
          <cell r="C398">
            <v>45827.838194444397</v>
          </cell>
          <cell r="D398">
            <v>211</v>
          </cell>
          <cell r="E398" t="str">
            <v>MXN</v>
          </cell>
          <cell r="F398" t="str">
            <v>Fernando Villalobos Lara</v>
          </cell>
          <cell r="G398" t="str">
            <v>FRUTOS PROHIBIDOS LEIB CIUDAD DE MEX MEX</v>
          </cell>
          <cell r="H398" t="str">
            <v>Frutos Prohibidos Leib Ciudad De Mex Mex</v>
          </cell>
          <cell r="I398">
            <v>0</v>
          </cell>
          <cell r="J398">
            <v>0</v>
          </cell>
          <cell r="K398" t="str">
            <v>.</v>
          </cell>
          <cell r="L398">
            <v>0</v>
          </cell>
          <cell r="M398">
            <v>0</v>
          </cell>
          <cell r="N398">
            <v>0</v>
          </cell>
          <cell r="O398">
            <v>0</v>
          </cell>
          <cell r="Q398" t="str">
            <v>603.81.004 Gastos de Oficina</v>
          </cell>
        </row>
        <row r="399">
          <cell r="B399" t="str">
            <v>#28</v>
          </cell>
          <cell r="C399">
            <v>45828.164583333302</v>
          </cell>
          <cell r="D399">
            <v>90</v>
          </cell>
          <cell r="E399" t="str">
            <v>MXN</v>
          </cell>
          <cell r="F399" t="str">
            <v>Fernando Villalobos Lara</v>
          </cell>
          <cell r="G399" t="str">
            <v>17313 SANTA FE         CIUDAD DE MEX MEX</v>
          </cell>
          <cell r="H399" t="str">
            <v>Santa Fe Ciudad De Mex Mex</v>
          </cell>
          <cell r="I399">
            <v>0</v>
          </cell>
          <cell r="J399">
            <v>0</v>
          </cell>
          <cell r="K399" t="str">
            <v>.</v>
          </cell>
          <cell r="L399">
            <v>0</v>
          </cell>
          <cell r="M399">
            <v>0</v>
          </cell>
          <cell r="N399">
            <v>0</v>
          </cell>
          <cell r="O399">
            <v>0</v>
          </cell>
          <cell r="Q399" t="str">
            <v>603.81.004 Gastos de Oficina</v>
          </cell>
        </row>
        <row r="400">
          <cell r="B400" t="str">
            <v>#28</v>
          </cell>
          <cell r="C400">
            <v>45829.029166666602</v>
          </cell>
          <cell r="D400">
            <v>2865.7</v>
          </cell>
          <cell r="E400" t="str">
            <v>MXN</v>
          </cell>
          <cell r="F400" t="str">
            <v>Fernando Villalobos Lara</v>
          </cell>
          <cell r="G400" t="str">
            <v>BEAUTIFUL.AI           SAN FRANCISCO USA</v>
          </cell>
          <cell r="H400" t="str">
            <v>Beautiful.ai</v>
          </cell>
          <cell r="I400" t="str">
            <v>Tech&amp;Product</v>
          </cell>
          <cell r="J400" t="str">
            <v>Lo van a reembolsar</v>
          </cell>
          <cell r="K400" t="str">
            <v>.</v>
          </cell>
          <cell r="L400">
            <v>0</v>
          </cell>
          <cell r="M400">
            <v>0</v>
          </cell>
          <cell r="N400">
            <v>0</v>
          </cell>
          <cell r="O400">
            <v>0</v>
          </cell>
          <cell r="Q400" t="str">
            <v>603.81.004 Gastos de Oficina</v>
          </cell>
        </row>
        <row r="401">
          <cell r="B401" t="str">
            <v>#28</v>
          </cell>
          <cell r="C401">
            <v>45830.049305555498</v>
          </cell>
          <cell r="D401">
            <v>1922</v>
          </cell>
          <cell r="E401" t="str">
            <v>MXN</v>
          </cell>
          <cell r="F401" t="str">
            <v>Fernando Villalobos Lara</v>
          </cell>
          <cell r="G401" t="str">
            <v>VOLARIS MOTO DEB 2     CIUDAD DE MEX MEX</v>
          </cell>
          <cell r="H401" t="str">
            <v>Volaris</v>
          </cell>
          <cell r="I401">
            <v>0</v>
          </cell>
          <cell r="J401">
            <v>0</v>
          </cell>
          <cell r="K401" t="str">
            <v>.</v>
          </cell>
          <cell r="L401">
            <v>0</v>
          </cell>
          <cell r="M401">
            <v>0</v>
          </cell>
          <cell r="N401">
            <v>0</v>
          </cell>
          <cell r="O401">
            <v>0</v>
          </cell>
          <cell r="Q401" t="str">
            <v>603.81.004 Gastos de Oficina</v>
          </cell>
        </row>
        <row r="402">
          <cell r="B402" t="str">
            <v>#28</v>
          </cell>
          <cell r="C402">
            <v>45830.052777777702</v>
          </cell>
          <cell r="D402">
            <v>1508.96</v>
          </cell>
          <cell r="E402" t="str">
            <v>MXN</v>
          </cell>
          <cell r="F402" t="str">
            <v>Fernando Villalobos Lara</v>
          </cell>
          <cell r="G402" t="str">
            <v>VIVA AEROBUS CIB       APODACA       MEX</v>
          </cell>
          <cell r="H402" t="str">
            <v>Viva Aerobus Cib Apodaca Mex</v>
          </cell>
          <cell r="I402">
            <v>0</v>
          </cell>
          <cell r="J402">
            <v>0</v>
          </cell>
          <cell r="K402" t="str">
            <v>.</v>
          </cell>
          <cell r="L402">
            <v>0</v>
          </cell>
          <cell r="M402">
            <v>0</v>
          </cell>
          <cell r="N402">
            <v>0</v>
          </cell>
          <cell r="O402">
            <v>0</v>
          </cell>
          <cell r="Q402" t="str">
            <v>603.81.004 Gastos de Oficina</v>
          </cell>
        </row>
        <row r="403">
          <cell r="B403" t="str">
            <v>#28</v>
          </cell>
          <cell r="C403">
            <v>45832.7097222222</v>
          </cell>
          <cell r="D403">
            <v>99.96</v>
          </cell>
          <cell r="E403" t="str">
            <v>MXN</v>
          </cell>
          <cell r="F403" t="str">
            <v>Fernando Villalobos Lara</v>
          </cell>
          <cell r="G403" t="str">
            <v>UBER* PENDING          CIUDAD DE MEX MEX</v>
          </cell>
          <cell r="H403" t="str">
            <v>Uber</v>
          </cell>
          <cell r="I403">
            <v>0</v>
          </cell>
          <cell r="J403">
            <v>0</v>
          </cell>
          <cell r="K403" t="str">
            <v>.</v>
          </cell>
          <cell r="L403">
            <v>0</v>
          </cell>
          <cell r="M403">
            <v>0</v>
          </cell>
          <cell r="N403">
            <v>0</v>
          </cell>
          <cell r="O403">
            <v>0</v>
          </cell>
          <cell r="Q403" t="str">
            <v>603.81.004 Gastos de Oficina</v>
          </cell>
        </row>
        <row r="404">
          <cell r="B404" t="str">
            <v>#28</v>
          </cell>
          <cell r="C404">
            <v>45832.823611111096</v>
          </cell>
          <cell r="D404">
            <v>100</v>
          </cell>
          <cell r="E404" t="str">
            <v>MXN</v>
          </cell>
          <cell r="F404" t="str">
            <v>Fernando Villalobos Lara</v>
          </cell>
          <cell r="G404" t="str">
            <v>DLO*DiDi MX Payin Ride MEXICO        MEX</v>
          </cell>
          <cell r="H404" t="str">
            <v>Dlo Didi Mx Payin Ride Mexico Mex</v>
          </cell>
          <cell r="I404">
            <v>0</v>
          </cell>
          <cell r="J404">
            <v>0</v>
          </cell>
          <cell r="K404" t="str">
            <v>.</v>
          </cell>
          <cell r="L404">
            <v>0</v>
          </cell>
          <cell r="M404">
            <v>0</v>
          </cell>
          <cell r="N404">
            <v>0</v>
          </cell>
          <cell r="O404">
            <v>0</v>
          </cell>
          <cell r="Q404" t="str">
            <v>603.81.004 Gastos de Oficina</v>
          </cell>
        </row>
        <row r="405">
          <cell r="B405" t="str">
            <v>#28</v>
          </cell>
          <cell r="C405">
            <v>45833.134027777698</v>
          </cell>
          <cell r="D405">
            <v>2757.99</v>
          </cell>
          <cell r="E405" t="str">
            <v>MXN</v>
          </cell>
          <cell r="F405" t="str">
            <v>Fernando Villalobos Lara</v>
          </cell>
          <cell r="G405" t="str">
            <v>20250623T16:55:02/BEAUTIFUL.AI\1556 Sanchez St\SAN FRANCISCO\94131     CA USA</v>
          </cell>
          <cell r="H405" t="str">
            <v>T :/Beautiful.ai\ Sanchez St\San Francisco\ Ca USA</v>
          </cell>
          <cell r="I405" t="str">
            <v>Tech&amp;Product</v>
          </cell>
          <cell r="J405" t="str">
            <v>Cobro reembolsado</v>
          </cell>
          <cell r="K405" t="str">
            <v>.</v>
          </cell>
          <cell r="L405">
            <v>0</v>
          </cell>
          <cell r="M405">
            <v>0</v>
          </cell>
          <cell r="N405">
            <v>0</v>
          </cell>
          <cell r="O405">
            <v>0</v>
          </cell>
          <cell r="Q405" t="str">
            <v>603.81.004 Gastos de Oficina</v>
          </cell>
        </row>
        <row r="406">
          <cell r="B406" t="str">
            <v>#28</v>
          </cell>
          <cell r="C406">
            <v>45834.059027777701</v>
          </cell>
          <cell r="D406">
            <v>1248</v>
          </cell>
          <cell r="E406" t="str">
            <v>MXN</v>
          </cell>
          <cell r="F406" t="str">
            <v>Fernando Villalobos Lara</v>
          </cell>
          <cell r="G406" t="str">
            <v>PLAYTOMIC.IO 8B8E6161  GUADALAJARA   MEX</v>
          </cell>
          <cell r="H406" t="str">
            <v>Playtomic.io</v>
          </cell>
          <cell r="I406" t="str">
            <v>G&amp;A expenses</v>
          </cell>
          <cell r="J406" t="str">
            <v>Cancha Padel</v>
          </cell>
          <cell r="K406" t="str">
            <v>.</v>
          </cell>
          <cell r="L406">
            <v>0</v>
          </cell>
          <cell r="M406">
            <v>0</v>
          </cell>
          <cell r="N406">
            <v>0</v>
          </cell>
          <cell r="O406">
            <v>0</v>
          </cell>
          <cell r="Q406" t="str">
            <v>603.81.004 Gastos de Oficina</v>
          </cell>
        </row>
        <row r="407">
          <cell r="B407" t="str">
            <v>#28</v>
          </cell>
          <cell r="C407">
            <v>45835.193749999999</v>
          </cell>
          <cell r="D407">
            <v>488.01</v>
          </cell>
          <cell r="E407" t="str">
            <v>MXN</v>
          </cell>
          <cell r="F407" t="str">
            <v>Fernando Villalobos Lara</v>
          </cell>
          <cell r="G407" t="str">
            <v>EUROPCAR WEB 2         CANCUN QROO   MEX</v>
          </cell>
          <cell r="H407" t="str">
            <v>Europcar</v>
          </cell>
          <cell r="I407">
            <v>0</v>
          </cell>
          <cell r="J407">
            <v>0</v>
          </cell>
          <cell r="K407" t="str">
            <v>.</v>
          </cell>
          <cell r="L407">
            <v>0</v>
          </cell>
          <cell r="M407">
            <v>0</v>
          </cell>
          <cell r="N407">
            <v>0</v>
          </cell>
          <cell r="O407">
            <v>0</v>
          </cell>
          <cell r="Q407" t="str">
            <v>603.81.004 Gastos de Oficina</v>
          </cell>
        </row>
        <row r="408">
          <cell r="B408" t="str">
            <v>#28</v>
          </cell>
          <cell r="C408">
            <v>45835.436111111099</v>
          </cell>
          <cell r="D408">
            <v>113</v>
          </cell>
          <cell r="E408" t="str">
            <v>MXN</v>
          </cell>
          <cell r="F408" t="str">
            <v>Fernando Villalobos Lara</v>
          </cell>
          <cell r="G408" t="str">
            <v>DLO*DiDi MX Payin Ride MEXICO        MEX</v>
          </cell>
          <cell r="H408" t="str">
            <v>Dlo Didi Mx Payin Ride Mexico Mex</v>
          </cell>
          <cell r="I408">
            <v>0</v>
          </cell>
          <cell r="J408">
            <v>0</v>
          </cell>
          <cell r="K408" t="str">
            <v>.</v>
          </cell>
          <cell r="L408">
            <v>0</v>
          </cell>
          <cell r="M408">
            <v>0</v>
          </cell>
          <cell r="N408">
            <v>0</v>
          </cell>
          <cell r="O408">
            <v>0</v>
          </cell>
          <cell r="Q408" t="str">
            <v>603.81.004 Gastos de Oficina</v>
          </cell>
        </row>
        <row r="409">
          <cell r="B409" t="str">
            <v>#28</v>
          </cell>
          <cell r="C409">
            <v>45835.452777777697</v>
          </cell>
          <cell r="D409">
            <v>1.84</v>
          </cell>
          <cell r="E409" t="str">
            <v>MXN</v>
          </cell>
          <cell r="F409" t="str">
            <v>Fernando Villalobos Lara</v>
          </cell>
          <cell r="G409" t="str">
            <v>DLO*DiDi MX Payin Ride MEXICO        MEX</v>
          </cell>
          <cell r="H409" t="str">
            <v>Dlo Didi Mx Payin Ride Mexico Mex</v>
          </cell>
          <cell r="I409">
            <v>0</v>
          </cell>
          <cell r="J409">
            <v>0</v>
          </cell>
          <cell r="K409" t="str">
            <v>.</v>
          </cell>
          <cell r="L409">
            <v>0</v>
          </cell>
          <cell r="M409">
            <v>0</v>
          </cell>
          <cell r="N409">
            <v>0</v>
          </cell>
          <cell r="O409">
            <v>0</v>
          </cell>
          <cell r="Q409" t="str">
            <v>603.81.004 Gastos de Oficina</v>
          </cell>
        </row>
        <row r="410">
          <cell r="B410" t="str">
            <v>#28</v>
          </cell>
          <cell r="C410">
            <v>45835.571527777698</v>
          </cell>
          <cell r="D410">
            <v>10</v>
          </cell>
          <cell r="E410" t="str">
            <v>MXN</v>
          </cell>
          <cell r="F410" t="str">
            <v>Fernando Villalobos Lara</v>
          </cell>
          <cell r="G410" t="str">
            <v>EUROPCAR               CANCUN QROO   MEX</v>
          </cell>
          <cell r="H410" t="str">
            <v>Europcar</v>
          </cell>
          <cell r="I410">
            <v>0</v>
          </cell>
          <cell r="J410">
            <v>0</v>
          </cell>
          <cell r="K410" t="str">
            <v>.</v>
          </cell>
          <cell r="L410">
            <v>0</v>
          </cell>
          <cell r="M410">
            <v>0</v>
          </cell>
          <cell r="N410">
            <v>0</v>
          </cell>
          <cell r="O410">
            <v>0</v>
          </cell>
          <cell r="Q410" t="str">
            <v>603.81.004 Gastos de Oficina</v>
          </cell>
        </row>
        <row r="411">
          <cell r="B411" t="str">
            <v>#28</v>
          </cell>
          <cell r="C411">
            <v>45835.679166666603</v>
          </cell>
          <cell r="D411">
            <v>387.55</v>
          </cell>
          <cell r="E411" t="str">
            <v>MXN</v>
          </cell>
          <cell r="F411" t="str">
            <v>Fernando Villalobos Lara</v>
          </cell>
          <cell r="G411" t="str">
            <v>REST CAFE PIA          ZAPOPAN JAL   MEX</v>
          </cell>
          <cell r="H411" t="str">
            <v>Rest Cafe Pia Zapopan Jal Mex</v>
          </cell>
          <cell r="I411">
            <v>0</v>
          </cell>
          <cell r="J411">
            <v>0</v>
          </cell>
          <cell r="K411" t="str">
            <v>.</v>
          </cell>
          <cell r="L411">
            <v>0</v>
          </cell>
          <cell r="M411">
            <v>0</v>
          </cell>
          <cell r="N411">
            <v>0</v>
          </cell>
          <cell r="O411">
            <v>0</v>
          </cell>
          <cell r="Q411" t="str">
            <v>603.81.004 Gastos de Oficina</v>
          </cell>
        </row>
        <row r="412">
          <cell r="B412" t="str">
            <v>#28</v>
          </cell>
          <cell r="C412">
            <v>45835.704861111102</v>
          </cell>
          <cell r="D412">
            <v>99</v>
          </cell>
          <cell r="E412" t="str">
            <v>MXN</v>
          </cell>
          <cell r="F412" t="str">
            <v>Fernando Villalobos Lara</v>
          </cell>
          <cell r="G412" t="str">
            <v>OFFICE MAX PATRIA      ZAPOPAN       MEX</v>
          </cell>
          <cell r="H412" t="str">
            <v>Office Depot</v>
          </cell>
          <cell r="I412">
            <v>0</v>
          </cell>
          <cell r="J412">
            <v>0</v>
          </cell>
          <cell r="K412" t="str">
            <v>.</v>
          </cell>
          <cell r="L412">
            <v>0</v>
          </cell>
          <cell r="M412">
            <v>0</v>
          </cell>
          <cell r="N412">
            <v>0</v>
          </cell>
          <cell r="O412">
            <v>0</v>
          </cell>
          <cell r="Q412" t="str">
            <v>603.81.004 Gastos de Oficina</v>
          </cell>
        </row>
        <row r="413">
          <cell r="B413" t="str">
            <v>#28</v>
          </cell>
          <cell r="C413">
            <v>45835.742361111101</v>
          </cell>
          <cell r="D413">
            <v>247</v>
          </cell>
          <cell r="E413" t="str">
            <v>MXN</v>
          </cell>
          <cell r="F413" t="str">
            <v>Fernando Villalobos Lara</v>
          </cell>
          <cell r="G413" t="str">
            <v>OFFICE MAX PATRIA      ZAPOPAN       MEX</v>
          </cell>
          <cell r="H413" t="str">
            <v>Office Depot</v>
          </cell>
          <cell r="I413">
            <v>0</v>
          </cell>
          <cell r="J413">
            <v>0</v>
          </cell>
          <cell r="K413" t="str">
            <v>.</v>
          </cell>
          <cell r="L413">
            <v>0</v>
          </cell>
          <cell r="M413">
            <v>0</v>
          </cell>
          <cell r="N413">
            <v>0</v>
          </cell>
          <cell r="O413">
            <v>0</v>
          </cell>
          <cell r="Q413" t="str">
            <v>603.81.004 Gastos de Oficina</v>
          </cell>
        </row>
        <row r="414">
          <cell r="B414" t="str">
            <v>#28</v>
          </cell>
          <cell r="C414">
            <v>45835.777777777701</v>
          </cell>
          <cell r="D414">
            <v>109</v>
          </cell>
          <cell r="E414" t="str">
            <v>MXN</v>
          </cell>
          <cell r="F414" t="str">
            <v>Fernando Villalobos Lara</v>
          </cell>
          <cell r="G414" t="str">
            <v>STARBUCKS ANDARES RES  JAL           MEX</v>
          </cell>
          <cell r="H414" t="str">
            <v>Starbucks</v>
          </cell>
          <cell r="I414">
            <v>0</v>
          </cell>
          <cell r="J414">
            <v>0</v>
          </cell>
          <cell r="K414" t="str">
            <v>.</v>
          </cell>
          <cell r="L414">
            <v>0</v>
          </cell>
          <cell r="M414">
            <v>0</v>
          </cell>
          <cell r="N414">
            <v>0</v>
          </cell>
          <cell r="O414">
            <v>0</v>
          </cell>
          <cell r="Q414" t="str">
            <v>603.81.004 Gastos de Oficina</v>
          </cell>
        </row>
        <row r="415">
          <cell r="B415" t="str">
            <v>#28</v>
          </cell>
          <cell r="C415">
            <v>45835.886805555499</v>
          </cell>
          <cell r="D415">
            <v>155</v>
          </cell>
          <cell r="E415" t="str">
            <v>MXN</v>
          </cell>
          <cell r="F415" t="str">
            <v>Fernando Villalobos Lara</v>
          </cell>
          <cell r="G415" t="str">
            <v>PASTELERIA MARISA      ZAPOPAN JAL   MEX</v>
          </cell>
          <cell r="H415" t="str">
            <v>Pasteleria Marisa Zapopan Jal Mex</v>
          </cell>
          <cell r="I415">
            <v>0</v>
          </cell>
          <cell r="J415">
            <v>0</v>
          </cell>
          <cell r="K415" t="str">
            <v>.</v>
          </cell>
          <cell r="L415">
            <v>0</v>
          </cell>
          <cell r="M415">
            <v>0</v>
          </cell>
          <cell r="N415">
            <v>0</v>
          </cell>
          <cell r="O415">
            <v>0</v>
          </cell>
          <cell r="Q415" t="str">
            <v>603.81.004 Gastos de Oficina</v>
          </cell>
        </row>
        <row r="416">
          <cell r="B416" t="str">
            <v>#28</v>
          </cell>
          <cell r="C416">
            <v>45835.890277777697</v>
          </cell>
          <cell r="D416">
            <v>95</v>
          </cell>
          <cell r="E416" t="str">
            <v>MXN</v>
          </cell>
          <cell r="F416" t="str">
            <v>Fernando Villalobos Lara</v>
          </cell>
          <cell r="G416" t="str">
            <v>PARCO                  ZAPOPAN JAL   MEX</v>
          </cell>
          <cell r="H416" t="str">
            <v>Parco Zapopan Jal Mex</v>
          </cell>
          <cell r="I416">
            <v>0</v>
          </cell>
          <cell r="J416">
            <v>0</v>
          </cell>
          <cell r="K416" t="str">
            <v>.</v>
          </cell>
          <cell r="L416">
            <v>0</v>
          </cell>
          <cell r="M416">
            <v>0</v>
          </cell>
          <cell r="N416">
            <v>0</v>
          </cell>
          <cell r="O416">
            <v>0</v>
          </cell>
          <cell r="Q416" t="str">
            <v>603.81.004 Gastos de Oficina</v>
          </cell>
        </row>
        <row r="417">
          <cell r="B417" t="str">
            <v>#28</v>
          </cell>
          <cell r="C417">
            <v>45836.111111111102</v>
          </cell>
          <cell r="D417">
            <v>175</v>
          </cell>
          <cell r="E417" t="str">
            <v>MXN</v>
          </cell>
          <cell r="F417" t="str">
            <v>Fernando Villalobos Lara</v>
          </cell>
          <cell r="G417" t="str">
            <v>D LOCAL*DIDI RIDES     CIUDAD DE MEX MEX</v>
          </cell>
          <cell r="H417" t="str">
            <v>Didi Chuxing</v>
          </cell>
          <cell r="I417">
            <v>0</v>
          </cell>
          <cell r="J417">
            <v>0</v>
          </cell>
          <cell r="K417" t="str">
            <v>.</v>
          </cell>
          <cell r="L417">
            <v>0</v>
          </cell>
          <cell r="M417">
            <v>0</v>
          </cell>
          <cell r="N417">
            <v>0</v>
          </cell>
          <cell r="O417">
            <v>0</v>
          </cell>
          <cell r="Q417" t="str">
            <v>603.81.004 Gastos de Oficina</v>
          </cell>
        </row>
        <row r="418">
          <cell r="B418" t="str">
            <v>#28</v>
          </cell>
          <cell r="C418">
            <v>45836.113888888802</v>
          </cell>
          <cell r="D418">
            <v>235.5</v>
          </cell>
          <cell r="E418" t="str">
            <v>MXN</v>
          </cell>
          <cell r="F418" t="str">
            <v>Fernando Villalobos Lara</v>
          </cell>
          <cell r="G418" t="str">
            <v>UBER* PENDING          CIUDAD DE MEX MEX</v>
          </cell>
          <cell r="H418" t="str">
            <v>Uber</v>
          </cell>
          <cell r="I418">
            <v>0</v>
          </cell>
          <cell r="J418">
            <v>0</v>
          </cell>
          <cell r="K418" t="str">
            <v>.</v>
          </cell>
          <cell r="L418">
            <v>0</v>
          </cell>
          <cell r="M418">
            <v>0</v>
          </cell>
          <cell r="N418">
            <v>0</v>
          </cell>
          <cell r="O418">
            <v>0</v>
          </cell>
          <cell r="Q418" t="str">
            <v>603.81.004 Gastos de Oficina</v>
          </cell>
        </row>
        <row r="419">
          <cell r="B419" t="str">
            <v>#28</v>
          </cell>
          <cell r="C419">
            <v>45836.724999999999</v>
          </cell>
          <cell r="D419">
            <v>175</v>
          </cell>
          <cell r="E419" t="str">
            <v>MXN</v>
          </cell>
          <cell r="F419" t="str">
            <v>Fernando Villalobos Lara</v>
          </cell>
          <cell r="G419" t="str">
            <v>20250627T01:01:01/D LOCAL*DIDI RIDES\UNKNOWN\UNKNOWN\06600        MEX</v>
          </cell>
          <cell r="H419" t="str">
            <v>Didi Chuxing</v>
          </cell>
          <cell r="I419">
            <v>0</v>
          </cell>
          <cell r="J419">
            <v>0</v>
          </cell>
          <cell r="K419" t="str">
            <v>.</v>
          </cell>
          <cell r="L419">
            <v>0</v>
          </cell>
          <cell r="M419">
            <v>0</v>
          </cell>
          <cell r="N419">
            <v>0</v>
          </cell>
          <cell r="O419">
            <v>0</v>
          </cell>
          <cell r="Q419" t="str">
            <v>603.81.004 Gastos de Oficina</v>
          </cell>
        </row>
        <row r="420">
          <cell r="B420" t="str">
            <v>#28</v>
          </cell>
          <cell r="C420">
            <v>45837.119444444397</v>
          </cell>
          <cell r="D420">
            <v>4538.92</v>
          </cell>
          <cell r="E420" t="str">
            <v>MXN</v>
          </cell>
          <cell r="F420" t="str">
            <v>Fernando Villalobos Lara</v>
          </cell>
          <cell r="G420" t="str">
            <v>Microsoft-G098332498   msbill.info   USA</v>
          </cell>
          <cell r="H420" t="str">
            <v>Microsoft</v>
          </cell>
          <cell r="I420" t="str">
            <v>Tech&amp;Product</v>
          </cell>
          <cell r="J420" t="str">
            <v>Licencia Microsoft</v>
          </cell>
          <cell r="K420" t="str">
            <v>.</v>
          </cell>
          <cell r="L420">
            <v>0</v>
          </cell>
          <cell r="M420">
            <v>0</v>
          </cell>
          <cell r="N420">
            <v>0</v>
          </cell>
          <cell r="O420">
            <v>0</v>
          </cell>
          <cell r="Q420" t="str">
            <v>603.81.004 Gastos de Oficina</v>
          </cell>
        </row>
        <row r="421">
          <cell r="B421" t="str">
            <v>#28</v>
          </cell>
          <cell r="C421">
            <v>45837.408333333296</v>
          </cell>
          <cell r="D421">
            <v>299.01</v>
          </cell>
          <cell r="E421" t="str">
            <v>MXN</v>
          </cell>
          <cell r="F421" t="str">
            <v>Fernando Villalobos Lara</v>
          </cell>
          <cell r="G421" t="str">
            <v>PAYPAL *ADOBE INC ADOB CIUDAD DE MEX MEX</v>
          </cell>
          <cell r="H421" t="str">
            <v>Adobe</v>
          </cell>
          <cell r="I421" t="str">
            <v>Tech&amp;Product</v>
          </cell>
          <cell r="J421" t="str">
            <v>Licencia Adobe</v>
          </cell>
          <cell r="K421" t="str">
            <v>.</v>
          </cell>
          <cell r="L421">
            <v>0</v>
          </cell>
          <cell r="M421">
            <v>0</v>
          </cell>
          <cell r="N421">
            <v>0</v>
          </cell>
          <cell r="O421">
            <v>0</v>
          </cell>
          <cell r="Q421" t="str">
            <v>603.81.004 Gastos de Oficina</v>
          </cell>
        </row>
        <row r="422">
          <cell r="B422" t="str">
            <v>#28</v>
          </cell>
          <cell r="C422">
            <v>45837.860416666597</v>
          </cell>
          <cell r="D422">
            <v>392.98</v>
          </cell>
          <cell r="E422" t="str">
            <v>MXN</v>
          </cell>
          <cell r="F422" t="str">
            <v>Fernando Villalobos Lara</v>
          </cell>
          <cell r="G422" t="str">
            <v>OPENAI *CHATGPT SUBSCR SAN FRANCISCO USA</v>
          </cell>
          <cell r="H422" t="str">
            <v>Openai</v>
          </cell>
          <cell r="I422" t="str">
            <v>Tech&amp;Product</v>
          </cell>
          <cell r="J422" t="str">
            <v>Licencia Openai</v>
          </cell>
          <cell r="K422" t="str">
            <v>.</v>
          </cell>
          <cell r="L422">
            <v>0</v>
          </cell>
          <cell r="M422">
            <v>0</v>
          </cell>
          <cell r="N422">
            <v>0</v>
          </cell>
          <cell r="O422">
            <v>0</v>
          </cell>
          <cell r="Q422" t="str">
            <v>603.81.004 Gastos de Oficina</v>
          </cell>
        </row>
        <row r="423">
          <cell r="B423" t="str">
            <v>#28</v>
          </cell>
          <cell r="C423">
            <v>45838.866666666603</v>
          </cell>
          <cell r="D423">
            <v>647.9</v>
          </cell>
          <cell r="E423" t="str">
            <v>MXN</v>
          </cell>
          <cell r="F423" t="str">
            <v>Fernando Villalobos Lara</v>
          </cell>
          <cell r="G423" t="str">
            <v>URBAN SUSHI WOK RAMEN  CIUDAD DE MEX MEX</v>
          </cell>
          <cell r="H423" t="str">
            <v>Urban Sushi Wok Ramen Ciudad De Mex Mex</v>
          </cell>
          <cell r="I423">
            <v>0</v>
          </cell>
          <cell r="J423">
            <v>0</v>
          </cell>
          <cell r="K423">
            <v>0</v>
          </cell>
          <cell r="L423">
            <v>0</v>
          </cell>
          <cell r="M423">
            <v>0</v>
          </cell>
          <cell r="N423">
            <v>0</v>
          </cell>
          <cell r="O423">
            <v>0</v>
          </cell>
          <cell r="Q423" t="str">
            <v>603.81.004 Gastos de Oficina</v>
          </cell>
        </row>
        <row r="424">
          <cell r="B424" t="str">
            <v>#28</v>
          </cell>
          <cell r="C424">
            <v>45838.8701388888</v>
          </cell>
          <cell r="D424">
            <v>86.18</v>
          </cell>
          <cell r="E424" t="str">
            <v>MXN</v>
          </cell>
          <cell r="F424" t="str">
            <v>Fernando Villalobos Lara</v>
          </cell>
          <cell r="G424" t="str">
            <v>UBER* PENDING          CIUDAD DE MEX MEX</v>
          </cell>
          <cell r="H424" t="str">
            <v>Uber</v>
          </cell>
          <cell r="I424">
            <v>0</v>
          </cell>
          <cell r="J424">
            <v>0</v>
          </cell>
          <cell r="K424">
            <v>0</v>
          </cell>
          <cell r="L424">
            <v>0</v>
          </cell>
          <cell r="M424">
            <v>0</v>
          </cell>
          <cell r="N424">
            <v>0</v>
          </cell>
          <cell r="O424">
            <v>0</v>
          </cell>
          <cell r="Q424" t="str">
            <v>603.81.004 Gastos de Oficina</v>
          </cell>
        </row>
        <row r="425">
          <cell r="B425" t="str">
            <v>#30</v>
          </cell>
          <cell r="C425">
            <v>45817.241666666603</v>
          </cell>
          <cell r="D425">
            <v>19</v>
          </cell>
          <cell r="E425" t="str">
            <v>MXN</v>
          </cell>
          <cell r="F425" t="str">
            <v>Manuel Ibarra Cebreros</v>
          </cell>
          <cell r="G425" t="str">
            <v>DLO*DiDi MX Payin Ride MEXICO        MEX</v>
          </cell>
          <cell r="H425" t="str">
            <v>Dlo Didi Mx Payin Ride Mexico Mex</v>
          </cell>
          <cell r="I425" t="str">
            <v>Transaction cost</v>
          </cell>
          <cell r="J425">
            <v>0</v>
          </cell>
          <cell r="K425">
            <v>0</v>
          </cell>
          <cell r="L425">
            <v>0</v>
          </cell>
          <cell r="M425">
            <v>0</v>
          </cell>
          <cell r="N425">
            <v>0</v>
          </cell>
          <cell r="O425">
            <v>0</v>
          </cell>
          <cell r="Q425" t="str">
            <v>603.81.006 Gastos Administativos de venta</v>
          </cell>
        </row>
        <row r="426">
          <cell r="B426" t="str">
            <v>#30</v>
          </cell>
          <cell r="C426">
            <v>45817.663194444402</v>
          </cell>
          <cell r="D426">
            <v>1196</v>
          </cell>
          <cell r="E426" t="str">
            <v>MXN</v>
          </cell>
          <cell r="F426" t="str">
            <v>Manuel Ibarra Cebreros</v>
          </cell>
          <cell r="G426" t="str">
            <v>PLAYTOMIC.IO 0B7D92EB  +34916519465  MEX</v>
          </cell>
          <cell r="H426" t="str">
            <v>Playtomic.io</v>
          </cell>
          <cell r="I426" t="str">
            <v>Transaction cost</v>
          </cell>
          <cell r="J426">
            <v>0</v>
          </cell>
          <cell r="K426">
            <v>0</v>
          </cell>
          <cell r="L426">
            <v>0</v>
          </cell>
          <cell r="M426">
            <v>0</v>
          </cell>
          <cell r="N426">
            <v>0</v>
          </cell>
          <cell r="O426">
            <v>0</v>
          </cell>
          <cell r="Q426" t="str">
            <v>603.81.006 Gastos Administativos de venta</v>
          </cell>
        </row>
        <row r="427">
          <cell r="B427" t="str">
            <v>#30</v>
          </cell>
          <cell r="C427">
            <v>45824.145138888802</v>
          </cell>
          <cell r="D427">
            <v>1000</v>
          </cell>
          <cell r="E427" t="str">
            <v>MXN</v>
          </cell>
          <cell r="F427" t="str">
            <v>Manuel Ibarra Cebreros</v>
          </cell>
          <cell r="G427" t="str">
            <v>RECARGA PASE TUTAG     CIUDAD DE MEX MEX</v>
          </cell>
          <cell r="H427" t="str">
            <v>Recarga Pase Tutag Ciudad De Mex Mex</v>
          </cell>
          <cell r="I427" t="str">
            <v>Sales</v>
          </cell>
          <cell r="J427" t="str">
            <v>RFQ 3630, 3842 - Visita cliente Napoleon a MPs</v>
          </cell>
          <cell r="K427">
            <v>0</v>
          </cell>
          <cell r="L427">
            <v>0</v>
          </cell>
          <cell r="M427">
            <v>0</v>
          </cell>
          <cell r="N427">
            <v>0</v>
          </cell>
          <cell r="O427">
            <v>0</v>
          </cell>
          <cell r="Q427" t="str">
            <v>603.81.006 Gastos Administativos de venta</v>
          </cell>
        </row>
        <row r="428">
          <cell r="B428" t="str">
            <v>#30</v>
          </cell>
          <cell r="C428">
            <v>45824.506249999999</v>
          </cell>
          <cell r="D428">
            <v>109</v>
          </cell>
          <cell r="E428" t="str">
            <v>MXN</v>
          </cell>
          <cell r="F428" t="str">
            <v>Manuel Ibarra Cebreros</v>
          </cell>
          <cell r="G428" t="str">
            <v>DLO*DIDI RIDES         CIUDAD DE MEX MEX</v>
          </cell>
          <cell r="H428" t="str">
            <v>Didi Chuxing</v>
          </cell>
          <cell r="I428" t="str">
            <v>Sales</v>
          </cell>
          <cell r="J428" t="str">
            <v>RFQ 3630, 3842 - Visita cliente Napoleon a MPs</v>
          </cell>
          <cell r="K428">
            <v>0</v>
          </cell>
          <cell r="L428">
            <v>0</v>
          </cell>
          <cell r="M428">
            <v>0</v>
          </cell>
          <cell r="N428">
            <v>0</v>
          </cell>
          <cell r="O428">
            <v>0</v>
          </cell>
          <cell r="Q428" t="str">
            <v>603.81.006 Gastos Administativos de venta</v>
          </cell>
        </row>
        <row r="429">
          <cell r="B429" t="str">
            <v>#30</v>
          </cell>
          <cell r="C429">
            <v>45824.699305555499</v>
          </cell>
          <cell r="D429">
            <v>713</v>
          </cell>
          <cell r="E429" t="str">
            <v>MXN</v>
          </cell>
          <cell r="F429" t="str">
            <v>Manuel Ibarra Cebreros</v>
          </cell>
          <cell r="G429" t="str">
            <v>REST NEGRO OZULAMA EDA OZULUAMA VER  MEX</v>
          </cell>
          <cell r="H429" t="str">
            <v>Rest Negro Ozulama Eda Ozuluama Ver Mex</v>
          </cell>
          <cell r="I429" t="str">
            <v>Sales</v>
          </cell>
          <cell r="J429" t="str">
            <v>RFQ 3630, 3842 - Visita cliente Napoleon a MPs</v>
          </cell>
          <cell r="K429">
            <v>0</v>
          </cell>
          <cell r="L429">
            <v>0</v>
          </cell>
          <cell r="M429">
            <v>0</v>
          </cell>
          <cell r="N429">
            <v>0</v>
          </cell>
          <cell r="O429">
            <v>0</v>
          </cell>
          <cell r="Q429" t="str">
            <v>603.81.006 Gastos Administativos de venta</v>
          </cell>
        </row>
        <row r="430">
          <cell r="B430" t="str">
            <v>#30</v>
          </cell>
          <cell r="C430">
            <v>45825.904166666602</v>
          </cell>
          <cell r="D430">
            <v>322.2</v>
          </cell>
          <cell r="E430" t="str">
            <v>MXN</v>
          </cell>
          <cell r="F430" t="str">
            <v>Manuel Ibarra Cebreros</v>
          </cell>
          <cell r="G430" t="str">
            <v>D LOCAL*DIDI RIDES     CIUDAD DE MEX MEX</v>
          </cell>
          <cell r="H430" t="str">
            <v>Didi Chuxing</v>
          </cell>
          <cell r="I430" t="str">
            <v>Sales</v>
          </cell>
          <cell r="J430" t="str">
            <v>RFQ 3630, 3842 - Visita cliente Napoleon a MPs</v>
          </cell>
          <cell r="K430">
            <v>0</v>
          </cell>
          <cell r="L430">
            <v>0</v>
          </cell>
          <cell r="M430">
            <v>0</v>
          </cell>
          <cell r="N430">
            <v>0</v>
          </cell>
          <cell r="O430">
            <v>0</v>
          </cell>
          <cell r="Q430" t="str">
            <v>603.81.006 Gastos Administativos de venta</v>
          </cell>
        </row>
        <row r="431">
          <cell r="B431" t="str">
            <v>#30</v>
          </cell>
          <cell r="C431">
            <v>45835.628472222197</v>
          </cell>
          <cell r="D431">
            <v>400</v>
          </cell>
          <cell r="E431" t="str">
            <v>MXN</v>
          </cell>
          <cell r="F431" t="str">
            <v>Manuel Ibarra Cebreros</v>
          </cell>
          <cell r="G431" t="str">
            <v>GAS BENZINA            CIUDAD DE MEX MEX</v>
          </cell>
          <cell r="H431" t="str">
            <v>Gas Benzina Ciudad De Mex Mex</v>
          </cell>
          <cell r="I431" t="str">
            <v>Sales</v>
          </cell>
          <cell r="J431" t="str">
            <v>RFQ 3630, 3842 - Visita cliente Napoleon a MPs</v>
          </cell>
          <cell r="K431">
            <v>0</v>
          </cell>
          <cell r="L431">
            <v>344.82758620689657</v>
          </cell>
          <cell r="M431">
            <v>55.172413793103452</v>
          </cell>
          <cell r="N431">
            <v>172.41379310344828</v>
          </cell>
          <cell r="O431">
            <v>0</v>
          </cell>
          <cell r="Q431" t="str">
            <v>603.81.006 Gastos Administativos de venta</v>
          </cell>
        </row>
        <row r="432">
          <cell r="B432" t="str">
            <v>#31</v>
          </cell>
          <cell r="C432">
            <v>45812.2541666666</v>
          </cell>
          <cell r="D432">
            <v>320.81</v>
          </cell>
          <cell r="E432" t="str">
            <v>MXN</v>
          </cell>
          <cell r="F432" t="str">
            <v>Emiliano Cavazos</v>
          </cell>
          <cell r="G432" t="str">
            <v>3DEXPERIENCE DASSAULT  +18773342551  USA</v>
          </cell>
          <cell r="H432" t="str">
            <v>3dexperience Dassault USA</v>
          </cell>
          <cell r="I432" t="str">
            <v>Tech&amp;Product</v>
          </cell>
          <cell r="J432" t="str">
            <v>Solid Works para diseño para diseñador</v>
          </cell>
          <cell r="K432">
            <v>0</v>
          </cell>
          <cell r="L432">
            <v>0</v>
          </cell>
          <cell r="M432">
            <v>0</v>
          </cell>
          <cell r="N432">
            <v>0</v>
          </cell>
          <cell r="O432">
            <v>0</v>
          </cell>
          <cell r="Q432" t="str">
            <v>173.01.002 Gastos por inspecciones de calidad</v>
          </cell>
        </row>
        <row r="433">
          <cell r="B433" t="str">
            <v>#31</v>
          </cell>
          <cell r="C433">
            <v>45814.6</v>
          </cell>
          <cell r="D433">
            <v>61.2</v>
          </cell>
          <cell r="E433" t="str">
            <v>MXN</v>
          </cell>
          <cell r="F433" t="str">
            <v>Emiliano Cavazos</v>
          </cell>
          <cell r="G433" t="str">
            <v>REA AUTOPISTA GPE      CADEREYTA JIM MEX</v>
          </cell>
          <cell r="H433" t="str">
            <v>Rea Autopista Gpe Cadereyta Jim Mex</v>
          </cell>
          <cell r="I433" t="str">
            <v>Transaction cost</v>
          </cell>
          <cell r="J433" t="str">
            <v>PO:620 - Gas para visita a MP</v>
          </cell>
          <cell r="K433">
            <v>0</v>
          </cell>
          <cell r="L433">
            <v>0</v>
          </cell>
          <cell r="M433">
            <v>0</v>
          </cell>
          <cell r="N433">
            <v>0</v>
          </cell>
          <cell r="O433">
            <v>0</v>
          </cell>
          <cell r="Q433" t="str">
            <v>173.01.002 Gastos por inspecciones de calidad</v>
          </cell>
        </row>
        <row r="434">
          <cell r="B434" t="str">
            <v>#31</v>
          </cell>
          <cell r="C434">
            <v>45814.654166666602</v>
          </cell>
          <cell r="D434">
            <v>61.2</v>
          </cell>
          <cell r="E434" t="str">
            <v>MXN</v>
          </cell>
          <cell r="F434" t="str">
            <v>Emiliano Cavazos</v>
          </cell>
          <cell r="G434" t="str">
            <v>REA AUTOPISTA GPE      CADEREYTA JIM MEX</v>
          </cell>
          <cell r="H434" t="str">
            <v>Rea Autopista Gpe Cadereyta Jim Mex</v>
          </cell>
          <cell r="I434" t="str">
            <v>Transaction cost</v>
          </cell>
          <cell r="J434" t="str">
            <v>PO:620 - Gas para visita a MP</v>
          </cell>
          <cell r="K434">
            <v>0</v>
          </cell>
          <cell r="L434">
            <v>0</v>
          </cell>
          <cell r="M434">
            <v>0</v>
          </cell>
          <cell r="N434">
            <v>0</v>
          </cell>
          <cell r="O434">
            <v>0</v>
          </cell>
          <cell r="Q434" t="str">
            <v>173.01.002 Gastos por inspecciones de calidad</v>
          </cell>
        </row>
        <row r="435">
          <cell r="B435" t="str">
            <v>#31</v>
          </cell>
          <cell r="C435">
            <v>45814.856249999997</v>
          </cell>
          <cell r="D435">
            <v>379.52</v>
          </cell>
          <cell r="E435" t="str">
            <v>MXN</v>
          </cell>
          <cell r="F435" t="str">
            <v>Emiliano Cavazos</v>
          </cell>
          <cell r="G435" t="str">
            <v>OXXO GAS LAS TORRES    SN PEDRO GARZ MEX</v>
          </cell>
          <cell r="H435" t="str">
            <v>Oxxo Gas Las Torres Sn Pedro Garz Mex</v>
          </cell>
          <cell r="I435" t="str">
            <v>Transaction cost</v>
          </cell>
          <cell r="J435" t="str">
            <v>PO:620 - Gas para visita a MP</v>
          </cell>
          <cell r="K435">
            <v>0</v>
          </cell>
          <cell r="L435">
            <v>0</v>
          </cell>
          <cell r="M435">
            <v>0</v>
          </cell>
          <cell r="N435">
            <v>0</v>
          </cell>
          <cell r="O435">
            <v>0</v>
          </cell>
          <cell r="Q435" t="str">
            <v>173.01.002 Gastos por inspecciones de calidad</v>
          </cell>
        </row>
        <row r="436">
          <cell r="B436" t="str">
            <v>#31</v>
          </cell>
          <cell r="C436">
            <v>45817.584027777702</v>
          </cell>
          <cell r="D436">
            <v>34.270000000000003</v>
          </cell>
          <cell r="E436" t="str">
            <v>MXN</v>
          </cell>
          <cell r="F436" t="str">
            <v>Emiliano Cavazos</v>
          </cell>
          <cell r="G436" t="str">
            <v>UBER* TRIP             CIUDAD DE MEX MEX</v>
          </cell>
          <cell r="H436" t="str">
            <v>Uber</v>
          </cell>
          <cell r="I436" t="str">
            <v>Transaction cost</v>
          </cell>
          <cell r="J436" t="str">
            <v>PO:620 - Gas para visita a MP</v>
          </cell>
          <cell r="K436">
            <v>0</v>
          </cell>
          <cell r="L436">
            <v>0</v>
          </cell>
          <cell r="M436">
            <v>0</v>
          </cell>
          <cell r="N436">
            <v>0</v>
          </cell>
          <cell r="O436">
            <v>0</v>
          </cell>
          <cell r="Q436" t="str">
            <v>173.01.002 Gastos por inspecciones de calidad</v>
          </cell>
        </row>
        <row r="437">
          <cell r="B437" t="str">
            <v>#31</v>
          </cell>
          <cell r="C437">
            <v>45821.902083333298</v>
          </cell>
          <cell r="D437">
            <v>4441.3</v>
          </cell>
          <cell r="E437" t="str">
            <v>MXN</v>
          </cell>
          <cell r="F437" t="str">
            <v>Emiliano Cavazos</v>
          </cell>
          <cell r="G437" t="str">
            <v>REST SONORA MKT        SN PEDRO GARZ MEX</v>
          </cell>
          <cell r="H437" t="str">
            <v>Rest Sonora Mkt Sn Pedro Garz Mex</v>
          </cell>
          <cell r="I437" t="str">
            <v>Transaction cost</v>
          </cell>
          <cell r="J437" t="str">
            <v>PO: 1486 - Gas para visita a MPs</v>
          </cell>
          <cell r="K437">
            <v>0</v>
          </cell>
          <cell r="L437">
            <v>0</v>
          </cell>
          <cell r="M437">
            <v>0</v>
          </cell>
          <cell r="N437">
            <v>0</v>
          </cell>
          <cell r="O437">
            <v>0</v>
          </cell>
          <cell r="Q437" t="str">
            <v>173.01.002 Gastos por inspecciones de calidad</v>
          </cell>
        </row>
        <row r="438">
          <cell r="B438" t="str">
            <v>#31</v>
          </cell>
          <cell r="C438">
            <v>45827.603472222203</v>
          </cell>
          <cell r="D438">
            <v>335.86</v>
          </cell>
          <cell r="E438" t="str">
            <v>MXN</v>
          </cell>
          <cell r="F438" t="str">
            <v>Emiliano Cavazos</v>
          </cell>
          <cell r="G438" t="str">
            <v>GAS CORTIJO DEL RIO    MONTERREY NL  MEX</v>
          </cell>
          <cell r="H438" t="str">
            <v>Gas Cortijo Del Rio Monterrey Nl Mex</v>
          </cell>
          <cell r="I438" t="str">
            <v>Transaction cost</v>
          </cell>
          <cell r="J438" t="str">
            <v>PO: 1394 - Toldo para trabajo</v>
          </cell>
          <cell r="K438">
            <v>0</v>
          </cell>
          <cell r="L438">
            <v>0</v>
          </cell>
          <cell r="M438">
            <v>0</v>
          </cell>
          <cell r="N438">
            <v>0</v>
          </cell>
          <cell r="O438">
            <v>0</v>
          </cell>
          <cell r="Q438" t="str">
            <v>173.01.002 Gastos por inspecciones de calidad</v>
          </cell>
        </row>
        <row r="439">
          <cell r="B439" t="str">
            <v>#29</v>
          </cell>
          <cell r="C439">
            <v>45835.030555555502</v>
          </cell>
          <cell r="D439">
            <v>172.99</v>
          </cell>
          <cell r="E439" t="str">
            <v>MXN</v>
          </cell>
          <cell r="F439" t="str">
            <v>Jonatan Cid Prati</v>
          </cell>
          <cell r="G439" t="str">
            <v>UBER* EATS PENDING     CIUDAD DE MEX MEX</v>
          </cell>
          <cell r="H439" t="str">
            <v>Uber Eats</v>
          </cell>
          <cell r="I439" t="str">
            <v>Office expenses</v>
          </cell>
          <cell r="J439" t="str">
            <v>Comida convivencia post all hands</v>
          </cell>
          <cell r="K439" t="str">
            <v>.</v>
          </cell>
          <cell r="L439">
            <v>0</v>
          </cell>
          <cell r="M439">
            <v>0</v>
          </cell>
          <cell r="N439">
            <v>0</v>
          </cell>
          <cell r="O439">
            <v>0</v>
          </cell>
          <cell r="Q439" t="str">
            <v>603.81.004 Gastos de Oficina</v>
          </cell>
        </row>
        <row r="440">
          <cell r="B440" t="str">
            <v>#34</v>
          </cell>
          <cell r="C440">
            <v>45811.848611111098</v>
          </cell>
          <cell r="D440">
            <v>163</v>
          </cell>
          <cell r="E440" t="str">
            <v>MXN</v>
          </cell>
          <cell r="F440" t="str">
            <v>Juan Pablo Ramos Aranda</v>
          </cell>
          <cell r="G440" t="str">
            <v>DLO*DIDI RIDES         CIUDAD DE MEX MEX</v>
          </cell>
          <cell r="H440" t="str">
            <v>Didi Chuxing</v>
          </cell>
          <cell r="I440" t="str">
            <v/>
          </cell>
          <cell r="J440">
            <v>0</v>
          </cell>
          <cell r="K440" t="str">
            <v>.</v>
          </cell>
          <cell r="L440">
            <v>0</v>
          </cell>
          <cell r="M440">
            <v>0</v>
          </cell>
          <cell r="N440">
            <v>0</v>
          </cell>
          <cell r="O440">
            <v>0</v>
          </cell>
          <cell r="Q440" t="str">
            <v>603.81.002 Gastos corporativos ND</v>
          </cell>
        </row>
        <row r="441">
          <cell r="B441" t="str">
            <v>#34</v>
          </cell>
          <cell r="C441">
            <v>45811.850694444402</v>
          </cell>
          <cell r="D441">
            <v>9</v>
          </cell>
          <cell r="E441" t="str">
            <v>MXN</v>
          </cell>
          <cell r="F441" t="str">
            <v>Juan Pablo Ramos Aranda</v>
          </cell>
          <cell r="G441" t="str">
            <v>UBER* PENDING          CIUDAD DE MEX MEX</v>
          </cell>
          <cell r="H441" t="str">
            <v>Uber</v>
          </cell>
          <cell r="I441">
            <v>0</v>
          </cell>
          <cell r="J441">
            <v>0</v>
          </cell>
          <cell r="K441" t="str">
            <v>.</v>
          </cell>
          <cell r="L441">
            <v>0</v>
          </cell>
          <cell r="M441">
            <v>0</v>
          </cell>
          <cell r="N441">
            <v>0</v>
          </cell>
          <cell r="O441">
            <v>0</v>
          </cell>
          <cell r="Q441" t="str">
            <v>603.81.002 Gastos corporativos ND</v>
          </cell>
        </row>
        <row r="442">
          <cell r="B442" t="str">
            <v>#34</v>
          </cell>
          <cell r="C442">
            <v>45811.883333333302</v>
          </cell>
          <cell r="D442">
            <v>28.48</v>
          </cell>
          <cell r="E442" t="str">
            <v>MXN</v>
          </cell>
          <cell r="F442" t="str">
            <v>Juan Pablo Ramos Aranda</v>
          </cell>
          <cell r="G442" t="str">
            <v>DLO*DiDi MX Payin Ride MEXICO        MEX</v>
          </cell>
          <cell r="H442" t="str">
            <v>Dlo Didi Mx Payin Ride Mexico Mex</v>
          </cell>
          <cell r="I442">
            <v>0</v>
          </cell>
          <cell r="J442">
            <v>0</v>
          </cell>
          <cell r="K442" t="str">
            <v>.</v>
          </cell>
          <cell r="L442">
            <v>0</v>
          </cell>
          <cell r="M442">
            <v>0</v>
          </cell>
          <cell r="N442">
            <v>0</v>
          </cell>
          <cell r="O442">
            <v>0</v>
          </cell>
          <cell r="Q442" t="str">
            <v>603.81.002 Gastos corporativos ND</v>
          </cell>
        </row>
        <row r="443">
          <cell r="B443" t="str">
            <v>#34</v>
          </cell>
          <cell r="C443">
            <v>45811.918749999997</v>
          </cell>
          <cell r="D443">
            <v>123</v>
          </cell>
          <cell r="E443" t="str">
            <v>MXN</v>
          </cell>
          <cell r="F443" t="str">
            <v>Juan Pablo Ramos Aranda</v>
          </cell>
          <cell r="G443" t="str">
            <v>DLO*DIDI RIDES         CIUDAD DE MEX MEX</v>
          </cell>
          <cell r="H443" t="str">
            <v>Didi Chuxing</v>
          </cell>
          <cell r="I443">
            <v>0</v>
          </cell>
          <cell r="J443">
            <v>0</v>
          </cell>
          <cell r="K443" t="str">
            <v>.</v>
          </cell>
          <cell r="L443">
            <v>0</v>
          </cell>
          <cell r="M443">
            <v>0</v>
          </cell>
          <cell r="N443">
            <v>0</v>
          </cell>
          <cell r="O443">
            <v>0</v>
          </cell>
          <cell r="Q443" t="str">
            <v>603.81.002 Gastos corporativos ND</v>
          </cell>
        </row>
        <row r="444">
          <cell r="B444" t="str">
            <v>#34</v>
          </cell>
          <cell r="C444">
            <v>45815.8701388888</v>
          </cell>
          <cell r="D444">
            <v>1138</v>
          </cell>
          <cell r="E444" t="str">
            <v>MXN</v>
          </cell>
          <cell r="F444" t="str">
            <v>Juan Pablo Ramos Aranda</v>
          </cell>
          <cell r="G444" t="str">
            <v>DLO*DIDI RIDES         CIUDAD DE MEX MEX</v>
          </cell>
          <cell r="H444" t="str">
            <v>Didi Chuxing</v>
          </cell>
          <cell r="I444">
            <v>0</v>
          </cell>
          <cell r="J444">
            <v>0</v>
          </cell>
          <cell r="K444" t="str">
            <v>.</v>
          </cell>
          <cell r="L444">
            <v>0</v>
          </cell>
          <cell r="M444">
            <v>0</v>
          </cell>
          <cell r="N444">
            <v>0</v>
          </cell>
          <cell r="O444">
            <v>0</v>
          </cell>
          <cell r="Q444" t="str">
            <v>603.81.002 Gastos corporativos ND</v>
          </cell>
        </row>
        <row r="445">
          <cell r="B445" t="str">
            <v>#34</v>
          </cell>
          <cell r="C445">
            <v>45815.875694444403</v>
          </cell>
          <cell r="D445">
            <v>1231.8499999999999</v>
          </cell>
          <cell r="E445" t="str">
            <v>MXN</v>
          </cell>
          <cell r="F445" t="str">
            <v>Juan Pablo Ramos Aranda</v>
          </cell>
          <cell r="G445" t="str">
            <v>UBER* PENDING          CIUDAD DE MEX MEX</v>
          </cell>
          <cell r="H445" t="str">
            <v>Uber</v>
          </cell>
          <cell r="I445">
            <v>0</v>
          </cell>
          <cell r="J445">
            <v>0</v>
          </cell>
          <cell r="K445" t="str">
            <v>.</v>
          </cell>
          <cell r="L445">
            <v>0</v>
          </cell>
          <cell r="M445">
            <v>0</v>
          </cell>
          <cell r="N445">
            <v>0</v>
          </cell>
          <cell r="O445">
            <v>0</v>
          </cell>
          <cell r="Q445" t="str">
            <v>603.81.002 Gastos corporativos ND</v>
          </cell>
        </row>
        <row r="446">
          <cell r="B446" t="str">
            <v>#34</v>
          </cell>
          <cell r="C446">
            <v>45816.7229166666</v>
          </cell>
          <cell r="D446">
            <v>1138</v>
          </cell>
          <cell r="E446" t="str">
            <v>MXN</v>
          </cell>
          <cell r="F446" t="str">
            <v>Juan Pablo Ramos Aranda</v>
          </cell>
          <cell r="G446" t="str">
            <v>20250607T01:01:01/DLO*DIDI RIDES\UNKNOWN\UNKNOWN\06600        MEX</v>
          </cell>
          <cell r="H446" t="str">
            <v>Didi Chuxing</v>
          </cell>
          <cell r="I446">
            <v>0</v>
          </cell>
          <cell r="J446">
            <v>0</v>
          </cell>
          <cell r="K446" t="str">
            <v>.</v>
          </cell>
          <cell r="L446">
            <v>0</v>
          </cell>
          <cell r="M446">
            <v>0</v>
          </cell>
          <cell r="N446">
            <v>0</v>
          </cell>
          <cell r="O446">
            <v>0</v>
          </cell>
          <cell r="Q446" t="str">
            <v>603.81.002 Gastos corporativos ND</v>
          </cell>
        </row>
        <row r="447">
          <cell r="B447" t="str">
            <v>#34</v>
          </cell>
          <cell r="C447">
            <v>45827.770833333299</v>
          </cell>
          <cell r="D447">
            <v>79.91</v>
          </cell>
          <cell r="E447" t="str">
            <v>MXN</v>
          </cell>
          <cell r="F447" t="str">
            <v>Juan Pablo Ramos Aranda</v>
          </cell>
          <cell r="G447" t="str">
            <v>UBER* PENDING          CIUDAD DE MEX MEX</v>
          </cell>
          <cell r="H447" t="str">
            <v>Uber</v>
          </cell>
          <cell r="I447">
            <v>0</v>
          </cell>
          <cell r="J447">
            <v>0</v>
          </cell>
          <cell r="K447" t="str">
            <v>.</v>
          </cell>
          <cell r="L447">
            <v>0</v>
          </cell>
          <cell r="M447">
            <v>0</v>
          </cell>
          <cell r="N447">
            <v>0</v>
          </cell>
          <cell r="O447">
            <v>0</v>
          </cell>
          <cell r="Q447" t="str">
            <v>603.81.002 Gastos corporativos ND</v>
          </cell>
        </row>
        <row r="448">
          <cell r="B448" t="str">
            <v>#34</v>
          </cell>
          <cell r="C448">
            <v>45833.106249999997</v>
          </cell>
          <cell r="D448">
            <v>11</v>
          </cell>
          <cell r="E448" t="str">
            <v>MXN</v>
          </cell>
          <cell r="F448" t="str">
            <v>Juan Pablo Ramos Aranda</v>
          </cell>
          <cell r="G448" t="str">
            <v>UBER* TRIP             CIUDAD DE MEX MEX</v>
          </cell>
          <cell r="H448" t="str">
            <v>Uber</v>
          </cell>
          <cell r="I448">
            <v>0</v>
          </cell>
          <cell r="J448">
            <v>0</v>
          </cell>
          <cell r="K448" t="str">
            <v>.</v>
          </cell>
          <cell r="L448">
            <v>0</v>
          </cell>
          <cell r="M448">
            <v>0</v>
          </cell>
          <cell r="N448">
            <v>0</v>
          </cell>
          <cell r="O448">
            <v>0</v>
          </cell>
          <cell r="Q448" t="str">
            <v>603.81.002 Gastos corporativos ND</v>
          </cell>
        </row>
        <row r="449">
          <cell r="B449" t="str">
            <v>#34</v>
          </cell>
          <cell r="C449">
            <v>45834.7138888888</v>
          </cell>
          <cell r="D449">
            <v>1776.5</v>
          </cell>
          <cell r="E449" t="str">
            <v>MXN</v>
          </cell>
          <cell r="F449" t="str">
            <v>Juan Pablo Ramos Aranda</v>
          </cell>
          <cell r="G449" t="str">
            <v>OLI CAFE               CIUDAD DE MEX MEX</v>
          </cell>
          <cell r="H449" t="str">
            <v>Oli Cafe Ciudad De Mex Mex</v>
          </cell>
          <cell r="I449">
            <v>0</v>
          </cell>
          <cell r="J449">
            <v>0</v>
          </cell>
          <cell r="K449" t="str">
            <v>.</v>
          </cell>
          <cell r="L449">
            <v>0</v>
          </cell>
          <cell r="M449">
            <v>0</v>
          </cell>
          <cell r="N449">
            <v>0</v>
          </cell>
          <cell r="O449">
            <v>0</v>
          </cell>
          <cell r="Q449" t="str">
            <v>603.81.002 Gastos corporativos ND</v>
          </cell>
        </row>
        <row r="450">
          <cell r="B450" t="str">
            <v>#34</v>
          </cell>
          <cell r="C450">
            <v>45838.131249999999</v>
          </cell>
          <cell r="D450">
            <v>493.85</v>
          </cell>
          <cell r="E450" t="str">
            <v>MXN</v>
          </cell>
          <cell r="F450" t="str">
            <v>Juan Pablo Ramos Aranda</v>
          </cell>
          <cell r="G450" t="str">
            <v>UBER* EATS PENDING     CIUDAD DE MEX MEX</v>
          </cell>
          <cell r="H450" t="str">
            <v>Uber Eats</v>
          </cell>
          <cell r="I450">
            <v>0</v>
          </cell>
          <cell r="J450">
            <v>0</v>
          </cell>
          <cell r="K450" t="str">
            <v>.</v>
          </cell>
          <cell r="L450">
            <v>0</v>
          </cell>
          <cell r="M450">
            <v>0</v>
          </cell>
          <cell r="N450">
            <v>0</v>
          </cell>
          <cell r="O450">
            <v>0</v>
          </cell>
          <cell r="Q450" t="str">
            <v>603.81.002 Gastos corporativos ND</v>
          </cell>
        </row>
        <row r="451">
          <cell r="B451" t="str">
            <v>#35</v>
          </cell>
          <cell r="C451">
            <v>45810.043055555499</v>
          </cell>
          <cell r="D451">
            <v>3500</v>
          </cell>
          <cell r="E451" t="str">
            <v>MXN</v>
          </cell>
          <cell r="F451" t="str">
            <v>Termis</v>
          </cell>
          <cell r="G451" t="str">
            <v>HILOS.IO               +525564965615 MEX</v>
          </cell>
          <cell r="H451" t="str">
            <v>Hilos.io</v>
          </cell>
          <cell r="I451" t="str">
            <v>Tech&amp;Product</v>
          </cell>
          <cell r="J451" t="str">
            <v>Software de Whatsapp para Raw Materials</v>
          </cell>
          <cell r="K451">
            <v>0</v>
          </cell>
          <cell r="L451">
            <v>0</v>
          </cell>
          <cell r="M451">
            <v>0</v>
          </cell>
          <cell r="N451">
            <v>0</v>
          </cell>
          <cell r="O451">
            <v>0</v>
          </cell>
          <cell r="Q451" t="str">
            <v>603.81.004 Gastos de Oficina</v>
          </cell>
        </row>
        <row r="452">
          <cell r="B452" t="str">
            <v>#35</v>
          </cell>
          <cell r="C452">
            <v>45811.173611111102</v>
          </cell>
          <cell r="D452">
            <v>40.22</v>
          </cell>
          <cell r="E452" t="str">
            <v>MXN</v>
          </cell>
          <cell r="F452" t="str">
            <v>Termis</v>
          </cell>
          <cell r="G452" t="str">
            <v>BLOOMBERG* B38899628   +18338504950  USA</v>
          </cell>
          <cell r="H452" t="str">
            <v>Bloomberg</v>
          </cell>
          <cell r="I452" t="str">
            <v>Tech&amp;Product</v>
          </cell>
          <cell r="J452" t="str">
            <v>FX rate para loan tape lendable</v>
          </cell>
          <cell r="K452">
            <v>0</v>
          </cell>
          <cell r="L452">
            <v>0</v>
          </cell>
          <cell r="M452">
            <v>0</v>
          </cell>
          <cell r="N452">
            <v>0</v>
          </cell>
          <cell r="O452">
            <v>0</v>
          </cell>
          <cell r="Q452" t="str">
            <v>603.81.004 Gastos de Oficina</v>
          </cell>
        </row>
        <row r="453">
          <cell r="B453" t="str">
            <v>#35</v>
          </cell>
          <cell r="C453">
            <v>45818.539583333302</v>
          </cell>
          <cell r="D453">
            <v>22.54</v>
          </cell>
          <cell r="E453" t="str">
            <v>MXN</v>
          </cell>
          <cell r="F453" t="str">
            <v>Termis</v>
          </cell>
          <cell r="G453" t="str">
            <v>FACEBK *L3JUMSCSH2     DUBLIN 2      IRL</v>
          </cell>
          <cell r="H453" t="str">
            <v>Meta</v>
          </cell>
          <cell r="I453" t="str">
            <v>Tech&amp;Product</v>
          </cell>
          <cell r="J453" t="str">
            <v>API whatsapp</v>
          </cell>
          <cell r="K453">
            <v>0</v>
          </cell>
          <cell r="L453">
            <v>0</v>
          </cell>
          <cell r="M453">
            <v>0</v>
          </cell>
          <cell r="N453">
            <v>0</v>
          </cell>
          <cell r="O453">
            <v>0</v>
          </cell>
          <cell r="Q453" t="str">
            <v>603.81.004 Gastos de Oficina</v>
          </cell>
        </row>
        <row r="454">
          <cell r="B454" t="str">
            <v>#35</v>
          </cell>
          <cell r="C454">
            <v>45818.770138888802</v>
          </cell>
          <cell r="D454">
            <v>398.88</v>
          </cell>
          <cell r="E454" t="str">
            <v>MXN</v>
          </cell>
          <cell r="F454" t="str">
            <v>Termis</v>
          </cell>
          <cell r="G454" t="str">
            <v>OPENAI *CHATGPT SUBSCR +14158799686  USA</v>
          </cell>
          <cell r="H454" t="str">
            <v>Openai</v>
          </cell>
          <cell r="I454" t="str">
            <v>Tech&amp;Product</v>
          </cell>
          <cell r="J454" t="str">
            <v>Chatgpt</v>
          </cell>
          <cell r="K454">
            <v>0</v>
          </cell>
          <cell r="L454">
            <v>0</v>
          </cell>
          <cell r="M454">
            <v>0</v>
          </cell>
          <cell r="N454">
            <v>0</v>
          </cell>
          <cell r="O454">
            <v>0</v>
          </cell>
          <cell r="Q454" t="str">
            <v>603.81.004 Gastos de Oficina</v>
          </cell>
        </row>
        <row r="455">
          <cell r="B455" t="str">
            <v>#35</v>
          </cell>
          <cell r="C455">
            <v>45827.637499999997</v>
          </cell>
          <cell r="D455">
            <v>1800</v>
          </cell>
          <cell r="E455" t="str">
            <v>MXN</v>
          </cell>
          <cell r="F455" t="str">
            <v>Termis</v>
          </cell>
          <cell r="G455" t="str">
            <v>CLUB DEP PADEL CO REF  CIUDAD DE MEX MEX</v>
          </cell>
          <cell r="H455" t="str">
            <v>Club Dep Padel Co Ref Ciudad De Mex Mex</v>
          </cell>
          <cell r="I455" t="str">
            <v>G&amp;A expenses</v>
          </cell>
          <cell r="J455" t="str">
            <v>Torneo de padel canchas</v>
          </cell>
          <cell r="K455">
            <v>0</v>
          </cell>
          <cell r="L455">
            <v>0</v>
          </cell>
          <cell r="M455">
            <v>0</v>
          </cell>
          <cell r="N455">
            <v>0</v>
          </cell>
          <cell r="O455">
            <v>0</v>
          </cell>
          <cell r="Q455" t="str">
            <v>603.81.004 Gastos de Oficina</v>
          </cell>
        </row>
        <row r="456">
          <cell r="B456" t="str">
            <v>#35</v>
          </cell>
          <cell r="C456">
            <v>45832.987500000003</v>
          </cell>
          <cell r="D456">
            <v>252</v>
          </cell>
          <cell r="E456" t="str">
            <v>MXN</v>
          </cell>
          <cell r="F456" t="str">
            <v>Termis</v>
          </cell>
          <cell r="G456" t="str">
            <v>SQSP* INV187434613     NEW YORK      USA</v>
          </cell>
          <cell r="H456" t="str">
            <v>Squarespace</v>
          </cell>
          <cell r="I456" t="str">
            <v>Tech&amp;Product</v>
          </cell>
          <cell r="J456" t="str">
            <v>Pagina web prima</v>
          </cell>
          <cell r="K456">
            <v>0</v>
          </cell>
          <cell r="L456">
            <v>0</v>
          </cell>
          <cell r="M456">
            <v>0</v>
          </cell>
          <cell r="N456">
            <v>0</v>
          </cell>
          <cell r="O456">
            <v>0</v>
          </cell>
          <cell r="Q456" t="str">
            <v>603.81.004 Gastos de Oficina</v>
          </cell>
        </row>
        <row r="457">
          <cell r="B457" t="str">
            <v>#35</v>
          </cell>
          <cell r="C457">
            <v>45838.7</v>
          </cell>
          <cell r="D457">
            <v>755</v>
          </cell>
          <cell r="E457" t="str">
            <v>MXN</v>
          </cell>
          <cell r="F457" t="str">
            <v>Termis</v>
          </cell>
          <cell r="G457" t="str">
            <v>CBA*AUTODESK           492212224545  DEU</v>
          </cell>
          <cell r="H457" t="str">
            <v>Autodesk</v>
          </cell>
          <cell r="I457" t="str">
            <v>Tech&amp;Product</v>
          </cell>
          <cell r="J457" t="str">
            <v>Licencia Autocad LT para prueba de pricing</v>
          </cell>
          <cell r="K457">
            <v>0</v>
          </cell>
          <cell r="L457">
            <v>0</v>
          </cell>
          <cell r="M457">
            <v>0</v>
          </cell>
          <cell r="N457">
            <v>0</v>
          </cell>
          <cell r="O457">
            <v>0</v>
          </cell>
          <cell r="Q457" t="str">
            <v>603.81.004 Gastos de Oficina</v>
          </cell>
        </row>
        <row r="458">
          <cell r="B458" t="str">
            <v>#37</v>
          </cell>
          <cell r="C458">
            <v>45809.7215277777</v>
          </cell>
          <cell r="D458">
            <v>103</v>
          </cell>
          <cell r="E458" t="str">
            <v>MXN</v>
          </cell>
          <cell r="F458" t="str">
            <v>Angel Pantoja</v>
          </cell>
          <cell r="G458" t="str">
            <v>COM MEX PILARES        CIUDAD DE MEX MEX</v>
          </cell>
          <cell r="H458" t="str">
            <v>Com Mex Pilares Ciudad De Mex Mex</v>
          </cell>
          <cell r="I458" t="str">
            <v>Com Mex Pilares Ciudad De Mex Mex</v>
          </cell>
          <cell r="J458">
            <v>0</v>
          </cell>
          <cell r="K458" t="str">
            <v>ERROR DESCONTAR ANGEL</v>
          </cell>
          <cell r="L458">
            <v>0</v>
          </cell>
          <cell r="M458">
            <v>0</v>
          </cell>
          <cell r="N458">
            <v>0</v>
          </cell>
          <cell r="O458">
            <v>0</v>
          </cell>
          <cell r="Q458" t="str">
            <v>173.01.005 Otros gastos de ventas</v>
          </cell>
        </row>
        <row r="459">
          <cell r="B459" t="str">
            <v>#37</v>
          </cell>
          <cell r="C459">
            <v>45813.958333333299</v>
          </cell>
          <cell r="D459">
            <v>71.53</v>
          </cell>
          <cell r="E459" t="str">
            <v>MXN</v>
          </cell>
          <cell r="F459" t="str">
            <v>Angel Pantoja</v>
          </cell>
          <cell r="G459" t="str">
            <v>UBER* PENDING          CIUDAD DE MEX MEX</v>
          </cell>
          <cell r="H459" t="str">
            <v>Uber</v>
          </cell>
          <cell r="I459" t="str">
            <v>Uber</v>
          </cell>
          <cell r="J459">
            <v>0</v>
          </cell>
          <cell r="K459" t="str">
            <v>ERROR DESCONTAR ANGEL</v>
          </cell>
          <cell r="L459">
            <v>0</v>
          </cell>
          <cell r="M459">
            <v>0</v>
          </cell>
          <cell r="N459">
            <v>0</v>
          </cell>
          <cell r="O459">
            <v>0</v>
          </cell>
          <cell r="Q459" t="str">
            <v>173.01.005 Otros gastos de ventas</v>
          </cell>
        </row>
        <row r="460">
          <cell r="B460" t="str">
            <v>#37</v>
          </cell>
          <cell r="C460">
            <v>45818.094444444403</v>
          </cell>
          <cell r="D460">
            <v>80.98</v>
          </cell>
          <cell r="E460" t="str">
            <v>MXN</v>
          </cell>
          <cell r="F460" t="str">
            <v>Angel Pantoja</v>
          </cell>
          <cell r="G460" t="str">
            <v>UBER* PENDING          CIUDAD DE MEX MEX</v>
          </cell>
          <cell r="H460" t="str">
            <v>Uber</v>
          </cell>
          <cell r="I460" t="str">
            <v>Uber</v>
          </cell>
          <cell r="J460" t="str">
            <v>G&amp;A expenses</v>
          </cell>
          <cell r="K460" t="str">
            <v>Comida con Cole</v>
          </cell>
          <cell r="L460">
            <v>0</v>
          </cell>
          <cell r="M460">
            <v>0</v>
          </cell>
          <cell r="N460">
            <v>0</v>
          </cell>
          <cell r="O460">
            <v>0</v>
          </cell>
          <cell r="Q460" t="str">
            <v>173.01.005 Otros gastos de ventas</v>
          </cell>
        </row>
        <row r="461">
          <cell r="B461" t="str">
            <v>#37</v>
          </cell>
          <cell r="C461">
            <v>45820.508333333302</v>
          </cell>
          <cell r="D461">
            <v>59.74</v>
          </cell>
          <cell r="E461" t="str">
            <v>MXN</v>
          </cell>
          <cell r="F461" t="str">
            <v>Angel Pantoja</v>
          </cell>
          <cell r="G461" t="str">
            <v>UBER* PENDING          CIUDAD DE MEX MEX</v>
          </cell>
          <cell r="H461" t="str">
            <v>Uber</v>
          </cell>
          <cell r="I461" t="str">
            <v>Uber</v>
          </cell>
          <cell r="J461" t="str">
            <v>G&amp;A expenses</v>
          </cell>
          <cell r="K461" t="str">
            <v>Cafe con Cole</v>
          </cell>
          <cell r="L461">
            <v>0</v>
          </cell>
          <cell r="M461">
            <v>0</v>
          </cell>
          <cell r="N461">
            <v>0</v>
          </cell>
          <cell r="O461">
            <v>0</v>
          </cell>
          <cell r="Q461" t="str">
            <v>173.01.005 Otros gastos de ventas</v>
          </cell>
        </row>
        <row r="462">
          <cell r="B462" t="str">
            <v>#37</v>
          </cell>
          <cell r="C462">
            <v>45820.5576388888</v>
          </cell>
          <cell r="D462">
            <v>754</v>
          </cell>
          <cell r="E462" t="str">
            <v>MXN</v>
          </cell>
          <cell r="F462" t="str">
            <v>Angel Pantoja</v>
          </cell>
          <cell r="G462" t="str">
            <v>STARBUCKS SAN MRCS DT  MEX           MEX</v>
          </cell>
          <cell r="H462" t="str">
            <v>Starbucks</v>
          </cell>
          <cell r="I462" t="str">
            <v>Starbucks</v>
          </cell>
          <cell r="J462" t="str">
            <v>G&amp;A expenses</v>
          </cell>
          <cell r="K462" t="str">
            <v>Envío de muestras de peluches</v>
          </cell>
          <cell r="L462">
            <v>0</v>
          </cell>
          <cell r="M462">
            <v>0</v>
          </cell>
          <cell r="N462">
            <v>0</v>
          </cell>
          <cell r="O462">
            <v>0</v>
          </cell>
          <cell r="Q462" t="str">
            <v>173.01.005 Otros gastos de ventas</v>
          </cell>
        </row>
        <row r="463">
          <cell r="B463" t="str">
            <v>#37</v>
          </cell>
          <cell r="C463">
            <v>45820.893055555498</v>
          </cell>
          <cell r="D463">
            <v>393.19</v>
          </cell>
          <cell r="E463" t="str">
            <v>MXN</v>
          </cell>
          <cell r="F463" t="str">
            <v>Angel Pantoja</v>
          </cell>
          <cell r="G463" t="str">
            <v>UBER* PENDING          CIUDAD DE MEX MEX</v>
          </cell>
          <cell r="H463" t="str">
            <v>Uber</v>
          </cell>
          <cell r="I463" t="str">
            <v>Uber</v>
          </cell>
          <cell r="J463" t="str">
            <v>Recruiting</v>
          </cell>
          <cell r="K463" t="str">
            <v>Comida Bandai con dueño de Impressa</v>
          </cell>
          <cell r="L463">
            <v>0</v>
          </cell>
          <cell r="M463">
            <v>0</v>
          </cell>
          <cell r="N463">
            <v>0</v>
          </cell>
          <cell r="O463">
            <v>0</v>
          </cell>
          <cell r="Q463" t="str">
            <v>173.01.005 Otros gastos de ventas</v>
          </cell>
        </row>
        <row r="464">
          <cell r="B464" t="str">
            <v>#37</v>
          </cell>
          <cell r="C464">
            <v>45831.738194444399</v>
          </cell>
          <cell r="D464">
            <v>110.54</v>
          </cell>
          <cell r="E464" t="str">
            <v>MXN</v>
          </cell>
          <cell r="F464" t="str">
            <v>Angel Pantoja</v>
          </cell>
          <cell r="G464" t="str">
            <v>UBER* TRIP             CIUDAD DE MEX MEX</v>
          </cell>
          <cell r="H464" t="str">
            <v>Uber</v>
          </cell>
          <cell r="I464" t="str">
            <v>Uber</v>
          </cell>
          <cell r="J464" t="str">
            <v>G&amp;A expenses</v>
          </cell>
          <cell r="K464" t="str">
            <v xml:space="preserve">Renta de Coche para visita a Apache 820 </v>
          </cell>
          <cell r="L464">
            <v>0</v>
          </cell>
          <cell r="M464">
            <v>0</v>
          </cell>
          <cell r="N464">
            <v>0</v>
          </cell>
          <cell r="O464">
            <v>0</v>
          </cell>
          <cell r="Q464" t="str">
            <v>173.01.005 Otros gastos de ventas</v>
          </cell>
        </row>
        <row r="465">
          <cell r="B465" t="str">
            <v>#37</v>
          </cell>
          <cell r="C465">
            <v>45834.509722222203</v>
          </cell>
          <cell r="D465">
            <v>39.96</v>
          </cell>
          <cell r="E465" t="str">
            <v>MXN</v>
          </cell>
          <cell r="F465" t="str">
            <v>Angel Pantoja</v>
          </cell>
          <cell r="G465" t="str">
            <v>UBER* PENDING          CIUDAD DE MEX MEX</v>
          </cell>
          <cell r="H465" t="str">
            <v>Uber</v>
          </cell>
          <cell r="I465" t="str">
            <v>Uber</v>
          </cell>
          <cell r="J465" t="str">
            <v>G&amp;A expenses</v>
          </cell>
          <cell r="K465" t="str">
            <v>Desayuno visita a Apache</v>
          </cell>
          <cell r="L465">
            <v>0</v>
          </cell>
          <cell r="M465">
            <v>0</v>
          </cell>
          <cell r="N465">
            <v>0</v>
          </cell>
          <cell r="O465">
            <v>0</v>
          </cell>
          <cell r="Q465" t="str">
            <v>173.01.005 Otros gastos de ventas</v>
          </cell>
        </row>
        <row r="466">
          <cell r="B466" t="str">
            <v>#37</v>
          </cell>
          <cell r="C466">
            <v>45834.558333333298</v>
          </cell>
          <cell r="D466">
            <v>606</v>
          </cell>
          <cell r="E466" t="str">
            <v>MXN</v>
          </cell>
          <cell r="F466" t="str">
            <v>Angel Pantoja</v>
          </cell>
          <cell r="G466" t="str">
            <v>STARBUCKS SAN MRCS DT  MEX           MEX</v>
          </cell>
          <cell r="H466" t="str">
            <v>Starbucks</v>
          </cell>
          <cell r="I466" t="str">
            <v>Starbucks</v>
          </cell>
          <cell r="J466" t="str">
            <v>G&amp;A expenses</v>
          </cell>
          <cell r="K466" t="str">
            <v>Desayuno visita a Apache</v>
          </cell>
          <cell r="L466">
            <v>0</v>
          </cell>
          <cell r="M466">
            <v>0</v>
          </cell>
          <cell r="N466">
            <v>0</v>
          </cell>
          <cell r="O466">
            <v>0</v>
          </cell>
          <cell r="Q466" t="str">
            <v>173.01.005 Otros gastos de ventas</v>
          </cell>
        </row>
        <row r="467">
          <cell r="B467" t="str">
            <v>#37</v>
          </cell>
          <cell r="C467">
            <v>45834.847222222197</v>
          </cell>
          <cell r="D467">
            <v>1025.2</v>
          </cell>
          <cell r="E467" t="str">
            <v>MXN</v>
          </cell>
          <cell r="F467" t="str">
            <v>Angel Pantoja</v>
          </cell>
          <cell r="G467" t="str">
            <v>CALDOS D LEO 1         CIUDAD DE MEX MEX</v>
          </cell>
          <cell r="H467" t="str">
            <v>Caldos D Leo 1 Ciudad De Mex Mex</v>
          </cell>
          <cell r="I467" t="str">
            <v>Caldos D Leo 1 Ciudad De Mex Mex</v>
          </cell>
          <cell r="J467" t="str">
            <v>G&amp;A expenses</v>
          </cell>
          <cell r="K467" t="str">
            <v>Gasolina Visita Apache</v>
          </cell>
          <cell r="L467">
            <v>0</v>
          </cell>
          <cell r="M467">
            <v>0</v>
          </cell>
          <cell r="N467">
            <v>0</v>
          </cell>
          <cell r="O467">
            <v>0</v>
          </cell>
          <cell r="Q467" t="str">
            <v>173.01.005 Otros gastos de ventas</v>
          </cell>
        </row>
        <row r="468">
          <cell r="B468" t="str">
            <v>#40</v>
          </cell>
          <cell r="C468">
            <v>45816.768055555498</v>
          </cell>
          <cell r="D468">
            <v>1159.99</v>
          </cell>
          <cell r="E468" t="str">
            <v>MXN</v>
          </cell>
          <cell r="F468" t="str">
            <v>Gabriela Zacarias Aguirre</v>
          </cell>
          <cell r="G468" t="str">
            <v>PR*LINKEDIN CR         CIUDAD DE MEX MEX</v>
          </cell>
          <cell r="H468" t="str">
            <v>Linkedin</v>
          </cell>
          <cell r="I468" t="str">
            <v>Sales</v>
          </cell>
          <cell r="J468">
            <v>0</v>
          </cell>
          <cell r="K468" t="str">
            <v>.</v>
          </cell>
          <cell r="L468">
            <v>0</v>
          </cell>
          <cell r="M468">
            <v>0</v>
          </cell>
          <cell r="N468">
            <v>0</v>
          </cell>
          <cell r="O468">
            <v>0</v>
          </cell>
          <cell r="Q468" t="str">
            <v>603.81.006 Gastos Administativos de venta</v>
          </cell>
        </row>
        <row r="469">
          <cell r="B469" t="str">
            <v>#40</v>
          </cell>
          <cell r="C469">
            <v>45818.147916666603</v>
          </cell>
          <cell r="D469">
            <v>10546</v>
          </cell>
          <cell r="E469" t="str">
            <v>MXN</v>
          </cell>
          <cell r="F469" t="str">
            <v>Gabriela Zacarias Aguirre</v>
          </cell>
          <cell r="G469" t="str">
            <v>AEROMEXICO WEB PN      CIUDAD DE MEX MEX</v>
          </cell>
          <cell r="H469" t="str">
            <v>Aeromexico</v>
          </cell>
          <cell r="I469" t="str">
            <v>Sales</v>
          </cell>
          <cell r="J469" t="str">
            <v>Linkedin sales navigator para outreach</v>
          </cell>
          <cell r="K469" t="str">
            <v>.</v>
          </cell>
          <cell r="L469">
            <v>0</v>
          </cell>
          <cell r="M469">
            <v>0</v>
          </cell>
          <cell r="N469">
            <v>0</v>
          </cell>
          <cell r="O469">
            <v>0</v>
          </cell>
          <cell r="Q469" t="str">
            <v>603.81.006 Gastos Administativos de venta</v>
          </cell>
        </row>
        <row r="470">
          <cell r="B470" t="str">
            <v>#40</v>
          </cell>
          <cell r="C470">
            <v>45818.152777777701</v>
          </cell>
          <cell r="D470">
            <v>8477</v>
          </cell>
          <cell r="E470" t="str">
            <v>MXN</v>
          </cell>
          <cell r="F470" t="str">
            <v>Gabriela Zacarias Aguirre</v>
          </cell>
          <cell r="G470" t="str">
            <v>AEROMEXICO WEB PN      CIUDAD DE MEX MEX</v>
          </cell>
          <cell r="H470" t="str">
            <v>Aeromexico</v>
          </cell>
          <cell r="I470" t="str">
            <v>Sales</v>
          </cell>
          <cell r="J470" t="str">
            <v>Chat GPT 4 para canales y marketing</v>
          </cell>
          <cell r="K470" t="str">
            <v>.</v>
          </cell>
          <cell r="L470">
            <v>0</v>
          </cell>
          <cell r="M470">
            <v>0</v>
          </cell>
          <cell r="N470">
            <v>0</v>
          </cell>
          <cell r="O470">
            <v>0</v>
          </cell>
          <cell r="Q470" t="str">
            <v>603.81.006 Gastos Administativos de venta</v>
          </cell>
        </row>
        <row r="471">
          <cell r="B471" t="str">
            <v>#40</v>
          </cell>
          <cell r="C471">
            <v>45822.013888888803</v>
          </cell>
          <cell r="D471">
            <v>406</v>
          </cell>
          <cell r="E471" t="str">
            <v>MXN</v>
          </cell>
          <cell r="F471" t="str">
            <v>Gabriela Zacarias Aguirre</v>
          </cell>
          <cell r="G471" t="str">
            <v>AEROMEXICO WEB PN      CIUDAD DE MEX MEX</v>
          </cell>
          <cell r="H471" t="str">
            <v>Aeromexico</v>
          </cell>
          <cell r="I471" t="str">
            <v>Sales</v>
          </cell>
          <cell r="J471">
            <v>0</v>
          </cell>
          <cell r="K471" t="str">
            <v>.</v>
          </cell>
          <cell r="L471">
            <v>0</v>
          </cell>
          <cell r="M471">
            <v>0</v>
          </cell>
          <cell r="N471">
            <v>0</v>
          </cell>
          <cell r="O471">
            <v>0</v>
          </cell>
          <cell r="Q471" t="str">
            <v>603.81.006 Gastos Administativos de venta</v>
          </cell>
        </row>
        <row r="472">
          <cell r="B472" t="str">
            <v>#40</v>
          </cell>
          <cell r="C472">
            <v>45822.1159722222</v>
          </cell>
          <cell r="D472">
            <v>2743.43</v>
          </cell>
          <cell r="E472" t="str">
            <v>MXN</v>
          </cell>
          <cell r="F472" t="str">
            <v>Gabriela Zacarias Aguirre</v>
          </cell>
          <cell r="G472" t="str">
            <v>LinkedIn SN P656122904 LINKEDIN.COM  IRL</v>
          </cell>
          <cell r="H472" t="str">
            <v>Linkedin</v>
          </cell>
          <cell r="I472" t="str">
            <v>Sales</v>
          </cell>
          <cell r="J472">
            <v>0</v>
          </cell>
          <cell r="K472" t="str">
            <v>.</v>
          </cell>
          <cell r="L472">
            <v>0</v>
          </cell>
          <cell r="M472">
            <v>0</v>
          </cell>
          <cell r="N472">
            <v>0</v>
          </cell>
          <cell r="O472">
            <v>0</v>
          </cell>
          <cell r="Q472" t="str">
            <v>603.81.006 Gastos Administativos de venta</v>
          </cell>
        </row>
        <row r="473">
          <cell r="B473" t="str">
            <v>#40</v>
          </cell>
          <cell r="C473">
            <v>45823.1604166666</v>
          </cell>
          <cell r="D473">
            <v>394.68</v>
          </cell>
          <cell r="E473" t="str">
            <v>MXN</v>
          </cell>
          <cell r="F473" t="str">
            <v>Gabriela Zacarias Aguirre</v>
          </cell>
          <cell r="G473" t="str">
            <v>OPENAI *CHATGPT SUBSCR +14158799686  USA</v>
          </cell>
          <cell r="H473" t="str">
            <v>Openai</v>
          </cell>
          <cell r="I473">
            <v>0</v>
          </cell>
          <cell r="J473">
            <v>0</v>
          </cell>
          <cell r="K473" t="str">
            <v>.</v>
          </cell>
          <cell r="L473">
            <v>0</v>
          </cell>
          <cell r="M473">
            <v>0</v>
          </cell>
          <cell r="N473">
            <v>0</v>
          </cell>
          <cell r="O473">
            <v>0</v>
          </cell>
          <cell r="Q473" t="str">
            <v>603.81.006 Gastos Administativos de venta</v>
          </cell>
        </row>
        <row r="474">
          <cell r="B474" t="str">
            <v>#40</v>
          </cell>
          <cell r="C474">
            <v>45824.1604166666</v>
          </cell>
          <cell r="D474">
            <v>394.68</v>
          </cell>
          <cell r="E474" t="str">
            <v>MXN</v>
          </cell>
          <cell r="F474" t="str">
            <v>Gabriela Zacarias Aguirre</v>
          </cell>
          <cell r="G474" t="str">
            <v>OPENAI *CHATGPT SUBSCR +14158799686  USA</v>
          </cell>
          <cell r="H474" t="str">
            <v>Openai</v>
          </cell>
          <cell r="I474">
            <v>0</v>
          </cell>
          <cell r="J474">
            <v>0</v>
          </cell>
          <cell r="K474" t="str">
            <v>.</v>
          </cell>
          <cell r="L474">
            <v>0</v>
          </cell>
          <cell r="M474">
            <v>0</v>
          </cell>
          <cell r="N474">
            <v>0</v>
          </cell>
          <cell r="O474">
            <v>0</v>
          </cell>
          <cell r="Q474" t="str">
            <v>603.81.006 Gastos Administativos de venta</v>
          </cell>
        </row>
        <row r="475">
          <cell r="B475" t="str">
            <v>#40</v>
          </cell>
          <cell r="C475">
            <v>45825.750694444403</v>
          </cell>
          <cell r="D475">
            <v>284.16000000000003</v>
          </cell>
          <cell r="E475" t="str">
            <v>MXN</v>
          </cell>
          <cell r="F475" t="str">
            <v>Gabriela Zacarias Aguirre</v>
          </cell>
          <cell r="G475" t="str">
            <v>UBER* EATS PENDING     CIUDAD DE MEX MEX</v>
          </cell>
          <cell r="H475" t="str">
            <v>Uber Eats</v>
          </cell>
          <cell r="I475">
            <v>0</v>
          </cell>
          <cell r="J475">
            <v>0</v>
          </cell>
          <cell r="K475" t="str">
            <v>.</v>
          </cell>
          <cell r="L475">
            <v>0</v>
          </cell>
          <cell r="M475">
            <v>0</v>
          </cell>
          <cell r="N475">
            <v>0</v>
          </cell>
          <cell r="O475">
            <v>0</v>
          </cell>
          <cell r="Q475" t="str">
            <v>603.81.006 Gastos Administativos de venta</v>
          </cell>
        </row>
        <row r="476">
          <cell r="B476" t="str">
            <v>#40</v>
          </cell>
          <cell r="C476">
            <v>45825.820833333302</v>
          </cell>
          <cell r="D476">
            <v>17.2</v>
          </cell>
          <cell r="E476" t="str">
            <v>MXN</v>
          </cell>
          <cell r="F476" t="str">
            <v>Gabriela Zacarias Aguirre</v>
          </cell>
          <cell r="G476" t="str">
            <v>UBER* EATS             CIUDAD DE MEX MEX</v>
          </cell>
          <cell r="H476" t="str">
            <v>Uber Eats</v>
          </cell>
          <cell r="I476">
            <v>0</v>
          </cell>
          <cell r="J476">
            <v>0</v>
          </cell>
          <cell r="K476" t="str">
            <v>.</v>
          </cell>
          <cell r="L476">
            <v>0</v>
          </cell>
          <cell r="M476">
            <v>0</v>
          </cell>
          <cell r="N476">
            <v>0</v>
          </cell>
          <cell r="O476">
            <v>0</v>
          </cell>
          <cell r="Q476" t="str">
            <v>603.81.006 Gastos Administativos de venta</v>
          </cell>
        </row>
        <row r="477">
          <cell r="B477" t="str">
            <v>#40</v>
          </cell>
          <cell r="C477">
            <v>45825.826388888803</v>
          </cell>
          <cell r="D477">
            <v>423.03</v>
          </cell>
          <cell r="E477" t="str">
            <v>MXN</v>
          </cell>
          <cell r="F477" t="str">
            <v>Gabriela Zacarias Aguirre</v>
          </cell>
          <cell r="G477" t="str">
            <v>UBER* EATS PENDING     CIUDAD DE MEX MEX</v>
          </cell>
          <cell r="H477" t="str">
            <v>Uber Eats</v>
          </cell>
          <cell r="I477">
            <v>0</v>
          </cell>
          <cell r="J477">
            <v>0</v>
          </cell>
          <cell r="K477" t="str">
            <v>.</v>
          </cell>
          <cell r="L477">
            <v>0</v>
          </cell>
          <cell r="M477">
            <v>0</v>
          </cell>
          <cell r="N477">
            <v>0</v>
          </cell>
          <cell r="O477">
            <v>0</v>
          </cell>
          <cell r="Q477" t="str">
            <v>603.81.006 Gastos Administativos de venta</v>
          </cell>
        </row>
        <row r="478">
          <cell r="B478" t="str">
            <v>#40</v>
          </cell>
          <cell r="C478">
            <v>45825.854166666599</v>
          </cell>
          <cell r="D478">
            <v>308.68</v>
          </cell>
          <cell r="E478" t="str">
            <v>MXN</v>
          </cell>
          <cell r="F478" t="str">
            <v>Gabriela Zacarias Aguirre</v>
          </cell>
          <cell r="G478" t="str">
            <v>UBER* PENDING          CIUDAD DE MEX MEX</v>
          </cell>
          <cell r="H478" t="str">
            <v>Uber</v>
          </cell>
          <cell r="I478">
            <v>0</v>
          </cell>
          <cell r="J478">
            <v>0</v>
          </cell>
          <cell r="K478" t="str">
            <v>.</v>
          </cell>
          <cell r="L478">
            <v>0</v>
          </cell>
          <cell r="M478">
            <v>0</v>
          </cell>
          <cell r="N478">
            <v>0</v>
          </cell>
          <cell r="O478">
            <v>0</v>
          </cell>
          <cell r="Q478" t="str">
            <v>603.81.006 Gastos Administativos de venta</v>
          </cell>
        </row>
        <row r="479">
          <cell r="B479" t="str">
            <v>#40</v>
          </cell>
          <cell r="C479">
            <v>45825.862500000003</v>
          </cell>
          <cell r="D479">
            <v>1270</v>
          </cell>
          <cell r="E479" t="str">
            <v>MXN</v>
          </cell>
          <cell r="F479" t="str">
            <v>Gabriela Zacarias Aguirre</v>
          </cell>
          <cell r="G479" t="str">
            <v>AEROMEXICO WEB PN      CIUDAD DE MEX MEX</v>
          </cell>
          <cell r="H479" t="str">
            <v>Aeromexico</v>
          </cell>
          <cell r="I479">
            <v>0</v>
          </cell>
          <cell r="J479">
            <v>0</v>
          </cell>
          <cell r="K479" t="str">
            <v>.</v>
          </cell>
          <cell r="L479">
            <v>0</v>
          </cell>
          <cell r="M479">
            <v>0</v>
          </cell>
          <cell r="N479">
            <v>0</v>
          </cell>
          <cell r="O479">
            <v>0</v>
          </cell>
          <cell r="Q479" t="str">
            <v>603.81.006 Gastos Administativos de venta</v>
          </cell>
        </row>
        <row r="480">
          <cell r="B480" t="str">
            <v>#40</v>
          </cell>
          <cell r="C480">
            <v>45825.931944444397</v>
          </cell>
          <cell r="D480">
            <v>42.3</v>
          </cell>
          <cell r="E480" t="str">
            <v>MXN</v>
          </cell>
          <cell r="F480" t="str">
            <v>Gabriela Zacarias Aguirre</v>
          </cell>
          <cell r="G480" t="str">
            <v>UBER* EATS             CIUDAD DE MEX MEX</v>
          </cell>
          <cell r="H480" t="str">
            <v>Uber Eats</v>
          </cell>
          <cell r="I480">
            <v>0</v>
          </cell>
          <cell r="J480">
            <v>0</v>
          </cell>
          <cell r="K480" t="str">
            <v>.</v>
          </cell>
          <cell r="L480">
            <v>0</v>
          </cell>
          <cell r="M480">
            <v>0</v>
          </cell>
          <cell r="N480">
            <v>0</v>
          </cell>
          <cell r="O480">
            <v>0</v>
          </cell>
          <cell r="Q480" t="str">
            <v>603.81.006 Gastos Administativos de venta</v>
          </cell>
        </row>
        <row r="481">
          <cell r="B481" t="str">
            <v>#40</v>
          </cell>
          <cell r="C481">
            <v>45826.029861111099</v>
          </cell>
          <cell r="D481">
            <v>189</v>
          </cell>
          <cell r="E481" t="str">
            <v>MXN</v>
          </cell>
          <cell r="F481" t="str">
            <v>Gabriela Zacarias Aguirre</v>
          </cell>
          <cell r="G481" t="str">
            <v>LPQ AICM T2 EXP I 1    CIUDAD DE MEX MEX</v>
          </cell>
          <cell r="H481" t="str">
            <v>L</v>
          </cell>
          <cell r="I481">
            <v>0</v>
          </cell>
          <cell r="J481">
            <v>0</v>
          </cell>
          <cell r="K481" t="str">
            <v>.</v>
          </cell>
          <cell r="L481">
            <v>0</v>
          </cell>
          <cell r="M481">
            <v>0</v>
          </cell>
          <cell r="N481">
            <v>0</v>
          </cell>
          <cell r="O481">
            <v>0</v>
          </cell>
          <cell r="Q481" t="str">
            <v>603.81.006 Gastos Administativos de venta</v>
          </cell>
        </row>
        <row r="482">
          <cell r="B482" t="str">
            <v>#40</v>
          </cell>
          <cell r="C482">
            <v>45826.099305555501</v>
          </cell>
          <cell r="D482">
            <v>535</v>
          </cell>
          <cell r="E482" t="str">
            <v>MXN</v>
          </cell>
          <cell r="F482" t="str">
            <v>Gabriela Zacarias Aguirre</v>
          </cell>
          <cell r="G482" t="str">
            <v>WiFiOnboard MX         CDMX          MEX</v>
          </cell>
          <cell r="H482" t="str">
            <v>Wifionboard Mx Cdmx Mex</v>
          </cell>
          <cell r="I482">
            <v>0</v>
          </cell>
          <cell r="J482">
            <v>0</v>
          </cell>
          <cell r="K482" t="str">
            <v>.</v>
          </cell>
          <cell r="L482">
            <v>0</v>
          </cell>
          <cell r="M482">
            <v>0</v>
          </cell>
          <cell r="N482">
            <v>0</v>
          </cell>
          <cell r="O482">
            <v>0</v>
          </cell>
          <cell r="Q482" t="str">
            <v>603.81.006 Gastos Administativos de venta</v>
          </cell>
        </row>
        <row r="483">
          <cell r="B483" t="str">
            <v>#40</v>
          </cell>
          <cell r="C483">
            <v>45826.979861111096</v>
          </cell>
          <cell r="D483">
            <v>4203.25</v>
          </cell>
          <cell r="E483" t="str">
            <v>MXN</v>
          </cell>
          <cell r="F483" t="str">
            <v>Gabriela Zacarias Aguirre</v>
          </cell>
          <cell r="G483" t="str">
            <v>REST LA CORRI CEVICH N TIJUANA BCN   MEX</v>
          </cell>
          <cell r="H483" t="str">
            <v>Rest La Corri Cevich N Tijuana Bcn Mex</v>
          </cell>
          <cell r="I483">
            <v>0</v>
          </cell>
          <cell r="J483">
            <v>0</v>
          </cell>
          <cell r="K483" t="str">
            <v>.</v>
          </cell>
          <cell r="L483">
            <v>0</v>
          </cell>
          <cell r="M483">
            <v>0</v>
          </cell>
          <cell r="N483">
            <v>0</v>
          </cell>
          <cell r="O483">
            <v>0</v>
          </cell>
          <cell r="Q483" t="str">
            <v>603.81.006 Gastos Administativos de venta</v>
          </cell>
        </row>
        <row r="484">
          <cell r="B484" t="str">
            <v>#40</v>
          </cell>
          <cell r="C484">
            <v>45827.683333333298</v>
          </cell>
          <cell r="D484">
            <v>1853.12</v>
          </cell>
          <cell r="E484" t="str">
            <v>MXN</v>
          </cell>
          <cell r="F484" t="str">
            <v>Gabriela Zacarias Aguirre</v>
          </cell>
          <cell r="G484" t="str">
            <v>EST PLAYAS             TIJUANA BCN   MEX</v>
          </cell>
          <cell r="H484" t="str">
            <v>Est Playas Tijuana Bcn Mex</v>
          </cell>
          <cell r="I484">
            <v>0</v>
          </cell>
          <cell r="J484">
            <v>0</v>
          </cell>
          <cell r="K484" t="str">
            <v>.</v>
          </cell>
          <cell r="L484">
            <v>0</v>
          </cell>
          <cell r="M484">
            <v>0</v>
          </cell>
          <cell r="N484">
            <v>0</v>
          </cell>
          <cell r="O484">
            <v>0</v>
          </cell>
          <cell r="Q484" t="str">
            <v>603.81.006 Gastos Administativos de venta</v>
          </cell>
        </row>
        <row r="485">
          <cell r="B485" t="str">
            <v>#40</v>
          </cell>
          <cell r="C485">
            <v>45828.111805555498</v>
          </cell>
          <cell r="D485">
            <v>1327.16</v>
          </cell>
          <cell r="E485" t="str">
            <v>MXN</v>
          </cell>
          <cell r="F485" t="str">
            <v>Gabriela Zacarias Aguirre</v>
          </cell>
          <cell r="G485" t="str">
            <v>UBER* EATS PENDING     CIUDAD DE MEX MEX</v>
          </cell>
          <cell r="H485" t="str">
            <v>Uber Eats</v>
          </cell>
          <cell r="I485">
            <v>0</v>
          </cell>
          <cell r="J485">
            <v>0</v>
          </cell>
          <cell r="K485" t="str">
            <v>.</v>
          </cell>
          <cell r="L485">
            <v>0</v>
          </cell>
          <cell r="M485">
            <v>0</v>
          </cell>
          <cell r="N485">
            <v>0</v>
          </cell>
          <cell r="O485">
            <v>0</v>
          </cell>
          <cell r="Q485" t="str">
            <v>603.81.006 Gastos Administativos de venta</v>
          </cell>
        </row>
        <row r="486">
          <cell r="B486" t="str">
            <v>#40</v>
          </cell>
          <cell r="C486">
            <v>45828.686111111099</v>
          </cell>
          <cell r="D486">
            <v>41.73</v>
          </cell>
          <cell r="E486" t="str">
            <v>MXN</v>
          </cell>
          <cell r="F486" t="str">
            <v>Gabriela Zacarias Aguirre</v>
          </cell>
          <cell r="G486" t="str">
            <v>UBER* EATS             CIUDAD DE MEX MEX</v>
          </cell>
          <cell r="H486" t="str">
            <v>Uber Eats</v>
          </cell>
          <cell r="I486">
            <v>0</v>
          </cell>
          <cell r="J486">
            <v>0</v>
          </cell>
          <cell r="K486" t="str">
            <v>.</v>
          </cell>
          <cell r="L486">
            <v>0</v>
          </cell>
          <cell r="M486">
            <v>0</v>
          </cell>
          <cell r="N486">
            <v>0</v>
          </cell>
          <cell r="O486">
            <v>0</v>
          </cell>
          <cell r="Q486" t="str">
            <v>603.81.006 Gastos Administativos de venta</v>
          </cell>
        </row>
        <row r="487">
          <cell r="B487" t="str">
            <v>#40</v>
          </cell>
          <cell r="C487">
            <v>45830.7541666666</v>
          </cell>
          <cell r="D487">
            <v>1475</v>
          </cell>
          <cell r="E487" t="str">
            <v>MXN</v>
          </cell>
          <cell r="F487" t="str">
            <v>Gabriela Zacarias Aguirre</v>
          </cell>
          <cell r="G487" t="str">
            <v>AEROMEXICO WEB PN      CIUDAD DE MEX MEX</v>
          </cell>
          <cell r="H487" t="str">
            <v>Aeromexico</v>
          </cell>
          <cell r="I487">
            <v>0</v>
          </cell>
          <cell r="J487">
            <v>0</v>
          </cell>
          <cell r="K487" t="str">
            <v>.</v>
          </cell>
          <cell r="L487">
            <v>0</v>
          </cell>
          <cell r="M487">
            <v>0</v>
          </cell>
          <cell r="N487">
            <v>0</v>
          </cell>
          <cell r="O487">
            <v>0</v>
          </cell>
          <cell r="Q487" t="str">
            <v>603.81.006 Gastos Administativos de venta</v>
          </cell>
        </row>
        <row r="488">
          <cell r="B488" t="str">
            <v>#40</v>
          </cell>
          <cell r="C488">
            <v>45831.013888888803</v>
          </cell>
          <cell r="D488">
            <v>159.68</v>
          </cell>
          <cell r="E488" t="str">
            <v>MXN</v>
          </cell>
          <cell r="F488" t="str">
            <v>Gabriela Zacarias Aguirre</v>
          </cell>
          <cell r="G488" t="str">
            <v>Viasat, Inc.           8669453258    USA</v>
          </cell>
          <cell r="H488" t="str">
            <v>Viasat</v>
          </cell>
          <cell r="I488">
            <v>0</v>
          </cell>
          <cell r="J488">
            <v>0</v>
          </cell>
          <cell r="K488" t="str">
            <v>.</v>
          </cell>
          <cell r="L488">
            <v>0</v>
          </cell>
          <cell r="M488">
            <v>0</v>
          </cell>
          <cell r="N488">
            <v>0</v>
          </cell>
          <cell r="O488">
            <v>0</v>
          </cell>
          <cell r="Q488" t="str">
            <v>603.81.006 Gastos Administativos de venta</v>
          </cell>
        </row>
        <row r="489">
          <cell r="B489" t="str">
            <v>#40</v>
          </cell>
          <cell r="C489">
            <v>45831.108333333301</v>
          </cell>
          <cell r="D489">
            <v>158</v>
          </cell>
          <cell r="E489" t="str">
            <v>MXN</v>
          </cell>
          <cell r="F489" t="str">
            <v>Gabriela Zacarias Aguirre</v>
          </cell>
          <cell r="G489" t="str">
            <v>20250622T23:43:09/STARBUCKS AERO TIJ INT\L 79 DEDO PTE APTO TIJUANA SN\BCN\22300     MEXMEX</v>
          </cell>
          <cell r="H489" t="str">
            <v>Starbucks</v>
          </cell>
          <cell r="I489">
            <v>0</v>
          </cell>
          <cell r="J489">
            <v>0</v>
          </cell>
          <cell r="K489" t="str">
            <v>.</v>
          </cell>
          <cell r="L489">
            <v>0</v>
          </cell>
          <cell r="M489">
            <v>0</v>
          </cell>
          <cell r="N489">
            <v>0</v>
          </cell>
          <cell r="O489">
            <v>0</v>
          </cell>
          <cell r="Q489" t="str">
            <v>603.81.006 Gastos Administativos de venta</v>
          </cell>
        </row>
        <row r="490">
          <cell r="B490" t="str">
            <v>#40</v>
          </cell>
          <cell r="C490">
            <v>45831.141666666597</v>
          </cell>
          <cell r="D490">
            <v>940</v>
          </cell>
          <cell r="E490" t="str">
            <v>MXN</v>
          </cell>
          <cell r="F490" t="str">
            <v>Gabriela Zacarias Aguirre</v>
          </cell>
          <cell r="G490" t="str">
            <v>TRANSP TERR NVA IMAGEN CIUDAD DE MEX MEX</v>
          </cell>
          <cell r="H490" t="str">
            <v>Transp Terr Nva Imagen Ciudad De Mex Mex</v>
          </cell>
          <cell r="I490">
            <v>0</v>
          </cell>
          <cell r="J490">
            <v>0</v>
          </cell>
          <cell r="K490" t="str">
            <v>.</v>
          </cell>
          <cell r="L490">
            <v>0</v>
          </cell>
          <cell r="M490">
            <v>0</v>
          </cell>
          <cell r="N490">
            <v>0</v>
          </cell>
          <cell r="O490">
            <v>0</v>
          </cell>
          <cell r="Q490" t="str">
            <v>603.81.006 Gastos Administativos de venta</v>
          </cell>
        </row>
        <row r="491">
          <cell r="B491" t="str">
            <v>#40</v>
          </cell>
          <cell r="C491">
            <v>45835.716666666602</v>
          </cell>
          <cell r="D491">
            <v>591.72</v>
          </cell>
          <cell r="E491" t="str">
            <v>MXN</v>
          </cell>
          <cell r="F491" t="str">
            <v>Gabriela Zacarias Aguirre</v>
          </cell>
          <cell r="G491" t="str">
            <v>FRAME.IO               SAN JOSE      USA</v>
          </cell>
          <cell r="H491" t="str">
            <v>Frame.Io</v>
          </cell>
          <cell r="I491">
            <v>0</v>
          </cell>
          <cell r="J491">
            <v>0</v>
          </cell>
          <cell r="K491" t="str">
            <v>.</v>
          </cell>
          <cell r="L491">
            <v>0</v>
          </cell>
          <cell r="M491">
            <v>0</v>
          </cell>
          <cell r="N491">
            <v>0</v>
          </cell>
          <cell r="O491">
            <v>0</v>
          </cell>
          <cell r="Q491" t="str">
            <v>603.81.006 Gastos Administativos de venta</v>
          </cell>
        </row>
        <row r="492">
          <cell r="B492" t="str">
            <v>#41</v>
          </cell>
          <cell r="C492">
            <v>45810.238194444399</v>
          </cell>
          <cell r="D492">
            <v>272.02</v>
          </cell>
          <cell r="E492" t="str">
            <v>MXN</v>
          </cell>
          <cell r="F492" t="str">
            <v>Jose Arechavala</v>
          </cell>
          <cell r="G492" t="str">
            <v>UBER * PENDING         CMX           MEX</v>
          </cell>
          <cell r="H492" t="str">
            <v>Uber</v>
          </cell>
          <cell r="I492" t="str">
            <v>Transaction cost</v>
          </cell>
          <cell r="J492" t="str">
            <v>Traslado aeropuerto, RFQ #3909</v>
          </cell>
          <cell r="K492" t="str">
            <v>TER-110348458</v>
          </cell>
          <cell r="L492">
            <v>0</v>
          </cell>
          <cell r="M492">
            <v>0</v>
          </cell>
          <cell r="N492">
            <v>0</v>
          </cell>
          <cell r="O492">
            <v>0</v>
          </cell>
          <cell r="Q492" t="str">
            <v>602.34.002 Gastos por visita tencica</v>
          </cell>
        </row>
        <row r="493">
          <cell r="B493" t="str">
            <v>#41</v>
          </cell>
          <cell r="C493">
            <v>45810.6159722222</v>
          </cell>
          <cell r="D493">
            <v>847.78</v>
          </cell>
          <cell r="E493" t="str">
            <v>MXN</v>
          </cell>
          <cell r="F493" t="str">
            <v>Jose Arechavala</v>
          </cell>
          <cell r="G493" t="str">
            <v>UBER   * PENDING       SAN FRANCISCO USA</v>
          </cell>
          <cell r="H493" t="str">
            <v>Uber</v>
          </cell>
          <cell r="I493" t="str">
            <v>Transaction cost</v>
          </cell>
          <cell r="J493" t="str">
            <v>Traslado aeropuerto, RFQ #3909</v>
          </cell>
          <cell r="K493" t="str">
            <v>receipt_eecbc5a5-5eea-4be4-b520-06221f6fc9f4.pdf</v>
          </cell>
          <cell r="L493">
            <v>0</v>
          </cell>
          <cell r="M493">
            <v>0</v>
          </cell>
          <cell r="N493">
            <v>0</v>
          </cell>
          <cell r="O493">
            <v>0</v>
          </cell>
          <cell r="Q493" t="str">
            <v>602.34.002 Gastos por visita tencica</v>
          </cell>
        </row>
        <row r="494">
          <cell r="B494" t="str">
            <v>#41</v>
          </cell>
          <cell r="C494">
            <v>45810.703472222202</v>
          </cell>
          <cell r="D494">
            <v>9838.91</v>
          </cell>
          <cell r="E494" t="str">
            <v>MXN</v>
          </cell>
          <cell r="F494" t="str">
            <v>Jose Arechavala</v>
          </cell>
          <cell r="G494" t="str">
            <v>HOTEL VESPER HOUSTO   HOUSTON       USA</v>
          </cell>
          <cell r="H494" t="str">
            <v>Marriott</v>
          </cell>
          <cell r="I494" t="str">
            <v>Transaction cost</v>
          </cell>
          <cell r="J494" t="str">
            <v>Hospedaje en Houston, RFQ #3909</v>
          </cell>
          <cell r="K494" t="str">
            <v>51019Folio-A_602051.pdf</v>
          </cell>
          <cell r="L494">
            <v>0</v>
          </cell>
          <cell r="M494">
            <v>0</v>
          </cell>
          <cell r="N494">
            <v>0</v>
          </cell>
          <cell r="O494">
            <v>0</v>
          </cell>
          <cell r="Q494" t="str">
            <v>602.34.002 Gastos por visita tencica</v>
          </cell>
        </row>
        <row r="495">
          <cell r="B495" t="str">
            <v>#41</v>
          </cell>
          <cell r="C495">
            <v>45810.719444444403</v>
          </cell>
          <cell r="D495">
            <v>432.48</v>
          </cell>
          <cell r="E495" t="str">
            <v>MXN</v>
          </cell>
          <cell r="F495" t="str">
            <v>Jose Arechavala</v>
          </cell>
          <cell r="G495" t="str">
            <v>CHARLEYS PHILLY STEAKS HOUSTON       USA</v>
          </cell>
          <cell r="H495" t="str">
            <v>Charley's Philly Steaks</v>
          </cell>
          <cell r="I495" t="str">
            <v>Transaction cost</v>
          </cell>
          <cell r="J495" t="str">
            <v>Comida en Houston, RFQ #3909</v>
          </cell>
          <cell r="K495" t="str">
            <v>N/A</v>
          </cell>
          <cell r="L495">
            <v>0</v>
          </cell>
          <cell r="M495">
            <v>0</v>
          </cell>
          <cell r="N495">
            <v>0</v>
          </cell>
          <cell r="O495">
            <v>0</v>
          </cell>
          <cell r="Q495" t="str">
            <v>602.34.002 Gastos por visita tencica</v>
          </cell>
        </row>
        <row r="496">
          <cell r="B496" t="str">
            <v>#41</v>
          </cell>
          <cell r="C496">
            <v>45810.970833333296</v>
          </cell>
          <cell r="D496">
            <v>371.85</v>
          </cell>
          <cell r="E496" t="str">
            <v>MXN</v>
          </cell>
          <cell r="F496" t="str">
            <v>Jose Arechavala</v>
          </cell>
          <cell r="G496" t="str">
            <v>NANDOS POST OAK        HOUSTON       USA</v>
          </cell>
          <cell r="H496" t="str">
            <v>Nando's</v>
          </cell>
          <cell r="I496" t="str">
            <v>Transaction cost</v>
          </cell>
          <cell r="J496" t="str">
            <v>Comida en Houston, RFQ #3909</v>
          </cell>
          <cell r="K496" t="str">
            <v>N/A</v>
          </cell>
          <cell r="L496">
            <v>0</v>
          </cell>
          <cell r="M496">
            <v>0</v>
          </cell>
          <cell r="N496">
            <v>0</v>
          </cell>
          <cell r="O496">
            <v>0</v>
          </cell>
          <cell r="Q496" t="str">
            <v>602.34.002 Gastos por visita tencica</v>
          </cell>
        </row>
        <row r="497">
          <cell r="B497" t="str">
            <v>#41</v>
          </cell>
          <cell r="C497">
            <v>45811.071527777698</v>
          </cell>
          <cell r="D497">
            <v>302.93</v>
          </cell>
          <cell r="E497" t="str">
            <v>MXN</v>
          </cell>
          <cell r="F497" t="str">
            <v>Jose Arechavala</v>
          </cell>
          <cell r="G497" t="str">
            <v>TST*BUBBAS TEXAS BURGE Houston       USA</v>
          </cell>
          <cell r="H497" t="str">
            <v>Bubbas Texas Burge Houston USA</v>
          </cell>
          <cell r="I497" t="str">
            <v>Transaction cost</v>
          </cell>
          <cell r="J497" t="str">
            <v>Comida en Houston, RFQ #3909</v>
          </cell>
          <cell r="K497" t="str">
            <v>N/A</v>
          </cell>
          <cell r="L497">
            <v>0</v>
          </cell>
          <cell r="M497">
            <v>0</v>
          </cell>
          <cell r="N497">
            <v>0</v>
          </cell>
          <cell r="O497">
            <v>0</v>
          </cell>
          <cell r="Q497" t="str">
            <v>602.34.002 Gastos por visita tencica</v>
          </cell>
        </row>
        <row r="498">
          <cell r="B498" t="str">
            <v>#41</v>
          </cell>
          <cell r="C498">
            <v>45811.095138888799</v>
          </cell>
          <cell r="D498">
            <v>703.29</v>
          </cell>
          <cell r="E498" t="str">
            <v>MXN</v>
          </cell>
          <cell r="F498" t="str">
            <v>Jose Arechavala</v>
          </cell>
          <cell r="G498" t="str">
            <v>CVS/PHARMACY #03177    HOUSTON       USA</v>
          </cell>
          <cell r="H498" t="str">
            <v>CVS Pharmacy</v>
          </cell>
          <cell r="I498" t="str">
            <v>Transaction cost</v>
          </cell>
          <cell r="J498" t="str">
            <v>Comida en Houston, RFQ #3909</v>
          </cell>
          <cell r="K498" t="str">
            <v>N/A</v>
          </cell>
          <cell r="L498">
            <v>0</v>
          </cell>
          <cell r="M498">
            <v>0</v>
          </cell>
          <cell r="N498">
            <v>0</v>
          </cell>
          <cell r="O498">
            <v>0</v>
          </cell>
          <cell r="Q498" t="str">
            <v>602.34.002 Gastos por visita tencica</v>
          </cell>
        </row>
        <row r="499">
          <cell r="B499" t="str">
            <v>#41</v>
          </cell>
          <cell r="C499">
            <v>45811.885416666599</v>
          </cell>
          <cell r="D499">
            <v>1015.77</v>
          </cell>
          <cell r="E499" t="str">
            <v>MXN</v>
          </cell>
          <cell r="F499" t="str">
            <v>Jose Arechavala</v>
          </cell>
          <cell r="G499" t="str">
            <v>UBER   * PENDING       SAN FRANCISCO USA</v>
          </cell>
          <cell r="H499" t="str">
            <v>Uber</v>
          </cell>
          <cell r="I499" t="str">
            <v>Transaction cost</v>
          </cell>
          <cell r="J499" t="str">
            <v>Traslado aeropuerto, RFQ #3909</v>
          </cell>
          <cell r="K499" t="str">
            <v>receipt_05fedf10-5d66-4246-ad96-fa98760ff8e6.pdf</v>
          </cell>
          <cell r="L499">
            <v>0</v>
          </cell>
          <cell r="M499">
            <v>0</v>
          </cell>
          <cell r="N499">
            <v>0</v>
          </cell>
          <cell r="O499">
            <v>0</v>
          </cell>
          <cell r="Q499" t="str">
            <v>602.34.002 Gastos por visita tencica</v>
          </cell>
        </row>
        <row r="500">
          <cell r="B500" t="str">
            <v>#41</v>
          </cell>
          <cell r="C500">
            <v>45812.087500000001</v>
          </cell>
          <cell r="D500">
            <v>671.5</v>
          </cell>
          <cell r="E500" t="str">
            <v>MXN</v>
          </cell>
          <cell r="F500" t="str">
            <v>Jose Arechavala</v>
          </cell>
          <cell r="G500" t="str">
            <v>UBER   * EATS PENDING  SAN FRANCISCO USA</v>
          </cell>
          <cell r="H500" t="str">
            <v>Uber Eats</v>
          </cell>
          <cell r="I500" t="str">
            <v>Transaction cost</v>
          </cell>
          <cell r="J500" t="str">
            <v>Comida en Houston, RFQ #3909</v>
          </cell>
          <cell r="K500" t="str">
            <v>receipt_f1a715b6-d5bc-5e2c-8f56-ac7805661c93.pdf</v>
          </cell>
          <cell r="L500">
            <v>0</v>
          </cell>
          <cell r="M500">
            <v>0</v>
          </cell>
          <cell r="N500">
            <v>0</v>
          </cell>
          <cell r="O500">
            <v>0</v>
          </cell>
          <cell r="Q500" t="str">
            <v>602.34.002 Gastos por visita tencica</v>
          </cell>
        </row>
        <row r="501">
          <cell r="B501" t="str">
            <v>#41</v>
          </cell>
          <cell r="C501">
            <v>45812.589583333298</v>
          </cell>
          <cell r="D501">
            <v>464.58</v>
          </cell>
          <cell r="E501" t="str">
            <v>MXN</v>
          </cell>
          <cell r="F501" t="str">
            <v>Jose Arechavala</v>
          </cell>
          <cell r="G501" t="str">
            <v>PEETS COFFEE- 616      HOUSTON       USA</v>
          </cell>
          <cell r="H501" t="str">
            <v>Peets Coffee</v>
          </cell>
          <cell r="I501" t="str">
            <v>Transaction cost</v>
          </cell>
          <cell r="J501" t="str">
            <v>Comida en Houston, RFQ #3910</v>
          </cell>
          <cell r="K501" t="str">
            <v>N/A</v>
          </cell>
          <cell r="L501">
            <v>0</v>
          </cell>
          <cell r="M501">
            <v>0</v>
          </cell>
          <cell r="N501">
            <v>0</v>
          </cell>
          <cell r="O501">
            <v>0</v>
          </cell>
          <cell r="Q501" t="str">
            <v>602.34.002 Gastos por visita tencica</v>
          </cell>
        </row>
        <row r="502">
          <cell r="B502" t="str">
            <v>#41</v>
          </cell>
          <cell r="C502">
            <v>45812.751388888799</v>
          </cell>
          <cell r="D502">
            <v>259.91000000000003</v>
          </cell>
          <cell r="E502" t="str">
            <v>MXN</v>
          </cell>
          <cell r="F502" t="str">
            <v>Jose Arechavala</v>
          </cell>
          <cell r="G502" t="str">
            <v>UBER* PENDING          CIUDAD DE MEX MEX</v>
          </cell>
          <cell r="H502" t="str">
            <v>Uber</v>
          </cell>
          <cell r="I502" t="str">
            <v>Transaction cost</v>
          </cell>
          <cell r="J502" t="str">
            <v>Traslado aeropuerto, RFQ #3909</v>
          </cell>
          <cell r="K502" t="str">
            <v>TER-110906143</v>
          </cell>
          <cell r="L502">
            <v>0</v>
          </cell>
          <cell r="M502">
            <v>0</v>
          </cell>
          <cell r="N502">
            <v>0</v>
          </cell>
          <cell r="O502">
            <v>0</v>
          </cell>
          <cell r="Q502" t="str">
            <v>602.34.002 Gastos por visita tencica</v>
          </cell>
        </row>
        <row r="503">
          <cell r="B503" t="str">
            <v>#41</v>
          </cell>
          <cell r="C503">
            <v>45818.868750000001</v>
          </cell>
          <cell r="D503">
            <v>166.41</v>
          </cell>
          <cell r="E503" t="str">
            <v>MXN</v>
          </cell>
          <cell r="F503" t="str">
            <v>Jose Arechavala</v>
          </cell>
          <cell r="G503" t="str">
            <v>UBER* PENDING          CIUDAD DE MEX MEX</v>
          </cell>
          <cell r="H503" t="str">
            <v>Uber</v>
          </cell>
          <cell r="I503" t="str">
            <v>Transaction cost</v>
          </cell>
          <cell r="J503" t="str">
            <v>Traslado a Colony desde Escato, RFQ #4015</v>
          </cell>
          <cell r="K503" t="str">
            <v>JRSGOS-I-0000466</v>
          </cell>
          <cell r="L503">
            <v>0</v>
          </cell>
          <cell r="M503">
            <v>0</v>
          </cell>
          <cell r="N503">
            <v>0</v>
          </cell>
          <cell r="O503">
            <v>0</v>
          </cell>
          <cell r="Q503" t="str">
            <v>602.34.002 Gastos por visita tencica</v>
          </cell>
        </row>
        <row r="504">
          <cell r="B504" t="str">
            <v>#41</v>
          </cell>
          <cell r="C504">
            <v>45827.634722222203</v>
          </cell>
          <cell r="D504">
            <v>102.62</v>
          </cell>
          <cell r="E504" t="str">
            <v>MXN</v>
          </cell>
          <cell r="F504" t="str">
            <v>Jose Arechavala</v>
          </cell>
          <cell r="G504" t="str">
            <v>UBER* PENDING          CIUDAD DE MEX MEX</v>
          </cell>
          <cell r="H504" t="str">
            <v>Uber</v>
          </cell>
          <cell r="I504" t="str">
            <v>Transaction cost</v>
          </cell>
          <cell r="J504" t="str">
            <v>Traslado a Colony para visita MP, RFQ #4015</v>
          </cell>
          <cell r="K504" t="str">
            <v>RCIYAG-I-2080617</v>
          </cell>
          <cell r="L504">
            <v>0</v>
          </cell>
          <cell r="M504">
            <v>0</v>
          </cell>
          <cell r="N504">
            <v>0</v>
          </cell>
          <cell r="O504">
            <v>0</v>
          </cell>
          <cell r="Q504" t="str">
            <v>602.34.002 Gastos por visita tencica</v>
          </cell>
        </row>
        <row r="505">
          <cell r="B505" t="str">
            <v>#41</v>
          </cell>
          <cell r="C505">
            <v>45828.040277777698</v>
          </cell>
          <cell r="D505">
            <v>74</v>
          </cell>
          <cell r="E505" t="str">
            <v>MXN</v>
          </cell>
          <cell r="F505" t="str">
            <v>Jose Arechavala</v>
          </cell>
          <cell r="G505" t="str">
            <v>SKY ZONE TRAMPOLI PARK CIUDAD DE MEX MEX</v>
          </cell>
          <cell r="H505" t="str">
            <v>Sky Zone</v>
          </cell>
          <cell r="I505" t="str">
            <v>Transaction cost</v>
          </cell>
          <cell r="J505" t="str">
            <v>Agua y CocaCola para Dani Castillo que estaba lesionado en convivio Sky Zone</v>
          </cell>
          <cell r="K505" t="str">
            <v>N/A</v>
          </cell>
          <cell r="L505">
            <v>0</v>
          </cell>
          <cell r="M505">
            <v>0</v>
          </cell>
          <cell r="N505">
            <v>0</v>
          </cell>
          <cell r="O505">
            <v>0</v>
          </cell>
          <cell r="Q505" t="str">
            <v>602.34.002 Gastos por visita tencica</v>
          </cell>
        </row>
        <row r="506">
          <cell r="B506" t="str">
            <v>#41</v>
          </cell>
          <cell r="C506">
            <v>45828.097222222197</v>
          </cell>
          <cell r="D506">
            <v>142.16</v>
          </cell>
          <cell r="E506" t="str">
            <v>MXN</v>
          </cell>
          <cell r="F506" t="str">
            <v>Jose Arechavala</v>
          </cell>
          <cell r="G506" t="str">
            <v>UBER* PENDING          CIUDAD DE MEX MEX</v>
          </cell>
          <cell r="H506" t="str">
            <v>Uber</v>
          </cell>
          <cell r="I506" t="str">
            <v>Transaction cost</v>
          </cell>
          <cell r="J506" t="str">
            <v>Traslado a convivio Sky Zone</v>
          </cell>
          <cell r="K506" t="str">
            <v>YEOGRW-I-0004137</v>
          </cell>
          <cell r="L506">
            <v>0</v>
          </cell>
          <cell r="M506">
            <v>0</v>
          </cell>
          <cell r="N506">
            <v>0</v>
          </cell>
          <cell r="O506">
            <v>0</v>
          </cell>
          <cell r="Q506" t="str">
            <v>602.34.002 Gastos por visita tencica</v>
          </cell>
        </row>
        <row r="507">
          <cell r="B507" t="str">
            <v>#41</v>
          </cell>
          <cell r="C507">
            <v>45828.804861111101</v>
          </cell>
          <cell r="D507">
            <v>911.95</v>
          </cell>
          <cell r="E507" t="str">
            <v>MXN</v>
          </cell>
          <cell r="F507" t="str">
            <v>Jose Arechavala</v>
          </cell>
          <cell r="G507" t="str">
            <v>TAQUERIA LA ONCE MIL   CIUDAD DE MEX MEX</v>
          </cell>
          <cell r="H507" t="str">
            <v>Taqueria La Once Mil Ciudad De Mex Mex</v>
          </cell>
          <cell r="I507" t="str">
            <v>Recruiting</v>
          </cell>
          <cell r="J507" t="str">
            <v>Comida con consultor/MP Charles Bastien</v>
          </cell>
          <cell r="K507" t="str">
            <v>N/A</v>
          </cell>
          <cell r="L507">
            <v>0</v>
          </cell>
          <cell r="M507">
            <v>0</v>
          </cell>
          <cell r="N507">
            <v>0</v>
          </cell>
          <cell r="O507">
            <v>0</v>
          </cell>
          <cell r="Q507" t="str">
            <v>602.34.002 Gastos por visita tencica</v>
          </cell>
        </row>
        <row r="508">
          <cell r="B508" t="str">
            <v>#42</v>
          </cell>
          <cell r="C508">
            <v>45813.102777777778</v>
          </cell>
          <cell r="D508">
            <v>479.8</v>
          </cell>
          <cell r="E508" t="str">
            <v>MXN</v>
          </cell>
          <cell r="F508" t="str">
            <v>Rodrigo Perea</v>
          </cell>
          <cell r="G508" t="str">
            <v>ESTACION GAS 0301      CIUDAD DE MEX MEX</v>
          </cell>
          <cell r="H508" t="str">
            <v>Estacion Gas 0301 Ciudad De Mex Mex</v>
          </cell>
          <cell r="I508">
            <v>3013</v>
          </cell>
          <cell r="J508" t="str">
            <v>Service Stations (with or without Ancillary Services)</v>
          </cell>
          <cell r="K508">
            <v>0</v>
          </cell>
          <cell r="L508">
            <v>0</v>
          </cell>
          <cell r="M508">
            <v>0</v>
          </cell>
          <cell r="N508">
            <v>0</v>
          </cell>
          <cell r="O508">
            <v>0</v>
          </cell>
          <cell r="Q508" t="str">
            <v>173.01.002 Gastos por inspecciones de calidad</v>
          </cell>
        </row>
        <row r="509">
          <cell r="B509" t="str">
            <v>#42</v>
          </cell>
          <cell r="C509">
            <v>45820.038888888892</v>
          </cell>
          <cell r="D509">
            <v>70</v>
          </cell>
          <cell r="E509" t="str">
            <v>MXN</v>
          </cell>
          <cell r="F509" t="str">
            <v>Rodrigo Perea</v>
          </cell>
          <cell r="G509" t="str">
            <v>UBER* PENDING          CIUDAD DE MEX MEX</v>
          </cell>
          <cell r="H509" t="str">
            <v>Uber</v>
          </cell>
          <cell r="I509" t="str">
            <v>552568XXXXXX9328</v>
          </cell>
          <cell r="J509" t="str">
            <v>Limousines and Taxicabs</v>
          </cell>
          <cell r="K509">
            <v>0</v>
          </cell>
          <cell r="L509">
            <v>0</v>
          </cell>
          <cell r="M509">
            <v>0</v>
          </cell>
          <cell r="N509">
            <v>0</v>
          </cell>
          <cell r="O509">
            <v>0</v>
          </cell>
          <cell r="Q509" t="str">
            <v>173.01.002 Gastos por inspecciones de calidad</v>
          </cell>
        </row>
        <row r="510">
          <cell r="B510" t="str">
            <v>#42</v>
          </cell>
          <cell r="C510">
            <v>45823.056250000001</v>
          </cell>
          <cell r="D510">
            <v>184.99</v>
          </cell>
          <cell r="E510" t="str">
            <v>MXN</v>
          </cell>
          <cell r="F510" t="str">
            <v>Rodrigo Perea</v>
          </cell>
          <cell r="G510" t="str">
            <v>Microsoft*Microsoft 36 CMX           MEX</v>
          </cell>
          <cell r="H510" t="str">
            <v>Microsoft</v>
          </cell>
          <cell r="I510">
            <v>7740</v>
          </cell>
          <cell r="J510" t="str">
            <v>Computer Software Stores</v>
          </cell>
          <cell r="K510">
            <v>0</v>
          </cell>
          <cell r="L510">
            <v>0</v>
          </cell>
          <cell r="M510">
            <v>0</v>
          </cell>
          <cell r="N510">
            <v>0</v>
          </cell>
          <cell r="O510">
            <v>0</v>
          </cell>
          <cell r="Q510" t="str">
            <v>173.01.002 Gastos por inspecciones de calidad</v>
          </cell>
        </row>
        <row r="511">
          <cell r="B511" t="str">
            <v>#42</v>
          </cell>
          <cell r="C511">
            <v>45827.020138888889</v>
          </cell>
          <cell r="D511">
            <v>1167</v>
          </cell>
          <cell r="E511" t="str">
            <v>MXN</v>
          </cell>
          <cell r="F511" t="str">
            <v>Rodrigo Perea</v>
          </cell>
          <cell r="G511" t="str">
            <v>OXXOTRIBUNALES MEX     CIUDAD DE MEX MEX</v>
          </cell>
          <cell r="H511" t="str">
            <v>Oxxotribunales Mex Ciudad De Mex Mex</v>
          </cell>
          <cell r="I511">
            <v>2406</v>
          </cell>
          <cell r="J511" t="str">
            <v>Miscellaneous Food Stores Convenience Stores, Markets, Specialty Stores</v>
          </cell>
          <cell r="K511">
            <v>0</v>
          </cell>
          <cell r="L511">
            <v>0</v>
          </cell>
          <cell r="M511">
            <v>0</v>
          </cell>
          <cell r="N511">
            <v>0</v>
          </cell>
          <cell r="O511">
            <v>0</v>
          </cell>
          <cell r="Q511" t="str">
            <v>173.01.002 Gastos por inspecciones de calidad</v>
          </cell>
        </row>
        <row r="512">
          <cell r="B512" t="str">
            <v>#42</v>
          </cell>
          <cell r="C512">
            <v>45827.723611111112</v>
          </cell>
          <cell r="D512">
            <v>620.13</v>
          </cell>
          <cell r="E512" t="str">
            <v>MXN</v>
          </cell>
          <cell r="F512" t="str">
            <v>Rodrigo Perea</v>
          </cell>
          <cell r="G512" t="str">
            <v>GASOL GRUPO Q L        TEPOTZOTLAN E MEX</v>
          </cell>
          <cell r="H512" t="str">
            <v>Gasol Grupo Q L Tepotzotlan E Mex</v>
          </cell>
          <cell r="I512">
            <v>899</v>
          </cell>
          <cell r="J512" t="str">
            <v>Service Stations (with or without Ancillary Services)</v>
          </cell>
          <cell r="K512">
            <v>0</v>
          </cell>
          <cell r="L512">
            <v>0</v>
          </cell>
          <cell r="M512">
            <v>0</v>
          </cell>
          <cell r="N512">
            <v>0</v>
          </cell>
          <cell r="O512">
            <v>0</v>
          </cell>
          <cell r="Q512" t="str">
            <v>173.01.002 Gastos por inspecciones de calidad</v>
          </cell>
        </row>
        <row r="513">
          <cell r="B513" t="str">
            <v>#42</v>
          </cell>
          <cell r="C513">
            <v>45827.727083333331</v>
          </cell>
          <cell r="D513">
            <v>39</v>
          </cell>
          <cell r="E513" t="str">
            <v>MXN</v>
          </cell>
          <cell r="F513" t="str">
            <v>Rodrigo Perea</v>
          </cell>
          <cell r="G513" t="str">
            <v>NETPAY *MINISUPER QL 4 TEPOTZOTLAN   MEX</v>
          </cell>
          <cell r="H513" t="str">
            <v>Netpay Minisuper Ql 4 Tepotzotlan Mex</v>
          </cell>
          <cell r="I513">
            <v>899</v>
          </cell>
          <cell r="J513" t="str">
            <v>Miscellaneous Food Stores Convenience Stores, Markets, Specialty Stores</v>
          </cell>
          <cell r="K513">
            <v>0</v>
          </cell>
          <cell r="L513">
            <v>0</v>
          </cell>
          <cell r="M513">
            <v>0</v>
          </cell>
          <cell r="N513">
            <v>0</v>
          </cell>
          <cell r="O513">
            <v>0</v>
          </cell>
          <cell r="Q513" t="str">
            <v>173.01.002 Gastos por inspecciones de calidad</v>
          </cell>
        </row>
        <row r="514">
          <cell r="B514" t="str">
            <v>#42</v>
          </cell>
          <cell r="C514">
            <v>45827.801388888889</v>
          </cell>
          <cell r="D514">
            <v>216</v>
          </cell>
          <cell r="E514" t="str">
            <v>MXN</v>
          </cell>
          <cell r="F514" t="str">
            <v>Rodrigo Perea</v>
          </cell>
          <cell r="G514" t="str">
            <v>SUBWAY 70589           SANTIAGO DE Q MEX</v>
          </cell>
          <cell r="H514" t="str">
            <v>Subway</v>
          </cell>
          <cell r="I514">
            <v>899</v>
          </cell>
          <cell r="J514" t="str">
            <v>Fast Food Restaurants</v>
          </cell>
          <cell r="K514">
            <v>0</v>
          </cell>
          <cell r="L514">
            <v>0</v>
          </cell>
          <cell r="M514">
            <v>0</v>
          </cell>
          <cell r="N514">
            <v>0</v>
          </cell>
          <cell r="O514">
            <v>0</v>
          </cell>
          <cell r="Q514" t="str">
            <v>173.01.002 Gastos por inspecciones de calidad</v>
          </cell>
        </row>
        <row r="515">
          <cell r="B515" t="str">
            <v>#42</v>
          </cell>
          <cell r="C515">
            <v>45827.804166666669</v>
          </cell>
          <cell r="D515">
            <v>124</v>
          </cell>
          <cell r="E515" t="str">
            <v>MXN</v>
          </cell>
          <cell r="F515" t="str">
            <v>Rodrigo Perea</v>
          </cell>
          <cell r="G515" t="str">
            <v>OXXOCAZADERO           CORREGIDORA Q MEX</v>
          </cell>
          <cell r="H515" t="str">
            <v>Oxxocazadero Corregidora Q Mex</v>
          </cell>
          <cell r="I515">
            <v>899</v>
          </cell>
          <cell r="J515" t="str">
            <v>Miscellaneous Food Stores Convenience Stores, Markets, Specialty Stores</v>
          </cell>
          <cell r="K515">
            <v>0</v>
          </cell>
          <cell r="L515">
            <v>0</v>
          </cell>
          <cell r="M515">
            <v>0</v>
          </cell>
          <cell r="N515">
            <v>0</v>
          </cell>
          <cell r="O515">
            <v>0</v>
          </cell>
          <cell r="Q515" t="str">
            <v>173.01.002 Gastos por inspecciones de calidad</v>
          </cell>
        </row>
        <row r="516">
          <cell r="B516" t="str">
            <v>#42</v>
          </cell>
          <cell r="C516">
            <v>45827.813888888886</v>
          </cell>
          <cell r="D516">
            <v>44</v>
          </cell>
          <cell r="E516" t="str">
            <v>MXN</v>
          </cell>
          <cell r="F516" t="str">
            <v>Rodrigo Perea</v>
          </cell>
          <cell r="G516" t="str">
            <v>STARBUCKS CARR MEX QRO QUE           MEX</v>
          </cell>
          <cell r="H516" t="str">
            <v>Starbucks</v>
          </cell>
          <cell r="I516">
            <v>899</v>
          </cell>
          <cell r="J516" t="str">
            <v>Fast Food Restaurants</v>
          </cell>
          <cell r="K516">
            <v>0</v>
          </cell>
          <cell r="L516">
            <v>0</v>
          </cell>
          <cell r="M516">
            <v>0</v>
          </cell>
          <cell r="N516">
            <v>0</v>
          </cell>
          <cell r="O516">
            <v>0</v>
          </cell>
          <cell r="Q516" t="str">
            <v>173.01.002 Gastos por inspecciones de calidad</v>
          </cell>
        </row>
        <row r="517">
          <cell r="B517" t="str">
            <v>#42</v>
          </cell>
          <cell r="C517">
            <v>45827.955555555556</v>
          </cell>
          <cell r="D517">
            <v>66</v>
          </cell>
          <cell r="E517" t="str">
            <v>MXN</v>
          </cell>
          <cell r="F517" t="str">
            <v>Rodrigo Perea</v>
          </cell>
          <cell r="G517" t="str">
            <v>OXXO ENCINILLAS QRO    POLOTITLAN EM MEX</v>
          </cell>
          <cell r="H517" t="str">
            <v>Oxxo</v>
          </cell>
          <cell r="I517">
            <v>8949</v>
          </cell>
          <cell r="J517" t="str">
            <v>Miscellaneous Food Stores Convenience Stores, Markets, Specialty Stores</v>
          </cell>
          <cell r="K517">
            <v>0</v>
          </cell>
          <cell r="L517">
            <v>0</v>
          </cell>
          <cell r="M517">
            <v>0</v>
          </cell>
          <cell r="N517">
            <v>0</v>
          </cell>
          <cell r="O517">
            <v>0</v>
          </cell>
          <cell r="Q517" t="str">
            <v>173.01.002 Gastos por inspecciones de calidad</v>
          </cell>
        </row>
        <row r="518">
          <cell r="B518" t="str">
            <v>#42</v>
          </cell>
          <cell r="C518">
            <v>45828.795138888891</v>
          </cell>
          <cell r="D518">
            <v>5203.1499999999996</v>
          </cell>
          <cell r="E518" t="str">
            <v>MXN</v>
          </cell>
          <cell r="F518" t="str">
            <v>Rodrigo Perea</v>
          </cell>
          <cell r="G518" t="str">
            <v>VIVAAEROBUS WEB        APODACA NL    MEX</v>
          </cell>
          <cell r="H518" t="str">
            <v>Vivaaerobus</v>
          </cell>
          <cell r="I518">
            <v>8970</v>
          </cell>
          <cell r="J518" t="str">
            <v>Air Carriers, Airlines</v>
          </cell>
          <cell r="K518">
            <v>0</v>
          </cell>
          <cell r="L518">
            <v>0</v>
          </cell>
          <cell r="M518">
            <v>0</v>
          </cell>
          <cell r="N518">
            <v>0</v>
          </cell>
          <cell r="O518">
            <v>0</v>
          </cell>
          <cell r="Q518" t="str">
            <v>173.01.002 Gastos por inspecciones de calidad</v>
          </cell>
        </row>
        <row r="519">
          <cell r="B519" t="str">
            <v>#42</v>
          </cell>
          <cell r="C519">
            <v>45833.618055555555</v>
          </cell>
          <cell r="D519">
            <v>179</v>
          </cell>
          <cell r="E519" t="str">
            <v>MXN</v>
          </cell>
          <cell r="F519" t="str">
            <v>Rodrigo Perea</v>
          </cell>
          <cell r="G519" t="str">
            <v>KERICO NICHO           CIUDAD DE MEX MEX</v>
          </cell>
          <cell r="H519" t="str">
            <v>Kerico Nicho Ciudad De Mex Mex</v>
          </cell>
          <cell r="I519">
            <v>5184</v>
          </cell>
          <cell r="J519" t="str">
            <v>Fast Food Restaurants</v>
          </cell>
          <cell r="K519">
            <v>0</v>
          </cell>
          <cell r="L519">
            <v>0</v>
          </cell>
          <cell r="M519">
            <v>0</v>
          </cell>
          <cell r="N519">
            <v>0</v>
          </cell>
          <cell r="O519">
            <v>0</v>
          </cell>
          <cell r="Q519" t="str">
            <v>173.01.002 Gastos por inspecciones de calidad</v>
          </cell>
        </row>
        <row r="520">
          <cell r="B520" t="str">
            <v>#42</v>
          </cell>
          <cell r="C520">
            <v>45833.722916666666</v>
          </cell>
          <cell r="D520">
            <v>67</v>
          </cell>
          <cell r="E520" t="str">
            <v>MXN</v>
          </cell>
          <cell r="F520" t="str">
            <v>Rodrigo Perea</v>
          </cell>
          <cell r="G520" t="str">
            <v>STARBUCKS AERO MTY     NLE           MEX</v>
          </cell>
          <cell r="H520" t="str">
            <v>Starbucks</v>
          </cell>
          <cell r="I520" t="str">
            <v>552568XXXXXX3818</v>
          </cell>
          <cell r="J520" t="str">
            <v>Fast Food Restaurants</v>
          </cell>
          <cell r="K520">
            <v>0</v>
          </cell>
          <cell r="L520">
            <v>0</v>
          </cell>
          <cell r="M520">
            <v>0</v>
          </cell>
          <cell r="N520">
            <v>0</v>
          </cell>
          <cell r="O520">
            <v>0</v>
          </cell>
          <cell r="Q520" t="str">
            <v>173.01.002 Gastos por inspecciones de calidad</v>
          </cell>
        </row>
        <row r="521">
          <cell r="B521" t="str">
            <v>#42</v>
          </cell>
          <cell r="C521">
            <v>45833.759027777778</v>
          </cell>
          <cell r="D521">
            <v>3164.64</v>
          </cell>
          <cell r="E521" t="str">
            <v>MXN</v>
          </cell>
          <cell r="F521" t="str">
            <v>Rodrigo Perea</v>
          </cell>
          <cell r="G521" t="str">
            <v>AVIS MXN               MERIDA YUC    MEX</v>
          </cell>
          <cell r="H521" t="str">
            <v>Avis Rent A Car</v>
          </cell>
          <cell r="I521" t="str">
            <v>552568XXXXXX9328</v>
          </cell>
          <cell r="J521" t="str">
            <v>Car Rental Agencies - Avis Rent-A-Car</v>
          </cell>
          <cell r="K521">
            <v>0</v>
          </cell>
          <cell r="L521">
            <v>0</v>
          </cell>
          <cell r="M521">
            <v>0</v>
          </cell>
          <cell r="N521">
            <v>0</v>
          </cell>
          <cell r="O521">
            <v>0</v>
          </cell>
          <cell r="Q521" t="str">
            <v>173.01.002 Gastos por inspecciones de calidad</v>
          </cell>
        </row>
        <row r="522">
          <cell r="B522" t="str">
            <v>#42</v>
          </cell>
          <cell r="C522">
            <v>45833.770138888889</v>
          </cell>
          <cell r="D522">
            <v>147</v>
          </cell>
          <cell r="E522" t="str">
            <v>MXN</v>
          </cell>
          <cell r="F522" t="str">
            <v>Rodrigo Perea</v>
          </cell>
          <cell r="G522" t="str">
            <v>7 ELEVEN T 1965 AERO   APODACA NL    MEX</v>
          </cell>
          <cell r="H522" t="str">
            <v>7 Eleven</v>
          </cell>
          <cell r="I522">
            <v>5778</v>
          </cell>
          <cell r="J522" t="str">
            <v>Miscellaneous Food Stores Convenience Stores, Markets, Specialty Stores</v>
          </cell>
          <cell r="K522">
            <v>0</v>
          </cell>
          <cell r="L522">
            <v>0</v>
          </cell>
          <cell r="M522">
            <v>0</v>
          </cell>
          <cell r="N522">
            <v>0</v>
          </cell>
          <cell r="O522">
            <v>0</v>
          </cell>
          <cell r="Q522" t="str">
            <v>173.01.002 Gastos por inspecciones de calidad</v>
          </cell>
        </row>
        <row r="523">
          <cell r="B523" t="str">
            <v>#42</v>
          </cell>
          <cell r="C523">
            <v>45833.885416666664</v>
          </cell>
          <cell r="D523">
            <v>1242</v>
          </cell>
          <cell r="E523" t="str">
            <v>MXN</v>
          </cell>
          <cell r="F523" t="str">
            <v>Rodrigo Perea</v>
          </cell>
          <cell r="G523" t="str">
            <v>REST PALAX RINCONADA   APODACA NL    MEX</v>
          </cell>
          <cell r="H523" t="str">
            <v>Rest Palax Rinconada Apodaca Nl Mex</v>
          </cell>
          <cell r="I523">
            <v>7142</v>
          </cell>
          <cell r="J523" t="str">
            <v>Eating Places, Restaurants</v>
          </cell>
          <cell r="K523">
            <v>0</v>
          </cell>
          <cell r="L523">
            <v>0</v>
          </cell>
          <cell r="M523">
            <v>0</v>
          </cell>
          <cell r="N523">
            <v>0</v>
          </cell>
          <cell r="O523">
            <v>0</v>
          </cell>
          <cell r="Q523" t="str">
            <v>173.01.002 Gastos por inspecciones de calidad</v>
          </cell>
        </row>
        <row r="524">
          <cell r="B524" t="str">
            <v>#42</v>
          </cell>
          <cell r="C524">
            <v>45833.988194444442</v>
          </cell>
          <cell r="D524">
            <v>119.5</v>
          </cell>
          <cell r="E524" t="str">
            <v>MXN</v>
          </cell>
          <cell r="F524" t="str">
            <v>Rodrigo Perea</v>
          </cell>
          <cell r="G524" t="str">
            <v>7ELEVEN T2802 C LAREDO GRAL ESCOBEDO MEX</v>
          </cell>
          <cell r="H524" t="str">
            <v>7 Eleven</v>
          </cell>
          <cell r="I524">
            <v>8949</v>
          </cell>
          <cell r="J524" t="str">
            <v>Miscellaneous Food Stores Convenience Stores, Markets, Specialty Stores</v>
          </cell>
          <cell r="K524">
            <v>0</v>
          </cell>
          <cell r="L524">
            <v>0</v>
          </cell>
          <cell r="M524">
            <v>0</v>
          </cell>
          <cell r="N524">
            <v>0</v>
          </cell>
          <cell r="O524">
            <v>0</v>
          </cell>
          <cell r="Q524" t="str">
            <v>173.01.002 Gastos por inspecciones de calidad</v>
          </cell>
        </row>
        <row r="525">
          <cell r="B525" t="str">
            <v>#42</v>
          </cell>
          <cell r="C525">
            <v>45834.013888888891</v>
          </cell>
          <cell r="D525">
            <v>1570.8</v>
          </cell>
          <cell r="E525" t="str">
            <v>MXN</v>
          </cell>
          <cell r="F525" t="str">
            <v>Rodrigo Perea</v>
          </cell>
          <cell r="G525" t="str">
            <v>PROMOTORA TECKA        SN PEDRO GARZ MEX</v>
          </cell>
          <cell r="H525" t="str">
            <v>Promotora Tecka Sn Pedro Garz Mex</v>
          </cell>
          <cell r="I525">
            <v>8949</v>
          </cell>
          <cell r="J525" t="str">
            <v>Lodging Hotels, Motels, Resorts</v>
          </cell>
          <cell r="K525">
            <v>0</v>
          </cell>
          <cell r="L525">
            <v>0</v>
          </cell>
          <cell r="M525">
            <v>0</v>
          </cell>
          <cell r="N525">
            <v>0</v>
          </cell>
          <cell r="O525">
            <v>0</v>
          </cell>
          <cell r="Q525" t="str">
            <v>173.01.002 Gastos por inspecciones de calidad</v>
          </cell>
        </row>
        <row r="526">
          <cell r="B526" t="str">
            <v>#42</v>
          </cell>
          <cell r="C526">
            <v>45834.097222222219</v>
          </cell>
          <cell r="D526">
            <v>1039.5</v>
          </cell>
          <cell r="E526" t="str">
            <v>MXN</v>
          </cell>
          <cell r="F526" t="str">
            <v>Rodrigo Perea</v>
          </cell>
          <cell r="G526" t="str">
            <v>MERCADOPAGO *TOMATA    Ciudad de Mex MEX</v>
          </cell>
          <cell r="H526" t="str">
            <v>Mercadopago</v>
          </cell>
          <cell r="I526">
            <v>16</v>
          </cell>
          <cell r="J526" t="str">
            <v>Fast Food Restaurants</v>
          </cell>
          <cell r="K526">
            <v>0</v>
          </cell>
          <cell r="L526">
            <v>0</v>
          </cell>
          <cell r="M526">
            <v>0</v>
          </cell>
          <cell r="N526">
            <v>0</v>
          </cell>
          <cell r="O526">
            <v>0</v>
          </cell>
          <cell r="Q526" t="str">
            <v>173.01.002 Gastos por inspecciones de calidad</v>
          </cell>
        </row>
        <row r="527">
          <cell r="B527" t="str">
            <v>#42</v>
          </cell>
          <cell r="C527">
            <v>45834.113194444442</v>
          </cell>
          <cell r="D527">
            <v>50.5</v>
          </cell>
          <cell r="E527" t="str">
            <v>MXN</v>
          </cell>
          <cell r="F527" t="str">
            <v>Rodrigo Perea</v>
          </cell>
          <cell r="G527" t="str">
            <v>OXXO ALIANZA           SAN PEDRO NL  MEX</v>
          </cell>
          <cell r="H527" t="str">
            <v>Oxxo</v>
          </cell>
          <cell r="I527">
            <v>759</v>
          </cell>
          <cell r="J527" t="str">
            <v>Miscellaneous Food Stores Convenience Stores, Markets, Specialty Stores</v>
          </cell>
          <cell r="K527">
            <v>0</v>
          </cell>
          <cell r="L527">
            <v>0</v>
          </cell>
          <cell r="M527">
            <v>0</v>
          </cell>
          <cell r="N527">
            <v>0</v>
          </cell>
          <cell r="O527">
            <v>0</v>
          </cell>
          <cell r="Q527" t="str">
            <v>173.01.002 Gastos por inspecciones de calidad</v>
          </cell>
        </row>
        <row r="528">
          <cell r="B528" t="str">
            <v>#42</v>
          </cell>
          <cell r="C528">
            <v>45834.688194444447</v>
          </cell>
          <cell r="D528">
            <v>465.3</v>
          </cell>
          <cell r="E528" t="str">
            <v>MXN</v>
          </cell>
          <cell r="F528" t="str">
            <v>Rodrigo Perea</v>
          </cell>
          <cell r="G528" t="str">
            <v>TOMATA                 MONTERREY NL  MEX</v>
          </cell>
          <cell r="H528" t="str">
            <v>Tomata Monterrey Nl Mex</v>
          </cell>
          <cell r="I528" t="str">
            <v>552568XXXXXX2010</v>
          </cell>
          <cell r="J528" t="str">
            <v>Eating Places, Restaurants</v>
          </cell>
          <cell r="K528">
            <v>0</v>
          </cell>
          <cell r="L528">
            <v>0</v>
          </cell>
          <cell r="M528">
            <v>0</v>
          </cell>
          <cell r="N528">
            <v>0</v>
          </cell>
          <cell r="O528">
            <v>0</v>
          </cell>
          <cell r="Q528" t="str">
            <v>173.01.002 Gastos por inspecciones de calidad</v>
          </cell>
        </row>
        <row r="529">
          <cell r="B529" t="str">
            <v>#42</v>
          </cell>
          <cell r="C529">
            <v>45834.719444444447</v>
          </cell>
          <cell r="D529">
            <v>80</v>
          </cell>
          <cell r="E529" t="str">
            <v>MXN</v>
          </cell>
          <cell r="F529" t="str">
            <v>Rodrigo Perea</v>
          </cell>
          <cell r="G529" t="str">
            <v>GRAFIKSPOT             SAN PEDRO GAR MEX</v>
          </cell>
          <cell r="H529" t="str">
            <v>Grafikspot San Pedro Gar Mex</v>
          </cell>
          <cell r="I529">
            <v>8949</v>
          </cell>
          <cell r="J529" t="str">
            <v>Books, Periodicals, and Newspapers</v>
          </cell>
          <cell r="K529">
            <v>0</v>
          </cell>
          <cell r="L529">
            <v>0</v>
          </cell>
          <cell r="M529">
            <v>0</v>
          </cell>
          <cell r="N529">
            <v>0</v>
          </cell>
          <cell r="O529">
            <v>0</v>
          </cell>
          <cell r="Q529" t="str">
            <v>173.01.002 Gastos por inspecciones de calidad</v>
          </cell>
        </row>
        <row r="530">
          <cell r="B530" t="str">
            <v>#42</v>
          </cell>
          <cell r="C530">
            <v>45834.729861111111</v>
          </cell>
          <cell r="D530">
            <v>103</v>
          </cell>
          <cell r="E530" t="str">
            <v>MXN</v>
          </cell>
          <cell r="F530" t="str">
            <v>Rodrigo Perea</v>
          </cell>
          <cell r="G530" t="str">
            <v>7 ELEVEN ALTAMIRANO    SN PEDRO GARZ MEX</v>
          </cell>
          <cell r="H530" t="str">
            <v>7 Eleven</v>
          </cell>
          <cell r="I530">
            <v>116</v>
          </cell>
          <cell r="J530" t="str">
            <v>Miscellaneous Food Stores Convenience Stores, Markets, Specialty Stores</v>
          </cell>
          <cell r="K530">
            <v>0</v>
          </cell>
          <cell r="L530">
            <v>0</v>
          </cell>
          <cell r="M530">
            <v>0</v>
          </cell>
          <cell r="N530">
            <v>0</v>
          </cell>
          <cell r="O530">
            <v>0</v>
          </cell>
          <cell r="Q530" t="str">
            <v>173.01.002 Gastos por inspecciones de calidad</v>
          </cell>
        </row>
        <row r="531">
          <cell r="B531" t="str">
            <v>#42</v>
          </cell>
          <cell r="C531">
            <v>45834.833333333336</v>
          </cell>
          <cell r="D531">
            <v>2396</v>
          </cell>
          <cell r="E531" t="str">
            <v>MXN</v>
          </cell>
          <cell r="F531" t="str">
            <v>Rodrigo Perea</v>
          </cell>
          <cell r="G531" t="str">
            <v>OFFICE MAX GONZALITOS  MONTERREY     MEX</v>
          </cell>
          <cell r="H531" t="str">
            <v>Office Depot</v>
          </cell>
          <cell r="I531" t="str">
            <v>552568XXXXXX9328</v>
          </cell>
          <cell r="J531" t="str">
            <v>Grocery Stores, Supermarkets</v>
          </cell>
          <cell r="K531">
            <v>0</v>
          </cell>
          <cell r="L531">
            <v>0</v>
          </cell>
          <cell r="M531">
            <v>0</v>
          </cell>
          <cell r="N531">
            <v>0</v>
          </cell>
          <cell r="O531">
            <v>0</v>
          </cell>
          <cell r="Q531" t="str">
            <v>173.01.002 Gastos por inspecciones de calidad</v>
          </cell>
        </row>
        <row r="532">
          <cell r="B532" t="str">
            <v>#42</v>
          </cell>
          <cell r="C532">
            <v>45834.934027777781</v>
          </cell>
          <cell r="D532">
            <v>542.29999999999995</v>
          </cell>
          <cell r="E532" t="str">
            <v>MXN</v>
          </cell>
          <cell r="F532" t="str">
            <v>Rodrigo Perea</v>
          </cell>
          <cell r="G532" t="str">
            <v>REST EL PAPALOTE       APODACA NL    MEX</v>
          </cell>
          <cell r="H532" t="str">
            <v>Rest El Papalote Apodaca Nl Mex</v>
          </cell>
          <cell r="I532" t="str">
            <v>552568XXXXXX3311</v>
          </cell>
          <cell r="J532" t="str">
            <v>Eating Places, Restaurants</v>
          </cell>
          <cell r="K532">
            <v>0</v>
          </cell>
          <cell r="L532">
            <v>0</v>
          </cell>
          <cell r="M532">
            <v>0</v>
          </cell>
          <cell r="N532">
            <v>0</v>
          </cell>
          <cell r="O532">
            <v>0</v>
          </cell>
          <cell r="Q532" t="str">
            <v>173.01.002 Gastos por inspecciones de calidad</v>
          </cell>
        </row>
        <row r="533">
          <cell r="B533" t="str">
            <v>#42</v>
          </cell>
          <cell r="C533">
            <v>45834.939583333333</v>
          </cell>
          <cell r="D533">
            <v>35</v>
          </cell>
          <cell r="E533" t="str">
            <v>MXN</v>
          </cell>
          <cell r="F533" t="str">
            <v>Rodrigo Perea</v>
          </cell>
          <cell r="G533" t="str">
            <v>7 ELEVEN T2356         APODACA NL    MEX</v>
          </cell>
          <cell r="H533" t="str">
            <v>7 Eleven</v>
          </cell>
          <cell r="I533">
            <v>975</v>
          </cell>
          <cell r="J533" t="str">
            <v>Miscellaneous Food Stores Convenience Stores, Markets, Specialty Stores</v>
          </cell>
          <cell r="K533">
            <v>0</v>
          </cell>
          <cell r="L533">
            <v>0</v>
          </cell>
          <cell r="M533">
            <v>0</v>
          </cell>
          <cell r="N533">
            <v>0</v>
          </cell>
          <cell r="O533">
            <v>0</v>
          </cell>
          <cell r="Q533" t="str">
            <v>173.01.002 Gastos por inspecciones de calidad</v>
          </cell>
        </row>
        <row r="534">
          <cell r="B534" t="str">
            <v>#42</v>
          </cell>
          <cell r="C534">
            <v>45834.95208333333</v>
          </cell>
          <cell r="D534">
            <v>220.59</v>
          </cell>
          <cell r="E534" t="str">
            <v>MXN</v>
          </cell>
          <cell r="F534" t="str">
            <v>Rodrigo Perea</v>
          </cell>
          <cell r="G534" t="str">
            <v>OXXO GAS AEROGAS       APODACA NL    MEX</v>
          </cell>
          <cell r="H534" t="str">
            <v>Oxxo</v>
          </cell>
          <cell r="I534">
            <v>8949</v>
          </cell>
          <cell r="J534" t="str">
            <v>Service Stations (with or without Ancillary Services)</v>
          </cell>
          <cell r="K534">
            <v>0</v>
          </cell>
          <cell r="L534">
            <v>0</v>
          </cell>
          <cell r="M534">
            <v>0</v>
          </cell>
          <cell r="N534">
            <v>0</v>
          </cell>
          <cell r="O534">
            <v>0</v>
          </cell>
          <cell r="Q534" t="str">
            <v>173.01.002 Gastos por inspecciones de calidad</v>
          </cell>
        </row>
        <row r="535">
          <cell r="B535" t="str">
            <v>#42</v>
          </cell>
          <cell r="C535">
            <v>45835.012499999997</v>
          </cell>
          <cell r="D535">
            <v>95</v>
          </cell>
          <cell r="E535" t="str">
            <v>MXN</v>
          </cell>
          <cell r="F535" t="str">
            <v>Rodrigo Perea</v>
          </cell>
          <cell r="G535" t="str">
            <v>RES MAISON KAYSER      CANCUN QROO   MEX</v>
          </cell>
          <cell r="H535" t="str">
            <v>Maison Eric Kayser</v>
          </cell>
          <cell r="I535" t="str">
            <v>552568XXXXXX1421</v>
          </cell>
          <cell r="J535" t="str">
            <v>Fast Food Restaurants</v>
          </cell>
          <cell r="K535">
            <v>0</v>
          </cell>
          <cell r="L535">
            <v>0</v>
          </cell>
          <cell r="M535">
            <v>0</v>
          </cell>
          <cell r="N535">
            <v>0</v>
          </cell>
          <cell r="O535">
            <v>0</v>
          </cell>
          <cell r="Q535" t="str">
            <v>173.01.002 Gastos por inspecciones de calidad</v>
          </cell>
        </row>
        <row r="536">
          <cell r="B536" t="str">
            <v>#42</v>
          </cell>
          <cell r="C536">
            <v>45835.036805555559</v>
          </cell>
          <cell r="D536">
            <v>174</v>
          </cell>
          <cell r="E536" t="str">
            <v>MXN</v>
          </cell>
          <cell r="F536" t="str">
            <v>Rodrigo Perea</v>
          </cell>
          <cell r="G536" t="str">
            <v>VTA A BORDO VAEROBUS   CIUDAD DE MEX MEX</v>
          </cell>
          <cell r="H536" t="str">
            <v>Vta A Bordo Vaerobus Ciudad De Mex Mex</v>
          </cell>
          <cell r="I536">
            <v>4217</v>
          </cell>
          <cell r="J536" t="str">
            <v>Fast Food Restaurants</v>
          </cell>
          <cell r="K536">
            <v>0</v>
          </cell>
          <cell r="L536">
            <v>0</v>
          </cell>
          <cell r="M536">
            <v>0</v>
          </cell>
          <cell r="N536">
            <v>0</v>
          </cell>
          <cell r="O536">
            <v>0</v>
          </cell>
          <cell r="Q536" t="str">
            <v>173.01.002 Gastos por inspecciones de calidad</v>
          </cell>
        </row>
        <row r="537">
          <cell r="B537" t="str">
            <v>#42</v>
          </cell>
          <cell r="C537">
            <v>45835.168749999997</v>
          </cell>
          <cell r="D537">
            <v>756</v>
          </cell>
          <cell r="E537" t="str">
            <v>MXN</v>
          </cell>
          <cell r="F537" t="str">
            <v>Rodrigo Perea</v>
          </cell>
          <cell r="G537" t="str">
            <v>AICM TI 1              CIUDAD DE MEX MEX</v>
          </cell>
          <cell r="H537" t="str">
            <v>Aicm Ti 1 Ciudad De Mex Mex</v>
          </cell>
          <cell r="I537">
            <v>4557</v>
          </cell>
          <cell r="J537" t="str">
            <v>Airports, Airport Terminals, Flying Fields</v>
          </cell>
          <cell r="K537">
            <v>0</v>
          </cell>
          <cell r="L537">
            <v>0</v>
          </cell>
          <cell r="M537">
            <v>0</v>
          </cell>
          <cell r="N537">
            <v>0</v>
          </cell>
          <cell r="O537">
            <v>0</v>
          </cell>
          <cell r="Q537" t="str">
            <v>173.01.002 Gastos por inspecciones de calidad</v>
          </cell>
        </row>
        <row r="538">
          <cell r="B538" t="str">
            <v>#42</v>
          </cell>
          <cell r="C538">
            <v>45838.602083333331</v>
          </cell>
          <cell r="D538">
            <v>238</v>
          </cell>
          <cell r="E538" t="str">
            <v>MXN</v>
          </cell>
          <cell r="F538" t="str">
            <v>Rodrigo Perea</v>
          </cell>
          <cell r="G538" t="str">
            <v>VTA A BORDO VAEROBUS   CIUDAD DE MEX MEX</v>
          </cell>
          <cell r="H538" t="str">
            <v>Vta A Bordo Vaerobus Ciudad De Mex Mex</v>
          </cell>
          <cell r="I538">
            <v>5184</v>
          </cell>
          <cell r="J538" t="str">
            <v>Fast Food Restaurants</v>
          </cell>
          <cell r="K538">
            <v>0</v>
          </cell>
          <cell r="L538">
            <v>0</v>
          </cell>
          <cell r="M538">
            <v>0</v>
          </cell>
          <cell r="N538">
            <v>0</v>
          </cell>
          <cell r="O538">
            <v>0</v>
          </cell>
          <cell r="Q538" t="str">
            <v>173.01.002 Gastos por inspecciones de calidad</v>
          </cell>
        </row>
        <row r="539">
          <cell r="B539" t="str">
            <v>#43</v>
          </cell>
          <cell r="C539">
            <v>45813.738194444442</v>
          </cell>
          <cell r="D539">
            <v>400</v>
          </cell>
          <cell r="E539" t="str">
            <v>MXN</v>
          </cell>
          <cell r="F539" t="str">
            <v>Pablo Ortiz Aurrecoechea</v>
          </cell>
          <cell r="G539" t="str">
            <v>RECARGA PASE TUTAG     CIUDAD DE MEX MEX</v>
          </cell>
          <cell r="H539" t="str">
            <v>Recarga Pase Tutag Ciudad De Mex Mex</v>
          </cell>
          <cell r="I539">
            <v>8949</v>
          </cell>
          <cell r="J539" t="str">
            <v>Bridge and Road Fees, Tolls</v>
          </cell>
          <cell r="K539">
            <v>0</v>
          </cell>
          <cell r="L539">
            <v>0</v>
          </cell>
          <cell r="M539">
            <v>0</v>
          </cell>
          <cell r="N539">
            <v>0</v>
          </cell>
          <cell r="O539">
            <v>0</v>
          </cell>
          <cell r="Q539" t="str">
            <v>603.81.006 Gastos Administativos de venta</v>
          </cell>
        </row>
        <row r="540">
          <cell r="B540" t="str">
            <v>#43</v>
          </cell>
          <cell r="C540">
            <v>45813.977083333331</v>
          </cell>
          <cell r="D540">
            <v>140</v>
          </cell>
          <cell r="E540" t="str">
            <v>MXN</v>
          </cell>
          <cell r="F540" t="str">
            <v>Pablo Ortiz Aurrecoechea</v>
          </cell>
          <cell r="G540" t="str">
            <v>PADEL COMPANY          CIUDAD DE MEX MEX</v>
          </cell>
          <cell r="H540" t="str">
            <v>Padel Company Ciudad De Mex Mex</v>
          </cell>
          <cell r="I540">
            <v>7142</v>
          </cell>
          <cell r="J540" t="str">
            <v>Clubs Country Clubs, Membership (Athletic, Recreation, Sports), Private Golf Courses</v>
          </cell>
          <cell r="K540">
            <v>0</v>
          </cell>
          <cell r="L540">
            <v>0</v>
          </cell>
          <cell r="M540">
            <v>0</v>
          </cell>
          <cell r="N540">
            <v>0</v>
          </cell>
          <cell r="O540">
            <v>0</v>
          </cell>
          <cell r="Q540" t="str">
            <v>603.81.004 Gastos de Oficina</v>
          </cell>
        </row>
        <row r="541">
          <cell r="B541" t="str">
            <v>#43</v>
          </cell>
          <cell r="C541">
            <v>45831.824999999997</v>
          </cell>
          <cell r="D541">
            <v>45</v>
          </cell>
          <cell r="E541" t="str">
            <v>MXN</v>
          </cell>
          <cell r="F541" t="str">
            <v>Pablo Ortiz Aurrecoechea</v>
          </cell>
          <cell r="G541" t="str">
            <v>OLI CAFE               CIUDAD DE MEX MEX</v>
          </cell>
          <cell r="H541" t="str">
            <v>Oli Cafe Ciudad De Mex Mex</v>
          </cell>
          <cell r="I541">
            <v>8949</v>
          </cell>
          <cell r="J541" t="str">
            <v>Eating Places, Restaurants</v>
          </cell>
          <cell r="K541">
            <v>0</v>
          </cell>
          <cell r="L541">
            <v>0</v>
          </cell>
          <cell r="M541">
            <v>0</v>
          </cell>
          <cell r="N541">
            <v>0</v>
          </cell>
          <cell r="O541">
            <v>0</v>
          </cell>
          <cell r="Q541" t="str">
            <v>603.81.006 Gastos Administativos de venta</v>
          </cell>
        </row>
        <row r="542">
          <cell r="B542" t="str">
            <v>#43</v>
          </cell>
          <cell r="C542">
            <v>45833.665972222225</v>
          </cell>
          <cell r="D542">
            <v>200</v>
          </cell>
          <cell r="E542" t="str">
            <v>MXN</v>
          </cell>
          <cell r="F542" t="str">
            <v>Pablo Ortiz Aurrecoechea</v>
          </cell>
          <cell r="G542" t="str">
            <v>RECARGA PASE TUTAG     CIUDAD DE MEX MEX</v>
          </cell>
          <cell r="H542" t="str">
            <v>Recarga Pase Tutag Ciudad De Mex Mex</v>
          </cell>
          <cell r="I542">
            <v>16</v>
          </cell>
          <cell r="J542" t="str">
            <v>Bridge and Road Fees, Tolls</v>
          </cell>
          <cell r="K542">
            <v>0</v>
          </cell>
          <cell r="L542">
            <v>0</v>
          </cell>
          <cell r="M542">
            <v>0</v>
          </cell>
          <cell r="N542">
            <v>0</v>
          </cell>
          <cell r="O542">
            <v>0</v>
          </cell>
          <cell r="Q542" t="str">
            <v>603.81.006 Gastos Administativos de venta</v>
          </cell>
        </row>
        <row r="543">
          <cell r="B543" t="str">
            <v>#43</v>
          </cell>
          <cell r="C543">
            <v>45833.908333333333</v>
          </cell>
          <cell r="D543">
            <v>1670.95</v>
          </cell>
          <cell r="E543" t="str">
            <v>MXN</v>
          </cell>
          <cell r="F543" t="str">
            <v>Pablo Ortiz Aurrecoechea</v>
          </cell>
          <cell r="G543" t="str">
            <v>ATARANTADOS PALMAS     CIUDAD DE MEX MEX</v>
          </cell>
          <cell r="H543" t="str">
            <v>Atarantados Palmas Ciudad De Mex Mex</v>
          </cell>
          <cell r="I543">
            <v>759</v>
          </cell>
          <cell r="J543" t="str">
            <v>Eating Places, Restaurants</v>
          </cell>
          <cell r="K543">
            <v>0</v>
          </cell>
          <cell r="L543">
            <v>0</v>
          </cell>
          <cell r="M543">
            <v>0</v>
          </cell>
          <cell r="N543">
            <v>0</v>
          </cell>
          <cell r="O543">
            <v>0</v>
          </cell>
          <cell r="Q543" t="str">
            <v>603.81.006 Gastos Administativos de venta</v>
          </cell>
        </row>
        <row r="544">
          <cell r="B544" t="str">
            <v>#43</v>
          </cell>
          <cell r="C544">
            <v>45834.037499999999</v>
          </cell>
          <cell r="D544">
            <v>448</v>
          </cell>
          <cell r="E544" t="str">
            <v>MXN</v>
          </cell>
          <cell r="F544" t="str">
            <v>Pablo Ortiz Aurrecoechea</v>
          </cell>
          <cell r="G544" t="str">
            <v>DLO*DiDi MX Payin Ride MEXICO        MEX</v>
          </cell>
          <cell r="H544" t="str">
            <v>Dlo Didi Mx Payin Ride Mexico Mex</v>
          </cell>
          <cell r="I544">
            <v>16</v>
          </cell>
          <cell r="J544" t="str">
            <v>Limousines and Taxicabs</v>
          </cell>
          <cell r="K544">
            <v>0</v>
          </cell>
          <cell r="L544">
            <v>0</v>
          </cell>
          <cell r="M544">
            <v>0</v>
          </cell>
          <cell r="N544">
            <v>0</v>
          </cell>
          <cell r="O544">
            <v>0</v>
          </cell>
          <cell r="Q544" t="str">
            <v>603.81.006 Gastos Administativos de venta</v>
          </cell>
        </row>
        <row r="545">
          <cell r="B545" t="str">
            <v>#44</v>
          </cell>
          <cell r="C545">
            <v>45825.123611111099</v>
          </cell>
          <cell r="D545">
            <v>3920.82</v>
          </cell>
          <cell r="E545" t="str">
            <v>MXN</v>
          </cell>
          <cell r="F545" t="str">
            <v>JP Hammerstein</v>
          </cell>
          <cell r="G545" t="str">
            <v>LOWES.COM              WILKESBORO    USA</v>
          </cell>
          <cell r="H545" t="str">
            <v>Lowe's</v>
          </cell>
          <cell r="I545" t="str">
            <v>Transaction cost</v>
          </cell>
          <cell r="J545" t="str">
            <v xml:space="preserve">PO-1595: Compra de Matrial (Abrazaderas) para Muestra de Jaula
No hay factura, porque fue una compra de una tienda en USA. </v>
          </cell>
          <cell r="K545" t="str">
            <v>Order Confirmation Link: 
https://drive.google.com/file/d/11y_8RGPbEiAI5mIrottXhrBnCexcN4Gj/view?usp=sharing</v>
          </cell>
          <cell r="L545">
            <v>0</v>
          </cell>
          <cell r="M545">
            <v>0</v>
          </cell>
          <cell r="N545">
            <v>2460.4700000000003</v>
          </cell>
          <cell r="O545">
            <v>0</v>
          </cell>
          <cell r="Q545" t="str">
            <v>603.81.006 Gastos Administativos de venta</v>
          </cell>
        </row>
        <row r="546">
          <cell r="B546" t="str">
            <v>#44</v>
          </cell>
          <cell r="C546">
            <v>45835.922916666597</v>
          </cell>
          <cell r="D546">
            <v>1000.12</v>
          </cell>
          <cell r="E546" t="str">
            <v>MXN</v>
          </cell>
          <cell r="F546" t="str">
            <v>JP Hammerstein</v>
          </cell>
          <cell r="G546" t="str">
            <v>GASOL SERVIC SOCRATES  IXTAPALUCA EM MEX</v>
          </cell>
          <cell r="H546" t="str">
            <v>Gasol Servic Socrates Ixtapaluca Em Mex</v>
          </cell>
          <cell r="I546" t="str">
            <v>G&amp;A expenses</v>
          </cell>
          <cell r="J546" t="str">
            <v>Visita a Colony para el All Hands de Junio</v>
          </cell>
          <cell r="K546" t="str">
            <v>eeb78ff9-7895-4953-a29f-5f2bcb58fad1</v>
          </cell>
          <cell r="L546">
            <v>0</v>
          </cell>
          <cell r="M546">
            <v>0</v>
          </cell>
          <cell r="N546">
            <v>0</v>
          </cell>
          <cell r="O546">
            <v>0</v>
          </cell>
          <cell r="Q546" t="str">
            <v>603.81.006 Gastos Administativos de venta</v>
          </cell>
        </row>
        <row r="547">
          <cell r="B547" t="str">
            <v>#44</v>
          </cell>
          <cell r="C547">
            <v>45835.925000000003</v>
          </cell>
          <cell r="D547">
            <v>307</v>
          </cell>
          <cell r="E547" t="str">
            <v>MXN</v>
          </cell>
          <cell r="F547" t="str">
            <v>JP Hammerstein</v>
          </cell>
          <cell r="G547" t="str">
            <v>MCDONALDS CARRE MEXPUE IXTAPALUCA    MEX</v>
          </cell>
          <cell r="H547" t="str">
            <v>McDonald's</v>
          </cell>
          <cell r="I547" t="str">
            <v>G&amp;A expenses</v>
          </cell>
          <cell r="J547" t="str">
            <v>Visita a Colony para el All Hands de Junio</v>
          </cell>
          <cell r="K547" t="str">
            <v>F8895CBA-0BF2-449D-ABB1-9278AFB1AA2E</v>
          </cell>
          <cell r="L547">
            <v>0</v>
          </cell>
          <cell r="M547">
            <v>0</v>
          </cell>
          <cell r="N547">
            <v>307</v>
          </cell>
          <cell r="O547">
            <v>0</v>
          </cell>
          <cell r="Q547" t="str">
            <v>603.81.006 Gastos Administativos de venta</v>
          </cell>
        </row>
        <row r="548">
          <cell r="B548" t="str">
            <v>#45</v>
          </cell>
          <cell r="C548">
            <v>45809.720833333296</v>
          </cell>
          <cell r="D548">
            <v>39.92</v>
          </cell>
          <cell r="E548" t="str">
            <v>MXN</v>
          </cell>
          <cell r="F548" t="str">
            <v>Erick Cival</v>
          </cell>
          <cell r="G548" t="str">
            <v>UBER* PENDING          CIUDAD DE MEX MEX</v>
          </cell>
          <cell r="H548" t="str">
            <v>Uber</v>
          </cell>
          <cell r="I548" t="str">
            <v>Sales</v>
          </cell>
          <cell r="J548" t="str">
            <v>Recarga Tag</v>
          </cell>
          <cell r="K548" t="str">
            <v>BB0E52FB-2F81-11F0-8D9F-00155D014009</v>
          </cell>
          <cell r="L548">
            <v>0</v>
          </cell>
          <cell r="M548">
            <v>0</v>
          </cell>
          <cell r="N548">
            <v>645.48</v>
          </cell>
          <cell r="O548">
            <v>0</v>
          </cell>
          <cell r="Q548" t="str">
            <v>603.81.006 Gastos Administativos de venta</v>
          </cell>
        </row>
        <row r="549">
          <cell r="B549" t="str">
            <v>#45</v>
          </cell>
          <cell r="C549">
            <v>45810.581250000003</v>
          </cell>
          <cell r="D549">
            <v>79.959999999999994</v>
          </cell>
          <cell r="E549" t="str">
            <v>MXN</v>
          </cell>
          <cell r="F549" t="str">
            <v>Erick Cival</v>
          </cell>
          <cell r="G549" t="str">
            <v>UBER* PENDING          CIUDAD DE MEX MEX</v>
          </cell>
          <cell r="H549" t="str">
            <v>Uber</v>
          </cell>
          <cell r="I549" t="str">
            <v>Sales</v>
          </cell>
          <cell r="J549" t="str">
            <v>PO1417 Transporte Lavosier</v>
          </cell>
          <cell r="K549" t="str">
            <v>No me deja facturar</v>
          </cell>
          <cell r="L549">
            <v>0</v>
          </cell>
          <cell r="M549">
            <v>0</v>
          </cell>
          <cell r="N549">
            <v>2834.4700000000003</v>
          </cell>
          <cell r="O549">
            <v>0</v>
          </cell>
          <cell r="Q549" t="str">
            <v>603.81.006 Gastos Administativos de venta</v>
          </cell>
        </row>
        <row r="550">
          <cell r="B550" t="str">
            <v>#45</v>
          </cell>
          <cell r="C550">
            <v>45812.552777777702</v>
          </cell>
          <cell r="D550">
            <v>700</v>
          </cell>
          <cell r="E550" t="str">
            <v>MXN</v>
          </cell>
          <cell r="F550" t="str">
            <v>Erick Cival</v>
          </cell>
          <cell r="G550" t="str">
            <v>RECARGA PASE TUTAG     CIUDAD DE MEX MEX</v>
          </cell>
          <cell r="H550" t="str">
            <v>Recarga Pase Tutag Ciudad De Mex Mex</v>
          </cell>
          <cell r="I550" t="str">
            <v>Sales</v>
          </cell>
          <cell r="J550" t="str">
            <v>PO 1417 transporte Lavosier - Nokia</v>
          </cell>
          <cell r="K550" t="str">
            <v>C15E750B-7740-587F-ADA5-2C431CD8F74B</v>
          </cell>
          <cell r="L550">
            <v>0</v>
          </cell>
          <cell r="M550">
            <v>0</v>
          </cell>
          <cell r="N550">
            <v>1130.74</v>
          </cell>
          <cell r="O550">
            <v>0</v>
          </cell>
          <cell r="Q550" t="str">
            <v>603.81.006 Gastos Administativos de venta</v>
          </cell>
        </row>
        <row r="551">
          <cell r="B551" t="str">
            <v>#45</v>
          </cell>
          <cell r="C551">
            <v>45812.6291666666</v>
          </cell>
          <cell r="D551">
            <v>219.94</v>
          </cell>
          <cell r="E551" t="str">
            <v>MXN</v>
          </cell>
          <cell r="F551" t="str">
            <v>Erick Cival</v>
          </cell>
          <cell r="G551" t="str">
            <v>UBER* PENDING          CIUDAD DE MEX MEX</v>
          </cell>
          <cell r="H551" t="str">
            <v>Uber</v>
          </cell>
          <cell r="I551" t="str">
            <v>Sales</v>
          </cell>
          <cell r="J551" t="str">
            <v>PO 3089 Alimentos Jorge y Erick</v>
          </cell>
          <cell r="K551" t="str">
            <v>F5587632-6FC2-4406-A37E-B6C2C0C8BDB7</v>
          </cell>
          <cell r="L551">
            <v>0</v>
          </cell>
          <cell r="M551">
            <v>0</v>
          </cell>
          <cell r="N551">
            <v>320.71000000000004</v>
          </cell>
          <cell r="O551">
            <v>0</v>
          </cell>
          <cell r="Q551" t="str">
            <v>603.81.006 Gastos Administativos de venta</v>
          </cell>
        </row>
        <row r="552">
          <cell r="B552" t="str">
            <v>#45</v>
          </cell>
          <cell r="C552">
            <v>45812.882638888797</v>
          </cell>
          <cell r="D552">
            <v>319.97000000000003</v>
          </cell>
          <cell r="E552" t="str">
            <v>MXN</v>
          </cell>
          <cell r="F552" t="str">
            <v>Erick Cival</v>
          </cell>
          <cell r="G552" t="str">
            <v>UBER* PENDING          CIUDAD DE MEX MEX</v>
          </cell>
          <cell r="H552" t="str">
            <v>Uber</v>
          </cell>
          <cell r="I552" t="str">
            <v>Sales</v>
          </cell>
          <cell r="J552" t="str">
            <v>PO 3089 Nokia</v>
          </cell>
          <cell r="K552" t="str">
            <v>38D120D5-D21C-5423-A557-879F1053E34C</v>
          </cell>
          <cell r="L552">
            <v>0</v>
          </cell>
          <cell r="M552">
            <v>0</v>
          </cell>
          <cell r="N552">
            <v>1224.47</v>
          </cell>
          <cell r="O552">
            <v>0</v>
          </cell>
          <cell r="Q552" t="str">
            <v>603.81.006 Gastos Administativos de venta</v>
          </cell>
        </row>
        <row r="553">
          <cell r="B553" t="str">
            <v>#45</v>
          </cell>
          <cell r="C553">
            <v>45813.256249999999</v>
          </cell>
          <cell r="D553">
            <v>79.959999999999994</v>
          </cell>
          <cell r="E553" t="str">
            <v>MXN</v>
          </cell>
          <cell r="F553" t="str">
            <v>Erick Cival</v>
          </cell>
          <cell r="G553" t="str">
            <v>20250603T08:40:03/UBER* TRIP\Rio Lerma 232 Piso 22 Cuauhtemoc\CIUDAD DE MEX\11510     CDMMEX</v>
          </cell>
          <cell r="H553" t="str">
            <v>Uber</v>
          </cell>
          <cell r="I553" t="str">
            <v>Sales</v>
          </cell>
          <cell r="J553" t="str">
            <v>PO 1445 Transporte Nokia</v>
          </cell>
          <cell r="K553" t="str">
            <v>Failed</v>
          </cell>
          <cell r="L553">
            <v>0</v>
          </cell>
          <cell r="M553">
            <v>0</v>
          </cell>
          <cell r="N553">
            <v>0</v>
          </cell>
          <cell r="O553">
            <v>0</v>
          </cell>
          <cell r="Q553" t="str">
            <v>603.81.006 Gastos Administativos de venta</v>
          </cell>
        </row>
        <row r="554">
          <cell r="B554" t="str">
            <v>#45</v>
          </cell>
          <cell r="C554">
            <v>45813.256249999999</v>
          </cell>
          <cell r="D554">
            <v>39.92</v>
          </cell>
          <cell r="E554" t="str">
            <v>MXN</v>
          </cell>
          <cell r="F554" t="str">
            <v>Erick Cival</v>
          </cell>
          <cell r="G554" t="str">
            <v>20250603T08:40:42/UBER* TRIP\Rio Lerma 232 Piso 22 Cuauhtemoc\CIUDAD DE MEX\11510     CDMMEX</v>
          </cell>
          <cell r="H554" t="str">
            <v>Uber</v>
          </cell>
          <cell r="I554" t="str">
            <v>Sales</v>
          </cell>
          <cell r="J554" t="str">
            <v>PO 1445 Transporte Nokia</v>
          </cell>
          <cell r="K554" t="str">
            <v>C9CC5C93-1E58-52C2-848E-D7FA3EADD2AE</v>
          </cell>
          <cell r="L554">
            <v>0</v>
          </cell>
          <cell r="M554">
            <v>0</v>
          </cell>
          <cell r="N554">
            <v>6155.8700000000008</v>
          </cell>
          <cell r="O554">
            <v>0</v>
          </cell>
          <cell r="Q554" t="str">
            <v>603.81.006 Gastos Administativos de venta</v>
          </cell>
        </row>
        <row r="555">
          <cell r="B555" t="str">
            <v>#45</v>
          </cell>
          <cell r="C555">
            <v>45817.659722222197</v>
          </cell>
          <cell r="D555">
            <v>27.57</v>
          </cell>
          <cell r="E555" t="str">
            <v>MXN</v>
          </cell>
          <cell r="F555" t="str">
            <v>Erick Cival</v>
          </cell>
          <cell r="G555" t="str">
            <v>UBER* TRIP             CIUDAD DE MEX MEX</v>
          </cell>
          <cell r="H555" t="str">
            <v>Uber</v>
          </cell>
          <cell r="I555" t="str">
            <v>Sales</v>
          </cell>
          <cell r="J555" t="str">
            <v>PO 1062 Transporte Galicia</v>
          </cell>
          <cell r="K555" t="str">
            <v>Failed</v>
          </cell>
          <cell r="L555">
            <v>0</v>
          </cell>
          <cell r="M555">
            <v>0</v>
          </cell>
          <cell r="N555">
            <v>0</v>
          </cell>
          <cell r="O555">
            <v>0</v>
          </cell>
          <cell r="Q555" t="str">
            <v>603.81.006 Gastos Administativos de venta</v>
          </cell>
        </row>
        <row r="556">
          <cell r="B556" t="str">
            <v>#45</v>
          </cell>
          <cell r="C556">
            <v>45819.748611111099</v>
          </cell>
          <cell r="D556">
            <v>299.91000000000003</v>
          </cell>
          <cell r="E556" t="str">
            <v>MXN</v>
          </cell>
          <cell r="F556" t="str">
            <v>Erick Cival</v>
          </cell>
          <cell r="G556" t="str">
            <v>UBER* PENDING          CIUDAD DE MEX MEX</v>
          </cell>
          <cell r="H556" t="str">
            <v>Uber</v>
          </cell>
          <cell r="I556" t="str">
            <v>Sales</v>
          </cell>
          <cell r="J556" t="str">
            <v>PO 915 Transporte Piñon</v>
          </cell>
          <cell r="K556" t="str">
            <v>8CFE2BE9-FF37-54CF-A588-AD58892092E9</v>
          </cell>
          <cell r="L556">
            <v>0</v>
          </cell>
          <cell r="M556">
            <v>0</v>
          </cell>
          <cell r="N556">
            <v>0</v>
          </cell>
          <cell r="O556">
            <v>0</v>
          </cell>
          <cell r="Q556" t="str">
            <v>603.81.006 Gastos Administativos de venta</v>
          </cell>
        </row>
        <row r="557">
          <cell r="B557" t="str">
            <v>#45</v>
          </cell>
          <cell r="C557">
            <v>45819.894444444399</v>
          </cell>
          <cell r="D557">
            <v>247.25</v>
          </cell>
          <cell r="E557" t="str">
            <v>MXN</v>
          </cell>
          <cell r="F557" t="str">
            <v>Erick Cival</v>
          </cell>
          <cell r="G557" t="str">
            <v>RESTAURANT 2 GARDENIAS TULTITLAN EM  MEX</v>
          </cell>
          <cell r="H557" t="str">
            <v>Restaurant 2 Gardenias Tultitlan Em Mex</v>
          </cell>
          <cell r="I557" t="str">
            <v>Sales</v>
          </cell>
          <cell r="J557" t="str">
            <v>PO 915 Transporte Piñon</v>
          </cell>
          <cell r="K557" t="str">
            <v>325A19FF-56CD-506C-AEF2-EC26CE8016CC</v>
          </cell>
          <cell r="L557">
            <v>0</v>
          </cell>
          <cell r="M557">
            <v>0</v>
          </cell>
          <cell r="N557">
            <v>0</v>
          </cell>
          <cell r="O557">
            <v>0</v>
          </cell>
          <cell r="Q557" t="str">
            <v>603.81.006 Gastos Administativos de venta</v>
          </cell>
        </row>
        <row r="558">
          <cell r="B558" t="str">
            <v>#45</v>
          </cell>
          <cell r="C558">
            <v>45826.590972222199</v>
          </cell>
          <cell r="D558">
            <v>439.93</v>
          </cell>
          <cell r="E558" t="str">
            <v>MXN</v>
          </cell>
          <cell r="F558" t="str">
            <v>Erick Cival</v>
          </cell>
          <cell r="G558" t="str">
            <v>UBER* PENDING          CIUDAD DE MEX MEX</v>
          </cell>
          <cell r="H558" t="str">
            <v>Uber</v>
          </cell>
          <cell r="I558" t="str">
            <v>Sales</v>
          </cell>
          <cell r="J558" t="str">
            <v>Error Se pidio reembolso</v>
          </cell>
          <cell r="K558">
            <v>0</v>
          </cell>
          <cell r="L558">
            <v>0</v>
          </cell>
          <cell r="M558">
            <v>0</v>
          </cell>
          <cell r="N558">
            <v>0</v>
          </cell>
          <cell r="O558">
            <v>0</v>
          </cell>
          <cell r="Q558" t="str">
            <v>603.81.006 Gastos Administativos de venta</v>
          </cell>
        </row>
        <row r="559">
          <cell r="B559" t="str">
            <v>#45</v>
          </cell>
          <cell r="C559">
            <v>45831.702777777697</v>
          </cell>
          <cell r="D559">
            <v>600</v>
          </cell>
          <cell r="E559" t="str">
            <v>MXN</v>
          </cell>
          <cell r="F559" t="str">
            <v>Erick Cival</v>
          </cell>
          <cell r="G559" t="str">
            <v>RECARGA PASE TUTAG     CIUDAD DE MEX MEX</v>
          </cell>
          <cell r="H559" t="str">
            <v>Recarga Pase Tutag Ciudad De Mex Mex</v>
          </cell>
          <cell r="I559">
            <v>0</v>
          </cell>
          <cell r="J559">
            <v>0</v>
          </cell>
          <cell r="K559">
            <v>0</v>
          </cell>
          <cell r="L559">
            <v>0</v>
          </cell>
          <cell r="M559">
            <v>0</v>
          </cell>
          <cell r="N559">
            <v>0</v>
          </cell>
          <cell r="O559">
            <v>0</v>
          </cell>
          <cell r="Q559" t="str">
            <v>603.81.006 Gastos Administativos de venta</v>
          </cell>
        </row>
        <row r="560">
          <cell r="B560" t="str">
            <v>#45</v>
          </cell>
          <cell r="C560">
            <v>45832.956944444399</v>
          </cell>
          <cell r="D560">
            <v>158</v>
          </cell>
          <cell r="E560" t="str">
            <v>MXN</v>
          </cell>
          <cell r="F560" t="str">
            <v>Erick Cival</v>
          </cell>
          <cell r="G560" t="str">
            <v>CASA FUENTES HIDALGO 1 ATOTONILCO DE MEX</v>
          </cell>
          <cell r="H560" t="str">
            <v>Casa Fuentes Hidalgo 1 Atotonilco De Mex</v>
          </cell>
          <cell r="I560">
            <v>0</v>
          </cell>
          <cell r="J560">
            <v>0</v>
          </cell>
          <cell r="K560">
            <v>0</v>
          </cell>
          <cell r="L560">
            <v>0</v>
          </cell>
          <cell r="M560">
            <v>0</v>
          </cell>
          <cell r="N560">
            <v>0</v>
          </cell>
          <cell r="O560">
            <v>0</v>
          </cell>
          <cell r="Q560" t="str">
            <v>603.81.006 Gastos Administativos de venta</v>
          </cell>
        </row>
        <row r="561">
          <cell r="B561" t="str">
            <v>#45</v>
          </cell>
          <cell r="C561">
            <v>45833.134027777698</v>
          </cell>
          <cell r="D561">
            <v>170.71</v>
          </cell>
          <cell r="E561" t="str">
            <v>MXN</v>
          </cell>
          <cell r="F561" t="str">
            <v>Erick Cival</v>
          </cell>
          <cell r="G561" t="str">
            <v>20250623T12:04:36/UBER* TRIP\Rio Lerma 232 Piso 22 Cuauhtemoc\CIUDAD DE MEX\11510     CDMMEX</v>
          </cell>
          <cell r="H561" t="str">
            <v>Uber</v>
          </cell>
          <cell r="I561">
            <v>0</v>
          </cell>
          <cell r="J561">
            <v>0</v>
          </cell>
          <cell r="K561">
            <v>0</v>
          </cell>
          <cell r="L561">
            <v>0</v>
          </cell>
          <cell r="M561">
            <v>0</v>
          </cell>
          <cell r="N561">
            <v>0</v>
          </cell>
          <cell r="O561">
            <v>0</v>
          </cell>
          <cell r="Q561" t="str">
            <v>603.81.006 Gastos Administativos de venta</v>
          </cell>
        </row>
        <row r="562">
          <cell r="B562" t="str">
            <v>#45</v>
          </cell>
          <cell r="C562">
            <v>45833.134027777698</v>
          </cell>
          <cell r="D562">
            <v>150</v>
          </cell>
          <cell r="E562" t="str">
            <v>MXN</v>
          </cell>
          <cell r="F562" t="str">
            <v>Erick Cival</v>
          </cell>
          <cell r="G562" t="str">
            <v>20250623T15:45:53/UBER* TRIP\Rio Lerma 232 Piso 22 Cuauhtemoc\CIUDAD DE MEX\11510     CDMMEX</v>
          </cell>
          <cell r="H562" t="str">
            <v>Uber</v>
          </cell>
          <cell r="I562">
            <v>0</v>
          </cell>
          <cell r="J562">
            <v>0</v>
          </cell>
          <cell r="K562">
            <v>0</v>
          </cell>
          <cell r="L562">
            <v>0</v>
          </cell>
          <cell r="M562">
            <v>0</v>
          </cell>
          <cell r="N562">
            <v>0</v>
          </cell>
          <cell r="O562">
            <v>0</v>
          </cell>
          <cell r="Q562" t="str">
            <v>603.81.006 Gastos Administativos de venta</v>
          </cell>
        </row>
        <row r="563">
          <cell r="B563" t="str">
            <v>#45</v>
          </cell>
          <cell r="C563">
            <v>45833.134027777698</v>
          </cell>
          <cell r="D563">
            <v>150</v>
          </cell>
          <cell r="E563" t="str">
            <v>MXN</v>
          </cell>
          <cell r="F563" t="str">
            <v>Erick Cival</v>
          </cell>
          <cell r="G563" t="str">
            <v>20250623T15:50:08/UBER* TRIP\Rio Lerma 232 Piso 22 Cuauhtemoc\CIUDAD DE MEX\11510     CDMMEX</v>
          </cell>
          <cell r="H563" t="str">
            <v>Uber</v>
          </cell>
          <cell r="I563">
            <v>0</v>
          </cell>
          <cell r="J563">
            <v>0</v>
          </cell>
          <cell r="K563">
            <v>0</v>
          </cell>
          <cell r="L563">
            <v>0</v>
          </cell>
          <cell r="M563">
            <v>0</v>
          </cell>
          <cell r="N563">
            <v>0</v>
          </cell>
          <cell r="O563">
            <v>0</v>
          </cell>
          <cell r="Q563" t="str">
            <v>603.81.006 Gastos Administativos de venta</v>
          </cell>
        </row>
        <row r="564">
          <cell r="B564" t="str">
            <v>#45</v>
          </cell>
          <cell r="C564">
            <v>45834.675694444399</v>
          </cell>
          <cell r="D564">
            <v>297.56</v>
          </cell>
          <cell r="E564" t="str">
            <v>MXN</v>
          </cell>
          <cell r="F564" t="str">
            <v>Erick Cival</v>
          </cell>
          <cell r="G564" t="str">
            <v>UBER* TRIP             CIUDAD DE MEX MEX</v>
          </cell>
          <cell r="H564" t="str">
            <v>Uber</v>
          </cell>
          <cell r="I564">
            <v>0</v>
          </cell>
          <cell r="J564">
            <v>0</v>
          </cell>
          <cell r="K564">
            <v>0</v>
          </cell>
          <cell r="L564">
            <v>0</v>
          </cell>
          <cell r="M564">
            <v>0</v>
          </cell>
          <cell r="N564">
            <v>0</v>
          </cell>
          <cell r="O564">
            <v>0</v>
          </cell>
          <cell r="Q564" t="str">
            <v>603.81.006 Gastos Administativos de venta</v>
          </cell>
        </row>
        <row r="565">
          <cell r="B565" t="str">
            <v>#45</v>
          </cell>
          <cell r="C565">
            <v>45835.202777777697</v>
          </cell>
          <cell r="D565">
            <v>1224.47</v>
          </cell>
          <cell r="E565" t="str">
            <v>MXN</v>
          </cell>
          <cell r="F565" t="str">
            <v>Erick Cival</v>
          </cell>
          <cell r="G565" t="str">
            <v>SERV LOMAS VSTA HERMSA MEXICO DF     MEX</v>
          </cell>
          <cell r="H565" t="str">
            <v>Serv Lomas Vsta Hermsa Mexico Df Mex</v>
          </cell>
          <cell r="I565">
            <v>0</v>
          </cell>
          <cell r="J565">
            <v>0</v>
          </cell>
          <cell r="K565">
            <v>0</v>
          </cell>
          <cell r="L565">
            <v>0</v>
          </cell>
          <cell r="M565">
            <v>0</v>
          </cell>
          <cell r="N565">
            <v>0</v>
          </cell>
          <cell r="O565">
            <v>0</v>
          </cell>
          <cell r="Q565" t="str">
            <v>603.81.006 Gastos Administativos de venta</v>
          </cell>
        </row>
        <row r="566">
          <cell r="B566" t="str">
            <v>#45</v>
          </cell>
          <cell r="C566">
            <v>45838.661805555501</v>
          </cell>
          <cell r="D566">
            <v>910.8</v>
          </cell>
          <cell r="E566" t="str">
            <v>MXN</v>
          </cell>
          <cell r="F566" t="str">
            <v>Erick Cival</v>
          </cell>
          <cell r="G566" t="str">
            <v>REST LARDO             CIUDAD DE MEX MEX</v>
          </cell>
          <cell r="H566" t="str">
            <v>Rest Lardo Ciudad De Mex Mex</v>
          </cell>
          <cell r="I566">
            <v>0</v>
          </cell>
          <cell r="J566">
            <v>0</v>
          </cell>
          <cell r="K566">
            <v>0</v>
          </cell>
          <cell r="L566">
            <v>0</v>
          </cell>
          <cell r="M566">
            <v>0</v>
          </cell>
          <cell r="N566">
            <v>0</v>
          </cell>
          <cell r="O566">
            <v>0</v>
          </cell>
          <cell r="Q566" t="str">
            <v>603.81.006 Gastos Administativos de venta</v>
          </cell>
        </row>
        <row r="567">
          <cell r="B567" t="str">
            <v>#46</v>
          </cell>
          <cell r="C567">
            <v>45810.5888888888</v>
          </cell>
          <cell r="D567">
            <v>5874.84</v>
          </cell>
          <cell r="E567" t="str">
            <v>MXN</v>
          </cell>
          <cell r="F567" t="str">
            <v>Kallie Parchman</v>
          </cell>
          <cell r="G567" t="str">
            <v>DOPPLER LLC            PALO ALTO     USA</v>
          </cell>
          <cell r="H567" t="str">
            <v>Doppler Palo Alto USA</v>
          </cell>
          <cell r="I567" t="str">
            <v>Sales</v>
          </cell>
          <cell r="J567" t="str">
            <v>Marketing platform</v>
          </cell>
          <cell r="K567" t="str">
            <v>.</v>
          </cell>
          <cell r="L567">
            <v>0</v>
          </cell>
          <cell r="M567">
            <v>0</v>
          </cell>
          <cell r="N567">
            <v>0</v>
          </cell>
          <cell r="O567">
            <v>0</v>
          </cell>
          <cell r="Q567" t="str">
            <v>603.81.006 Gastos Administativos de venta</v>
          </cell>
        </row>
        <row r="568">
          <cell r="B568" t="str">
            <v>#46</v>
          </cell>
          <cell r="C568">
            <v>45815.826388888803</v>
          </cell>
          <cell r="D568">
            <v>4269</v>
          </cell>
          <cell r="E568" t="str">
            <v>MXN</v>
          </cell>
          <cell r="F568" t="str">
            <v>Kallie Parchman</v>
          </cell>
          <cell r="G568" t="str">
            <v>PR*LINKEDIN CR         CIUDAD DE MEX MEX</v>
          </cell>
          <cell r="H568" t="str">
            <v>Linkedin</v>
          </cell>
          <cell r="I568" t="str">
            <v>Sales</v>
          </cell>
          <cell r="J568" t="str">
            <v xml:space="preserve">KP SDR &amp; CA recruiting and sales on LI </v>
          </cell>
          <cell r="K568" t="str">
            <v>.</v>
          </cell>
          <cell r="L568">
            <v>0</v>
          </cell>
          <cell r="M568">
            <v>0</v>
          </cell>
          <cell r="N568">
            <v>0</v>
          </cell>
          <cell r="O568">
            <v>0</v>
          </cell>
          <cell r="Q568" t="str">
            <v>603.81.006 Gastos Administativos de venta</v>
          </cell>
        </row>
        <row r="569">
          <cell r="B569" t="str">
            <v>#46</v>
          </cell>
          <cell r="C569">
            <v>45820.729861111096</v>
          </cell>
          <cell r="D569">
            <v>1829</v>
          </cell>
          <cell r="E569" t="str">
            <v>MXN</v>
          </cell>
          <cell r="F569" t="str">
            <v>Kallie Parchman</v>
          </cell>
          <cell r="G569" t="str">
            <v>20250611T01:01:01/LINKEDIN\UNKNOWN\CIUDAD DE MEX\11550        MEX</v>
          </cell>
          <cell r="H569" t="str">
            <v>Linkedin</v>
          </cell>
          <cell r="I569" t="str">
            <v>Sales</v>
          </cell>
          <cell r="J569" t="str">
            <v>Aldahir sales navigator</v>
          </cell>
          <cell r="K569" t="str">
            <v>.</v>
          </cell>
          <cell r="L569">
            <v>0</v>
          </cell>
          <cell r="M569">
            <v>0</v>
          </cell>
          <cell r="N569">
            <v>0</v>
          </cell>
          <cell r="O569">
            <v>0</v>
          </cell>
          <cell r="Q569" t="str">
            <v>603.81.006 Gastos Administativos de venta</v>
          </cell>
        </row>
        <row r="570">
          <cell r="B570" t="str">
            <v>#48</v>
          </cell>
          <cell r="C570">
            <v>45817.737500000003</v>
          </cell>
          <cell r="D570">
            <v>6280</v>
          </cell>
          <cell r="E570" t="str">
            <v>MXN</v>
          </cell>
          <cell r="F570" t="str">
            <v>Andres Preza</v>
          </cell>
          <cell r="G570" t="str">
            <v>AEROMEXICO WEB PN      CIUDAD DE MEX MEX</v>
          </cell>
          <cell r="H570" t="str">
            <v>Aeromexico</v>
          </cell>
          <cell r="I570" t="str">
            <v/>
          </cell>
          <cell r="J570">
            <v>0</v>
          </cell>
          <cell r="K570">
            <v>0</v>
          </cell>
          <cell r="L570">
            <v>0</v>
          </cell>
          <cell r="M570">
            <v>0</v>
          </cell>
          <cell r="N570">
            <v>0</v>
          </cell>
          <cell r="O570">
            <v>0</v>
          </cell>
          <cell r="Q570" t="str">
            <v>603.81.006 Gastos Administativos de venta</v>
          </cell>
        </row>
        <row r="571">
          <cell r="B571" t="str">
            <v>#48</v>
          </cell>
          <cell r="C571">
            <v>45819.1201388888</v>
          </cell>
          <cell r="D571">
            <v>3593.8</v>
          </cell>
          <cell r="E571" t="str">
            <v>MXN</v>
          </cell>
          <cell r="F571" t="str">
            <v>Andres Preza</v>
          </cell>
          <cell r="G571" t="str">
            <v>PROMOTORA TECKA        SN PEDRO GARZ MEX</v>
          </cell>
          <cell r="H571" t="str">
            <v>Promotora Tecka Sn Pedro Garz Mex</v>
          </cell>
          <cell r="I571">
            <v>0</v>
          </cell>
          <cell r="J571">
            <v>0</v>
          </cell>
          <cell r="K571">
            <v>0</v>
          </cell>
          <cell r="L571">
            <v>0</v>
          </cell>
          <cell r="M571">
            <v>0</v>
          </cell>
          <cell r="N571">
            <v>0</v>
          </cell>
          <cell r="O571">
            <v>0</v>
          </cell>
          <cell r="Q571" t="str">
            <v>603.81.006 Gastos Administativos de venta</v>
          </cell>
        </row>
        <row r="572">
          <cell r="B572" t="str">
            <v>#48</v>
          </cell>
          <cell r="C572">
            <v>45819.759027777698</v>
          </cell>
          <cell r="D572">
            <v>193.76</v>
          </cell>
          <cell r="E572" t="str">
            <v>MXN</v>
          </cell>
          <cell r="F572" t="str">
            <v>Andres Preza</v>
          </cell>
          <cell r="G572" t="str">
            <v>UBER *TRIP HELP.UBER.C CMX           MEX</v>
          </cell>
          <cell r="H572" t="str">
            <v>Uber</v>
          </cell>
          <cell r="I572">
            <v>0</v>
          </cell>
          <cell r="J572">
            <v>0</v>
          </cell>
          <cell r="K572">
            <v>0</v>
          </cell>
          <cell r="L572">
            <v>0</v>
          </cell>
          <cell r="M572">
            <v>0</v>
          </cell>
          <cell r="N572">
            <v>0</v>
          </cell>
          <cell r="O572">
            <v>0</v>
          </cell>
          <cell r="Q572" t="str">
            <v>603.81.006 Gastos Administativos de venta</v>
          </cell>
        </row>
        <row r="573">
          <cell r="B573" t="str">
            <v>#48</v>
          </cell>
          <cell r="C573">
            <v>45819.886111111096</v>
          </cell>
          <cell r="D573">
            <v>700</v>
          </cell>
          <cell r="E573" t="str">
            <v>MXN</v>
          </cell>
          <cell r="F573" t="str">
            <v>Andres Preza</v>
          </cell>
          <cell r="G573" t="str">
            <v>TAXIS EBSSA MTY XVI    APODACA NL    MEX</v>
          </cell>
          <cell r="H573" t="str">
            <v>Taxis Ebssa Mty Xvi Apodaca Nl Mex</v>
          </cell>
          <cell r="I573">
            <v>0</v>
          </cell>
          <cell r="J573">
            <v>0</v>
          </cell>
          <cell r="K573">
            <v>0</v>
          </cell>
          <cell r="L573">
            <v>0</v>
          </cell>
          <cell r="M573">
            <v>0</v>
          </cell>
          <cell r="N573">
            <v>0</v>
          </cell>
          <cell r="O573">
            <v>0</v>
          </cell>
          <cell r="Q573" t="str">
            <v>603.81.006 Gastos Administativos de venta</v>
          </cell>
        </row>
        <row r="574">
          <cell r="B574" t="str">
            <v>#48</v>
          </cell>
          <cell r="C574">
            <v>45819.934027777701</v>
          </cell>
          <cell r="D574">
            <v>1796.9</v>
          </cell>
          <cell r="E574" t="str">
            <v>MXN</v>
          </cell>
          <cell r="F574" t="str">
            <v>Andres Preza</v>
          </cell>
          <cell r="G574" t="str">
            <v>PROMOTORA TECKA        SN PEDRO GARZ MEX</v>
          </cell>
          <cell r="H574" t="str">
            <v>Promotora Tecka Sn Pedro Garz Mex</v>
          </cell>
          <cell r="I574">
            <v>0</v>
          </cell>
          <cell r="J574">
            <v>0</v>
          </cell>
          <cell r="K574">
            <v>0</v>
          </cell>
          <cell r="L574">
            <v>0</v>
          </cell>
          <cell r="M574">
            <v>0</v>
          </cell>
          <cell r="N574">
            <v>0</v>
          </cell>
          <cell r="O574">
            <v>0</v>
          </cell>
          <cell r="Q574" t="str">
            <v>603.81.006 Gastos Administativos de venta</v>
          </cell>
        </row>
        <row r="575">
          <cell r="B575" t="str">
            <v>#48</v>
          </cell>
          <cell r="C575">
            <v>45819.943055555501</v>
          </cell>
          <cell r="D575">
            <v>403</v>
          </cell>
          <cell r="E575" t="str">
            <v>MXN</v>
          </cell>
          <cell r="F575" t="str">
            <v>Andres Preza</v>
          </cell>
          <cell r="G575" t="str">
            <v>ON BALANCE             SAN PEDRO GAR MEX</v>
          </cell>
          <cell r="H575" t="str">
            <v>On Balance San Pedro Gar Mex</v>
          </cell>
          <cell r="I575">
            <v>0</v>
          </cell>
          <cell r="J575">
            <v>0</v>
          </cell>
          <cell r="K575">
            <v>0</v>
          </cell>
          <cell r="L575">
            <v>0</v>
          </cell>
          <cell r="M575">
            <v>0</v>
          </cell>
          <cell r="N575">
            <v>0</v>
          </cell>
          <cell r="O575">
            <v>0</v>
          </cell>
          <cell r="Q575" t="str">
            <v>603.81.006 Gastos Administativos de venta</v>
          </cell>
        </row>
        <row r="576">
          <cell r="B576" t="str">
            <v>#48</v>
          </cell>
          <cell r="C576">
            <v>45820.637499999997</v>
          </cell>
          <cell r="D576">
            <v>89.94</v>
          </cell>
          <cell r="E576" t="str">
            <v>MXN</v>
          </cell>
          <cell r="F576" t="str">
            <v>Andres Preza</v>
          </cell>
          <cell r="G576" t="str">
            <v>UBER* PENDING          CIUDAD DE MEX MEX</v>
          </cell>
          <cell r="H576" t="str">
            <v>Uber</v>
          </cell>
          <cell r="I576">
            <v>0</v>
          </cell>
          <cell r="J576">
            <v>0</v>
          </cell>
          <cell r="K576">
            <v>0</v>
          </cell>
          <cell r="L576">
            <v>0</v>
          </cell>
          <cell r="M576">
            <v>0</v>
          </cell>
          <cell r="N576">
            <v>0</v>
          </cell>
          <cell r="O576">
            <v>0</v>
          </cell>
          <cell r="Q576" t="str">
            <v>603.81.006 Gastos Administativos de venta</v>
          </cell>
        </row>
        <row r="577">
          <cell r="B577" t="str">
            <v>#48</v>
          </cell>
          <cell r="C577">
            <v>45820.7229166666</v>
          </cell>
          <cell r="D577">
            <v>1796.9</v>
          </cell>
          <cell r="E577" t="str">
            <v>MXN</v>
          </cell>
          <cell r="F577" t="str">
            <v>Andres Preza</v>
          </cell>
          <cell r="G577" t="str">
            <v>20250611T01:01:01/PROMOTORA TECKA\UNKNOWN\SN PEDRO GARZ\66220        MEX</v>
          </cell>
          <cell r="H577" t="str">
            <v>T :01/Promotora Tecka\Unknown\Sn Pedro Garz\ Mex</v>
          </cell>
          <cell r="I577">
            <v>0</v>
          </cell>
          <cell r="J577">
            <v>0</v>
          </cell>
          <cell r="K577">
            <v>0</v>
          </cell>
          <cell r="L577">
            <v>0</v>
          </cell>
          <cell r="M577">
            <v>0</v>
          </cell>
          <cell r="N577">
            <v>0</v>
          </cell>
          <cell r="O577">
            <v>0</v>
          </cell>
          <cell r="Q577" t="str">
            <v>603.81.006 Gastos Administativos de venta</v>
          </cell>
        </row>
        <row r="578">
          <cell r="B578" t="str">
            <v>#48</v>
          </cell>
          <cell r="C578">
            <v>45821.074999999997</v>
          </cell>
          <cell r="D578">
            <v>79.91</v>
          </cell>
          <cell r="E578" t="str">
            <v>MXN</v>
          </cell>
          <cell r="F578" t="str">
            <v>Andres Preza</v>
          </cell>
          <cell r="G578" t="str">
            <v>UBER* PENDING          CIUDAD DE MEX MEX</v>
          </cell>
          <cell r="H578" t="str">
            <v>Uber</v>
          </cell>
          <cell r="I578">
            <v>0</v>
          </cell>
          <cell r="J578">
            <v>0</v>
          </cell>
          <cell r="K578">
            <v>0</v>
          </cell>
          <cell r="L578">
            <v>0</v>
          </cell>
          <cell r="M578">
            <v>0</v>
          </cell>
          <cell r="N578">
            <v>0</v>
          </cell>
          <cell r="O578">
            <v>0</v>
          </cell>
          <cell r="Q578" t="str">
            <v>603.81.006 Gastos Administativos de venta</v>
          </cell>
        </row>
        <row r="579">
          <cell r="B579" t="str">
            <v>#48</v>
          </cell>
          <cell r="C579">
            <v>45821.198611111096</v>
          </cell>
          <cell r="D579">
            <v>2427.65</v>
          </cell>
          <cell r="E579" t="str">
            <v>MXN</v>
          </cell>
          <cell r="F579" t="str">
            <v>Andres Preza</v>
          </cell>
          <cell r="G579" t="str">
            <v>JABALINA D ARMIDA      SN PEDRO GARZ MEX</v>
          </cell>
          <cell r="H579" t="str">
            <v>Jabalina D Armida Sn Pedro Garz Mex</v>
          </cell>
          <cell r="I579">
            <v>0</v>
          </cell>
          <cell r="J579">
            <v>0</v>
          </cell>
          <cell r="K579">
            <v>0</v>
          </cell>
          <cell r="L579">
            <v>0</v>
          </cell>
          <cell r="M579">
            <v>0</v>
          </cell>
          <cell r="N579">
            <v>0</v>
          </cell>
          <cell r="O579">
            <v>0</v>
          </cell>
          <cell r="Q579" t="str">
            <v>603.81.006 Gastos Administativos de venta</v>
          </cell>
        </row>
        <row r="580">
          <cell r="B580" t="str">
            <v>#48</v>
          </cell>
          <cell r="C580">
            <v>45821.203472222202</v>
          </cell>
          <cell r="D580">
            <v>79.959999999999994</v>
          </cell>
          <cell r="E580" t="str">
            <v>MXN</v>
          </cell>
          <cell r="F580" t="str">
            <v>Andres Preza</v>
          </cell>
          <cell r="G580" t="str">
            <v>UBER* PENDING          CIUDAD DE MEX MEX</v>
          </cell>
          <cell r="H580" t="str">
            <v>Uber</v>
          </cell>
          <cell r="I580">
            <v>0</v>
          </cell>
          <cell r="J580">
            <v>0</v>
          </cell>
          <cell r="K580">
            <v>0</v>
          </cell>
          <cell r="L580">
            <v>0</v>
          </cell>
          <cell r="M580">
            <v>0</v>
          </cell>
          <cell r="N580">
            <v>0</v>
          </cell>
          <cell r="O580">
            <v>0</v>
          </cell>
          <cell r="Q580" t="str">
            <v>603.81.006 Gastos Administativos de venta</v>
          </cell>
        </row>
        <row r="581">
          <cell r="B581" t="str">
            <v>#48</v>
          </cell>
          <cell r="C581">
            <v>45821.642361111102</v>
          </cell>
          <cell r="D581">
            <v>59.93</v>
          </cell>
          <cell r="E581" t="str">
            <v>MXN</v>
          </cell>
          <cell r="F581" t="str">
            <v>Andres Preza</v>
          </cell>
          <cell r="G581" t="str">
            <v>UBER* PENDING          CIUDAD DE MEX MEX</v>
          </cell>
          <cell r="H581" t="str">
            <v>Uber</v>
          </cell>
          <cell r="I581">
            <v>0</v>
          </cell>
          <cell r="J581">
            <v>0</v>
          </cell>
          <cell r="K581">
            <v>0</v>
          </cell>
          <cell r="L581">
            <v>0</v>
          </cell>
          <cell r="M581">
            <v>0</v>
          </cell>
          <cell r="N581">
            <v>0</v>
          </cell>
          <cell r="O581">
            <v>0</v>
          </cell>
          <cell r="Q581" t="str">
            <v>603.81.006 Gastos Administativos de venta</v>
          </cell>
        </row>
        <row r="582">
          <cell r="B582" t="str">
            <v>#48</v>
          </cell>
          <cell r="C582">
            <v>45821.9</v>
          </cell>
          <cell r="D582">
            <v>3183.2</v>
          </cell>
          <cell r="E582" t="str">
            <v>MXN</v>
          </cell>
          <cell r="F582" t="str">
            <v>Andres Preza</v>
          </cell>
          <cell r="G582" t="str">
            <v>COM RAP LO SPUNTINO    SAN PEDRO GAR MEX</v>
          </cell>
          <cell r="H582" t="str">
            <v>Com Rap Lo Spuntino San Pedro Gar Mex</v>
          </cell>
          <cell r="I582">
            <v>0</v>
          </cell>
          <cell r="J582">
            <v>0</v>
          </cell>
          <cell r="K582">
            <v>0</v>
          </cell>
          <cell r="L582">
            <v>0</v>
          </cell>
          <cell r="M582">
            <v>0</v>
          </cell>
          <cell r="N582">
            <v>0</v>
          </cell>
          <cell r="O582">
            <v>0</v>
          </cell>
          <cell r="Q582" t="str">
            <v>603.81.006 Gastos Administativos de venta</v>
          </cell>
        </row>
        <row r="583">
          <cell r="B583" t="str">
            <v>#48</v>
          </cell>
          <cell r="C583">
            <v>45821.920138888803</v>
          </cell>
          <cell r="D583">
            <v>739.69</v>
          </cell>
          <cell r="E583" t="str">
            <v>MXN</v>
          </cell>
          <cell r="F583" t="str">
            <v>Andres Preza</v>
          </cell>
          <cell r="G583" t="str">
            <v>UBER* PENDING          CIUDAD DE MEX MEX</v>
          </cell>
          <cell r="H583" t="str">
            <v>Uber</v>
          </cell>
          <cell r="I583">
            <v>0</v>
          </cell>
          <cell r="J583">
            <v>0</v>
          </cell>
          <cell r="K583">
            <v>0</v>
          </cell>
          <cell r="L583">
            <v>0</v>
          </cell>
          <cell r="M583">
            <v>0</v>
          </cell>
          <cell r="N583">
            <v>0</v>
          </cell>
          <cell r="O583">
            <v>0</v>
          </cell>
          <cell r="Q583" t="str">
            <v>603.81.006 Gastos Administativos de venta</v>
          </cell>
        </row>
        <row r="584">
          <cell r="B584" t="str">
            <v>#48</v>
          </cell>
          <cell r="C584">
            <v>45822.109722222202</v>
          </cell>
          <cell r="D584">
            <v>510</v>
          </cell>
          <cell r="E584" t="str">
            <v>MXN</v>
          </cell>
          <cell r="F584" t="str">
            <v>Andres Preza</v>
          </cell>
          <cell r="G584" t="str">
            <v>TAXIS TYM MOVILIDAD    CIUDAD DE MEX MEX</v>
          </cell>
          <cell r="H584" t="str">
            <v>Taxis Tym Movilidad Ciudad De Mex Mex</v>
          </cell>
          <cell r="I584">
            <v>0</v>
          </cell>
          <cell r="J584">
            <v>0</v>
          </cell>
          <cell r="K584">
            <v>0</v>
          </cell>
          <cell r="L584">
            <v>0</v>
          </cell>
          <cell r="M584">
            <v>0</v>
          </cell>
          <cell r="N584">
            <v>0</v>
          </cell>
          <cell r="O584">
            <v>0</v>
          </cell>
          <cell r="Q584" t="str">
            <v>603.81.006 Gastos Administativos de venta</v>
          </cell>
        </row>
        <row r="585">
          <cell r="B585" t="str">
            <v>#49</v>
          </cell>
          <cell r="C585">
            <v>45810.703472222202</v>
          </cell>
          <cell r="D585">
            <v>908.72</v>
          </cell>
          <cell r="E585" t="str">
            <v>MXN</v>
          </cell>
          <cell r="F585" t="str">
            <v>Jahaziel Galan</v>
          </cell>
          <cell r="G585" t="str">
            <v>OXXO GAS CERRO DE LA S GUADALUPE NL  MEX</v>
          </cell>
          <cell r="H585" t="str">
            <v>Oxxo</v>
          </cell>
          <cell r="I585" t="str">
            <v>Transaction cost</v>
          </cell>
          <cell r="J585" t="str">
            <v>Gasolina visita a MPs PO 1394, 1569, 1667, 1675</v>
          </cell>
          <cell r="K585" t="str">
            <v>7d8720b6-9ab3-4df0-8bcd-bf0d6db30a3c</v>
          </cell>
          <cell r="L585">
            <v>0</v>
          </cell>
          <cell r="M585">
            <v>0</v>
          </cell>
          <cell r="N585">
            <v>0</v>
          </cell>
          <cell r="O585">
            <v>227.18</v>
          </cell>
          <cell r="Q585" t="str">
            <v>173.01.002 Gastos por inspecciones de calidad</v>
          </cell>
        </row>
        <row r="586">
          <cell r="B586" t="str">
            <v>#49</v>
          </cell>
          <cell r="C586">
            <v>45811.558333333298</v>
          </cell>
          <cell r="D586">
            <v>61.2</v>
          </cell>
          <cell r="E586" t="str">
            <v>MXN</v>
          </cell>
          <cell r="F586" t="str">
            <v>Jahaziel Galan</v>
          </cell>
          <cell r="G586" t="str">
            <v>REA AUTOPISTA GPE      CADEREYTA JIM MEX</v>
          </cell>
          <cell r="H586" t="str">
            <v>Rea Autopista Gpe Cadereyta Jim Mex</v>
          </cell>
          <cell r="I586" t="str">
            <v>Transaction cost</v>
          </cell>
          <cell r="J586" t="str">
            <v>Caseta liberaciones PO 1394</v>
          </cell>
          <cell r="K586" t="str">
            <v>774ffd61-63a6-4242-89ef-909df2f898e8</v>
          </cell>
          <cell r="L586">
            <v>0</v>
          </cell>
          <cell r="M586">
            <v>0</v>
          </cell>
          <cell r="N586">
            <v>0</v>
          </cell>
          <cell r="O586">
            <v>20.400000000000002</v>
          </cell>
          <cell r="Q586" t="str">
            <v>173.01.002 Gastos por inspecciones de calidad</v>
          </cell>
        </row>
        <row r="587">
          <cell r="B587" t="str">
            <v>#49</v>
          </cell>
          <cell r="C587">
            <v>45812.572222222203</v>
          </cell>
          <cell r="D587">
            <v>175</v>
          </cell>
          <cell r="E587" t="str">
            <v>MXN</v>
          </cell>
          <cell r="F587" t="str">
            <v>Jahaziel Galan</v>
          </cell>
          <cell r="G587" t="str">
            <v>VULCA 24               GUADALUPE NL  MEX</v>
          </cell>
          <cell r="H587" t="str">
            <v>Vulca 24 Guadalupe Nl Mex</v>
          </cell>
          <cell r="I587" t="str">
            <v>Transaction cost</v>
          </cell>
          <cell r="J587" t="str">
            <v>Caseta liberaciones PO 1394</v>
          </cell>
          <cell r="K587" t="str">
            <v>73dbc30a-673f-434f-8434-88f2048ea849</v>
          </cell>
          <cell r="L587">
            <v>0</v>
          </cell>
          <cell r="M587">
            <v>0</v>
          </cell>
          <cell r="N587">
            <v>0</v>
          </cell>
          <cell r="O587">
            <v>0</v>
          </cell>
          <cell r="Q587" t="str">
            <v>173.01.002 Gastos por inspecciones de calidad</v>
          </cell>
        </row>
        <row r="588">
          <cell r="B588" t="str">
            <v>#49</v>
          </cell>
          <cell r="C588">
            <v>45812.590277777701</v>
          </cell>
          <cell r="D588">
            <v>61.2</v>
          </cell>
          <cell r="E588" t="str">
            <v>MXN</v>
          </cell>
          <cell r="F588" t="str">
            <v>Jahaziel Galan</v>
          </cell>
          <cell r="G588" t="str">
            <v>REA AUTOPISTA GPE      CADEREYTA JIM MEX</v>
          </cell>
          <cell r="H588" t="str">
            <v>Rea Autopista Gpe Cadereyta Jim Mex</v>
          </cell>
          <cell r="I588" t="str">
            <v>Transaction cost</v>
          </cell>
          <cell r="J588" t="str">
            <v>Caseta liberaciones PO 1394</v>
          </cell>
          <cell r="K588" t="str">
            <v>b4252f2f-7a74-4c99-8c0a-5e9deb8c1449</v>
          </cell>
          <cell r="L588">
            <v>0</v>
          </cell>
          <cell r="M588">
            <v>0</v>
          </cell>
          <cell r="N588">
            <v>0</v>
          </cell>
          <cell r="O588">
            <v>0</v>
          </cell>
          <cell r="Q588" t="str">
            <v>173.01.002 Gastos por inspecciones de calidad</v>
          </cell>
        </row>
        <row r="589">
          <cell r="B589" t="str">
            <v>#49</v>
          </cell>
          <cell r="C589">
            <v>45813.024305555497</v>
          </cell>
          <cell r="D589">
            <v>61.2</v>
          </cell>
          <cell r="E589" t="str">
            <v>MXN</v>
          </cell>
          <cell r="F589" t="str">
            <v>Jahaziel Galan</v>
          </cell>
          <cell r="G589" t="str">
            <v>REA AUTOPISTA GPE      CADEREYTA JIM MEX</v>
          </cell>
          <cell r="H589" t="str">
            <v>Rea Autopista Gpe Cadereyta Jim Mex</v>
          </cell>
          <cell r="I589" t="str">
            <v>Transaction cost</v>
          </cell>
          <cell r="J589" t="str">
            <v>Comida liberacion Saltillo PO 1394</v>
          </cell>
          <cell r="K589" t="str">
            <v>D0301951-072C-4A6A-8D22-9B9D2C517102</v>
          </cell>
          <cell r="L589">
            <v>0</v>
          </cell>
          <cell r="M589">
            <v>0</v>
          </cell>
          <cell r="N589">
            <v>0</v>
          </cell>
          <cell r="O589">
            <v>0</v>
          </cell>
          <cell r="Q589" t="str">
            <v>173.01.002 Gastos por inspecciones de calidad</v>
          </cell>
        </row>
        <row r="590">
          <cell r="B590" t="str">
            <v>#49</v>
          </cell>
          <cell r="C590">
            <v>45814.779166666602</v>
          </cell>
          <cell r="D590">
            <v>150.09</v>
          </cell>
          <cell r="E590" t="str">
            <v>MXN</v>
          </cell>
          <cell r="F590" t="str">
            <v>Jahaziel Galan</v>
          </cell>
          <cell r="G590" t="str">
            <v>UBER* TRIP             CIUDAD DE MEX MEX</v>
          </cell>
          <cell r="H590" t="str">
            <v>Uber</v>
          </cell>
          <cell r="I590" t="str">
            <v>Transaction cost</v>
          </cell>
          <cell r="J590" t="str">
            <v>Caseta liberaciones PO 1394</v>
          </cell>
          <cell r="K590" t="str">
            <v>215a96b6-dcce-4592-82b7-7eea29cce306</v>
          </cell>
          <cell r="L590">
            <v>0</v>
          </cell>
          <cell r="M590">
            <v>0</v>
          </cell>
          <cell r="N590">
            <v>0</v>
          </cell>
          <cell r="O590">
            <v>0</v>
          </cell>
          <cell r="Q590" t="str">
            <v>173.01.002 Gastos por inspecciones de calidad</v>
          </cell>
        </row>
        <row r="591">
          <cell r="B591" t="str">
            <v>#49</v>
          </cell>
          <cell r="C591">
            <v>45814.880555555501</v>
          </cell>
          <cell r="D591">
            <v>266.42</v>
          </cell>
          <cell r="E591" t="str">
            <v>MXN</v>
          </cell>
          <cell r="F591" t="str">
            <v>Jahaziel Galan</v>
          </cell>
          <cell r="G591" t="str">
            <v>CSAM AV REYNOSA        GUADALUPE NL  MEX</v>
          </cell>
          <cell r="H591" t="str">
            <v>Csam Av Reynosa Guadalupe Nl Mex</v>
          </cell>
          <cell r="I591" t="str">
            <v>Transaction cost</v>
          </cell>
          <cell r="J591" t="str">
            <v>Gasolina visita a MPs PO 1394, 1569, 1667, 1675</v>
          </cell>
          <cell r="K591" t="str">
            <v>70a96e81-6bfb-4030-9625-96ec5a6b7a5c</v>
          </cell>
          <cell r="L591">
            <v>0</v>
          </cell>
          <cell r="M591">
            <v>0</v>
          </cell>
          <cell r="N591">
            <v>0</v>
          </cell>
          <cell r="O591">
            <v>0</v>
          </cell>
          <cell r="Q591" t="str">
            <v>173.01.002 Gastos por inspecciones de calidad</v>
          </cell>
        </row>
        <row r="592">
          <cell r="B592" t="str">
            <v>#49</v>
          </cell>
          <cell r="C592">
            <v>45815.0652777777</v>
          </cell>
          <cell r="D592">
            <v>49.09</v>
          </cell>
          <cell r="E592" t="str">
            <v>MXN</v>
          </cell>
          <cell r="F592" t="str">
            <v>Jahaziel Galan</v>
          </cell>
          <cell r="G592" t="str">
            <v>UBER* PENDING          CIUDAD DE MEX MEX</v>
          </cell>
          <cell r="H592" t="str">
            <v>Uber</v>
          </cell>
          <cell r="I592" t="str">
            <v>Transaction cost</v>
          </cell>
          <cell r="J592" t="str">
            <v>Caseta liberaciones PO 1394</v>
          </cell>
          <cell r="K592" t="str">
            <v>4d3bce70-60ac-4f59-8874-31590e692f60</v>
          </cell>
          <cell r="L592">
            <v>0</v>
          </cell>
          <cell r="M592">
            <v>0</v>
          </cell>
          <cell r="N592">
            <v>0</v>
          </cell>
          <cell r="O592">
            <v>0</v>
          </cell>
          <cell r="Q592" t="str">
            <v>173.01.002 Gastos por inspecciones de calidad</v>
          </cell>
        </row>
        <row r="593">
          <cell r="B593" t="str">
            <v>#49</v>
          </cell>
          <cell r="C593">
            <v>45815.078472222202</v>
          </cell>
          <cell r="D593">
            <v>242</v>
          </cell>
          <cell r="E593" t="str">
            <v>MXN</v>
          </cell>
          <cell r="F593" t="str">
            <v>Jahaziel Galan</v>
          </cell>
          <cell r="G593" t="str">
            <v>DLO*DIDI RIDES         CIUDAD DE MEX MEX</v>
          </cell>
          <cell r="H593" t="str">
            <v>Didi Chuxing</v>
          </cell>
          <cell r="I593" t="str">
            <v>Transaction cost</v>
          </cell>
          <cell r="J593" t="str">
            <v>Caseta liberaciones PO 1394</v>
          </cell>
          <cell r="K593" t="str">
            <v>36247c31-86eb-4c70-b806-3c74a177501c</v>
          </cell>
          <cell r="L593">
            <v>0</v>
          </cell>
          <cell r="M593">
            <v>0</v>
          </cell>
          <cell r="N593">
            <v>0</v>
          </cell>
          <cell r="O593">
            <v>0</v>
          </cell>
          <cell r="Q593" t="str">
            <v>173.01.002 Gastos por inspecciones de calidad</v>
          </cell>
        </row>
        <row r="594">
          <cell r="B594" t="str">
            <v>#49</v>
          </cell>
          <cell r="C594">
            <v>45815.208333333299</v>
          </cell>
          <cell r="D594">
            <v>565.54</v>
          </cell>
          <cell r="E594" t="str">
            <v>MXN</v>
          </cell>
          <cell r="F594" t="str">
            <v>Jahaziel Galan</v>
          </cell>
          <cell r="G594" t="str">
            <v>DLO*REST DIDIFOOD      CIUDAD DE MEX MEX</v>
          </cell>
          <cell r="H594" t="str">
            <v>Dlo Rest Didifood Ciudad De Mex Mex</v>
          </cell>
          <cell r="I594" t="str">
            <v>Transaction cost</v>
          </cell>
          <cell r="J594" t="str">
            <v>Caseta liberaciones PO 1394</v>
          </cell>
          <cell r="K594" t="str">
            <v>e116a8df-5b44-4906-ad7a-01d26003bef2</v>
          </cell>
          <cell r="L594">
            <v>0</v>
          </cell>
          <cell r="M594">
            <v>0</v>
          </cell>
          <cell r="N594">
            <v>0</v>
          </cell>
          <cell r="O594">
            <v>0</v>
          </cell>
          <cell r="Q594" t="str">
            <v>173.01.002 Gastos por inspecciones de calidad</v>
          </cell>
        </row>
        <row r="595">
          <cell r="B595" t="str">
            <v>#49</v>
          </cell>
          <cell r="C595">
            <v>45815.723611111098</v>
          </cell>
          <cell r="D595">
            <v>593.04</v>
          </cell>
          <cell r="E595" t="str">
            <v>MXN</v>
          </cell>
          <cell r="F595" t="str">
            <v>Jahaziel Galan</v>
          </cell>
          <cell r="G595" t="str">
            <v>UBER* EATS PENDING     CIUDAD DE MEX MEX</v>
          </cell>
          <cell r="H595" t="str">
            <v>Uber Eats</v>
          </cell>
          <cell r="I595" t="str">
            <v>Transaction cost</v>
          </cell>
          <cell r="J595" t="str">
            <v>Caseta liberaciones PO 1394</v>
          </cell>
          <cell r="K595">
            <v>0</v>
          </cell>
          <cell r="L595">
            <v>0</v>
          </cell>
          <cell r="M595">
            <v>0</v>
          </cell>
          <cell r="N595">
            <v>0</v>
          </cell>
          <cell r="O595">
            <v>0</v>
          </cell>
          <cell r="Q595" t="str">
            <v>173.01.002 Gastos por inspecciones de calidad</v>
          </cell>
        </row>
        <row r="596">
          <cell r="B596" t="str">
            <v>#49</v>
          </cell>
          <cell r="C596">
            <v>45816.105555555499</v>
          </cell>
          <cell r="D596">
            <v>1004.7</v>
          </cell>
          <cell r="E596" t="str">
            <v>MXN</v>
          </cell>
          <cell r="F596" t="str">
            <v>Jahaziel Galan</v>
          </cell>
          <cell r="G596" t="str">
            <v>OXXO GASTALAVERNA MTD  GUADALUPE NL  MEX</v>
          </cell>
          <cell r="H596" t="str">
            <v>Oxxo</v>
          </cell>
          <cell r="I596" t="str">
            <v>Transaction cost</v>
          </cell>
          <cell r="J596" t="str">
            <v>Caseta liberaciones PO 1394</v>
          </cell>
          <cell r="K596" t="str">
            <v>a0288038-1595-4437-ac56-7d77bca1b7d0</v>
          </cell>
          <cell r="L596">
            <v>0</v>
          </cell>
          <cell r="M596">
            <v>0</v>
          </cell>
          <cell r="N596">
            <v>0</v>
          </cell>
          <cell r="O596">
            <v>0</v>
          </cell>
          <cell r="Q596" t="str">
            <v>173.01.002 Gastos por inspecciones de calidad</v>
          </cell>
        </row>
        <row r="597">
          <cell r="B597" t="str">
            <v>#49</v>
          </cell>
          <cell r="C597">
            <v>45816.5131944444</v>
          </cell>
          <cell r="D597">
            <v>565.54</v>
          </cell>
          <cell r="E597" t="str">
            <v>MXN</v>
          </cell>
          <cell r="F597" t="str">
            <v>Jahaziel Galan</v>
          </cell>
          <cell r="G597" t="str">
            <v>20250606T01:01:01/DLO*REST DIDIFOOD\UNKNOWN\UNKNOWN\06600        MEX</v>
          </cell>
          <cell r="H597" t="str">
            <v>T :01/Dlo Rest Didifood\Unknown\Unknown\ Mex</v>
          </cell>
          <cell r="I597" t="str">
            <v>Transaction cost</v>
          </cell>
          <cell r="J597" t="str">
            <v>Caseta liberaciones PO 1394</v>
          </cell>
          <cell r="K597" t="str">
            <v>c5697e02-abb5-454f-a00a-d969a3d6f0e5</v>
          </cell>
          <cell r="L597">
            <v>0</v>
          </cell>
          <cell r="M597">
            <v>0</v>
          </cell>
          <cell r="N597">
            <v>0</v>
          </cell>
          <cell r="O597">
            <v>0</v>
          </cell>
          <cell r="Q597" t="str">
            <v>173.01.002 Gastos por inspecciones de calidad</v>
          </cell>
        </row>
        <row r="598">
          <cell r="B598" t="str">
            <v>#49</v>
          </cell>
          <cell r="C598">
            <v>45819.845138888799</v>
          </cell>
          <cell r="D598">
            <v>74</v>
          </cell>
          <cell r="E598" t="str">
            <v>MXN</v>
          </cell>
          <cell r="F598" t="str">
            <v>Jahaziel Galan</v>
          </cell>
          <cell r="G598" t="str">
            <v>MERCADOPAGO *TOOLSIS   Guadalupe     MEX</v>
          </cell>
          <cell r="H598" t="str">
            <v>Mercadopago</v>
          </cell>
          <cell r="I598" t="str">
            <v>Transaction cost</v>
          </cell>
          <cell r="J598" t="str">
            <v>Comida liberacion con Equipo Foraneo PO1394</v>
          </cell>
          <cell r="K598" t="str">
            <v>865b3f90-43bc-4bf3-aad2-fe2e25186a3d</v>
          </cell>
          <cell r="L598">
            <v>0</v>
          </cell>
          <cell r="M598">
            <v>0</v>
          </cell>
          <cell r="N598">
            <v>0</v>
          </cell>
          <cell r="O598">
            <v>0</v>
          </cell>
          <cell r="Q598" t="str">
            <v>173.01.002 Gastos por inspecciones de calidad</v>
          </cell>
        </row>
        <row r="599">
          <cell r="B599" t="str">
            <v>#49</v>
          </cell>
          <cell r="C599">
            <v>45821.013888888803</v>
          </cell>
          <cell r="D599">
            <v>254</v>
          </cell>
          <cell r="E599" t="str">
            <v>MXN</v>
          </cell>
          <cell r="F599" t="str">
            <v>Jahaziel Galan</v>
          </cell>
          <cell r="G599" t="str">
            <v>DLO*DiDi MX Payin Ride MEXICO        MEX</v>
          </cell>
          <cell r="H599" t="str">
            <v>Dlo Didi Mx Payin Ride Mexico Mex</v>
          </cell>
          <cell r="I599" t="str">
            <v>Transaction cost</v>
          </cell>
          <cell r="J599" t="str">
            <v>Gasolina visita a MPs PO 1394, 1569, 1667, 1675</v>
          </cell>
          <cell r="K599" t="str">
            <v>0aa2212a-3d60-496a-a22a-762b209a2d9f</v>
          </cell>
          <cell r="L599">
            <v>0</v>
          </cell>
          <cell r="M599">
            <v>0</v>
          </cell>
          <cell r="N599">
            <v>0</v>
          </cell>
          <cell r="O599">
            <v>0</v>
          </cell>
          <cell r="Q599" t="str">
            <v>173.01.002 Gastos por inspecciones de calidad</v>
          </cell>
        </row>
        <row r="600">
          <cell r="B600" t="str">
            <v>#49</v>
          </cell>
          <cell r="C600">
            <v>45821.019444444399</v>
          </cell>
          <cell r="D600">
            <v>42.07</v>
          </cell>
          <cell r="E600" t="str">
            <v>MXN</v>
          </cell>
          <cell r="F600" t="str">
            <v>Jahaziel Galan</v>
          </cell>
          <cell r="G600" t="str">
            <v>UBER* PENDING          CIUDAD DE MEX MEX</v>
          </cell>
          <cell r="H600" t="str">
            <v>Uber</v>
          </cell>
          <cell r="I600" t="str">
            <v>Transaction cost</v>
          </cell>
          <cell r="J600" t="str">
            <v>Hidratación retrabajo PO 1394</v>
          </cell>
          <cell r="K600" t="str">
            <v>22eda9c9-2796-430e-b662-28c29c941d8e</v>
          </cell>
          <cell r="L600">
            <v>0</v>
          </cell>
          <cell r="M600">
            <v>0</v>
          </cell>
          <cell r="N600">
            <v>0</v>
          </cell>
          <cell r="O600">
            <v>0</v>
          </cell>
          <cell r="Q600" t="str">
            <v>173.01.002 Gastos por inspecciones de calidad</v>
          </cell>
        </row>
        <row r="601">
          <cell r="B601" t="str">
            <v>#49</v>
          </cell>
          <cell r="C601">
            <v>45821.668055555499</v>
          </cell>
          <cell r="D601">
            <v>61.2</v>
          </cell>
          <cell r="E601" t="str">
            <v>MXN</v>
          </cell>
          <cell r="F601" t="str">
            <v>Jahaziel Galan</v>
          </cell>
          <cell r="G601" t="str">
            <v>REA AUTOPISTA GPE      CADEREYTA JIM MEX</v>
          </cell>
          <cell r="H601" t="str">
            <v>Rea Autopista Gpe Cadereyta Jim Mex</v>
          </cell>
          <cell r="I601" t="str">
            <v>Transaction cost</v>
          </cell>
          <cell r="J601" t="str">
            <v>Comida liberacion con Equipo Foraneo PO1394</v>
          </cell>
          <cell r="K601" t="str">
            <v>.</v>
          </cell>
          <cell r="L601">
            <v>0</v>
          </cell>
          <cell r="M601">
            <v>0</v>
          </cell>
          <cell r="N601">
            <v>0</v>
          </cell>
          <cell r="O601">
            <v>0</v>
          </cell>
          <cell r="Q601" t="str">
            <v>173.01.002 Gastos por inspecciones de calidad</v>
          </cell>
        </row>
        <row r="602">
          <cell r="B602" t="str">
            <v>#49</v>
          </cell>
          <cell r="C602">
            <v>45821.681250000001</v>
          </cell>
          <cell r="D602">
            <v>77.5</v>
          </cell>
          <cell r="E602" t="str">
            <v>MXN</v>
          </cell>
          <cell r="F602" t="str">
            <v>Jahaziel Galan</v>
          </cell>
          <cell r="G602" t="str">
            <v>RED ESTATAL DE AUTOPIS APODACA NL    MEX</v>
          </cell>
          <cell r="H602" t="str">
            <v>Red Estatal De Autopis Apodaca Nl Mex</v>
          </cell>
          <cell r="I602" t="str">
            <v>Transaction cost</v>
          </cell>
          <cell r="J602" t="str">
            <v>Hidratación retrabajo PO 1394</v>
          </cell>
          <cell r="K602" t="str">
            <v>.</v>
          </cell>
          <cell r="L602">
            <v>0</v>
          </cell>
          <cell r="M602">
            <v>0</v>
          </cell>
          <cell r="N602">
            <v>0</v>
          </cell>
          <cell r="O602">
            <v>0</v>
          </cell>
          <cell r="Q602" t="str">
            <v>173.01.002 Gastos por inspecciones de calidad</v>
          </cell>
        </row>
        <row r="603">
          <cell r="B603" t="str">
            <v>#49</v>
          </cell>
          <cell r="C603">
            <v>45821.694444444402</v>
          </cell>
          <cell r="D603">
            <v>126.5</v>
          </cell>
          <cell r="E603" t="str">
            <v>MXN</v>
          </cell>
          <cell r="F603" t="str">
            <v>Jahaziel Galan</v>
          </cell>
          <cell r="G603" t="str">
            <v>7 ELEVEN C MILITAR     APODACA NL    MEX</v>
          </cell>
          <cell r="H603" t="str">
            <v>7 Eleven</v>
          </cell>
          <cell r="I603" t="str">
            <v>Transaction cost</v>
          </cell>
          <cell r="J603" t="str">
            <v>Caseta liberaciones PO 1394</v>
          </cell>
          <cell r="K603" t="str">
            <v>23f15657-28c7-4462-b6fc-3eb8bc5cb21a</v>
          </cell>
          <cell r="L603">
            <v>0</v>
          </cell>
          <cell r="M603">
            <v>0</v>
          </cell>
          <cell r="N603">
            <v>0</v>
          </cell>
          <cell r="O603">
            <v>0</v>
          </cell>
          <cell r="Q603" t="str">
            <v>173.01.002 Gastos por inspecciones de calidad</v>
          </cell>
        </row>
        <row r="604">
          <cell r="B604" t="str">
            <v>#49</v>
          </cell>
          <cell r="C604">
            <v>45822.541666666599</v>
          </cell>
          <cell r="D604">
            <v>1005.47</v>
          </cell>
          <cell r="E604" t="str">
            <v>MXN</v>
          </cell>
          <cell r="F604" t="str">
            <v>Jahaziel Galan</v>
          </cell>
          <cell r="G604" t="str">
            <v>GAS GUADALUPE          GUADALUPE NL  MEX</v>
          </cell>
          <cell r="H604" t="str">
            <v>Gas Guadalupe Guadalupe Nl Mex</v>
          </cell>
          <cell r="I604" t="str">
            <v>Transaction cost</v>
          </cell>
          <cell r="J604" t="str">
            <v>Caseta liberaciones PO 1394</v>
          </cell>
          <cell r="K604" t="str">
            <v>f5ff8426-4c7d-4d96-8df6-826ff20e5f69</v>
          </cell>
          <cell r="L604">
            <v>0</v>
          </cell>
          <cell r="M604">
            <v>0</v>
          </cell>
          <cell r="N604">
            <v>0</v>
          </cell>
          <cell r="O604">
            <v>0</v>
          </cell>
          <cell r="Q604" t="str">
            <v>173.01.002 Gastos por inspecciones de calidad</v>
          </cell>
        </row>
        <row r="605">
          <cell r="B605" t="str">
            <v>#49</v>
          </cell>
          <cell r="C605">
            <v>45824.661805555501</v>
          </cell>
          <cell r="D605">
            <v>266.7</v>
          </cell>
          <cell r="E605" t="str">
            <v>MXN</v>
          </cell>
          <cell r="F605" t="str">
            <v>Jahaziel Galan</v>
          </cell>
          <cell r="G605" t="str">
            <v>UBER* PENDING          CIUDAD DE MEX MEX</v>
          </cell>
          <cell r="H605" t="str">
            <v>Uber</v>
          </cell>
          <cell r="I605" t="str">
            <v>Transaction cost</v>
          </cell>
          <cell r="J605" t="str">
            <v>Comida con cliente PO1394</v>
          </cell>
          <cell r="K605" t="str">
            <v>DA893749-A9E5-41FA-99AE-0764F15958D6</v>
          </cell>
          <cell r="L605">
            <v>0</v>
          </cell>
          <cell r="M605">
            <v>0</v>
          </cell>
          <cell r="N605">
            <v>0</v>
          </cell>
          <cell r="O605">
            <v>0</v>
          </cell>
          <cell r="Q605" t="str">
            <v>173.01.002 Gastos por inspecciones de calidad</v>
          </cell>
        </row>
        <row r="606">
          <cell r="B606" t="str">
            <v>#49</v>
          </cell>
          <cell r="C606">
            <v>45826.819444444402</v>
          </cell>
          <cell r="D606">
            <v>600</v>
          </cell>
          <cell r="E606" t="str">
            <v>MXN</v>
          </cell>
          <cell r="F606" t="str">
            <v>Jahaziel Galan</v>
          </cell>
          <cell r="G606" t="str">
            <v>GAS DIEGO DIAZ         SN NICOLAS DE MEX</v>
          </cell>
          <cell r="H606" t="str">
            <v>Gas Diego Diaz Sn Nicolas De Mex</v>
          </cell>
          <cell r="I606" t="str">
            <v>Transaction cost</v>
          </cell>
          <cell r="J606" t="str">
            <v>Caseta liberaciones PO 1394</v>
          </cell>
          <cell r="K606" t="str">
            <v>b1fc6a70-d3e6-4039-8092-7a9f2021d1f8</v>
          </cell>
          <cell r="L606">
            <v>0</v>
          </cell>
          <cell r="M606">
            <v>0</v>
          </cell>
          <cell r="N606">
            <v>0</v>
          </cell>
          <cell r="O606">
            <v>0</v>
          </cell>
          <cell r="Q606" t="str">
            <v>173.01.002 Gastos por inspecciones de calidad</v>
          </cell>
        </row>
        <row r="607">
          <cell r="B607" t="str">
            <v>#49</v>
          </cell>
          <cell r="C607">
            <v>45826.861805555498</v>
          </cell>
          <cell r="D607">
            <v>13374.86</v>
          </cell>
          <cell r="E607" t="str">
            <v>MXN</v>
          </cell>
          <cell r="F607" t="str">
            <v>Jahaziel Galan</v>
          </cell>
          <cell r="G607" t="str">
            <v>TREVISA                SN NCLAS D LO MEX</v>
          </cell>
          <cell r="H607" t="str">
            <v>Trevisa Sn Nclas D Lo Mex</v>
          </cell>
          <cell r="I607" t="str">
            <v>Transaction cost</v>
          </cell>
          <cell r="J607" t="str">
            <v>Caseta liberaciones PO 1394</v>
          </cell>
          <cell r="K607" t="str">
            <v>ecf1ae99-be0f-4e50-a85a-79045b49f75e</v>
          </cell>
          <cell r="L607">
            <v>0</v>
          </cell>
          <cell r="M607">
            <v>0</v>
          </cell>
          <cell r="N607">
            <v>0</v>
          </cell>
          <cell r="O607">
            <v>0</v>
          </cell>
          <cell r="Q607" t="str">
            <v>173.01.002 Gastos por inspecciones de calidad</v>
          </cell>
        </row>
        <row r="608">
          <cell r="B608" t="str">
            <v>#49</v>
          </cell>
          <cell r="C608">
            <v>45826.907638888799</v>
          </cell>
          <cell r="D608">
            <v>94.96</v>
          </cell>
          <cell r="E608" t="str">
            <v>MXN</v>
          </cell>
          <cell r="F608" t="str">
            <v>Jahaziel Galan</v>
          </cell>
          <cell r="G608" t="str">
            <v>UBER* PENDING          CIUDAD DE MEX MEX</v>
          </cell>
          <cell r="H608" t="str">
            <v>Uber</v>
          </cell>
          <cell r="I608" t="str">
            <v>Transaction cost</v>
          </cell>
          <cell r="J608" t="str">
            <v>Caseta liberaciones PO 1394</v>
          </cell>
          <cell r="K608" t="str">
            <v>441700e1-b60c-4bdb-8d0c-f66d6c5b3f22</v>
          </cell>
          <cell r="L608">
            <v>0</v>
          </cell>
          <cell r="M608">
            <v>0</v>
          </cell>
          <cell r="N608">
            <v>0</v>
          </cell>
          <cell r="O608">
            <v>0</v>
          </cell>
          <cell r="Q608" t="str">
            <v>173.01.002 Gastos por inspecciones de calidad</v>
          </cell>
        </row>
        <row r="609">
          <cell r="B609" t="str">
            <v>#49</v>
          </cell>
          <cell r="C609">
            <v>45828.860416666597</v>
          </cell>
          <cell r="D609">
            <v>226.2</v>
          </cell>
          <cell r="E609" t="str">
            <v>MXN</v>
          </cell>
          <cell r="F609" t="str">
            <v>Jahaziel Galan</v>
          </cell>
          <cell r="G609" t="str">
            <v>MERCADOPAGO *MANGUERA  Ciudad de Mex MEX</v>
          </cell>
          <cell r="H609" t="str">
            <v>Mercadopago</v>
          </cell>
          <cell r="I609" t="str">
            <v>Transaction cost</v>
          </cell>
          <cell r="J609" t="str">
            <v>Hidratación retrabajo PO 1394</v>
          </cell>
          <cell r="K609" t="str">
            <v>ed51346d-78e8-4f29-a9d6-605034af2740</v>
          </cell>
          <cell r="L609">
            <v>0</v>
          </cell>
          <cell r="M609">
            <v>0</v>
          </cell>
          <cell r="N609">
            <v>0</v>
          </cell>
          <cell r="O609">
            <v>0</v>
          </cell>
          <cell r="Q609" t="str">
            <v>173.01.002 Gastos por inspecciones de calidad</v>
          </cell>
        </row>
        <row r="610">
          <cell r="B610" t="str">
            <v>#49</v>
          </cell>
          <cell r="C610">
            <v>45828.904166666602</v>
          </cell>
          <cell r="D610">
            <v>69.55</v>
          </cell>
          <cell r="E610" t="str">
            <v>MXN</v>
          </cell>
          <cell r="F610" t="str">
            <v>Jahaziel Galan</v>
          </cell>
          <cell r="G610" t="str">
            <v>TREVISA                SN NCLAS D LO MEX</v>
          </cell>
          <cell r="H610" t="str">
            <v>Trevisa Sn Nclas D Lo Mex</v>
          </cell>
          <cell r="I610" t="str">
            <v>Transaction cost</v>
          </cell>
          <cell r="J610" t="str">
            <v>Herramienta para retrabajo PO 1394</v>
          </cell>
          <cell r="K610" t="str">
            <v>1480e3c3-bd44-4a4d-978c-43300f710d5a</v>
          </cell>
          <cell r="L610">
            <v>0</v>
          </cell>
          <cell r="M610">
            <v>0</v>
          </cell>
          <cell r="N610">
            <v>0</v>
          </cell>
          <cell r="O610">
            <v>0</v>
          </cell>
          <cell r="Q610" t="str">
            <v>173.01.002 Gastos por inspecciones de calidad</v>
          </cell>
        </row>
        <row r="611">
          <cell r="B611" t="str">
            <v>#49</v>
          </cell>
          <cell r="C611">
            <v>45831.7319444444</v>
          </cell>
          <cell r="D611">
            <v>260.45999999999998</v>
          </cell>
          <cell r="E611" t="str">
            <v>MXN</v>
          </cell>
          <cell r="F611" t="str">
            <v>Jahaziel Galan</v>
          </cell>
          <cell r="G611" t="str">
            <v>UBER* PENDING          CIUDAD DE MEX MEX</v>
          </cell>
          <cell r="H611" t="str">
            <v>Uber</v>
          </cell>
          <cell r="I611" t="str">
            <v>Transaction cost</v>
          </cell>
          <cell r="J611" t="str">
            <v>Hidratación retrabajo PO 1394</v>
          </cell>
          <cell r="K611" t="str">
            <v>96e91186-2fbe-415e-b498-a8ddbec8fef3</v>
          </cell>
          <cell r="L611">
            <v>0</v>
          </cell>
          <cell r="M611">
            <v>0</v>
          </cell>
          <cell r="N611">
            <v>0</v>
          </cell>
          <cell r="O611">
            <v>0</v>
          </cell>
          <cell r="Q611" t="str">
            <v>173.01.002 Gastos por inspecciones de calidad</v>
          </cell>
        </row>
        <row r="612">
          <cell r="B612" t="str">
            <v>#49</v>
          </cell>
          <cell r="C612">
            <v>45832.688888888799</v>
          </cell>
          <cell r="D612">
            <v>11136</v>
          </cell>
          <cell r="E612" t="str">
            <v>MXN</v>
          </cell>
          <cell r="F612" t="str">
            <v>Jahaziel Galan</v>
          </cell>
          <cell r="G612" t="str">
            <v>AUTOP BYMESA           MONTERREY NL  MEX</v>
          </cell>
          <cell r="H612" t="str">
            <v>Autop Bymesa Monterrey Nl Mex</v>
          </cell>
          <cell r="I612" t="str">
            <v>Transaction cost</v>
          </cell>
          <cell r="J612" t="str">
            <v>Herramienta para retrabajo PO 1394</v>
          </cell>
          <cell r="K612" t="str">
            <v>4395B491-46C5-314D-AD2F-95B7B805DD0B</v>
          </cell>
          <cell r="L612">
            <v>0</v>
          </cell>
          <cell r="M612">
            <v>0</v>
          </cell>
          <cell r="N612">
            <v>0</v>
          </cell>
          <cell r="O612">
            <v>0</v>
          </cell>
          <cell r="Q612" t="str">
            <v>173.01.002 Gastos por inspecciones de calidad</v>
          </cell>
        </row>
        <row r="613">
          <cell r="B613" t="str">
            <v>#49</v>
          </cell>
          <cell r="C613">
            <v>45834.2097222222</v>
          </cell>
          <cell r="D613">
            <v>700</v>
          </cell>
          <cell r="E613" t="str">
            <v>MXN</v>
          </cell>
          <cell r="F613" t="str">
            <v>Jahaziel Galan</v>
          </cell>
          <cell r="G613" t="str">
            <v>OXXO GASTALAVERNA MTD  GUADALUPE NL  MEX</v>
          </cell>
          <cell r="H613" t="str">
            <v>Oxxo</v>
          </cell>
          <cell r="I613" t="str">
            <v>Transaction cost</v>
          </cell>
          <cell r="J613" t="str">
            <v>Hidratación retrabajo PO 1394</v>
          </cell>
          <cell r="K613" t="str">
            <v>5c5179fb-483e-46db-a0d6-6db30eb9eb54</v>
          </cell>
          <cell r="L613">
            <v>0</v>
          </cell>
          <cell r="M613">
            <v>0</v>
          </cell>
          <cell r="N613">
            <v>0</v>
          </cell>
          <cell r="O613">
            <v>0</v>
          </cell>
          <cell r="Q613" t="str">
            <v>173.01.002 Gastos por inspecciones de calidad</v>
          </cell>
        </row>
        <row r="614">
          <cell r="B614" t="str">
            <v>#51</v>
          </cell>
          <cell r="C614">
            <v>45810.668749999997</v>
          </cell>
          <cell r="D614">
            <v>150</v>
          </cell>
          <cell r="E614" t="str">
            <v>MXN</v>
          </cell>
          <cell r="F614" t="str">
            <v>Saul Murillo</v>
          </cell>
          <cell r="G614" t="str">
            <v>DLO*DIDI RIDES         CIUDAD DE MEX MEX</v>
          </cell>
          <cell r="H614" t="str">
            <v>Didi Chuxing</v>
          </cell>
          <cell r="I614" t="str">
            <v>Transaction cost</v>
          </cell>
          <cell r="J614" t="str">
            <v>PO 1640 VISITA A IMESA</v>
          </cell>
          <cell r="K614">
            <v>0</v>
          </cell>
          <cell r="L614">
            <v>0</v>
          </cell>
          <cell r="M614">
            <v>0</v>
          </cell>
          <cell r="N614">
            <v>0</v>
          </cell>
          <cell r="O614">
            <v>0</v>
          </cell>
          <cell r="Q614" t="str">
            <v>173.01.002 Gastos por inspecciones de calidad</v>
          </cell>
        </row>
        <row r="615">
          <cell r="B615" t="str">
            <v>#51</v>
          </cell>
          <cell r="C615">
            <v>45810.947916666599</v>
          </cell>
          <cell r="D615">
            <v>185.73</v>
          </cell>
          <cell r="E615" t="str">
            <v>MXN</v>
          </cell>
          <cell r="F615" t="str">
            <v>Saul Murillo</v>
          </cell>
          <cell r="G615" t="str">
            <v>UBER* PENDING          CIUDAD DE MEX MEX</v>
          </cell>
          <cell r="H615" t="str">
            <v>Uber</v>
          </cell>
          <cell r="I615" t="str">
            <v>Transaction cost</v>
          </cell>
          <cell r="J615" t="str">
            <v>PO 1640 VISITA A IMESA</v>
          </cell>
          <cell r="K615" t="str">
            <v>3CC40C9A-973A-59E9-B1BC-A5F5D68A3925</v>
          </cell>
          <cell r="L615">
            <v>0</v>
          </cell>
          <cell r="M615">
            <v>0</v>
          </cell>
          <cell r="N615">
            <v>0</v>
          </cell>
          <cell r="O615">
            <v>0</v>
          </cell>
          <cell r="Q615" t="str">
            <v>173.01.002 Gastos por inspecciones de calidad</v>
          </cell>
        </row>
        <row r="616">
          <cell r="B616" t="str">
            <v>#51</v>
          </cell>
          <cell r="C616">
            <v>45812.710416666603</v>
          </cell>
          <cell r="D616">
            <v>182.02</v>
          </cell>
          <cell r="E616" t="str">
            <v>MXN</v>
          </cell>
          <cell r="F616" t="str">
            <v>Saul Murillo</v>
          </cell>
          <cell r="G616" t="str">
            <v>UBER* PENDING          CIUDAD DE MEX MEX</v>
          </cell>
          <cell r="H616" t="str">
            <v>Uber</v>
          </cell>
          <cell r="I616" t="str">
            <v>Transaction cost</v>
          </cell>
          <cell r="J616" t="str">
            <v>PO 1640 VISITA A IMESA</v>
          </cell>
          <cell r="K616">
            <v>0</v>
          </cell>
          <cell r="L616">
            <v>0</v>
          </cell>
          <cell r="M616">
            <v>0</v>
          </cell>
          <cell r="N616">
            <v>0</v>
          </cell>
          <cell r="O616">
            <v>0</v>
          </cell>
          <cell r="Q616" t="str">
            <v>173.01.002 Gastos por inspecciones de calidad</v>
          </cell>
        </row>
        <row r="617">
          <cell r="B617" t="str">
            <v>#51</v>
          </cell>
          <cell r="C617">
            <v>45813.871527777701</v>
          </cell>
          <cell r="D617">
            <v>152.18</v>
          </cell>
          <cell r="E617" t="str">
            <v>MXN</v>
          </cell>
          <cell r="F617" t="str">
            <v>Saul Murillo</v>
          </cell>
          <cell r="G617" t="str">
            <v>UBER* PENDING          CIUDAD DE MEX MEX</v>
          </cell>
          <cell r="H617" t="str">
            <v>Uber</v>
          </cell>
          <cell r="I617" t="str">
            <v>Transaction cost</v>
          </cell>
          <cell r="J617" t="str">
            <v xml:space="preserve">RFQ 820 ENVÍO DE MUESTRA A PROVEEDOR DE CROMADO </v>
          </cell>
          <cell r="K617" t="str">
            <v>FA046750-BD4D-5D5F-B53A-334F3B3810D8</v>
          </cell>
          <cell r="L617">
            <v>0</v>
          </cell>
          <cell r="M617">
            <v>0</v>
          </cell>
          <cell r="N617">
            <v>0</v>
          </cell>
          <cell r="O617">
            <v>0</v>
          </cell>
          <cell r="Q617" t="str">
            <v>173.01.002 Gastos por inspecciones de calidad</v>
          </cell>
        </row>
        <row r="618">
          <cell r="B618" t="str">
            <v>#51</v>
          </cell>
          <cell r="C618">
            <v>45814.665277777698</v>
          </cell>
          <cell r="D618">
            <v>137.9</v>
          </cell>
          <cell r="E618" t="str">
            <v>MXN</v>
          </cell>
          <cell r="F618" t="str">
            <v>Saul Murillo</v>
          </cell>
          <cell r="G618" t="str">
            <v>DLO*DIDI RIDES         CIUDAD DE MEX MEX</v>
          </cell>
          <cell r="H618" t="str">
            <v>Didi Chuxing</v>
          </cell>
          <cell r="I618" t="str">
            <v>Transaction cost</v>
          </cell>
          <cell r="J618" t="str">
            <v>PO 1640 VISITA A IMESA</v>
          </cell>
          <cell r="K618">
            <v>0</v>
          </cell>
          <cell r="L618">
            <v>0</v>
          </cell>
          <cell r="M618">
            <v>0</v>
          </cell>
          <cell r="N618">
            <v>0</v>
          </cell>
          <cell r="O618">
            <v>0</v>
          </cell>
          <cell r="Q618" t="str">
            <v>173.01.002 Gastos por inspecciones de calidad</v>
          </cell>
        </row>
        <row r="619">
          <cell r="B619" t="str">
            <v>#51</v>
          </cell>
          <cell r="C619">
            <v>45814.953472222202</v>
          </cell>
          <cell r="D619">
            <v>237.76</v>
          </cell>
          <cell r="E619" t="str">
            <v>MXN</v>
          </cell>
          <cell r="F619" t="str">
            <v>Saul Murillo</v>
          </cell>
          <cell r="G619" t="str">
            <v>UBER *TRIP HELP.UBER.C CMX           MEX</v>
          </cell>
          <cell r="H619" t="str">
            <v>Uber</v>
          </cell>
          <cell r="I619" t="str">
            <v>Transaction cost</v>
          </cell>
          <cell r="J619" t="str">
            <v xml:space="preserve">RFQ 820 ENVÍO DE MUESTRA A PROVEEDOR DE CROMADO </v>
          </cell>
          <cell r="K619" t="str">
            <v>7A6F2ECF-6ACE-581B-84B2-03B8D73242BD</v>
          </cell>
          <cell r="L619">
            <v>0</v>
          </cell>
          <cell r="M619">
            <v>0</v>
          </cell>
          <cell r="N619">
            <v>0</v>
          </cell>
          <cell r="O619">
            <v>0</v>
          </cell>
          <cell r="Q619" t="str">
            <v>173.01.002 Gastos por inspecciones de calidad</v>
          </cell>
        </row>
        <row r="620">
          <cell r="B620" t="str">
            <v>#51</v>
          </cell>
          <cell r="C620">
            <v>45818.644444444399</v>
          </cell>
          <cell r="D620">
            <v>328.65</v>
          </cell>
          <cell r="E620" t="str">
            <v>MXN</v>
          </cell>
          <cell r="F620" t="str">
            <v>Saul Murillo</v>
          </cell>
          <cell r="G620" t="str">
            <v>UBER* PENDING          CIUDAD DE MEX MEX</v>
          </cell>
          <cell r="H620" t="str">
            <v>Uber</v>
          </cell>
          <cell r="I620" t="str">
            <v>Transaction cost</v>
          </cell>
          <cell r="J620" t="str">
            <v>PO 915 VISITA A PROTEMA</v>
          </cell>
          <cell r="K620" t="str">
            <v>56CED34F-42D5-5011-B604-D7F9820D6153</v>
          </cell>
          <cell r="L620">
            <v>0</v>
          </cell>
          <cell r="M620">
            <v>0</v>
          </cell>
          <cell r="N620">
            <v>0</v>
          </cell>
          <cell r="O620">
            <v>0</v>
          </cell>
          <cell r="Q620" t="str">
            <v>173.01.002 Gastos por inspecciones de calidad</v>
          </cell>
        </row>
        <row r="621">
          <cell r="B621" t="str">
            <v>#51</v>
          </cell>
          <cell r="C621">
            <v>45818.743750000001</v>
          </cell>
          <cell r="D621">
            <v>160.44</v>
          </cell>
          <cell r="E621" t="str">
            <v>MXN</v>
          </cell>
          <cell r="F621" t="str">
            <v>Saul Murillo</v>
          </cell>
          <cell r="G621" t="str">
            <v>UBER* PENDING          CIUDAD DE MEX MEX</v>
          </cell>
          <cell r="H621" t="str">
            <v>Uber</v>
          </cell>
          <cell r="I621" t="str">
            <v>Transaction cost</v>
          </cell>
          <cell r="J621" t="str">
            <v>PO 1640 VISITA A IMESA</v>
          </cell>
          <cell r="K621" t="str">
            <v>BE215C1F-19F7-57C1-A1A3-2C14ECD8FE24</v>
          </cell>
          <cell r="L621">
            <v>0</v>
          </cell>
          <cell r="M621">
            <v>0</v>
          </cell>
          <cell r="N621">
            <v>0</v>
          </cell>
          <cell r="O621">
            <v>0</v>
          </cell>
          <cell r="Q621" t="str">
            <v>173.01.002 Gastos por inspecciones de calidad</v>
          </cell>
        </row>
        <row r="622">
          <cell r="B622" t="str">
            <v>#51</v>
          </cell>
          <cell r="C622">
            <v>45818.859722222202</v>
          </cell>
          <cell r="D622">
            <v>363.88</v>
          </cell>
          <cell r="E622" t="str">
            <v>MXN</v>
          </cell>
          <cell r="F622" t="str">
            <v>Saul Murillo</v>
          </cell>
          <cell r="G622" t="str">
            <v>UBER* EATS PENDING     CIUDAD DE MEX MEX</v>
          </cell>
          <cell r="H622" t="str">
            <v>Uber Eats</v>
          </cell>
          <cell r="I622" t="str">
            <v>Transaction cost</v>
          </cell>
          <cell r="J622" t="str">
            <v>PO 1640 VISITA A IMESA</v>
          </cell>
          <cell r="K622">
            <v>0</v>
          </cell>
          <cell r="L622">
            <v>0</v>
          </cell>
          <cell r="M622">
            <v>0</v>
          </cell>
          <cell r="N622">
            <v>0</v>
          </cell>
          <cell r="O622">
            <v>0</v>
          </cell>
          <cell r="Q622" t="str">
            <v>173.01.002 Gastos por inspecciones de calidad</v>
          </cell>
        </row>
        <row r="623">
          <cell r="B623" t="str">
            <v>#51</v>
          </cell>
          <cell r="C623">
            <v>45818.927777777702</v>
          </cell>
          <cell r="D623">
            <v>71.17</v>
          </cell>
          <cell r="E623" t="str">
            <v>MXN</v>
          </cell>
          <cell r="F623" t="str">
            <v>Saul Murillo</v>
          </cell>
          <cell r="G623" t="str">
            <v>UBER* TRIP             CIUDAD DE MEX MEX</v>
          </cell>
          <cell r="H623" t="str">
            <v>Uber</v>
          </cell>
          <cell r="I623" t="str">
            <v>Transaction cost</v>
          </cell>
          <cell r="J623" t="str">
            <v>PO 1640 VISITA A IMESA</v>
          </cell>
          <cell r="K623">
            <v>0</v>
          </cell>
          <cell r="L623">
            <v>0</v>
          </cell>
          <cell r="M623">
            <v>0</v>
          </cell>
          <cell r="N623">
            <v>0</v>
          </cell>
          <cell r="O623">
            <v>0</v>
          </cell>
          <cell r="Q623" t="str">
            <v>173.01.002 Gastos por inspecciones de calidad</v>
          </cell>
        </row>
        <row r="624">
          <cell r="B624" t="str">
            <v>#51</v>
          </cell>
          <cell r="C624">
            <v>45818.936111111099</v>
          </cell>
          <cell r="D624">
            <v>173.28</v>
          </cell>
          <cell r="E624" t="str">
            <v>MXN</v>
          </cell>
          <cell r="F624" t="str">
            <v>Saul Murillo</v>
          </cell>
          <cell r="G624" t="str">
            <v>UBER* PENDING          CIUDAD DE MEX MEX</v>
          </cell>
          <cell r="H624" t="str">
            <v>Uber</v>
          </cell>
          <cell r="I624" t="str">
            <v>Transaction cost</v>
          </cell>
          <cell r="J624" t="str">
            <v>PO 1640 VISITA A IMESA</v>
          </cell>
          <cell r="K624" t="str">
            <v>0A604A31-F9F6-5A86-B7AE-A760C3B640AC</v>
          </cell>
          <cell r="L624">
            <v>0</v>
          </cell>
          <cell r="M624">
            <v>0</v>
          </cell>
          <cell r="N624">
            <v>0</v>
          </cell>
          <cell r="O624">
            <v>0</v>
          </cell>
          <cell r="Q624" t="str">
            <v>173.01.002 Gastos por inspecciones de calidad</v>
          </cell>
        </row>
        <row r="625">
          <cell r="B625" t="str">
            <v>#51</v>
          </cell>
          <cell r="C625">
            <v>45819.826388888803</v>
          </cell>
          <cell r="D625">
            <v>212.5</v>
          </cell>
          <cell r="E625" t="str">
            <v>MXN</v>
          </cell>
          <cell r="F625" t="str">
            <v>Saul Murillo</v>
          </cell>
          <cell r="G625" t="str">
            <v>UBER* PENDING          CIUDAD DE MEX MEX</v>
          </cell>
          <cell r="H625" t="str">
            <v>Uber</v>
          </cell>
          <cell r="I625" t="str">
            <v>Transaction cost</v>
          </cell>
          <cell r="J625" t="str">
            <v>RFQ 820 VISITA A APACHE</v>
          </cell>
          <cell r="K625" t="str">
            <v>9AEA8CEC-63B9-5322-873A-74154A72099D</v>
          </cell>
          <cell r="L625">
            <v>0</v>
          </cell>
          <cell r="M625">
            <v>0</v>
          </cell>
          <cell r="N625">
            <v>0</v>
          </cell>
          <cell r="O625">
            <v>0</v>
          </cell>
          <cell r="Q625" t="str">
            <v>173.01.002 Gastos por inspecciones de calidad</v>
          </cell>
        </row>
        <row r="626">
          <cell r="B626" t="str">
            <v>#51</v>
          </cell>
          <cell r="C626">
            <v>45820.890972222202</v>
          </cell>
          <cell r="D626">
            <v>734.8</v>
          </cell>
          <cell r="E626" t="str">
            <v>MXN</v>
          </cell>
          <cell r="F626" t="str">
            <v>Saul Murillo</v>
          </cell>
          <cell r="G626" t="str">
            <v>MITSPUG*REST LOS OVNIS MIGUEL HIDALG MEX</v>
          </cell>
          <cell r="H626" t="str">
            <v>Mitspug Rest Los Ovnis Miguel Hidalg Mex</v>
          </cell>
          <cell r="I626" t="str">
            <v>Transaction cost</v>
          </cell>
          <cell r="J626" t="str">
            <v>RFQ 820 VISITA A APACHE</v>
          </cell>
          <cell r="K626">
            <v>0</v>
          </cell>
          <cell r="L626">
            <v>0</v>
          </cell>
          <cell r="M626">
            <v>0</v>
          </cell>
          <cell r="N626">
            <v>0</v>
          </cell>
          <cell r="O626">
            <v>0</v>
          </cell>
          <cell r="Q626" t="str">
            <v>173.01.002 Gastos por inspecciones de calidad</v>
          </cell>
        </row>
        <row r="627">
          <cell r="B627" t="str">
            <v>#51</v>
          </cell>
          <cell r="C627">
            <v>45820.930555555497</v>
          </cell>
          <cell r="D627">
            <v>402.49</v>
          </cell>
          <cell r="E627" t="str">
            <v>MXN</v>
          </cell>
          <cell r="F627" t="str">
            <v>Saul Murillo</v>
          </cell>
          <cell r="G627" t="str">
            <v>UBER* PENDING          CIUDAD DE MEX MEX</v>
          </cell>
          <cell r="H627" t="str">
            <v>Uber</v>
          </cell>
          <cell r="I627" t="str">
            <v>Transaction cost</v>
          </cell>
          <cell r="J627" t="str">
            <v>RFQ 820 VISITA A APACHE</v>
          </cell>
          <cell r="K627" t="str">
            <v>BDEDF79D-E043-5F5F-A0DA-D992D3425B03</v>
          </cell>
          <cell r="L627">
            <v>0</v>
          </cell>
          <cell r="M627">
            <v>0</v>
          </cell>
          <cell r="N627">
            <v>0</v>
          </cell>
          <cell r="O627">
            <v>0</v>
          </cell>
          <cell r="Q627" t="str">
            <v>173.01.002 Gastos por inspecciones de calidad</v>
          </cell>
        </row>
        <row r="628">
          <cell r="B628" t="str">
            <v>#51</v>
          </cell>
          <cell r="C628">
            <v>45821.823611111096</v>
          </cell>
          <cell r="D628">
            <v>5172.93</v>
          </cell>
          <cell r="E628" t="str">
            <v>MXN</v>
          </cell>
          <cell r="F628" t="str">
            <v>Saul Murillo</v>
          </cell>
          <cell r="G628" t="str">
            <v>EXPEDIA MEXICO         CIUDAD DE MEX MEX</v>
          </cell>
          <cell r="H628" t="str">
            <v>Expedia</v>
          </cell>
          <cell r="I628" t="str">
            <v>Transaction cost</v>
          </cell>
          <cell r="J628" t="str">
            <v>PO 1640 VISITA A IMESA TAMPICO</v>
          </cell>
          <cell r="K628" t="str">
            <v>d911f791-854b-407a-ab6b-cb8823acfb38</v>
          </cell>
          <cell r="L628">
            <v>0</v>
          </cell>
          <cell r="M628">
            <v>0</v>
          </cell>
          <cell r="N628">
            <v>0</v>
          </cell>
          <cell r="O628">
            <v>0</v>
          </cell>
          <cell r="Q628" t="str">
            <v>173.01.002 Gastos por inspecciones de calidad</v>
          </cell>
        </row>
        <row r="629">
          <cell r="B629" t="str">
            <v>#51</v>
          </cell>
          <cell r="C629">
            <v>45823.8479166666</v>
          </cell>
          <cell r="D629">
            <v>136.58000000000001</v>
          </cell>
          <cell r="E629" t="str">
            <v>MXN</v>
          </cell>
          <cell r="F629" t="str">
            <v>Saul Murillo</v>
          </cell>
          <cell r="G629" t="str">
            <v>UBER* PENDING          CIUDAD DE MEX MEX</v>
          </cell>
          <cell r="H629" t="str">
            <v>Uber</v>
          </cell>
          <cell r="I629" t="str">
            <v>Transaction cost</v>
          </cell>
          <cell r="J629" t="str">
            <v>PO 1640 VISITA A IMESA TAMPICO</v>
          </cell>
          <cell r="K629" t="str">
            <v>B968051F-F717-5F2B-9B6A-D77A76495863</v>
          </cell>
          <cell r="L629">
            <v>0</v>
          </cell>
          <cell r="M629">
            <v>0</v>
          </cell>
          <cell r="N629">
            <v>0</v>
          </cell>
          <cell r="O629">
            <v>0</v>
          </cell>
          <cell r="Q629" t="str">
            <v>173.01.002 Gastos por inspecciones de calidad</v>
          </cell>
        </row>
        <row r="630">
          <cell r="B630" t="str">
            <v>#51</v>
          </cell>
          <cell r="C630">
            <v>45825.143055555498</v>
          </cell>
          <cell r="D630">
            <v>92</v>
          </cell>
          <cell r="E630" t="str">
            <v>MXN</v>
          </cell>
          <cell r="F630" t="str">
            <v>Saul Murillo</v>
          </cell>
          <cell r="G630" t="str">
            <v>CAFE DEGAS HERRADURA   TAMPICO TAMPS MEX</v>
          </cell>
          <cell r="H630" t="str">
            <v>Cafe Degas Herradura Tampico Tamps Mex</v>
          </cell>
          <cell r="I630" t="str">
            <v>Transaction cost</v>
          </cell>
          <cell r="J630" t="str">
            <v>PO 1640 VISITA A IMESA TAMPICO</v>
          </cell>
          <cell r="K630">
            <v>0</v>
          </cell>
          <cell r="L630">
            <v>0</v>
          </cell>
          <cell r="M630">
            <v>0</v>
          </cell>
          <cell r="N630">
            <v>0</v>
          </cell>
          <cell r="O630">
            <v>0</v>
          </cell>
          <cell r="Q630" t="str">
            <v>173.01.002 Gastos por inspecciones de calidad</v>
          </cell>
        </row>
        <row r="631">
          <cell r="B631" t="str">
            <v>#51</v>
          </cell>
          <cell r="C631">
            <v>45825.754861111098</v>
          </cell>
          <cell r="D631">
            <v>169.5</v>
          </cell>
          <cell r="E631" t="str">
            <v>MXN</v>
          </cell>
          <cell r="F631" t="str">
            <v>Saul Murillo</v>
          </cell>
          <cell r="G631" t="str">
            <v>OXXOLA GARITA          TIHUATLAN VER MEX</v>
          </cell>
          <cell r="H631" t="str">
            <v>Oxxola Garita Tihuatlan Ver Mex</v>
          </cell>
          <cell r="I631" t="str">
            <v>Transaction cost</v>
          </cell>
          <cell r="J631" t="str">
            <v>PO 1640 VISITA A IMESA TAMPICO</v>
          </cell>
          <cell r="K631">
            <v>0</v>
          </cell>
          <cell r="L631">
            <v>0</v>
          </cell>
          <cell r="M631">
            <v>0</v>
          </cell>
          <cell r="N631">
            <v>0</v>
          </cell>
          <cell r="O631">
            <v>0</v>
          </cell>
          <cell r="Q631" t="str">
            <v>173.01.002 Gastos por inspecciones de calidad</v>
          </cell>
        </row>
        <row r="632">
          <cell r="B632" t="str">
            <v>#51</v>
          </cell>
          <cell r="C632">
            <v>45825.872222222199</v>
          </cell>
          <cell r="D632">
            <v>82.82</v>
          </cell>
          <cell r="E632" t="str">
            <v>MXN</v>
          </cell>
          <cell r="F632" t="str">
            <v>Saul Murillo</v>
          </cell>
          <cell r="G632" t="str">
            <v>UBER* TRIP             CIUDAD DE MEX MEX</v>
          </cell>
          <cell r="H632" t="str">
            <v>Uber</v>
          </cell>
          <cell r="I632" t="str">
            <v>Transaction cost</v>
          </cell>
          <cell r="J632" t="str">
            <v>PO 1640 VISITA A IMESA</v>
          </cell>
          <cell r="K632">
            <v>0</v>
          </cell>
          <cell r="L632">
            <v>0</v>
          </cell>
          <cell r="M632">
            <v>0</v>
          </cell>
          <cell r="N632">
            <v>0</v>
          </cell>
          <cell r="O632">
            <v>0</v>
          </cell>
          <cell r="Q632" t="str">
            <v>173.01.002 Gastos por inspecciones de calidad</v>
          </cell>
        </row>
        <row r="633">
          <cell r="B633" t="str">
            <v>#51</v>
          </cell>
          <cell r="C633">
            <v>45828.194444444402</v>
          </cell>
          <cell r="D633">
            <v>238.1</v>
          </cell>
          <cell r="E633" t="str">
            <v>MXN</v>
          </cell>
          <cell r="F633" t="str">
            <v>Saul Murillo</v>
          </cell>
          <cell r="G633" t="str">
            <v>D LOCAL*DIDI RIDES     CIUDAD DE MEX MEX</v>
          </cell>
          <cell r="H633" t="str">
            <v>Didi Chuxing</v>
          </cell>
          <cell r="I633" t="str">
            <v>Transaction cost</v>
          </cell>
          <cell r="J633" t="str">
            <v>PO 1640 VISITA A IMESA</v>
          </cell>
          <cell r="K633">
            <v>0</v>
          </cell>
          <cell r="L633">
            <v>0</v>
          </cell>
          <cell r="M633">
            <v>0</v>
          </cell>
          <cell r="N633">
            <v>0</v>
          </cell>
          <cell r="O633">
            <v>0</v>
          </cell>
          <cell r="Q633" t="str">
            <v>173.01.002 Gastos por inspecciones de calidad</v>
          </cell>
        </row>
        <row r="634">
          <cell r="B634" t="str">
            <v>#51</v>
          </cell>
          <cell r="C634">
            <v>45828.643055555498</v>
          </cell>
          <cell r="D634">
            <v>237.23</v>
          </cell>
          <cell r="E634" t="str">
            <v>MXN</v>
          </cell>
          <cell r="F634" t="str">
            <v>Saul Murillo</v>
          </cell>
          <cell r="G634" t="str">
            <v>UBER* PENDING          CIUDAD DE MEX MEX</v>
          </cell>
          <cell r="H634" t="str">
            <v>Uber</v>
          </cell>
          <cell r="I634" t="str">
            <v>Transaction cost</v>
          </cell>
          <cell r="J634" t="str">
            <v>PO 1640 VISITA A IMESA</v>
          </cell>
          <cell r="K634">
            <v>0</v>
          </cell>
          <cell r="L634">
            <v>0</v>
          </cell>
          <cell r="M634">
            <v>0</v>
          </cell>
          <cell r="N634">
            <v>0</v>
          </cell>
          <cell r="O634">
            <v>0</v>
          </cell>
          <cell r="Q634" t="str">
            <v>173.01.002 Gastos por inspecciones de calidad</v>
          </cell>
        </row>
        <row r="635">
          <cell r="B635" t="str">
            <v>#51</v>
          </cell>
          <cell r="C635">
            <v>45828.811111111099</v>
          </cell>
          <cell r="D635">
            <v>177.27</v>
          </cell>
          <cell r="E635" t="str">
            <v>MXN</v>
          </cell>
          <cell r="F635" t="str">
            <v>Saul Murillo</v>
          </cell>
          <cell r="G635" t="str">
            <v>UBER* PENDING          CIUDAD DE MEX MEX</v>
          </cell>
          <cell r="H635" t="str">
            <v>Uber</v>
          </cell>
          <cell r="I635" t="str">
            <v>Transaction cost</v>
          </cell>
          <cell r="J635" t="str">
            <v>PO 1640 VISITA A IMESA</v>
          </cell>
          <cell r="K635">
            <v>0</v>
          </cell>
          <cell r="L635">
            <v>0</v>
          </cell>
          <cell r="M635">
            <v>0</v>
          </cell>
          <cell r="N635">
            <v>0</v>
          </cell>
          <cell r="O635">
            <v>0</v>
          </cell>
          <cell r="Q635" t="str">
            <v>173.01.002 Gastos por inspecciones de calidad</v>
          </cell>
        </row>
        <row r="636">
          <cell r="B636" t="str">
            <v>#51</v>
          </cell>
          <cell r="C636">
            <v>45830.977083333302</v>
          </cell>
          <cell r="D636">
            <v>312.42</v>
          </cell>
          <cell r="E636" t="str">
            <v>MXN</v>
          </cell>
          <cell r="F636" t="str">
            <v>Saul Murillo</v>
          </cell>
          <cell r="G636" t="str">
            <v>UBER* PENDING          CIUDAD DE MEX MEX</v>
          </cell>
          <cell r="H636" t="str">
            <v>Uber</v>
          </cell>
          <cell r="I636" t="str">
            <v>Transaction cost</v>
          </cell>
          <cell r="J636" t="str">
            <v>PO 1406 VISITA A GARCIA STEEL</v>
          </cell>
          <cell r="K636">
            <v>0</v>
          </cell>
          <cell r="L636">
            <v>0</v>
          </cell>
          <cell r="M636">
            <v>0</v>
          </cell>
          <cell r="N636">
            <v>0</v>
          </cell>
          <cell r="O636">
            <v>0</v>
          </cell>
          <cell r="Q636" t="str">
            <v>173.01.002 Gastos por inspecciones de calidad</v>
          </cell>
        </row>
        <row r="637">
          <cell r="B637" t="str">
            <v>#51</v>
          </cell>
          <cell r="C637">
            <v>45831.674305555498</v>
          </cell>
          <cell r="D637">
            <v>411.38</v>
          </cell>
          <cell r="E637" t="str">
            <v>MXN</v>
          </cell>
          <cell r="F637" t="str">
            <v>Saul Murillo</v>
          </cell>
          <cell r="G637" t="str">
            <v>UBER* PENDING          CIUDAD DE MEX MEX</v>
          </cell>
          <cell r="H637" t="str">
            <v>Uber</v>
          </cell>
          <cell r="I637" t="str">
            <v>Transaction cost</v>
          </cell>
          <cell r="J637" t="str">
            <v>PO 1406 VISITA A GARCIA STEEL</v>
          </cell>
          <cell r="K637">
            <v>0</v>
          </cell>
          <cell r="L637">
            <v>0</v>
          </cell>
          <cell r="M637">
            <v>0</v>
          </cell>
          <cell r="N637">
            <v>0</v>
          </cell>
          <cell r="O637">
            <v>0</v>
          </cell>
          <cell r="Q637" t="str">
            <v>173.01.002 Gastos por inspecciones de calidad</v>
          </cell>
        </row>
        <row r="638">
          <cell r="B638" t="str">
            <v>#51</v>
          </cell>
          <cell r="C638">
            <v>45832.750694444403</v>
          </cell>
          <cell r="D638">
            <v>445.27</v>
          </cell>
          <cell r="E638" t="str">
            <v>MXN</v>
          </cell>
          <cell r="F638" t="str">
            <v>Saul Murillo</v>
          </cell>
          <cell r="G638" t="str">
            <v>UBER* PENDING          CIUDAD DE MEX MEX</v>
          </cell>
          <cell r="H638" t="str">
            <v>Uber</v>
          </cell>
          <cell r="I638" t="str">
            <v>Transaction cost</v>
          </cell>
          <cell r="J638" t="str">
            <v>PO 1775 VISITA A DMRB / AA / AIFA</v>
          </cell>
          <cell r="K638">
            <v>0</v>
          </cell>
          <cell r="L638">
            <v>0</v>
          </cell>
          <cell r="M638">
            <v>0</v>
          </cell>
          <cell r="N638">
            <v>0</v>
          </cell>
          <cell r="O638">
            <v>0</v>
          </cell>
          <cell r="Q638" t="str">
            <v>173.01.002 Gastos por inspecciones de calidad</v>
          </cell>
        </row>
        <row r="639">
          <cell r="B639" t="str">
            <v>#51</v>
          </cell>
          <cell r="C639">
            <v>45833.0652777777</v>
          </cell>
          <cell r="D639">
            <v>46.95</v>
          </cell>
          <cell r="E639" t="str">
            <v>MXN</v>
          </cell>
          <cell r="F639" t="str">
            <v>Saul Murillo</v>
          </cell>
          <cell r="G639" t="str">
            <v>UBER* PENDING          CIUDAD DE MEX MEX</v>
          </cell>
          <cell r="H639" t="str">
            <v>Uber</v>
          </cell>
          <cell r="I639" t="str">
            <v>Transaction cost</v>
          </cell>
          <cell r="J639" t="str">
            <v>PO 1775 VISITA A DMRB / AA</v>
          </cell>
          <cell r="K639">
            <v>0</v>
          </cell>
          <cell r="L639">
            <v>0</v>
          </cell>
          <cell r="M639">
            <v>0</v>
          </cell>
          <cell r="N639">
            <v>0</v>
          </cell>
          <cell r="O639">
            <v>0</v>
          </cell>
          <cell r="Q639" t="str">
            <v>173.01.002 Gastos por inspecciones de calidad</v>
          </cell>
        </row>
        <row r="640">
          <cell r="B640" t="str">
            <v>#51</v>
          </cell>
          <cell r="C640">
            <v>45833.145833333299</v>
          </cell>
          <cell r="D640">
            <v>491.78</v>
          </cell>
          <cell r="E640" t="str">
            <v>MXN</v>
          </cell>
          <cell r="F640" t="str">
            <v>Saul Murillo</v>
          </cell>
          <cell r="G640" t="str">
            <v>UBER* EATS PENDING     CIUDAD DE MEX MEX</v>
          </cell>
          <cell r="H640" t="str">
            <v>Uber Eats</v>
          </cell>
          <cell r="I640" t="str">
            <v>Transaction cost</v>
          </cell>
          <cell r="J640" t="str">
            <v>PO 1775 VISITA A DMRB / AA</v>
          </cell>
          <cell r="K640">
            <v>0</v>
          </cell>
          <cell r="L640">
            <v>0</v>
          </cell>
          <cell r="M640">
            <v>0</v>
          </cell>
          <cell r="N640">
            <v>0</v>
          </cell>
          <cell r="O640">
            <v>0</v>
          </cell>
          <cell r="Q640" t="str">
            <v>173.01.002 Gastos por inspecciones de calidad</v>
          </cell>
        </row>
        <row r="641">
          <cell r="B641" t="str">
            <v>#51</v>
          </cell>
          <cell r="C641">
            <v>45833.153472222199</v>
          </cell>
          <cell r="D641">
            <v>32.28</v>
          </cell>
          <cell r="E641" t="str">
            <v>MXN</v>
          </cell>
          <cell r="F641" t="str">
            <v>Saul Murillo</v>
          </cell>
          <cell r="G641" t="str">
            <v>UBER* EATS             CIUDAD DE MEX MEX</v>
          </cell>
          <cell r="H641" t="str">
            <v>Uber Eats</v>
          </cell>
          <cell r="I641" t="str">
            <v>Transaction cost</v>
          </cell>
          <cell r="J641" t="str">
            <v>PO 1775 VISITA A DMRB / AA</v>
          </cell>
          <cell r="K641">
            <v>0</v>
          </cell>
          <cell r="L641">
            <v>0</v>
          </cell>
          <cell r="M641">
            <v>0</v>
          </cell>
          <cell r="N641">
            <v>0</v>
          </cell>
          <cell r="O641">
            <v>0</v>
          </cell>
          <cell r="Q641" t="str">
            <v>173.01.002 Gastos por inspecciones de calidad</v>
          </cell>
        </row>
        <row r="642">
          <cell r="B642" t="str">
            <v>#51</v>
          </cell>
          <cell r="C642">
            <v>45833.197916666599</v>
          </cell>
          <cell r="D642">
            <v>125</v>
          </cell>
          <cell r="E642" t="str">
            <v>MXN</v>
          </cell>
          <cell r="F642" t="str">
            <v>Saul Murillo</v>
          </cell>
          <cell r="G642" t="str">
            <v>D LOCAL*DIDI RIDES     CIUDAD DE MEX MEX</v>
          </cell>
          <cell r="H642" t="str">
            <v>Didi Chuxing</v>
          </cell>
          <cell r="I642" t="str">
            <v>Transaction cost</v>
          </cell>
          <cell r="J642" t="str">
            <v>PO 1775 VISITA A DMRB / AA</v>
          </cell>
          <cell r="K642">
            <v>0</v>
          </cell>
          <cell r="L642">
            <v>0</v>
          </cell>
          <cell r="M642">
            <v>0</v>
          </cell>
          <cell r="N642">
            <v>0</v>
          </cell>
          <cell r="O642">
            <v>0</v>
          </cell>
          <cell r="Q642" t="str">
            <v>173.01.002 Gastos por inspecciones de calidad</v>
          </cell>
        </row>
        <row r="643">
          <cell r="B643" t="str">
            <v>#51</v>
          </cell>
          <cell r="C643">
            <v>45833.519444444399</v>
          </cell>
          <cell r="D643">
            <v>407.11</v>
          </cell>
          <cell r="E643" t="str">
            <v>MXN</v>
          </cell>
          <cell r="F643" t="str">
            <v>Saul Murillo</v>
          </cell>
          <cell r="G643" t="str">
            <v>20250624T21:41:28/UBER* EATS\Rio Lerma 232 Piso 22 Cuauhtemoc\CIUDAD DE MEX\11510     CDMMEX</v>
          </cell>
          <cell r="H643" t="str">
            <v>Uber Eats</v>
          </cell>
          <cell r="I643" t="str">
            <v>Transaction cost</v>
          </cell>
          <cell r="J643" t="str">
            <v>PO 1775 VISITA A DMRB / AA</v>
          </cell>
          <cell r="K643">
            <v>0</v>
          </cell>
          <cell r="L643">
            <v>0</v>
          </cell>
          <cell r="M643">
            <v>0</v>
          </cell>
          <cell r="N643">
            <v>0</v>
          </cell>
          <cell r="O643">
            <v>0</v>
          </cell>
          <cell r="Q643" t="str">
            <v>173.01.002 Gastos por inspecciones de calidad</v>
          </cell>
        </row>
        <row r="644">
          <cell r="B644" t="str">
            <v>#51</v>
          </cell>
          <cell r="C644">
            <v>45833.824999999997</v>
          </cell>
          <cell r="D644">
            <v>145.15</v>
          </cell>
          <cell r="E644" t="str">
            <v>MXN</v>
          </cell>
          <cell r="F644" t="str">
            <v>Saul Murillo</v>
          </cell>
          <cell r="G644" t="str">
            <v>UBER* PENDING          CIUDAD DE MEX MEX</v>
          </cell>
          <cell r="H644" t="str">
            <v>Uber</v>
          </cell>
          <cell r="I644" t="str">
            <v>Transaction cost</v>
          </cell>
          <cell r="J644" t="str">
            <v>PO 1775 VISITA A DMRB / AA</v>
          </cell>
          <cell r="K644">
            <v>0</v>
          </cell>
          <cell r="L644">
            <v>0</v>
          </cell>
          <cell r="M644">
            <v>0</v>
          </cell>
          <cell r="N644">
            <v>0</v>
          </cell>
          <cell r="O644">
            <v>0</v>
          </cell>
          <cell r="Q644" t="str">
            <v>173.01.002 Gastos por inspecciones de calidad</v>
          </cell>
        </row>
        <row r="645">
          <cell r="B645" t="str">
            <v>#51</v>
          </cell>
          <cell r="C645">
            <v>45833.920833333301</v>
          </cell>
          <cell r="D645">
            <v>190.48</v>
          </cell>
          <cell r="E645" t="str">
            <v>MXN</v>
          </cell>
          <cell r="F645" t="str">
            <v>Saul Murillo</v>
          </cell>
          <cell r="G645" t="str">
            <v>DLO*DiDi MX Payin Ride MEXICO        MEX</v>
          </cell>
          <cell r="H645" t="str">
            <v>Dlo Didi Mx Payin Ride Mexico Mex</v>
          </cell>
          <cell r="I645" t="str">
            <v>Transaction cost</v>
          </cell>
          <cell r="J645" t="str">
            <v>PO 1775 VISITA A DMRB / AA</v>
          </cell>
          <cell r="K645">
            <v>0</v>
          </cell>
          <cell r="L645">
            <v>0</v>
          </cell>
          <cell r="M645">
            <v>0</v>
          </cell>
          <cell r="N645">
            <v>0</v>
          </cell>
          <cell r="O645">
            <v>0</v>
          </cell>
          <cell r="Q645" t="str">
            <v>173.01.002 Gastos por inspecciones de calidad</v>
          </cell>
        </row>
        <row r="646">
          <cell r="B646" t="str">
            <v>#51</v>
          </cell>
          <cell r="C646">
            <v>45834.013888888803</v>
          </cell>
          <cell r="D646">
            <v>223.68</v>
          </cell>
          <cell r="E646" t="str">
            <v>MXN</v>
          </cell>
          <cell r="F646" t="str">
            <v>Saul Murillo</v>
          </cell>
          <cell r="G646" t="str">
            <v>UBER* PENDING          CIUDAD DE MEX MEX</v>
          </cell>
          <cell r="H646" t="str">
            <v>Uber</v>
          </cell>
          <cell r="I646" t="str">
            <v>Transaction cost</v>
          </cell>
          <cell r="J646" t="str">
            <v>PO 1775 VISITA A DMRB / AA</v>
          </cell>
          <cell r="K646">
            <v>0</v>
          </cell>
          <cell r="L646">
            <v>0</v>
          </cell>
          <cell r="M646">
            <v>0</v>
          </cell>
          <cell r="N646">
            <v>0</v>
          </cell>
          <cell r="O646">
            <v>0</v>
          </cell>
          <cell r="Q646" t="str">
            <v>173.01.002 Gastos por inspecciones de calidad</v>
          </cell>
        </row>
        <row r="647">
          <cell r="B647" t="str">
            <v>#51</v>
          </cell>
          <cell r="C647">
            <v>45834.9375</v>
          </cell>
          <cell r="D647">
            <v>282</v>
          </cell>
          <cell r="E647" t="str">
            <v>MXN</v>
          </cell>
          <cell r="F647" t="str">
            <v>Saul Murillo</v>
          </cell>
          <cell r="G647" t="str">
            <v>DLO*DiDi MX Payin Ride MEXICO        MEX</v>
          </cell>
          <cell r="H647" t="str">
            <v>Dlo Didi Mx Payin Ride Mexico Mex</v>
          </cell>
          <cell r="I647" t="str">
            <v>Transaction cost</v>
          </cell>
          <cell r="J647" t="str">
            <v>PO 1775 VISITA A DMRB / AA</v>
          </cell>
          <cell r="K647">
            <v>0</v>
          </cell>
          <cell r="L647">
            <v>0</v>
          </cell>
          <cell r="M647">
            <v>0</v>
          </cell>
          <cell r="N647">
            <v>0</v>
          </cell>
          <cell r="O647">
            <v>0</v>
          </cell>
          <cell r="Q647" t="str">
            <v>173.01.002 Gastos por inspecciones de calidad</v>
          </cell>
        </row>
        <row r="648">
          <cell r="B648" t="str">
            <v>#51</v>
          </cell>
          <cell r="C648">
            <v>45835.073611111096</v>
          </cell>
          <cell r="D648">
            <v>68</v>
          </cell>
          <cell r="E648" t="str">
            <v>MXN</v>
          </cell>
          <cell r="F648" t="str">
            <v>Saul Murillo</v>
          </cell>
          <cell r="G648" t="str">
            <v>CLIP MX*TDA SIX EVA    GUSTAVO A MAD MEX</v>
          </cell>
          <cell r="H648" t="str">
            <v>Clip Mx Tda Six Eva Gustavo A Mad Mex</v>
          </cell>
          <cell r="I648" t="str">
            <v>Transaction cost</v>
          </cell>
          <cell r="J648" t="str">
            <v>PO 1775 VISITA A DMRB / AA</v>
          </cell>
          <cell r="K648">
            <v>0</v>
          </cell>
          <cell r="L648">
            <v>0</v>
          </cell>
          <cell r="M648">
            <v>0</v>
          </cell>
          <cell r="N648">
            <v>0</v>
          </cell>
          <cell r="O648">
            <v>0</v>
          </cell>
          <cell r="Q648" t="str">
            <v>173.01.002 Gastos por inspecciones de calidad</v>
          </cell>
        </row>
        <row r="649">
          <cell r="B649" t="str">
            <v>#51</v>
          </cell>
          <cell r="C649">
            <v>45835.136805555499</v>
          </cell>
          <cell r="D649">
            <v>91.56</v>
          </cell>
          <cell r="E649" t="str">
            <v>MXN</v>
          </cell>
          <cell r="F649" t="str">
            <v>Saul Murillo</v>
          </cell>
          <cell r="G649" t="str">
            <v>UBER* PENDING          CIUDAD DE MEX MEX</v>
          </cell>
          <cell r="H649" t="str">
            <v>Uber</v>
          </cell>
          <cell r="I649" t="str">
            <v>Transaction cost</v>
          </cell>
          <cell r="J649" t="str">
            <v>PO 1775 VISITA A DMRB / AA</v>
          </cell>
          <cell r="K649">
            <v>0</v>
          </cell>
          <cell r="L649">
            <v>0</v>
          </cell>
          <cell r="M649">
            <v>0</v>
          </cell>
          <cell r="N649">
            <v>0</v>
          </cell>
          <cell r="O649">
            <v>0</v>
          </cell>
          <cell r="Q649" t="str">
            <v>173.01.002 Gastos por inspecciones de calidad</v>
          </cell>
        </row>
        <row r="650">
          <cell r="B650" t="str">
            <v>#51</v>
          </cell>
          <cell r="C650">
            <v>45835.965277777701</v>
          </cell>
          <cell r="D650">
            <v>178.57</v>
          </cell>
          <cell r="E650" t="str">
            <v>MXN</v>
          </cell>
          <cell r="F650" t="str">
            <v>Saul Murillo</v>
          </cell>
          <cell r="G650" t="str">
            <v>D LOCAL*DIDI RIDES     CIUDAD DE MEX MEX</v>
          </cell>
          <cell r="H650" t="str">
            <v>Didi Chuxing</v>
          </cell>
          <cell r="I650" t="str">
            <v>Transaction cost</v>
          </cell>
          <cell r="J650" t="str">
            <v>PO 1775 VISITA A DMRB / AA</v>
          </cell>
          <cell r="K650">
            <v>0</v>
          </cell>
          <cell r="L650">
            <v>0</v>
          </cell>
          <cell r="M650">
            <v>0</v>
          </cell>
          <cell r="N650">
            <v>0</v>
          </cell>
          <cell r="O650">
            <v>0</v>
          </cell>
          <cell r="Q650" t="str">
            <v>173.01.002 Gastos por inspecciones de calidad</v>
          </cell>
        </row>
        <row r="651">
          <cell r="B651" t="str">
            <v>#51</v>
          </cell>
          <cell r="C651">
            <v>45835.988194444399</v>
          </cell>
          <cell r="D651">
            <v>213.13</v>
          </cell>
          <cell r="E651" t="str">
            <v>MXN</v>
          </cell>
          <cell r="F651" t="str">
            <v>Saul Murillo</v>
          </cell>
          <cell r="G651" t="str">
            <v>UBER* PENDING          CIUDAD DE MEX MEX</v>
          </cell>
          <cell r="H651" t="str">
            <v>Uber</v>
          </cell>
          <cell r="I651" t="str">
            <v>Transaction cost</v>
          </cell>
          <cell r="J651" t="str">
            <v>PO 1775 VISITA A DMRB / AA</v>
          </cell>
          <cell r="K651">
            <v>0</v>
          </cell>
          <cell r="L651">
            <v>0</v>
          </cell>
          <cell r="M651">
            <v>0</v>
          </cell>
          <cell r="N651">
            <v>0</v>
          </cell>
          <cell r="O651">
            <v>0</v>
          </cell>
          <cell r="Q651" t="str">
            <v>173.01.002 Gastos por inspecciones de calidad</v>
          </cell>
        </row>
        <row r="652">
          <cell r="B652" t="str">
            <v>#51</v>
          </cell>
          <cell r="C652">
            <v>45838.684027777701</v>
          </cell>
          <cell r="D652">
            <v>165.38</v>
          </cell>
          <cell r="E652" t="str">
            <v>MXN</v>
          </cell>
          <cell r="F652" t="str">
            <v>Saul Murillo</v>
          </cell>
          <cell r="G652" t="str">
            <v>UBER* PENDING          CIUDAD DE MEX MEX</v>
          </cell>
          <cell r="H652" t="str">
            <v>Uber</v>
          </cell>
          <cell r="I652" t="str">
            <v>Transaction cost</v>
          </cell>
          <cell r="J652" t="str">
            <v>PO 1640 VISITA A IMESA</v>
          </cell>
          <cell r="K652">
            <v>0</v>
          </cell>
          <cell r="L652">
            <v>0</v>
          </cell>
          <cell r="M652">
            <v>0</v>
          </cell>
          <cell r="N652">
            <v>0</v>
          </cell>
          <cell r="O652">
            <v>0</v>
          </cell>
          <cell r="Q652" t="str">
            <v>173.01.002 Gastos por inspecciones de calidad</v>
          </cell>
        </row>
        <row r="653">
          <cell r="B653" t="str">
            <v>#51</v>
          </cell>
          <cell r="C653">
            <v>45838.806944444397</v>
          </cell>
          <cell r="D653">
            <v>198.44</v>
          </cell>
          <cell r="E653" t="str">
            <v>MXN</v>
          </cell>
          <cell r="F653" t="str">
            <v>Saul Murillo</v>
          </cell>
          <cell r="G653" t="str">
            <v>UBER* EATS PENDING     CIUDAD DE MEX MEX</v>
          </cell>
          <cell r="H653" t="str">
            <v>Uber Eats</v>
          </cell>
          <cell r="I653" t="str">
            <v>Transaction cost</v>
          </cell>
          <cell r="J653" t="str">
            <v>PO 1640 VISITA A IMESA</v>
          </cell>
          <cell r="K653" t="str">
            <v>59F96972-C023-49EE-837D-31658FB5DBD7</v>
          </cell>
          <cell r="L653">
            <v>0</v>
          </cell>
          <cell r="M653">
            <v>0</v>
          </cell>
          <cell r="N653">
            <v>0</v>
          </cell>
          <cell r="O653">
            <v>0</v>
          </cell>
          <cell r="Q653" t="str">
            <v>173.01.002 Gastos por inspecciones de calidad</v>
          </cell>
        </row>
        <row r="654">
          <cell r="B654" t="str">
            <v>#51</v>
          </cell>
          <cell r="C654">
            <v>45838.9284722222</v>
          </cell>
          <cell r="D654">
            <v>199.53</v>
          </cell>
          <cell r="E654" t="str">
            <v>MXN</v>
          </cell>
          <cell r="F654" t="str">
            <v>Saul Murillo</v>
          </cell>
          <cell r="G654" t="str">
            <v>UBER* PENDING          CIUDAD DE MEX MEX</v>
          </cell>
          <cell r="H654" t="str">
            <v>Uber</v>
          </cell>
          <cell r="I654" t="str">
            <v>Transaction cost</v>
          </cell>
          <cell r="J654" t="str">
            <v>PO 1640 VISITA A IMESA</v>
          </cell>
          <cell r="K654">
            <v>0</v>
          </cell>
          <cell r="L654">
            <v>0</v>
          </cell>
          <cell r="M654">
            <v>0</v>
          </cell>
          <cell r="N654">
            <v>0</v>
          </cell>
          <cell r="O654">
            <v>0</v>
          </cell>
          <cell r="Q654" t="str">
            <v>173.01.002 Gastos por inspecciones de calidad</v>
          </cell>
        </row>
        <row r="655">
          <cell r="B655" t="str">
            <v>#52</v>
          </cell>
          <cell r="C655">
            <v>45818.995833333334</v>
          </cell>
          <cell r="D655">
            <v>1589.53</v>
          </cell>
          <cell r="E655" t="str">
            <v>MXN</v>
          </cell>
          <cell r="F655" t="str">
            <v>Tommaso Rivetti Vinea</v>
          </cell>
          <cell r="G655" t="str">
            <v>SQ *PREMIER TOWN CAR   Houston       USA</v>
          </cell>
          <cell r="H655" t="str">
            <v>Premier Town Car Houston USA</v>
          </cell>
          <cell r="I655">
            <v>3893</v>
          </cell>
          <cell r="J655" t="str">
            <v>Limousines and Taxicabs</v>
          </cell>
          <cell r="K655">
            <v>0</v>
          </cell>
          <cell r="L655">
            <v>0</v>
          </cell>
          <cell r="M655">
            <v>0</v>
          </cell>
          <cell r="N655">
            <v>0</v>
          </cell>
          <cell r="O655">
            <v>0</v>
          </cell>
          <cell r="Q655" t="str">
            <v>602.34.002 Gastos por visita tencica</v>
          </cell>
        </row>
        <row r="656">
          <cell r="B656" t="str">
            <v>#52</v>
          </cell>
          <cell r="C656">
            <v>45818.998611111114</v>
          </cell>
          <cell r="D656">
            <v>5695.09</v>
          </cell>
          <cell r="E656" t="str">
            <v>MXN</v>
          </cell>
          <cell r="F656" t="str">
            <v>Tommaso Rivetti Vinea</v>
          </cell>
          <cell r="G656" t="str">
            <v>DRURY INN AND SUITES H HOUSTON       USA</v>
          </cell>
          <cell r="H656" t="str">
            <v>Drury Inn And Suites H Houston USA</v>
          </cell>
          <cell r="I656">
            <v>3893</v>
          </cell>
          <cell r="J656">
            <v>0</v>
          </cell>
          <cell r="K656">
            <v>0</v>
          </cell>
          <cell r="L656">
            <v>0</v>
          </cell>
          <cell r="M656">
            <v>0</v>
          </cell>
          <cell r="N656">
            <v>0</v>
          </cell>
          <cell r="O656">
            <v>0</v>
          </cell>
          <cell r="Q656" t="str">
            <v>602.34.002 Gastos por visita tencica</v>
          </cell>
        </row>
        <row r="657">
          <cell r="B657" t="str">
            <v>#52</v>
          </cell>
          <cell r="C657">
            <v>45819.095138888886</v>
          </cell>
          <cell r="D657">
            <v>2466.7600000000002</v>
          </cell>
          <cell r="E657" t="str">
            <v>MXN</v>
          </cell>
          <cell r="F657" t="str">
            <v>Tommaso Rivetti Vinea</v>
          </cell>
          <cell r="G657" t="str">
            <v>TST* POSTINO - UPTOWN  HOUSTON       USA</v>
          </cell>
          <cell r="H657" t="str">
            <v>Postino Uptown Houston USA</v>
          </cell>
          <cell r="I657">
            <v>16</v>
          </cell>
          <cell r="J657" t="str">
            <v>Eating Places, Restaurants</v>
          </cell>
          <cell r="K657">
            <v>0</v>
          </cell>
          <cell r="L657">
            <v>0</v>
          </cell>
          <cell r="M657">
            <v>0</v>
          </cell>
          <cell r="N657">
            <v>0</v>
          </cell>
          <cell r="O657">
            <v>0</v>
          </cell>
          <cell r="Q657" t="str">
            <v>602.34.002 Gastos por visita tencica</v>
          </cell>
        </row>
        <row r="658">
          <cell r="B658" t="str">
            <v>#52</v>
          </cell>
          <cell r="C658">
            <v>45820.663194444445</v>
          </cell>
          <cell r="D658">
            <v>1180.74</v>
          </cell>
          <cell r="E658" t="str">
            <v>MXN</v>
          </cell>
          <cell r="F658" t="str">
            <v>Tommaso Rivetti Vinea</v>
          </cell>
          <cell r="G658" t="str">
            <v>TST* SNOOZE GALLERIA   HOUSTON       USA</v>
          </cell>
          <cell r="H658" t="str">
            <v>Snooze</v>
          </cell>
          <cell r="I658" t="str">
            <v>552568XXXXXX3660</v>
          </cell>
          <cell r="J658" t="str">
            <v>Eating Places, Restaurants</v>
          </cell>
          <cell r="K658">
            <v>0</v>
          </cell>
          <cell r="L658">
            <v>0</v>
          </cell>
          <cell r="M658">
            <v>0</v>
          </cell>
          <cell r="N658">
            <v>0</v>
          </cell>
          <cell r="O658">
            <v>0</v>
          </cell>
          <cell r="Q658" t="str">
            <v>602.34.002 Gastos por visita tencica</v>
          </cell>
        </row>
        <row r="659">
          <cell r="B659" t="str">
            <v>#52</v>
          </cell>
          <cell r="C659">
            <v>45820.784722222219</v>
          </cell>
          <cell r="D659">
            <v>1108.8399999999999</v>
          </cell>
          <cell r="E659" t="str">
            <v>MXN</v>
          </cell>
          <cell r="F659" t="str">
            <v>Tommaso Rivetti Vinea</v>
          </cell>
          <cell r="G659" t="str">
            <v>UBER   *TRIP           SAN FRANCISCO USA</v>
          </cell>
          <cell r="H659" t="str">
            <v>Uber</v>
          </cell>
          <cell r="I659">
            <v>7142</v>
          </cell>
          <cell r="J659" t="str">
            <v>Limousines and Taxicabs</v>
          </cell>
          <cell r="K659">
            <v>0</v>
          </cell>
          <cell r="L659">
            <v>0</v>
          </cell>
          <cell r="M659">
            <v>0</v>
          </cell>
          <cell r="N659">
            <v>0</v>
          </cell>
          <cell r="O659">
            <v>0</v>
          </cell>
          <cell r="Q659" t="str">
            <v>602.34.002 Gastos por visita tencica</v>
          </cell>
        </row>
        <row r="660">
          <cell r="B660" t="str">
            <v>#52</v>
          </cell>
          <cell r="C660">
            <v>45820.941666666666</v>
          </cell>
          <cell r="D660">
            <v>869.5</v>
          </cell>
          <cell r="E660" t="str">
            <v>MXN</v>
          </cell>
          <cell r="F660" t="str">
            <v>Tommaso Rivetti Vinea</v>
          </cell>
          <cell r="G660" t="str">
            <v>IAH E TANGLEWOOD       HOUSTON       USA</v>
          </cell>
          <cell r="H660" t="str">
            <v>Iah E Tanglewood Houston USA</v>
          </cell>
          <cell r="I660">
            <v>3893</v>
          </cell>
          <cell r="J660" t="str">
            <v>Eating Places, Restaurants</v>
          </cell>
          <cell r="K660">
            <v>0</v>
          </cell>
          <cell r="L660">
            <v>0</v>
          </cell>
          <cell r="M660">
            <v>0</v>
          </cell>
          <cell r="N660">
            <v>0</v>
          </cell>
          <cell r="O660">
            <v>0</v>
          </cell>
          <cell r="Q660" t="str">
            <v>602.34.002 Gastos por visita tencica</v>
          </cell>
        </row>
        <row r="661">
          <cell r="B661" t="str">
            <v>#52</v>
          </cell>
          <cell r="C661">
            <v>45821.265972222223</v>
          </cell>
          <cell r="D661">
            <v>1134</v>
          </cell>
          <cell r="E661" t="str">
            <v>MXN</v>
          </cell>
          <cell r="F661" t="str">
            <v>Tommaso Rivetti Vinea</v>
          </cell>
          <cell r="G661" t="str">
            <v>TERMINAL 2 AERO        MEXICO DF     MEX</v>
          </cell>
          <cell r="H661" t="str">
            <v>Terminal 2 Aero Mexico Df Mex</v>
          </cell>
          <cell r="I661">
            <v>3893</v>
          </cell>
          <cell r="J661" t="str">
            <v>Airports, Airport Terminals, Flying Fields</v>
          </cell>
          <cell r="K661">
            <v>0</v>
          </cell>
          <cell r="L661">
            <v>0</v>
          </cell>
          <cell r="M661">
            <v>0</v>
          </cell>
          <cell r="N661">
            <v>0</v>
          </cell>
          <cell r="O661">
            <v>0</v>
          </cell>
          <cell r="Q661" t="str">
            <v>602.34.002 Gastos por visita tencica</v>
          </cell>
        </row>
        <row r="662">
          <cell r="B662" t="str">
            <v>#52</v>
          </cell>
          <cell r="C662">
            <v>45824.945138888892</v>
          </cell>
          <cell r="D662">
            <v>4887</v>
          </cell>
          <cell r="E662" t="str">
            <v>MXN</v>
          </cell>
          <cell r="F662" t="str">
            <v>Tommaso Rivetti Vinea</v>
          </cell>
          <cell r="G662" t="str">
            <v>AEROMEXICO WEB PN      CIUDAD DE MEX MEX</v>
          </cell>
          <cell r="H662" t="str">
            <v>Aeromexico</v>
          </cell>
          <cell r="I662" t="str">
            <v>552568XXXXXX4674</v>
          </cell>
          <cell r="J662" t="str">
            <v>Airlines, Air Carriers - Aeromexico</v>
          </cell>
          <cell r="K662">
            <v>0</v>
          </cell>
          <cell r="L662">
            <v>0</v>
          </cell>
          <cell r="M662">
            <v>0</v>
          </cell>
          <cell r="N662">
            <v>0</v>
          </cell>
          <cell r="O662">
            <v>0</v>
          </cell>
          <cell r="Q662" t="str">
            <v>602.34.002 Gastos por visita tencica</v>
          </cell>
        </row>
        <row r="663">
          <cell r="B663" t="str">
            <v>#52</v>
          </cell>
          <cell r="C663">
            <v>45825.185416666667</v>
          </cell>
          <cell r="D663">
            <v>179.97</v>
          </cell>
          <cell r="E663" t="str">
            <v>MXN</v>
          </cell>
          <cell r="F663" t="str">
            <v>Tommaso Rivetti Vinea</v>
          </cell>
          <cell r="G663" t="str">
            <v>UBER* PENDING          CIUDAD DE MEX MEX</v>
          </cell>
          <cell r="H663" t="str">
            <v>Uber</v>
          </cell>
          <cell r="I663" t="str">
            <v>552568XXXXXX7936</v>
          </cell>
          <cell r="J663" t="str">
            <v>Limousines and Taxicabs</v>
          </cell>
          <cell r="K663">
            <v>0</v>
          </cell>
          <cell r="L663">
            <v>0</v>
          </cell>
          <cell r="M663">
            <v>0</v>
          </cell>
          <cell r="N663">
            <v>0</v>
          </cell>
          <cell r="O663">
            <v>0</v>
          </cell>
          <cell r="Q663" t="str">
            <v>602.34.002 Gastos por visita tencica</v>
          </cell>
        </row>
        <row r="664">
          <cell r="B664" t="str">
            <v>#52</v>
          </cell>
          <cell r="C664">
            <v>45825.46875</v>
          </cell>
          <cell r="D664">
            <v>10</v>
          </cell>
          <cell r="E664" t="str">
            <v>MXN</v>
          </cell>
          <cell r="F664" t="str">
            <v>Tommaso Rivetti Vinea</v>
          </cell>
          <cell r="G664" t="str">
            <v>UBER* TRIP             CIUDAD DE MEX MEX</v>
          </cell>
          <cell r="H664" t="str">
            <v>Uber</v>
          </cell>
          <cell r="I664" t="str">
            <v>552568XXXXXX3663</v>
          </cell>
          <cell r="J664" t="str">
            <v>Limousines and Taxicabs</v>
          </cell>
          <cell r="K664">
            <v>0</v>
          </cell>
          <cell r="L664">
            <v>0</v>
          </cell>
          <cell r="M664">
            <v>0</v>
          </cell>
          <cell r="N664">
            <v>0</v>
          </cell>
          <cell r="O664">
            <v>0</v>
          </cell>
          <cell r="Q664" t="str">
            <v>602.34.002 Gastos por visita tencica</v>
          </cell>
        </row>
        <row r="665">
          <cell r="B665" t="str">
            <v>#52</v>
          </cell>
          <cell r="C665">
            <v>45825.629166666666</v>
          </cell>
          <cell r="D665">
            <v>737.15</v>
          </cell>
          <cell r="E665" t="str">
            <v>MXN</v>
          </cell>
          <cell r="F665" t="str">
            <v>Tommaso Rivetti Vinea</v>
          </cell>
          <cell r="G665" t="str">
            <v>VIPS CARR 57 SUR       SN LUIS POTOS MEX</v>
          </cell>
          <cell r="H665" t="str">
            <v>Vips Carr 57 Sur Sn Luis Potos Mex</v>
          </cell>
          <cell r="I665">
            <v>3241</v>
          </cell>
          <cell r="J665" t="str">
            <v>Eating Places, Restaurants</v>
          </cell>
          <cell r="K665">
            <v>0</v>
          </cell>
          <cell r="L665">
            <v>0</v>
          </cell>
          <cell r="M665">
            <v>0</v>
          </cell>
          <cell r="N665">
            <v>0</v>
          </cell>
          <cell r="O665">
            <v>0</v>
          </cell>
          <cell r="Q665" t="str">
            <v>602.34.002 Gastos por visita tencica</v>
          </cell>
        </row>
        <row r="666">
          <cell r="B666" t="str">
            <v>#52</v>
          </cell>
          <cell r="C666">
            <v>45825.779166666667</v>
          </cell>
          <cell r="D666">
            <v>106</v>
          </cell>
          <cell r="E666" t="str">
            <v>MXN</v>
          </cell>
          <cell r="F666" t="str">
            <v>Tommaso Rivetti Vinea</v>
          </cell>
          <cell r="G666" t="str">
            <v>MISCELANEA TTPOTOSIN2  SN LUIS POTOS MEX</v>
          </cell>
          <cell r="H666" t="str">
            <v>Miscelanea Ttpotosin2 Sn Luis Potos Mex</v>
          </cell>
          <cell r="I666">
            <v>3241</v>
          </cell>
          <cell r="J666" t="str">
            <v>Freezer, Locker Meat Provisioners</v>
          </cell>
          <cell r="K666">
            <v>0</v>
          </cell>
          <cell r="L666">
            <v>0</v>
          </cell>
          <cell r="M666">
            <v>0</v>
          </cell>
          <cell r="N666">
            <v>0</v>
          </cell>
          <cell r="O666">
            <v>0</v>
          </cell>
          <cell r="Q666" t="str">
            <v>602.34.002 Gastos por visita tencica</v>
          </cell>
        </row>
        <row r="667">
          <cell r="B667" t="str">
            <v>#52</v>
          </cell>
          <cell r="C667">
            <v>45826.078472222223</v>
          </cell>
          <cell r="D667">
            <v>322.52999999999997</v>
          </cell>
          <cell r="E667" t="str">
            <v>MXN</v>
          </cell>
          <cell r="F667" t="str">
            <v>Tommaso Rivetti Vinea</v>
          </cell>
          <cell r="G667" t="str">
            <v>UBER* TRIP             CIUDAD DE MEX MEX</v>
          </cell>
          <cell r="H667" t="str">
            <v>Uber</v>
          </cell>
          <cell r="I667" t="str">
            <v>552568XXXXXX9328</v>
          </cell>
          <cell r="J667" t="str">
            <v>Limousines and Taxicabs</v>
          </cell>
          <cell r="K667">
            <v>0</v>
          </cell>
          <cell r="L667">
            <v>0</v>
          </cell>
          <cell r="M667">
            <v>0</v>
          </cell>
          <cell r="N667">
            <v>0</v>
          </cell>
          <cell r="O667">
            <v>0</v>
          </cell>
          <cell r="Q667" t="str">
            <v>602.34.002 Gastos por visita tencica</v>
          </cell>
        </row>
        <row r="668">
          <cell r="B668" t="str">
            <v>#52</v>
          </cell>
          <cell r="C668">
            <v>45826.078472222223</v>
          </cell>
          <cell r="D668">
            <v>10</v>
          </cell>
          <cell r="E668" t="str">
            <v>MXN</v>
          </cell>
          <cell r="F668" t="str">
            <v>Tommaso Rivetti Vinea</v>
          </cell>
          <cell r="G668" t="str">
            <v>UBER* TRIP             CIUDAD DE MEX MEX</v>
          </cell>
          <cell r="H668" t="str">
            <v>Uber</v>
          </cell>
          <cell r="I668">
            <v>2406</v>
          </cell>
          <cell r="J668" t="str">
            <v>Limousines and Taxicabs</v>
          </cell>
          <cell r="K668">
            <v>0</v>
          </cell>
          <cell r="L668">
            <v>0</v>
          </cell>
          <cell r="M668">
            <v>0</v>
          </cell>
          <cell r="N668">
            <v>0</v>
          </cell>
          <cell r="O668">
            <v>0</v>
          </cell>
          <cell r="Q668" t="str">
            <v>602.34.002 Gastos por visita tencica</v>
          </cell>
        </row>
        <row r="669">
          <cell r="B669" t="str">
            <v>#53</v>
          </cell>
          <cell r="C669">
            <v>45810.514583333301</v>
          </cell>
          <cell r="D669">
            <v>4110.84</v>
          </cell>
          <cell r="E669" t="str">
            <v>MXN</v>
          </cell>
          <cell r="F669" t="str">
            <v>Monserrat Benitez</v>
          </cell>
          <cell r="G669" t="str">
            <v>PR*LINKEDIN CR         CIUDAD DE MEX MEX</v>
          </cell>
          <cell r="H669" t="str">
            <v>Linkedin</v>
          </cell>
          <cell r="I669" t="str">
            <v>G&amp;A expenses</v>
          </cell>
          <cell r="J669" t="str">
            <v>LinkedIn Premium</v>
          </cell>
          <cell r="K669" t="str">
            <v>1392148662342, 1392148662343, 1392148662344, 1392148662345, 1392148662346</v>
          </cell>
          <cell r="L669">
            <v>0</v>
          </cell>
          <cell r="M669">
            <v>0</v>
          </cell>
          <cell r="N669">
            <v>0</v>
          </cell>
          <cell r="O669">
            <v>0</v>
          </cell>
          <cell r="Q669" t="str">
            <v>603.32.001 Reclutamiento</v>
          </cell>
        </row>
        <row r="670">
          <cell r="B670" t="str">
            <v>#53</v>
          </cell>
          <cell r="C670">
            <v>45828.264583333301</v>
          </cell>
          <cell r="D670">
            <v>4895.2</v>
          </cell>
          <cell r="E670" t="str">
            <v>MXN</v>
          </cell>
          <cell r="F670" t="str">
            <v>Monserrat Benitez</v>
          </cell>
          <cell r="G670" t="str">
            <v>PR*LINKEDIN CR         CIUDAD DE MEX MEX</v>
          </cell>
          <cell r="H670" t="str">
            <v>Linkedin</v>
          </cell>
          <cell r="I670" t="str">
            <v>G&amp;A expenses</v>
          </cell>
          <cell r="J670" t="str">
            <v>LinkedIn Premium</v>
          </cell>
          <cell r="K670">
            <v>213097877</v>
          </cell>
          <cell r="L670">
            <v>0</v>
          </cell>
          <cell r="M670">
            <v>0</v>
          </cell>
          <cell r="N670">
            <v>0</v>
          </cell>
          <cell r="O670">
            <v>0</v>
          </cell>
          <cell r="Q670" t="str">
            <v>603.32.001 Reclutamiento</v>
          </cell>
        </row>
        <row r="671">
          <cell r="B671" t="str">
            <v>#53</v>
          </cell>
          <cell r="C671">
            <v>45836.265972222202</v>
          </cell>
          <cell r="D671">
            <v>2860.56</v>
          </cell>
          <cell r="E671" t="str">
            <v>MXN</v>
          </cell>
          <cell r="F671" t="str">
            <v>Monserrat Benitez</v>
          </cell>
          <cell r="G671" t="str">
            <v>PR*LINKEDIN CR         CIUDAD DE MEX MEX</v>
          </cell>
          <cell r="H671" t="str">
            <v>Linkedin</v>
          </cell>
          <cell r="I671">
            <v>0</v>
          </cell>
          <cell r="J671">
            <v>0</v>
          </cell>
          <cell r="K671" t="str">
            <v>.</v>
          </cell>
          <cell r="L671">
            <v>0</v>
          </cell>
          <cell r="M671">
            <v>0</v>
          </cell>
          <cell r="N671">
            <v>0</v>
          </cell>
          <cell r="O671">
            <v>0</v>
          </cell>
          <cell r="Q671" t="str">
            <v>603.32.001 Reclutamiento</v>
          </cell>
        </row>
        <row r="672">
          <cell r="B672" t="str">
            <v>-</v>
          </cell>
          <cell r="C672">
            <v>45812.978472222225</v>
          </cell>
          <cell r="D672">
            <v>581.84</v>
          </cell>
          <cell r="E672" t="str">
            <v>MXN</v>
          </cell>
          <cell r="F672" t="str">
            <v>Gerardo Madrid</v>
          </cell>
          <cell r="G672" t="str">
            <v>UBER* EATS PENDING     CIUDAD DE MEX MEX</v>
          </cell>
          <cell r="H672" t="str">
            <v>Uber Eats</v>
          </cell>
          <cell r="I672" t="str">
            <v>552568XXXXXX2010</v>
          </cell>
          <cell r="J672" t="str">
            <v>Eating Places, Restaurants</v>
          </cell>
          <cell r="K672">
            <v>0</v>
          </cell>
          <cell r="L672">
            <v>0</v>
          </cell>
          <cell r="M672">
            <v>0</v>
          </cell>
          <cell r="N672">
            <v>0</v>
          </cell>
          <cell r="O672">
            <v>0</v>
          </cell>
          <cell r="Q672" t="str">
            <v>603.81.006 Gastos Administativos de venta</v>
          </cell>
        </row>
        <row r="673">
          <cell r="B673" t="str">
            <v>-</v>
          </cell>
          <cell r="C673">
            <v>45813.086805555555</v>
          </cell>
          <cell r="D673">
            <v>832.59</v>
          </cell>
          <cell r="E673" t="str">
            <v>MXN</v>
          </cell>
          <cell r="F673" t="str">
            <v>Gerardo Madrid</v>
          </cell>
          <cell r="G673" t="str">
            <v>SERV JARDINES DEL PEDR CIUDAD DE MEX MEX</v>
          </cell>
          <cell r="H673" t="str">
            <v>Serv Jardines Del Pedr Ciudad De Mex Mex</v>
          </cell>
          <cell r="I673" t="str">
            <v>552568XXXXXX5687</v>
          </cell>
          <cell r="J673" t="str">
            <v>Service Stations (with or without Ancillary Services)</v>
          </cell>
          <cell r="K673">
            <v>0</v>
          </cell>
          <cell r="L673">
            <v>0</v>
          </cell>
          <cell r="M673">
            <v>0</v>
          </cell>
          <cell r="N673">
            <v>0</v>
          </cell>
          <cell r="O673">
            <v>0</v>
          </cell>
          <cell r="Q673" t="str">
            <v>603.81.006 Gastos Administativos de venta</v>
          </cell>
        </row>
        <row r="674">
          <cell r="B674" t="str">
            <v>-</v>
          </cell>
          <cell r="C674">
            <v>45817.063194444447</v>
          </cell>
          <cell r="D674">
            <v>787.35</v>
          </cell>
          <cell r="E674" t="str">
            <v>MXN</v>
          </cell>
          <cell r="F674" t="str">
            <v>Gerardo Madrid</v>
          </cell>
          <cell r="G674" t="str">
            <v>SERVEL NUEVO PEDREGAL  CIUDAD DE MEX MEX</v>
          </cell>
          <cell r="H674" t="str">
            <v>Servel Nuevo Pedregal Ciudad De Mex Mex</v>
          </cell>
          <cell r="I674" t="str">
            <v>552568XXXXXX3311</v>
          </cell>
          <cell r="J674" t="str">
            <v>Service Stations (with or without Ancillary Services)</v>
          </cell>
          <cell r="K674">
            <v>0</v>
          </cell>
          <cell r="L674">
            <v>0</v>
          </cell>
          <cell r="M674">
            <v>0</v>
          </cell>
          <cell r="N674">
            <v>0</v>
          </cell>
          <cell r="O674">
            <v>0</v>
          </cell>
          <cell r="Q674" t="str">
            <v>603.81.006 Gastos Administativos de venta</v>
          </cell>
        </row>
        <row r="675">
          <cell r="B675" t="str">
            <v>-</v>
          </cell>
          <cell r="C675">
            <v>45819.118750000001</v>
          </cell>
          <cell r="D675">
            <v>692.51</v>
          </cell>
          <cell r="E675" t="str">
            <v>MXN</v>
          </cell>
          <cell r="F675" t="str">
            <v>Gerardo Madrid</v>
          </cell>
          <cell r="G675" t="str">
            <v>UBER* EATS PENDING     CIUDAD DE MEX MEX</v>
          </cell>
          <cell r="H675" t="str">
            <v>Uber Eats</v>
          </cell>
          <cell r="I675">
            <v>16</v>
          </cell>
          <cell r="J675" t="str">
            <v>Eating Places, Restaurants</v>
          </cell>
          <cell r="K675">
            <v>0</v>
          </cell>
          <cell r="L675">
            <v>0</v>
          </cell>
          <cell r="M675">
            <v>0</v>
          </cell>
          <cell r="N675">
            <v>0</v>
          </cell>
          <cell r="O675">
            <v>0</v>
          </cell>
          <cell r="Q675" t="str">
            <v>603.81.006 Gastos Administativos de venta</v>
          </cell>
        </row>
        <row r="676">
          <cell r="B676" t="str">
            <v>-</v>
          </cell>
          <cell r="C676">
            <v>45821.054861111108</v>
          </cell>
          <cell r="D676">
            <v>692.51</v>
          </cell>
          <cell r="E676" t="str">
            <v>MXN</v>
          </cell>
          <cell r="F676" t="str">
            <v>Gerardo Madrid</v>
          </cell>
          <cell r="G676" t="str">
            <v>20250611T12:58:56/UBER* EATS\Rio Lerma 232 Piso 22 Cuauhtemoc\CIUDAD DE MEX\11510     CDMMEX</v>
          </cell>
          <cell r="H676" t="str">
            <v>Uber Eats</v>
          </cell>
          <cell r="I676">
            <v>1026</v>
          </cell>
          <cell r="J676" t="str">
            <v>Eating Places, Restaurants</v>
          </cell>
          <cell r="K676">
            <v>0</v>
          </cell>
          <cell r="L676">
            <v>0</v>
          </cell>
          <cell r="M676">
            <v>0</v>
          </cell>
          <cell r="N676">
            <v>0</v>
          </cell>
          <cell r="O676">
            <v>0</v>
          </cell>
          <cell r="Q676" t="str">
            <v>603.81.006 Gastos Administativos de venta</v>
          </cell>
        </row>
        <row r="677">
          <cell r="B677" t="str">
            <v>-</v>
          </cell>
          <cell r="C677">
            <v>45821.881944444445</v>
          </cell>
          <cell r="D677">
            <v>936</v>
          </cell>
          <cell r="E677" t="str">
            <v>MXN</v>
          </cell>
          <cell r="F677" t="str">
            <v>Gerardo Madrid</v>
          </cell>
          <cell r="G677" t="str">
            <v>PLAYTOMIC.IO 5EB9500C  GUADALAJARA   MEX</v>
          </cell>
          <cell r="H677" t="str">
            <v>Playtomic.io</v>
          </cell>
          <cell r="I677">
            <v>4431</v>
          </cell>
          <cell r="J677" t="str">
            <v>Computer Software Stores</v>
          </cell>
          <cell r="K677">
            <v>0</v>
          </cell>
          <cell r="L677">
            <v>0</v>
          </cell>
          <cell r="M677">
            <v>0</v>
          </cell>
          <cell r="N677">
            <v>0</v>
          </cell>
          <cell r="O677">
            <v>0</v>
          </cell>
          <cell r="Q677" t="str">
            <v>603.81.006 Gastos Administativos de venta</v>
          </cell>
        </row>
        <row r="678">
          <cell r="B678" t="str">
            <v>-</v>
          </cell>
          <cell r="C678">
            <v>45822.03402777778</v>
          </cell>
          <cell r="D678">
            <v>5997</v>
          </cell>
          <cell r="E678" t="str">
            <v>MXN</v>
          </cell>
          <cell r="F678" t="str">
            <v>Gerardo Madrid</v>
          </cell>
          <cell r="G678" t="str">
            <v>KS*SERV ROTOPLAS B2C   CIUDAD DE MEX MEX</v>
          </cell>
          <cell r="H678" t="str">
            <v>Ks Serv Rotoplas B2c Ciudad De Mex Mex</v>
          </cell>
          <cell r="I678">
            <v>4431</v>
          </cell>
          <cell r="J678" t="str">
            <v>Miscellaneous and Specialty Retail Stores</v>
          </cell>
          <cell r="K678">
            <v>0</v>
          </cell>
          <cell r="L678">
            <v>0</v>
          </cell>
          <cell r="M678">
            <v>0</v>
          </cell>
          <cell r="N678">
            <v>0</v>
          </cell>
          <cell r="O678">
            <v>0</v>
          </cell>
          <cell r="Q678" t="str">
            <v>603.81.006 Gastos Administativos de venta</v>
          </cell>
        </row>
        <row r="679">
          <cell r="B679" t="str">
            <v>-</v>
          </cell>
          <cell r="C679">
            <v>45822.120833333334</v>
          </cell>
          <cell r="D679">
            <v>820.53</v>
          </cell>
          <cell r="E679" t="str">
            <v>MXN</v>
          </cell>
          <cell r="F679" t="str">
            <v>Gerardo Madrid</v>
          </cell>
          <cell r="G679" t="str">
            <v>UBER* EATS PENDING     CIUDAD DE MEX MEX</v>
          </cell>
          <cell r="H679" t="str">
            <v>Uber Eats</v>
          </cell>
          <cell r="I679" t="str">
            <v>552568XXXXXX3663</v>
          </cell>
          <cell r="J679" t="str">
            <v>Eating Places, Restaurants</v>
          </cell>
          <cell r="K679">
            <v>0</v>
          </cell>
          <cell r="L679">
            <v>0</v>
          </cell>
          <cell r="M679">
            <v>0</v>
          </cell>
          <cell r="N679">
            <v>0</v>
          </cell>
          <cell r="O679">
            <v>0</v>
          </cell>
          <cell r="Q679" t="str">
            <v>603.81.006 Gastos Administativos de venta</v>
          </cell>
        </row>
        <row r="680">
          <cell r="B680" t="str">
            <v>-</v>
          </cell>
          <cell r="C680">
            <v>45824.782638888886</v>
          </cell>
          <cell r="D680">
            <v>145.94</v>
          </cell>
          <cell r="E680" t="str">
            <v>MXN</v>
          </cell>
          <cell r="F680" t="str">
            <v>Gerardo Madrid</v>
          </cell>
          <cell r="G680" t="str">
            <v>UBER* PENDING          CIUDAD DE MEX MEX</v>
          </cell>
          <cell r="H680" t="str">
            <v>Uber</v>
          </cell>
          <cell r="I680">
            <v>5778</v>
          </cell>
          <cell r="J680" t="str">
            <v>Limousines and Taxicabs</v>
          </cell>
          <cell r="K680">
            <v>0</v>
          </cell>
          <cell r="L680">
            <v>0</v>
          </cell>
          <cell r="M680">
            <v>0</v>
          </cell>
          <cell r="N680">
            <v>0</v>
          </cell>
          <cell r="O680">
            <v>0</v>
          </cell>
          <cell r="Q680" t="str">
            <v>603.81.006 Gastos Administativos de venta</v>
          </cell>
        </row>
        <row r="681">
          <cell r="B681" t="str">
            <v>-</v>
          </cell>
          <cell r="C681">
            <v>45827.995138888888</v>
          </cell>
          <cell r="D681">
            <v>7020</v>
          </cell>
          <cell r="E681" t="str">
            <v>MXN</v>
          </cell>
          <cell r="F681" t="str">
            <v>Gerardo Madrid</v>
          </cell>
          <cell r="G681" t="str">
            <v>SKY ZONE SANTA FE      CIUDAD DE MEX MEX</v>
          </cell>
          <cell r="H681" t="str">
            <v>Sky Zone</v>
          </cell>
          <cell r="I681">
            <v>7740</v>
          </cell>
          <cell r="J681" t="str">
            <v>Clubs Country Clubs, Membership (Athletic, Recreation, Sports), Private Golf Courses</v>
          </cell>
          <cell r="K681">
            <v>0</v>
          </cell>
          <cell r="L681">
            <v>0</v>
          </cell>
          <cell r="M681">
            <v>0</v>
          </cell>
          <cell r="N681">
            <v>0</v>
          </cell>
          <cell r="O681">
            <v>0</v>
          </cell>
          <cell r="Q681" t="str">
            <v>603.81.006 Gastos Administativos de venta</v>
          </cell>
        </row>
        <row r="682">
          <cell r="B682" t="str">
            <v>-</v>
          </cell>
          <cell r="C682">
            <v>45828.006944444445</v>
          </cell>
          <cell r="D682">
            <v>50</v>
          </cell>
          <cell r="E682" t="str">
            <v>MXN</v>
          </cell>
          <cell r="F682" t="str">
            <v>Gerardo Madrid</v>
          </cell>
          <cell r="G682" t="str">
            <v>SKY ZONE TRAMPOLI PARK CIUDAD DE MEX MEX</v>
          </cell>
          <cell r="H682" t="str">
            <v>Sky Zone</v>
          </cell>
          <cell r="I682">
            <v>16</v>
          </cell>
          <cell r="J682" t="str">
            <v>Clubs Country Clubs, Membership (Athletic, Recreation, Sports), Private Golf Courses</v>
          </cell>
          <cell r="K682">
            <v>0</v>
          </cell>
          <cell r="L682">
            <v>0</v>
          </cell>
          <cell r="M682">
            <v>0</v>
          </cell>
          <cell r="N682">
            <v>0</v>
          </cell>
          <cell r="O682">
            <v>0</v>
          </cell>
          <cell r="Q682" t="str">
            <v>603.81.006 Gastos Administativos de venta</v>
          </cell>
        </row>
        <row r="683">
          <cell r="B683" t="str">
            <v>-</v>
          </cell>
          <cell r="C683">
            <v>45828.15625</v>
          </cell>
          <cell r="D683">
            <v>6412.4</v>
          </cell>
          <cell r="E683" t="str">
            <v>MXN</v>
          </cell>
          <cell r="F683" t="str">
            <v>Gerardo Madrid</v>
          </cell>
          <cell r="G683" t="str">
            <v>REST BOSTONS SANTA FE  CIUDAD DE MEX MEX</v>
          </cell>
          <cell r="H683" t="str">
            <v>Rest Bostons Santa Fe Ciudad De Mex Mex</v>
          </cell>
          <cell r="I683" t="str">
            <v>552568XXXXXX3818</v>
          </cell>
          <cell r="J683" t="str">
            <v>Fast Food Restaurants</v>
          </cell>
          <cell r="K683">
            <v>0</v>
          </cell>
          <cell r="L683">
            <v>0</v>
          </cell>
          <cell r="M683">
            <v>0</v>
          </cell>
          <cell r="N683">
            <v>0</v>
          </cell>
          <cell r="O683">
            <v>0</v>
          </cell>
          <cell r="Q683" t="str">
            <v>603.81.006 Gastos Administativos de venta</v>
          </cell>
        </row>
        <row r="684">
          <cell r="B684" t="str">
            <v>-</v>
          </cell>
          <cell r="C684">
            <v>45828.163888888892</v>
          </cell>
          <cell r="D684">
            <v>105</v>
          </cell>
          <cell r="E684" t="str">
            <v>MXN</v>
          </cell>
          <cell r="F684" t="str">
            <v>Gerardo Madrid</v>
          </cell>
          <cell r="G684" t="str">
            <v>17313 SANTA FE         CIUDAD DE MEX MEX</v>
          </cell>
          <cell r="H684" t="str">
            <v>Santa Fe Ciudad De Mex Mex</v>
          </cell>
          <cell r="I684" t="str">
            <v>552568XXXXXX9328</v>
          </cell>
          <cell r="J684" t="str">
            <v>Automobile Parking Lots and Garages</v>
          </cell>
          <cell r="K684">
            <v>0</v>
          </cell>
          <cell r="L684">
            <v>0</v>
          </cell>
          <cell r="M684">
            <v>0</v>
          </cell>
          <cell r="N684">
            <v>0</v>
          </cell>
          <cell r="O684">
            <v>0</v>
          </cell>
          <cell r="Q684" t="str">
            <v>603.81.006 Gastos Administativos de venta</v>
          </cell>
        </row>
        <row r="685">
          <cell r="B685" t="str">
            <v>-</v>
          </cell>
          <cell r="C685">
            <v>45828.757638888892</v>
          </cell>
          <cell r="D685">
            <v>1499</v>
          </cell>
          <cell r="E685" t="str">
            <v>MXN</v>
          </cell>
          <cell r="F685" t="str">
            <v>Gerardo Madrid</v>
          </cell>
          <cell r="G685" t="str">
            <v>AUTOZONE               MONTERREY NL  MEX</v>
          </cell>
          <cell r="H685" t="str">
            <v>Autozone</v>
          </cell>
          <cell r="I685">
            <v>8949</v>
          </cell>
          <cell r="J685" t="str">
            <v>Automotive Parts, Accessories Stores</v>
          </cell>
          <cell r="K685">
            <v>0</v>
          </cell>
          <cell r="L685">
            <v>0</v>
          </cell>
          <cell r="M685">
            <v>0</v>
          </cell>
          <cell r="N685">
            <v>0</v>
          </cell>
          <cell r="O685">
            <v>0</v>
          </cell>
          <cell r="Q685" t="str">
            <v>603.81.006 Gastos Administativos de venta</v>
          </cell>
        </row>
        <row r="686">
          <cell r="B686" t="str">
            <v>-</v>
          </cell>
          <cell r="C686">
            <v>45831.567361111112</v>
          </cell>
          <cell r="D686">
            <v>109</v>
          </cell>
          <cell r="E686" t="str">
            <v>MXN</v>
          </cell>
          <cell r="F686" t="str">
            <v>Gerardo Madrid</v>
          </cell>
          <cell r="G686" t="str">
            <v>D LOCAL*REST RAPPIPRO  CIUDAD DE MEX MEX</v>
          </cell>
          <cell r="H686" t="str">
            <v>D Local Rest Rappipro Ciudad De Mex Mex</v>
          </cell>
          <cell r="I686">
            <v>4488</v>
          </cell>
          <cell r="J686" t="str">
            <v>Fast Food Restaurants</v>
          </cell>
          <cell r="K686">
            <v>0</v>
          </cell>
          <cell r="L686">
            <v>0</v>
          </cell>
          <cell r="M686">
            <v>0</v>
          </cell>
          <cell r="N686">
            <v>0</v>
          </cell>
          <cell r="O686">
            <v>0</v>
          </cell>
          <cell r="Q686" t="str">
            <v>603.81.006 Gastos Administativos de venta</v>
          </cell>
        </row>
        <row r="687">
          <cell r="B687" t="str">
            <v>-</v>
          </cell>
          <cell r="C687">
            <v>45833.834722222222</v>
          </cell>
          <cell r="D687">
            <v>414.09</v>
          </cell>
          <cell r="E687" t="str">
            <v>MXN</v>
          </cell>
          <cell r="F687" t="str">
            <v>Gerardo Madrid</v>
          </cell>
          <cell r="G687" t="str">
            <v>UBER* EATS PENDING     CIUDAD DE MEX MEX</v>
          </cell>
          <cell r="H687" t="str">
            <v>Uber Eats</v>
          </cell>
          <cell r="I687">
            <v>3283</v>
          </cell>
          <cell r="J687" t="str">
            <v>Eating Places, Restaurants</v>
          </cell>
          <cell r="K687">
            <v>0</v>
          </cell>
          <cell r="L687">
            <v>0</v>
          </cell>
          <cell r="M687">
            <v>0</v>
          </cell>
          <cell r="N687">
            <v>0</v>
          </cell>
          <cell r="O687">
            <v>0</v>
          </cell>
          <cell r="Q687" t="str">
            <v>603.81.006 Gastos Administativos de venta</v>
          </cell>
        </row>
        <row r="688">
          <cell r="B688" t="str">
            <v>-</v>
          </cell>
          <cell r="C688">
            <v>45834.770833333336</v>
          </cell>
          <cell r="D688">
            <v>219.95</v>
          </cell>
          <cell r="E688" t="str">
            <v>MXN</v>
          </cell>
          <cell r="F688" t="str">
            <v>Gerardo Madrid</v>
          </cell>
          <cell r="G688" t="str">
            <v>UBER* EATS PENDING     CIUDAD DE MEX MEX</v>
          </cell>
          <cell r="H688" t="str">
            <v>Uber Eats</v>
          </cell>
          <cell r="I688">
            <v>8949</v>
          </cell>
          <cell r="J688" t="str">
            <v>Eating Places, Restaurants</v>
          </cell>
          <cell r="K688">
            <v>0</v>
          </cell>
          <cell r="L688">
            <v>0</v>
          </cell>
          <cell r="M688">
            <v>0</v>
          </cell>
          <cell r="N688">
            <v>0</v>
          </cell>
          <cell r="O688">
            <v>0</v>
          </cell>
          <cell r="Q688" t="str">
            <v>603.81.006 Gastos Administativos de venta</v>
          </cell>
        </row>
        <row r="689">
          <cell r="B689" t="str">
            <v>-</v>
          </cell>
          <cell r="C689">
            <v>45834.839583333334</v>
          </cell>
          <cell r="D689">
            <v>37.450000000000003</v>
          </cell>
          <cell r="E689" t="str">
            <v>MXN</v>
          </cell>
          <cell r="F689" t="str">
            <v>Gerardo Madrid</v>
          </cell>
          <cell r="G689" t="str">
            <v>UBER* EATS             CIUDAD DE MEX MEX</v>
          </cell>
          <cell r="H689" t="str">
            <v>Uber Eats</v>
          </cell>
          <cell r="I689">
            <v>975</v>
          </cell>
          <cell r="J689" t="str">
            <v>Eating Places, Restaurants</v>
          </cell>
          <cell r="K689">
            <v>0</v>
          </cell>
          <cell r="L689">
            <v>0</v>
          </cell>
          <cell r="M689">
            <v>0</v>
          </cell>
          <cell r="N689">
            <v>0</v>
          </cell>
          <cell r="O689">
            <v>0</v>
          </cell>
          <cell r="Q689" t="str">
            <v>603.81.006 Gastos Administativos de venta</v>
          </cell>
        </row>
        <row r="690">
          <cell r="B690" t="str">
            <v>-</v>
          </cell>
          <cell r="C690">
            <v>45835.662499999999</v>
          </cell>
          <cell r="D690">
            <v>119.95</v>
          </cell>
          <cell r="E690" t="str">
            <v>MXN</v>
          </cell>
          <cell r="F690" t="str">
            <v>Gerardo Madrid</v>
          </cell>
          <cell r="G690" t="str">
            <v>UBER* PENDING          CIUDAD DE MEX MEX</v>
          </cell>
          <cell r="H690" t="str">
            <v>Uber</v>
          </cell>
          <cell r="I690">
            <v>2406</v>
          </cell>
          <cell r="J690" t="str">
            <v>Limousines and Taxicabs</v>
          </cell>
          <cell r="K690">
            <v>0</v>
          </cell>
          <cell r="L690">
            <v>0</v>
          </cell>
          <cell r="M690">
            <v>0</v>
          </cell>
          <cell r="N690">
            <v>0</v>
          </cell>
          <cell r="O690">
            <v>0</v>
          </cell>
          <cell r="Q690" t="str">
            <v>603.81.006 Gastos Administativos de venta</v>
          </cell>
        </row>
        <row r="691">
          <cell r="B691" t="str">
            <v>-</v>
          </cell>
          <cell r="C691">
            <v>45836.057638888888</v>
          </cell>
          <cell r="D691">
            <v>895.29</v>
          </cell>
          <cell r="E691" t="str">
            <v>MXN</v>
          </cell>
          <cell r="F691" t="str">
            <v>Gerardo Madrid</v>
          </cell>
          <cell r="G691" t="str">
            <v>UBER* EATS PENDING     CIUDAD DE MEX MEX</v>
          </cell>
          <cell r="H691" t="str">
            <v>Uber Eats</v>
          </cell>
          <cell r="I691">
            <v>532</v>
          </cell>
          <cell r="J691" t="str">
            <v>Eating Places, Restaurants</v>
          </cell>
          <cell r="K691">
            <v>0</v>
          </cell>
          <cell r="L691">
            <v>0</v>
          </cell>
          <cell r="M691">
            <v>0</v>
          </cell>
          <cell r="N691">
            <v>0</v>
          </cell>
          <cell r="O691">
            <v>0</v>
          </cell>
          <cell r="Q691" t="str">
            <v>603.81.006 Gastos Administativos de venta</v>
          </cell>
        </row>
        <row r="692">
          <cell r="B692" t="str">
            <v>-</v>
          </cell>
          <cell r="C692">
            <v>45836.82708333333</v>
          </cell>
          <cell r="D692">
            <v>811.72</v>
          </cell>
          <cell r="E692" t="str">
            <v>MXN</v>
          </cell>
          <cell r="F692" t="str">
            <v>Gerardo Madrid</v>
          </cell>
          <cell r="G692" t="str">
            <v>PMX*GAS SER EL NVO PED CIUDAD DE MEX MEX</v>
          </cell>
          <cell r="H692" t="str">
            <v>Pmx Gas Ser El Nvo Ped Ciudad De Mex Mex</v>
          </cell>
          <cell r="I692">
            <v>8970</v>
          </cell>
          <cell r="J692" t="str">
            <v>Service Stations (with or without Ancillary Services)</v>
          </cell>
          <cell r="K692">
            <v>0</v>
          </cell>
          <cell r="L692">
            <v>0</v>
          </cell>
          <cell r="M692">
            <v>0</v>
          </cell>
          <cell r="N692">
            <v>0</v>
          </cell>
          <cell r="O692">
            <v>0</v>
          </cell>
          <cell r="Q692" t="str">
            <v>603.81.006 Gastos Administativos de venta</v>
          </cell>
        </row>
        <row r="693">
          <cell r="B693" t="str">
            <v>-</v>
          </cell>
          <cell r="C693">
            <v>45836.832638888889</v>
          </cell>
          <cell r="D693">
            <v>1242.52</v>
          </cell>
          <cell r="E693" t="str">
            <v>MXN</v>
          </cell>
          <cell r="F693" t="str">
            <v>Gerardo Madrid</v>
          </cell>
          <cell r="G693" t="str">
            <v>UBER* EATS PENDING     CIUDAD DE MEX MEX</v>
          </cell>
          <cell r="H693" t="str">
            <v>Uber Eats</v>
          </cell>
          <cell r="I693">
            <v>8970</v>
          </cell>
          <cell r="J693" t="str">
            <v>Eating Places, Restaurants</v>
          </cell>
          <cell r="K693">
            <v>0</v>
          </cell>
          <cell r="L693">
            <v>0</v>
          </cell>
          <cell r="M693">
            <v>0</v>
          </cell>
          <cell r="N693">
            <v>0</v>
          </cell>
          <cell r="O693">
            <v>0</v>
          </cell>
          <cell r="Q693" t="str">
            <v>603.81.006 Gastos Administativos de venta</v>
          </cell>
        </row>
        <row r="694">
          <cell r="B694" t="str">
            <v>-</v>
          </cell>
          <cell r="C694">
            <v>45838.870138888888</v>
          </cell>
          <cell r="D694">
            <v>54.08</v>
          </cell>
          <cell r="E694" t="str">
            <v>MXN</v>
          </cell>
          <cell r="F694" t="str">
            <v>Gerardo Madrid</v>
          </cell>
          <cell r="G694" t="str">
            <v>UBER* TRIP             CIUDAD DE MEX MEX</v>
          </cell>
          <cell r="H694" t="str">
            <v>Uber</v>
          </cell>
          <cell r="I694">
            <v>16</v>
          </cell>
          <cell r="J694" t="str">
            <v>Limousines and Taxicabs</v>
          </cell>
          <cell r="K694">
            <v>0</v>
          </cell>
          <cell r="L694">
            <v>0</v>
          </cell>
          <cell r="M694">
            <v>0</v>
          </cell>
          <cell r="N694">
            <v>0</v>
          </cell>
          <cell r="O694">
            <v>0</v>
          </cell>
          <cell r="Q694" t="str">
            <v>603.81.006 Gastos Administativos de venta</v>
          </cell>
        </row>
        <row r="695">
          <cell r="B695" t="str">
            <v>#56</v>
          </cell>
          <cell r="C695">
            <v>45809.811111111099</v>
          </cell>
          <cell r="D695">
            <v>249</v>
          </cell>
          <cell r="E695" t="str">
            <v>MXN</v>
          </cell>
          <cell r="F695" t="str">
            <v>Carlos Ivan Gonzalez Merino</v>
          </cell>
          <cell r="G695" t="str">
            <v>DP 11036 LAS AGUILAS   MEXICO DF     MEX</v>
          </cell>
          <cell r="H695" t="str">
            <v>Dp Las Aguilas Mexico Df Mex</v>
          </cell>
          <cell r="I695" t="str">
            <v>G&amp;A expenses</v>
          </cell>
          <cell r="J695" t="str">
            <v>Consumo de Alimentos_PO 2155</v>
          </cell>
          <cell r="K695">
            <v>0</v>
          </cell>
          <cell r="L695">
            <v>0</v>
          </cell>
          <cell r="M695">
            <v>0</v>
          </cell>
          <cell r="N695">
            <v>0</v>
          </cell>
          <cell r="O695">
            <v>0</v>
          </cell>
          <cell r="Q695" t="str">
            <v>602.34.002 Gastos por visita tencica</v>
          </cell>
        </row>
        <row r="696">
          <cell r="B696" t="str">
            <v>#56</v>
          </cell>
          <cell r="C696">
            <v>45810.572916666599</v>
          </cell>
          <cell r="D696">
            <v>382.87</v>
          </cell>
          <cell r="E696" t="str">
            <v>MXN</v>
          </cell>
          <cell r="F696" t="str">
            <v>Carlos Ivan Gonzalez Merino</v>
          </cell>
          <cell r="G696" t="str">
            <v>UBER* PENDING          CIUDAD DE MEX MEX</v>
          </cell>
          <cell r="H696" t="str">
            <v>Uber</v>
          </cell>
          <cell r="I696" t="str">
            <v>G&amp;A expenses</v>
          </cell>
          <cell r="J696" t="str">
            <v>Traslado a proyecto_PO 2155</v>
          </cell>
          <cell r="K696">
            <v>0</v>
          </cell>
          <cell r="L696">
            <v>0</v>
          </cell>
          <cell r="M696">
            <v>0</v>
          </cell>
          <cell r="N696">
            <v>0</v>
          </cell>
          <cell r="O696">
            <v>0</v>
          </cell>
          <cell r="Q696" t="str">
            <v>602.34.002 Gastos por visita tencica</v>
          </cell>
        </row>
        <row r="697">
          <cell r="B697" t="str">
            <v>#56</v>
          </cell>
          <cell r="C697">
            <v>45810.643055555498</v>
          </cell>
          <cell r="D697">
            <v>410</v>
          </cell>
          <cell r="E697" t="str">
            <v>MXN</v>
          </cell>
          <cell r="F697" t="str">
            <v>Carlos Ivan Gonzalez Merino</v>
          </cell>
          <cell r="G697" t="str">
            <v>PAYPAL *ORDENARISB2    MEXICO CITY   MEX</v>
          </cell>
          <cell r="H697" t="str">
            <v>Ordenarisb2 Mexico City Mex</v>
          </cell>
          <cell r="I697" t="str">
            <v>G&amp;A expenses</v>
          </cell>
          <cell r="J697" t="str">
            <v>Compra de datos para wifi portatil_PO 2155</v>
          </cell>
          <cell r="K697">
            <v>0</v>
          </cell>
          <cell r="L697">
            <v>0</v>
          </cell>
          <cell r="M697">
            <v>0</v>
          </cell>
          <cell r="N697">
            <v>0</v>
          </cell>
          <cell r="O697">
            <v>0</v>
          </cell>
          <cell r="Q697" t="str">
            <v>602.34.002 Gastos por visita tencica</v>
          </cell>
        </row>
        <row r="698">
          <cell r="B698" t="str">
            <v>#56</v>
          </cell>
          <cell r="C698">
            <v>45810.7451388888</v>
          </cell>
          <cell r="D698">
            <v>479.8</v>
          </cell>
          <cell r="E698" t="str">
            <v>MXN</v>
          </cell>
          <cell r="F698" t="str">
            <v>Carlos Ivan Gonzalez Merino</v>
          </cell>
          <cell r="G698" t="str">
            <v>MULTISERVS DUAL        OCOYOACAC EM  MEX</v>
          </cell>
          <cell r="H698" t="str">
            <v>Multiservs Dual Ocoyoacac Em Mex</v>
          </cell>
          <cell r="I698" t="str">
            <v>G&amp;A expenses</v>
          </cell>
          <cell r="J698" t="str">
            <v>Combustible para generador pintura_PO 2155</v>
          </cell>
          <cell r="K698">
            <v>0</v>
          </cell>
          <cell r="L698">
            <v>0</v>
          </cell>
          <cell r="M698">
            <v>0</v>
          </cell>
          <cell r="N698">
            <v>0</v>
          </cell>
          <cell r="O698">
            <v>0</v>
          </cell>
          <cell r="Q698" t="str">
            <v>602.34.002 Gastos por visita tencica</v>
          </cell>
        </row>
        <row r="699">
          <cell r="B699" t="str">
            <v>#56</v>
          </cell>
          <cell r="C699">
            <v>45810.831250000003</v>
          </cell>
          <cell r="D699">
            <v>146.88</v>
          </cell>
          <cell r="E699" t="str">
            <v>MXN</v>
          </cell>
          <cell r="F699" t="str">
            <v>Carlos Ivan Gonzalez Merino</v>
          </cell>
          <cell r="G699" t="str">
            <v>UBER* PENDING          CIUDAD DE MEX MEX</v>
          </cell>
          <cell r="H699" t="str">
            <v>Uber</v>
          </cell>
          <cell r="I699" t="str">
            <v>G&amp;A expenses</v>
          </cell>
          <cell r="J699" t="str">
            <v>Traslado a proyecto_PO 2155</v>
          </cell>
          <cell r="K699">
            <v>0</v>
          </cell>
          <cell r="L699">
            <v>0</v>
          </cell>
          <cell r="M699">
            <v>0</v>
          </cell>
          <cell r="N699">
            <v>0</v>
          </cell>
          <cell r="O699">
            <v>0</v>
          </cell>
          <cell r="Q699" t="str">
            <v>602.34.002 Gastos por visita tencica</v>
          </cell>
        </row>
        <row r="700">
          <cell r="B700" t="str">
            <v>#56</v>
          </cell>
          <cell r="C700">
            <v>45810.852083333302</v>
          </cell>
          <cell r="D700">
            <v>16071.48</v>
          </cell>
          <cell r="E700" t="str">
            <v>MXN</v>
          </cell>
          <cell r="F700" t="str">
            <v>Carlos Ivan Gonzalez Merino</v>
          </cell>
          <cell r="G700" t="str">
            <v>AVIS MXN               MERIDA YUC    MEX</v>
          </cell>
          <cell r="H700" t="str">
            <v>Avis Rent A Car</v>
          </cell>
          <cell r="I700" t="str">
            <v>G&amp;A expenses</v>
          </cell>
          <cell r="J700" t="str">
            <v>Renta de auto_PO 2155</v>
          </cell>
          <cell r="K700" t="str">
            <v>36375a71-1685-4ffe-8b1d-dc7cc0a4fa11</v>
          </cell>
          <cell r="L700">
            <v>0</v>
          </cell>
          <cell r="M700">
            <v>0</v>
          </cell>
          <cell r="N700">
            <v>0</v>
          </cell>
          <cell r="O700">
            <v>0</v>
          </cell>
          <cell r="Q700" t="str">
            <v>602.34.002 Gastos por visita tencica</v>
          </cell>
        </row>
        <row r="701">
          <cell r="B701" t="str">
            <v>#56</v>
          </cell>
          <cell r="C701">
            <v>45811.564583333296</v>
          </cell>
          <cell r="D701">
            <v>172</v>
          </cell>
          <cell r="E701" t="str">
            <v>MXN</v>
          </cell>
          <cell r="F701" t="str">
            <v>Carlos Ivan Gonzalez Merino</v>
          </cell>
          <cell r="G701" t="str">
            <v>UBER* TRIP             CIUDAD DE MEX MEX</v>
          </cell>
          <cell r="H701" t="str">
            <v>Uber</v>
          </cell>
          <cell r="I701" t="str">
            <v>G&amp;A expenses</v>
          </cell>
          <cell r="J701" t="str">
            <v>Traslado a proyecto_PO 2155</v>
          </cell>
          <cell r="K701">
            <v>0</v>
          </cell>
          <cell r="L701">
            <v>0</v>
          </cell>
          <cell r="M701">
            <v>0</v>
          </cell>
          <cell r="N701">
            <v>0</v>
          </cell>
          <cell r="O701">
            <v>0</v>
          </cell>
          <cell r="Q701" t="str">
            <v>602.34.002 Gastos por visita tencica</v>
          </cell>
        </row>
        <row r="702">
          <cell r="B702" t="str">
            <v>#56</v>
          </cell>
          <cell r="C702">
            <v>45811.7722222222</v>
          </cell>
          <cell r="D702">
            <v>107.99</v>
          </cell>
          <cell r="E702" t="str">
            <v>MXN</v>
          </cell>
          <cell r="F702" t="str">
            <v>Carlos Ivan Gonzalez Merino</v>
          </cell>
          <cell r="G702" t="str">
            <v>EL GLOBO LAS AGUILAS   CIUDAD DE MEX MEX</v>
          </cell>
          <cell r="H702" t="str">
            <v>El Globo Las Aguilas Ciudad De Mex Mex</v>
          </cell>
          <cell r="I702" t="str">
            <v>G&amp;A expenses</v>
          </cell>
          <cell r="J702" t="str">
            <v>Consumo de Alimentos_PO 2155</v>
          </cell>
          <cell r="K702" t="str">
            <v>CF1E1450-79B0-41FE-8BBE-27D9D4E28E6D</v>
          </cell>
          <cell r="L702">
            <v>0</v>
          </cell>
          <cell r="M702">
            <v>0</v>
          </cell>
          <cell r="N702">
            <v>0</v>
          </cell>
          <cell r="O702">
            <v>0</v>
          </cell>
          <cell r="Q702" t="str">
            <v>602.34.002 Gastos por visita tencica</v>
          </cell>
        </row>
        <row r="703">
          <cell r="B703" t="str">
            <v>#56</v>
          </cell>
          <cell r="C703">
            <v>45811.85</v>
          </cell>
          <cell r="D703">
            <v>431.82</v>
          </cell>
          <cell r="E703" t="str">
            <v>MXN</v>
          </cell>
          <cell r="F703" t="str">
            <v>Carlos Ivan Gonzalez Merino</v>
          </cell>
          <cell r="G703" t="str">
            <v>SERV ALISAS            LERMA EM      MEX</v>
          </cell>
          <cell r="H703" t="str">
            <v>Serv Alisas Lerma Em Mex</v>
          </cell>
          <cell r="I703" t="str">
            <v>G&amp;A expenses</v>
          </cell>
          <cell r="J703" t="str">
            <v>Combustible para generador pintura_PO 2155</v>
          </cell>
          <cell r="K703" t="str">
            <v>CC3F12ED-967A-4EE0-BC5F-A05410ECAAF6</v>
          </cell>
          <cell r="L703">
            <v>0</v>
          </cell>
          <cell r="M703">
            <v>0</v>
          </cell>
          <cell r="N703">
            <v>0</v>
          </cell>
          <cell r="O703">
            <v>0</v>
          </cell>
          <cell r="Q703" t="str">
            <v>602.34.002 Gastos por visita tencica</v>
          </cell>
        </row>
        <row r="704">
          <cell r="B704" t="str">
            <v>#56</v>
          </cell>
          <cell r="C704">
            <v>45811.894444444399</v>
          </cell>
          <cell r="D704">
            <v>239.9</v>
          </cell>
          <cell r="E704" t="str">
            <v>MXN</v>
          </cell>
          <cell r="F704" t="str">
            <v>Carlos Ivan Gonzalez Merino</v>
          </cell>
          <cell r="G704" t="str">
            <v>SERV ALISAS            LERMA EM      MEX</v>
          </cell>
          <cell r="H704" t="str">
            <v>Serv Alisas Lerma Em Mex</v>
          </cell>
          <cell r="I704" t="str">
            <v>G&amp;A expenses</v>
          </cell>
          <cell r="J704" t="str">
            <v>Combustible para generador pintura_PO 2155</v>
          </cell>
          <cell r="K704" t="str">
            <v>F94E57C2-6256-4151-83BF-541977F3EA89</v>
          </cell>
          <cell r="L704">
            <v>0</v>
          </cell>
          <cell r="M704">
            <v>0</v>
          </cell>
          <cell r="N704">
            <v>0</v>
          </cell>
          <cell r="O704">
            <v>0</v>
          </cell>
          <cell r="Q704" t="str">
            <v>602.34.002 Gastos por visita tencica</v>
          </cell>
        </row>
        <row r="705">
          <cell r="B705" t="str">
            <v>#56</v>
          </cell>
          <cell r="C705">
            <v>45812.618750000001</v>
          </cell>
          <cell r="D705">
            <v>636.80999999999995</v>
          </cell>
          <cell r="E705" t="str">
            <v>MXN</v>
          </cell>
          <cell r="F705" t="str">
            <v>Carlos Ivan Gonzalez Merino</v>
          </cell>
          <cell r="G705" t="str">
            <v>GASOLINERIA ES 03758   MEXICO DF     MEX</v>
          </cell>
          <cell r="H705" t="str">
            <v>Gasolineria Es Mexico Df Mex</v>
          </cell>
          <cell r="I705" t="str">
            <v>G&amp;A expenses</v>
          </cell>
          <cell r="J705" t="str">
            <v>Combustible para generador camper_PO 2155</v>
          </cell>
          <cell r="K705" t="str">
            <v>e81ecdbf-01f7-40e0-b5f1-d5e373079846</v>
          </cell>
          <cell r="L705">
            <v>0</v>
          </cell>
          <cell r="M705">
            <v>0</v>
          </cell>
          <cell r="N705">
            <v>0</v>
          </cell>
          <cell r="O705">
            <v>0</v>
          </cell>
          <cell r="Q705" t="str">
            <v>602.34.002 Gastos por visita tencica</v>
          </cell>
        </row>
        <row r="706">
          <cell r="B706" t="str">
            <v>#56</v>
          </cell>
          <cell r="C706">
            <v>45812.841666666602</v>
          </cell>
          <cell r="D706">
            <v>875.6</v>
          </cell>
          <cell r="E706" t="str">
            <v>MXN</v>
          </cell>
          <cell r="F706" t="str">
            <v>Carlos Ivan Gonzalez Merino</v>
          </cell>
          <cell r="G706" t="str">
            <v>CHILI S LERMA          LERMA EM      MEX</v>
          </cell>
          <cell r="H706" t="str">
            <v>Chili's</v>
          </cell>
          <cell r="I706" t="str">
            <v>G&amp;A expenses</v>
          </cell>
          <cell r="J706" t="str">
            <v>Consumo de Alimentos_PO 2155</v>
          </cell>
          <cell r="K706" t="str">
            <v>6820E5C3-AB51-4786-9D8A-67F9156BB36F</v>
          </cell>
          <cell r="L706">
            <v>0</v>
          </cell>
          <cell r="M706">
            <v>0</v>
          </cell>
          <cell r="N706">
            <v>0</v>
          </cell>
          <cell r="O706">
            <v>0</v>
          </cell>
          <cell r="Q706" t="str">
            <v>602.34.002 Gastos por visita tencica</v>
          </cell>
        </row>
        <row r="707">
          <cell r="B707" t="str">
            <v>#56</v>
          </cell>
          <cell r="C707">
            <v>45813.688888888799</v>
          </cell>
          <cell r="D707">
            <v>431.82</v>
          </cell>
          <cell r="E707" t="str">
            <v>MXN</v>
          </cell>
          <cell r="F707" t="str">
            <v>Carlos Ivan Gonzalez Merino</v>
          </cell>
          <cell r="G707" t="str">
            <v>SERV ALISAS            LERMA EM      MEX</v>
          </cell>
          <cell r="H707" t="str">
            <v>Serv Alisas Lerma Em Mex</v>
          </cell>
          <cell r="I707" t="str">
            <v>G&amp;A expenses</v>
          </cell>
          <cell r="J707" t="str">
            <v>Combustible para generador pintura_PO 2155</v>
          </cell>
          <cell r="K707" t="str">
            <v>39D81766-34C6-4D1B-9F31-860E97C46BCB</v>
          </cell>
          <cell r="L707">
            <v>0</v>
          </cell>
          <cell r="M707">
            <v>0</v>
          </cell>
          <cell r="N707">
            <v>0</v>
          </cell>
          <cell r="O707">
            <v>0</v>
          </cell>
          <cell r="Q707" t="str">
            <v>602.34.002 Gastos por visita tencica</v>
          </cell>
        </row>
        <row r="708">
          <cell r="B708" t="str">
            <v>#56</v>
          </cell>
          <cell r="C708">
            <v>45813.708333333299</v>
          </cell>
          <cell r="D708">
            <v>340.16</v>
          </cell>
          <cell r="E708" t="str">
            <v>MXN</v>
          </cell>
          <cell r="F708" t="str">
            <v>Carlos Ivan Gonzalez Merino</v>
          </cell>
          <cell r="G708" t="str">
            <v>MERCADO PAGO 1         CIUDAD DE MEX MEX</v>
          </cell>
          <cell r="H708" t="str">
            <v>Mercado Pago 1 Ciudad De Mex Mex</v>
          </cell>
          <cell r="I708" t="str">
            <v>G&amp;A expenses</v>
          </cell>
          <cell r="J708" t="str">
            <v>Insumos trabajos de pintura_PO 2155</v>
          </cell>
          <cell r="K708">
            <v>0</v>
          </cell>
          <cell r="L708">
            <v>0</v>
          </cell>
          <cell r="M708">
            <v>0</v>
          </cell>
          <cell r="N708">
            <v>0</v>
          </cell>
          <cell r="O708">
            <v>0</v>
          </cell>
          <cell r="Q708" t="str">
            <v>602.34.002 Gastos por visita tencica</v>
          </cell>
        </row>
        <row r="709">
          <cell r="B709" t="str">
            <v>#56</v>
          </cell>
          <cell r="C709">
            <v>45813.769444444399</v>
          </cell>
          <cell r="D709">
            <v>62</v>
          </cell>
          <cell r="E709" t="str">
            <v>MXN</v>
          </cell>
          <cell r="F709" t="str">
            <v>Carlos Ivan Gonzalez Merino</v>
          </cell>
          <cell r="G709" t="str">
            <v>OFFICE MAX TOLUCA APTO LERMA         MEX</v>
          </cell>
          <cell r="H709" t="str">
            <v>Office Depot</v>
          </cell>
          <cell r="I709" t="str">
            <v>G&amp;A expenses</v>
          </cell>
          <cell r="J709" t="str">
            <v>Carpetas para cierre de proyecto_PO_2155</v>
          </cell>
          <cell r="K709">
            <v>0</v>
          </cell>
          <cell r="L709">
            <v>0</v>
          </cell>
          <cell r="M709">
            <v>0</v>
          </cell>
          <cell r="N709">
            <v>0</v>
          </cell>
          <cell r="O709">
            <v>0</v>
          </cell>
          <cell r="Q709" t="str">
            <v>602.34.002 Gastos por visita tencica</v>
          </cell>
        </row>
        <row r="710">
          <cell r="B710" t="str">
            <v>#56</v>
          </cell>
          <cell r="C710">
            <v>45813.806250000001</v>
          </cell>
          <cell r="D710">
            <v>238</v>
          </cell>
          <cell r="E710" t="str">
            <v>MXN</v>
          </cell>
          <cell r="F710" t="str">
            <v>Carlos Ivan Gonzalez Merino</v>
          </cell>
          <cell r="G710" t="str">
            <v>CLIP MX*REST BUSHER CO LERMA         MEX</v>
          </cell>
          <cell r="H710" t="str">
            <v>Clip Mx Rest Busher Co Lerma Mex</v>
          </cell>
          <cell r="I710" t="str">
            <v>G&amp;A expenses</v>
          </cell>
          <cell r="J710" t="str">
            <v>Consumo de Alimentos_PO 2155</v>
          </cell>
          <cell r="K710">
            <v>0</v>
          </cell>
          <cell r="L710">
            <v>0</v>
          </cell>
          <cell r="M710">
            <v>0</v>
          </cell>
          <cell r="N710">
            <v>0</v>
          </cell>
          <cell r="O710">
            <v>0</v>
          </cell>
          <cell r="Q710" t="str">
            <v>602.34.002 Gastos por visita tencica</v>
          </cell>
        </row>
        <row r="711">
          <cell r="B711" t="str">
            <v>#56</v>
          </cell>
          <cell r="C711">
            <v>45814.649305555497</v>
          </cell>
          <cell r="D711">
            <v>1996.48</v>
          </cell>
          <cell r="E711" t="str">
            <v>MXN</v>
          </cell>
          <cell r="F711" t="str">
            <v>Carlos Ivan Gonzalez Merino</v>
          </cell>
          <cell r="G711" t="str">
            <v>GME147 SW TOLUCA TOLLO TOLUCA EM     MEX</v>
          </cell>
          <cell r="H711" t="str">
            <v>Gme147 Sw Toluca Tollo Toluca Em Mex</v>
          </cell>
          <cell r="I711" t="str">
            <v>G&amp;A expenses</v>
          </cell>
          <cell r="J711" t="str">
            <v>Dry-Fall Nave 3_PO 2155</v>
          </cell>
          <cell r="K711" t="str">
            <v>8B483C5F-42EB-11F0-9B82-83B76DBA7D45</v>
          </cell>
          <cell r="L711">
            <v>0</v>
          </cell>
          <cell r="M711">
            <v>0</v>
          </cell>
          <cell r="N711">
            <v>0</v>
          </cell>
          <cell r="O711">
            <v>0</v>
          </cell>
          <cell r="Q711" t="str">
            <v>602.34.002 Gastos por visita tencica</v>
          </cell>
        </row>
        <row r="712">
          <cell r="B712" t="str">
            <v>#56</v>
          </cell>
          <cell r="C712">
            <v>45815.0625</v>
          </cell>
          <cell r="D712">
            <v>730.45</v>
          </cell>
          <cell r="E712" t="str">
            <v>MXN</v>
          </cell>
          <cell r="F712" t="str">
            <v>Carlos Ivan Gonzalez Merino</v>
          </cell>
          <cell r="G712" t="str">
            <v>HF                     LERMA EM      MEX</v>
          </cell>
          <cell r="H712" t="str">
            <v>Hf Lerma Em Mex</v>
          </cell>
          <cell r="I712" t="str">
            <v>G&amp;A expenses</v>
          </cell>
          <cell r="J712" t="str">
            <v>Combustible auto en renta_PO 2155</v>
          </cell>
          <cell r="K712" t="str">
            <v>039955b1-f3ff-4b47-8f3b-282eea2d76dd</v>
          </cell>
          <cell r="L712">
            <v>0</v>
          </cell>
          <cell r="M712">
            <v>0</v>
          </cell>
          <cell r="N712">
            <v>0</v>
          </cell>
          <cell r="O712">
            <v>0</v>
          </cell>
          <cell r="Q712" t="str">
            <v>602.34.002 Gastos por visita tencica</v>
          </cell>
        </row>
        <row r="713">
          <cell r="B713" t="str">
            <v>#56</v>
          </cell>
          <cell r="C713">
            <v>45815.975694444402</v>
          </cell>
          <cell r="D713">
            <v>916.3</v>
          </cell>
          <cell r="E713" t="str">
            <v>MXN</v>
          </cell>
          <cell r="F713" t="str">
            <v>Carlos Ivan Gonzalez Merino</v>
          </cell>
          <cell r="G713" t="str">
            <v>MARANTA RESTAURANTE    LERMA EM      MEX</v>
          </cell>
          <cell r="H713" t="str">
            <v>Maranta Restaurante Lerma Em Mex</v>
          </cell>
          <cell r="I713" t="str">
            <v>G&amp;A expenses</v>
          </cell>
          <cell r="J713" t="str">
            <v>Consumo de Alimentos_PO 2155</v>
          </cell>
          <cell r="K713" t="str">
            <v>9A43FC9B-F257-4B5E-85B4-0FE074BAB85E</v>
          </cell>
          <cell r="L713">
            <v>0</v>
          </cell>
          <cell r="M713">
            <v>0</v>
          </cell>
          <cell r="N713">
            <v>0</v>
          </cell>
          <cell r="O713">
            <v>0</v>
          </cell>
          <cell r="Q713" t="str">
            <v>602.34.002 Gastos por visita tencica</v>
          </cell>
        </row>
        <row r="714">
          <cell r="B714" t="str">
            <v>#56</v>
          </cell>
          <cell r="C714">
            <v>45817.581944444399</v>
          </cell>
          <cell r="D714">
            <v>172</v>
          </cell>
          <cell r="E714" t="str">
            <v>MXN</v>
          </cell>
          <cell r="F714" t="str">
            <v>Carlos Ivan Gonzalez Merino</v>
          </cell>
          <cell r="G714" t="str">
            <v>UBER* TRIP             CIUDAD DE MEX MEX</v>
          </cell>
          <cell r="H714" t="str">
            <v>Uber</v>
          </cell>
          <cell r="I714" t="str">
            <v>G&amp;A expenses</v>
          </cell>
          <cell r="J714" t="str">
            <v>Traslado a proyecto_PO 2155</v>
          </cell>
          <cell r="K714">
            <v>0</v>
          </cell>
          <cell r="L714">
            <v>0</v>
          </cell>
          <cell r="M714">
            <v>0</v>
          </cell>
          <cell r="N714">
            <v>0</v>
          </cell>
          <cell r="O714">
            <v>0</v>
          </cell>
          <cell r="Q714" t="str">
            <v>602.34.002 Gastos por visita tencica</v>
          </cell>
        </row>
        <row r="715">
          <cell r="B715" t="str">
            <v>#56</v>
          </cell>
          <cell r="C715">
            <v>45817.680555555497</v>
          </cell>
          <cell r="D715">
            <v>3000</v>
          </cell>
          <cell r="E715" t="str">
            <v>MXN</v>
          </cell>
          <cell r="F715" t="str">
            <v>Carlos Ivan Gonzalez Merino</v>
          </cell>
          <cell r="G715" t="str">
            <v>AVIS MXN               MERIDA YUC    MEX</v>
          </cell>
          <cell r="H715" t="str">
            <v>Avis Rent A Car</v>
          </cell>
          <cell r="I715" t="str">
            <v>G&amp;A expenses</v>
          </cell>
          <cell r="J715" t="str">
            <v>Retención Renta de auto_PO 2155</v>
          </cell>
          <cell r="K715">
            <v>0</v>
          </cell>
          <cell r="L715">
            <v>0</v>
          </cell>
          <cell r="M715">
            <v>0</v>
          </cell>
          <cell r="N715">
            <v>0</v>
          </cell>
          <cell r="O715">
            <v>0</v>
          </cell>
          <cell r="Q715" t="str">
            <v>602.34.002 Gastos por visita tencica</v>
          </cell>
        </row>
        <row r="716">
          <cell r="B716" t="str">
            <v>#56</v>
          </cell>
          <cell r="C716">
            <v>45817.797222222202</v>
          </cell>
          <cell r="D716">
            <v>189</v>
          </cell>
          <cell r="E716" t="str">
            <v>MXN</v>
          </cell>
          <cell r="F716" t="str">
            <v>Carlos Ivan Gonzalez Merino</v>
          </cell>
          <cell r="G716" t="str">
            <v>CLIP MX*REST BUSHER CO LERMA         MEX</v>
          </cell>
          <cell r="H716" t="str">
            <v>Clip Mx Rest Busher Co Lerma Mex</v>
          </cell>
          <cell r="I716" t="str">
            <v>G&amp;A expenses</v>
          </cell>
          <cell r="J716" t="str">
            <v>Consumo de Alimentos_PO 2155</v>
          </cell>
          <cell r="K716">
            <v>0</v>
          </cell>
          <cell r="L716">
            <v>0</v>
          </cell>
          <cell r="M716">
            <v>0</v>
          </cell>
          <cell r="N716">
            <v>0</v>
          </cell>
          <cell r="O716">
            <v>0</v>
          </cell>
          <cell r="Q716" t="str">
            <v>602.34.002 Gastos por visita tencica</v>
          </cell>
        </row>
        <row r="717">
          <cell r="B717" t="str">
            <v>#56</v>
          </cell>
          <cell r="C717">
            <v>45819.0041666666</v>
          </cell>
          <cell r="D717">
            <v>760.51</v>
          </cell>
          <cell r="E717" t="str">
            <v>MXN</v>
          </cell>
          <cell r="F717" t="str">
            <v>Carlos Ivan Gonzalez Merino</v>
          </cell>
          <cell r="G717" t="str">
            <v>GASOLINERIA ES 03758   MEXICO DF     MEX</v>
          </cell>
          <cell r="H717" t="str">
            <v>Gasolineria Es Mexico Df Mex</v>
          </cell>
          <cell r="I717" t="str">
            <v>G&amp;A expenses</v>
          </cell>
          <cell r="J717" t="str">
            <v>Combustible auto en renta_PO 2155</v>
          </cell>
          <cell r="K717" t="str">
            <v>be958e96-a040-48e2-b3d4-4dc9e7f62aac</v>
          </cell>
          <cell r="L717">
            <v>0</v>
          </cell>
          <cell r="M717">
            <v>0</v>
          </cell>
          <cell r="N717">
            <v>0</v>
          </cell>
          <cell r="O717">
            <v>0</v>
          </cell>
          <cell r="Q717" t="str">
            <v>602.34.002 Gastos por visita tencica</v>
          </cell>
        </row>
        <row r="718">
          <cell r="B718" t="str">
            <v>#56</v>
          </cell>
          <cell r="C718">
            <v>45819.558333333298</v>
          </cell>
          <cell r="D718">
            <v>200</v>
          </cell>
          <cell r="E718" t="str">
            <v>MXN</v>
          </cell>
          <cell r="F718" t="str">
            <v>Carlos Ivan Gonzalez Merino</v>
          </cell>
          <cell r="G718" t="str">
            <v>MERCADOPAGO *TELEVIA   Miguel Hidalg MEX</v>
          </cell>
          <cell r="H718" t="str">
            <v>Mercadopago</v>
          </cell>
          <cell r="I718" t="str">
            <v>G&amp;A expenses</v>
          </cell>
          <cell r="J718" t="str">
            <v>Consumo de Alimentos_PO 2155</v>
          </cell>
          <cell r="K718">
            <v>0</v>
          </cell>
          <cell r="L718">
            <v>0</v>
          </cell>
          <cell r="M718">
            <v>0</v>
          </cell>
          <cell r="N718">
            <v>0</v>
          </cell>
          <cell r="O718">
            <v>0</v>
          </cell>
          <cell r="Q718" t="str">
            <v>602.34.002 Gastos por visita tencica</v>
          </cell>
        </row>
        <row r="719">
          <cell r="B719" t="str">
            <v>#56</v>
          </cell>
          <cell r="C719">
            <v>45819.634722222203</v>
          </cell>
          <cell r="D719">
            <v>719.7</v>
          </cell>
          <cell r="E719" t="str">
            <v>MXN</v>
          </cell>
          <cell r="F719" t="str">
            <v>Carlos Ivan Gonzalez Merino</v>
          </cell>
          <cell r="G719" t="str">
            <v>SERV ALISAS            LERMA EM      MEX</v>
          </cell>
          <cell r="H719" t="str">
            <v>Serv Alisas Lerma Em Mex</v>
          </cell>
          <cell r="I719" t="str">
            <v>G&amp;A expenses</v>
          </cell>
          <cell r="J719" t="str">
            <v>Combustible auto en renta_PO 2155</v>
          </cell>
          <cell r="K719">
            <v>0</v>
          </cell>
          <cell r="L719">
            <v>0</v>
          </cell>
          <cell r="M719">
            <v>0</v>
          </cell>
          <cell r="N719">
            <v>0</v>
          </cell>
          <cell r="O719">
            <v>0</v>
          </cell>
          <cell r="Q719" t="str">
            <v>602.34.002 Gastos por visita tencica</v>
          </cell>
        </row>
        <row r="720">
          <cell r="B720" t="str">
            <v>#56</v>
          </cell>
          <cell r="C720">
            <v>45819.951388888803</v>
          </cell>
          <cell r="D720">
            <v>437.8</v>
          </cell>
          <cell r="E720" t="str">
            <v>MXN</v>
          </cell>
          <cell r="F720" t="str">
            <v>Carlos Ivan Gonzalez Merino</v>
          </cell>
          <cell r="G720" t="str">
            <v>CHILI S LERMA          LERMA EM      MEX</v>
          </cell>
          <cell r="H720" t="str">
            <v>Chili's</v>
          </cell>
          <cell r="I720" t="str">
            <v>G&amp;A expenses</v>
          </cell>
          <cell r="J720" t="str">
            <v>Consumo de Alimentos_PO 2155</v>
          </cell>
          <cell r="K720" t="str">
            <v>046B6617-086E-422A-A048-01957837499A</v>
          </cell>
          <cell r="L720">
            <v>0</v>
          </cell>
          <cell r="M720">
            <v>0</v>
          </cell>
          <cell r="N720">
            <v>0</v>
          </cell>
          <cell r="O720">
            <v>0</v>
          </cell>
          <cell r="Q720" t="str">
            <v>602.34.002 Gastos por visita tencica</v>
          </cell>
        </row>
        <row r="721">
          <cell r="B721" t="str">
            <v>#56</v>
          </cell>
          <cell r="C721">
            <v>45820.056944444397</v>
          </cell>
          <cell r="D721">
            <v>2000</v>
          </cell>
          <cell r="E721" t="str">
            <v>MXN</v>
          </cell>
          <cell r="F721" t="str">
            <v>Carlos Ivan Gonzalez Merino</v>
          </cell>
          <cell r="G721" t="str">
            <v>AVIS MXN               MERIDA YUC    MEX</v>
          </cell>
          <cell r="H721" t="str">
            <v>Avis Rent A Car</v>
          </cell>
          <cell r="I721" t="str">
            <v>G&amp;A expenses</v>
          </cell>
          <cell r="J721" t="str">
            <v>Retención Renta de auto_PO 2155</v>
          </cell>
          <cell r="K721">
            <v>0</v>
          </cell>
          <cell r="L721">
            <v>0</v>
          </cell>
          <cell r="M721">
            <v>0</v>
          </cell>
          <cell r="N721">
            <v>0</v>
          </cell>
          <cell r="O721">
            <v>0</v>
          </cell>
          <cell r="Q721" t="str">
            <v>602.34.002 Gastos por visita tencica</v>
          </cell>
        </row>
        <row r="722">
          <cell r="B722" t="str">
            <v>#56</v>
          </cell>
          <cell r="C722">
            <v>45820.636111111096</v>
          </cell>
          <cell r="D722">
            <v>1193.75</v>
          </cell>
          <cell r="E722" t="str">
            <v>MXN</v>
          </cell>
          <cell r="F722" t="str">
            <v>Carlos Ivan Gonzalez Merino</v>
          </cell>
          <cell r="G722" t="str">
            <v>MERCADO PAGO 1         CIUDAD DE MEX MEX</v>
          </cell>
          <cell r="H722" t="str">
            <v>Mercado Pago 1 Ciudad De Mex Mex</v>
          </cell>
          <cell r="I722" t="str">
            <v>G&amp;A expenses</v>
          </cell>
          <cell r="J722" t="str">
            <v>Insumos trabajos de pintura_PO 2155</v>
          </cell>
          <cell r="K722">
            <v>0</v>
          </cell>
          <cell r="L722">
            <v>0</v>
          </cell>
          <cell r="M722">
            <v>0</v>
          </cell>
          <cell r="N722">
            <v>0</v>
          </cell>
          <cell r="O722">
            <v>0</v>
          </cell>
          <cell r="Q722" t="str">
            <v>602.34.002 Gastos por visita tencica</v>
          </cell>
        </row>
        <row r="723">
          <cell r="B723" t="str">
            <v>#56</v>
          </cell>
          <cell r="C723">
            <v>45821.637499999997</v>
          </cell>
          <cell r="D723">
            <v>69</v>
          </cell>
          <cell r="E723" t="str">
            <v>MXN</v>
          </cell>
          <cell r="F723" t="str">
            <v>Carlos Ivan Gonzalez Merino</v>
          </cell>
          <cell r="G723" t="str">
            <v>EL GLOBO REVOLUCION    MEXICO DF     MEX</v>
          </cell>
          <cell r="H723" t="str">
            <v>El Globo Revolucion Mexico Df Mex</v>
          </cell>
          <cell r="I723" t="str">
            <v>G&amp;A expenses</v>
          </cell>
          <cell r="J723" t="str">
            <v>Consumo de Alimentos_PO 2155</v>
          </cell>
          <cell r="K723">
            <v>0</v>
          </cell>
          <cell r="L723">
            <v>0</v>
          </cell>
          <cell r="M723">
            <v>0</v>
          </cell>
          <cell r="N723">
            <v>0</v>
          </cell>
          <cell r="O723">
            <v>0</v>
          </cell>
          <cell r="Q723" t="str">
            <v>602.34.002 Gastos por visita tencica</v>
          </cell>
        </row>
        <row r="724">
          <cell r="B724" t="str">
            <v>#56</v>
          </cell>
          <cell r="C724">
            <v>45822.048611111102</v>
          </cell>
          <cell r="D724">
            <v>154</v>
          </cell>
          <cell r="E724" t="str">
            <v>MXN</v>
          </cell>
          <cell r="F724" t="str">
            <v>Carlos Ivan Gonzalez Merino</v>
          </cell>
          <cell r="G724" t="str">
            <v>DLO*DiDi MX Payin Ride MEXICO        MEX</v>
          </cell>
          <cell r="H724" t="str">
            <v>Dlo Didi Mx Payin Ride Mexico Mex</v>
          </cell>
          <cell r="I724" t="str">
            <v>G&amp;A expenses</v>
          </cell>
          <cell r="J724" t="str">
            <v>Traslado a proyecto_PO 2155</v>
          </cell>
          <cell r="K724">
            <v>0</v>
          </cell>
          <cell r="L724">
            <v>0</v>
          </cell>
          <cell r="M724">
            <v>0</v>
          </cell>
          <cell r="N724">
            <v>0</v>
          </cell>
          <cell r="O724">
            <v>0</v>
          </cell>
          <cell r="Q724" t="str">
            <v>602.34.002 Gastos por visita tencica</v>
          </cell>
        </row>
        <row r="725">
          <cell r="B725" t="str">
            <v>#56</v>
          </cell>
          <cell r="C725">
            <v>45822.102777777698</v>
          </cell>
          <cell r="D725">
            <v>203</v>
          </cell>
          <cell r="E725" t="str">
            <v>MXN</v>
          </cell>
          <cell r="F725" t="str">
            <v>Carlos Ivan Gonzalez Merino</v>
          </cell>
          <cell r="G725" t="str">
            <v>DLO*DIDI RIDES         CIUDAD DE MEX MEX</v>
          </cell>
          <cell r="H725" t="str">
            <v>Didi Chuxing</v>
          </cell>
          <cell r="I725" t="str">
            <v>G&amp;A expenses</v>
          </cell>
          <cell r="J725" t="str">
            <v>Traslado a proyecto_PO 2155</v>
          </cell>
          <cell r="K725">
            <v>0</v>
          </cell>
          <cell r="L725">
            <v>0</v>
          </cell>
          <cell r="M725">
            <v>0</v>
          </cell>
          <cell r="N725">
            <v>0</v>
          </cell>
          <cell r="O725">
            <v>0</v>
          </cell>
          <cell r="Q725" t="str">
            <v>602.34.002 Gastos por visita tencica</v>
          </cell>
        </row>
        <row r="726">
          <cell r="B726" t="str">
            <v>#56</v>
          </cell>
          <cell r="C726">
            <v>45833.031944444403</v>
          </cell>
          <cell r="D726">
            <v>4756</v>
          </cell>
          <cell r="E726" t="str">
            <v>MXN</v>
          </cell>
          <cell r="F726" t="str">
            <v>Carlos Ivan Gonzalez Merino</v>
          </cell>
          <cell r="G726" t="str">
            <v>AEROMEXICO WEB PN      CIUDAD DE MEX MEX</v>
          </cell>
          <cell r="H726" t="str">
            <v>Aeromexico</v>
          </cell>
          <cell r="I726" t="str">
            <v>G&amp;A expenses</v>
          </cell>
          <cell r="J726" t="str">
            <v>Vuelo CDMX-Tijuana Tramite Registro Patronal_PO3211</v>
          </cell>
          <cell r="K726" t="str">
            <v>FCC5C958-2ABF-54C2-90FA-94CB8AF4042F</v>
          </cell>
          <cell r="L726">
            <v>0</v>
          </cell>
          <cell r="M726">
            <v>0</v>
          </cell>
          <cell r="N726">
            <v>0</v>
          </cell>
          <cell r="O726">
            <v>0</v>
          </cell>
          <cell r="Q726" t="str">
            <v>602.34.002 Gastos por visita tencica</v>
          </cell>
        </row>
        <row r="727">
          <cell r="B727" t="str">
            <v>#56</v>
          </cell>
          <cell r="C727">
            <v>45833.0888888888</v>
          </cell>
          <cell r="D727">
            <v>3476.56</v>
          </cell>
          <cell r="E727" t="str">
            <v>MXN</v>
          </cell>
          <cell r="F727" t="str">
            <v>Carlos Ivan Gonzalez Merino</v>
          </cell>
          <cell r="G727" t="str">
            <v>VIVA AEROBUS           APODACA NL    MEX</v>
          </cell>
          <cell r="H727" t="str">
            <v>Viva Aerobus Apodaca Nl Mex</v>
          </cell>
          <cell r="I727" t="str">
            <v>G&amp;A expenses</v>
          </cell>
          <cell r="J727" t="str">
            <v>Vuelo Tijuana-CDMX Tramite Registro Patronal_PO3211</v>
          </cell>
          <cell r="K727" t="str">
            <v>bce95f93-5b76-4273-af1f-a90998af0a38</v>
          </cell>
          <cell r="L727">
            <v>0</v>
          </cell>
          <cell r="M727">
            <v>0</v>
          </cell>
          <cell r="N727">
            <v>0</v>
          </cell>
          <cell r="O727">
            <v>0</v>
          </cell>
          <cell r="Q727" t="str">
            <v>602.34.002 Gastos por visita tencica</v>
          </cell>
        </row>
        <row r="728">
          <cell r="B728" t="str">
            <v>#56</v>
          </cell>
          <cell r="C728">
            <v>45833.165277777698</v>
          </cell>
          <cell r="D728">
            <v>244</v>
          </cell>
          <cell r="E728" t="str">
            <v>MXN</v>
          </cell>
          <cell r="F728" t="str">
            <v>Carlos Ivan Gonzalez Merino</v>
          </cell>
          <cell r="G728" t="str">
            <v>UBER* TRIP             CIUDAD DE MEX MEX</v>
          </cell>
          <cell r="H728" t="str">
            <v>Uber</v>
          </cell>
          <cell r="I728" t="str">
            <v>G&amp;A expenses</v>
          </cell>
          <cell r="J728" t="str">
            <v>Traslado aeropuerto _PO 3211</v>
          </cell>
          <cell r="K728">
            <v>0</v>
          </cell>
          <cell r="L728">
            <v>0</v>
          </cell>
          <cell r="M728">
            <v>0</v>
          </cell>
          <cell r="N728">
            <v>0</v>
          </cell>
          <cell r="O728">
            <v>0</v>
          </cell>
          <cell r="Q728" t="str">
            <v>602.34.002 Gastos por visita tencica</v>
          </cell>
        </row>
        <row r="729">
          <cell r="B729" t="str">
            <v>#56</v>
          </cell>
          <cell r="C729">
            <v>45833.165277777698</v>
          </cell>
          <cell r="D729">
            <v>244</v>
          </cell>
          <cell r="E729" t="str">
            <v>MXN</v>
          </cell>
          <cell r="F729" t="str">
            <v>Carlos Ivan Gonzalez Merino</v>
          </cell>
          <cell r="G729" t="str">
            <v>UBER* TRIP             CIUDAD DE MEX MEX</v>
          </cell>
          <cell r="H729" t="str">
            <v>Uber</v>
          </cell>
          <cell r="I729" t="str">
            <v>G&amp;A expenses</v>
          </cell>
          <cell r="J729" t="str">
            <v>Traslado aeropuerto-subdelecacion IMSS tijuana _PO 3211</v>
          </cell>
          <cell r="K729">
            <v>0</v>
          </cell>
          <cell r="L729">
            <v>0</v>
          </cell>
          <cell r="M729">
            <v>0</v>
          </cell>
          <cell r="N729">
            <v>0</v>
          </cell>
          <cell r="O729">
            <v>0</v>
          </cell>
          <cell r="Q729" t="str">
            <v>602.34.002 Gastos por visita tencica</v>
          </cell>
        </row>
        <row r="730">
          <cell r="B730" t="str">
            <v>#56</v>
          </cell>
          <cell r="C730">
            <v>45833.165972222203</v>
          </cell>
          <cell r="D730">
            <v>299.94</v>
          </cell>
          <cell r="E730" t="str">
            <v>MXN</v>
          </cell>
          <cell r="F730" t="str">
            <v>Carlos Ivan Gonzalez Merino</v>
          </cell>
          <cell r="G730" t="str">
            <v>UBER* PENDING          CIUDAD DE MEX MEX</v>
          </cell>
          <cell r="H730" t="str">
            <v>Uber</v>
          </cell>
          <cell r="I730" t="str">
            <v>G&amp;A expenses</v>
          </cell>
          <cell r="J730" t="str">
            <v>Traslado Proyecto Grajales_PO1724</v>
          </cell>
          <cell r="K730">
            <v>0</v>
          </cell>
          <cell r="L730">
            <v>0</v>
          </cell>
          <cell r="M730">
            <v>0</v>
          </cell>
          <cell r="N730">
            <v>0</v>
          </cell>
          <cell r="O730">
            <v>0</v>
          </cell>
          <cell r="Q730" t="str">
            <v>602.34.002 Gastos por visita tencica</v>
          </cell>
        </row>
        <row r="731">
          <cell r="B731" t="str">
            <v>#56</v>
          </cell>
          <cell r="C731">
            <v>45833.711805555497</v>
          </cell>
          <cell r="D731">
            <v>280</v>
          </cell>
          <cell r="E731" t="str">
            <v>MXN</v>
          </cell>
          <cell r="F731" t="str">
            <v>Carlos Ivan Gonzalez Merino</v>
          </cell>
          <cell r="G731" t="str">
            <v>ACO TIJ APT TACOS FRON TIJUANA BCN   MEX</v>
          </cell>
          <cell r="H731" t="str">
            <v>Aco Tij Apt Tacos Fron Tijuana Bcn Mex</v>
          </cell>
          <cell r="I731" t="str">
            <v>G&amp;A expenses</v>
          </cell>
          <cell r="J731" t="str">
            <v>Consumo de Alimentos _PO 3211</v>
          </cell>
          <cell r="K731" t="str">
            <v>4E66A417-EE4F-44F0-9175-F7F2278B137C</v>
          </cell>
          <cell r="L731">
            <v>0</v>
          </cell>
          <cell r="M731">
            <v>0</v>
          </cell>
          <cell r="N731">
            <v>0</v>
          </cell>
          <cell r="O731">
            <v>0</v>
          </cell>
          <cell r="Q731" t="str">
            <v>602.34.002 Gastos por visita tencica</v>
          </cell>
        </row>
        <row r="732">
          <cell r="B732" t="str">
            <v>#56</v>
          </cell>
          <cell r="C732">
            <v>45833.726388888797</v>
          </cell>
          <cell r="D732">
            <v>189.95</v>
          </cell>
          <cell r="E732" t="str">
            <v>MXN</v>
          </cell>
          <cell r="F732" t="str">
            <v>Carlos Ivan Gonzalez Merino</v>
          </cell>
          <cell r="G732" t="str">
            <v>UBER* PENDING          CIUDAD DE MEX MEX</v>
          </cell>
          <cell r="H732" t="str">
            <v>Uber</v>
          </cell>
          <cell r="I732" t="str">
            <v>G&amp;A expenses</v>
          </cell>
          <cell r="J732" t="str">
            <v>Traslado Proyecto Grajales_PO1724</v>
          </cell>
          <cell r="K732">
            <v>0</v>
          </cell>
          <cell r="L732">
            <v>0</v>
          </cell>
          <cell r="M732">
            <v>0</v>
          </cell>
          <cell r="N732">
            <v>0</v>
          </cell>
          <cell r="O732">
            <v>0</v>
          </cell>
          <cell r="Q732" t="str">
            <v>602.34.002 Gastos por visita tencica</v>
          </cell>
        </row>
        <row r="733">
          <cell r="B733" t="str">
            <v>#56</v>
          </cell>
          <cell r="C733">
            <v>45833.95</v>
          </cell>
          <cell r="D733">
            <v>686.4</v>
          </cell>
          <cell r="E733" t="str">
            <v>MXN</v>
          </cell>
          <cell r="F733" t="str">
            <v>Carlos Ivan Gonzalez Merino</v>
          </cell>
          <cell r="G733" t="str">
            <v>REST LORENZA           TIJUANA BCN   MEX</v>
          </cell>
          <cell r="H733" t="str">
            <v>Rest Lorenza Tijuana Bcn Mex</v>
          </cell>
          <cell r="I733" t="str">
            <v>G&amp;A expenses</v>
          </cell>
          <cell r="J733" t="str">
            <v>Consumo de Alimentos _PO 3211</v>
          </cell>
          <cell r="K733" t="str">
            <v>7721BB08‐CBDD‐4D3E‐8304‐F64AAC4B165A</v>
          </cell>
          <cell r="L733">
            <v>0</v>
          </cell>
          <cell r="M733">
            <v>0</v>
          </cell>
          <cell r="N733">
            <v>0</v>
          </cell>
          <cell r="O733">
            <v>0</v>
          </cell>
          <cell r="Q733" t="str">
            <v>602.34.002 Gastos por visita tencica</v>
          </cell>
        </row>
        <row r="734">
          <cell r="B734" t="str">
            <v>#56</v>
          </cell>
          <cell r="C734">
            <v>45833.9638888888</v>
          </cell>
          <cell r="D734">
            <v>2149.9899999999998</v>
          </cell>
          <cell r="E734" t="str">
            <v>MXN</v>
          </cell>
          <cell r="F734" t="str">
            <v>Carlos Ivan Gonzalez Merino</v>
          </cell>
          <cell r="G734" t="str">
            <v>VIVA AEROBUS           APODACA NL    MEX</v>
          </cell>
          <cell r="H734" t="str">
            <v>Viva Aerobus Apodaca Nl Mex</v>
          </cell>
          <cell r="I734" t="str">
            <v>G&amp;A expenses</v>
          </cell>
          <cell r="J734" t="str">
            <v>Vuelo Tijuana-CDMX Tramite Registro Patronal_PO3211</v>
          </cell>
          <cell r="K734" t="str">
            <v>278b6c02-8658-473b-b9d3-4e41bb290a96</v>
          </cell>
          <cell r="L734">
            <v>0</v>
          </cell>
          <cell r="M734">
            <v>0</v>
          </cell>
          <cell r="N734">
            <v>0</v>
          </cell>
          <cell r="O734">
            <v>0</v>
          </cell>
          <cell r="Q734" t="str">
            <v>602.34.002 Gastos por visita tencica</v>
          </cell>
        </row>
        <row r="735">
          <cell r="B735" t="str">
            <v>#56</v>
          </cell>
          <cell r="C735">
            <v>45834.052083333299</v>
          </cell>
          <cell r="D735">
            <v>156</v>
          </cell>
          <cell r="E735" t="str">
            <v>MXN</v>
          </cell>
          <cell r="F735" t="str">
            <v>Carlos Ivan Gonzalez Merino</v>
          </cell>
          <cell r="G735" t="str">
            <v>ACO DUNKIN DONUTS TIJU CIUDAD DE MEX MEX</v>
          </cell>
          <cell r="H735" t="str">
            <v>Dunkin' Donuts</v>
          </cell>
          <cell r="I735" t="str">
            <v>G&amp;A expenses</v>
          </cell>
          <cell r="J735" t="str">
            <v>Consumo de Alimentos _PO 3211</v>
          </cell>
          <cell r="K735" t="str">
            <v>26F16598-C9DD-490E-A97D-2F040AD77E81</v>
          </cell>
          <cell r="L735">
            <v>0</v>
          </cell>
          <cell r="M735">
            <v>0</v>
          </cell>
          <cell r="N735">
            <v>0</v>
          </cell>
          <cell r="O735">
            <v>0</v>
          </cell>
          <cell r="Q735" t="str">
            <v>602.34.002 Gastos por visita tencica</v>
          </cell>
        </row>
        <row r="736">
          <cell r="B736" t="str">
            <v>#56</v>
          </cell>
          <cell r="C736">
            <v>45834.273611111101</v>
          </cell>
          <cell r="D736">
            <v>339.98</v>
          </cell>
          <cell r="E736" t="str">
            <v>MXN</v>
          </cell>
          <cell r="F736" t="str">
            <v>Carlos Ivan Gonzalez Merino</v>
          </cell>
          <cell r="G736" t="str">
            <v>UBER* PENDING          CIUDAD DE MEX MEX</v>
          </cell>
          <cell r="H736" t="str">
            <v>Uber</v>
          </cell>
          <cell r="I736" t="str">
            <v>G&amp;A expenses</v>
          </cell>
          <cell r="J736" t="str">
            <v>Traslado regreso_PO 3211</v>
          </cell>
          <cell r="K736">
            <v>0</v>
          </cell>
          <cell r="L736">
            <v>0</v>
          </cell>
          <cell r="M736">
            <v>0</v>
          </cell>
          <cell r="N736">
            <v>0</v>
          </cell>
          <cell r="O736">
            <v>0</v>
          </cell>
          <cell r="Q736" t="str">
            <v>602.34.002 Gastos por visita tencica</v>
          </cell>
        </row>
        <row r="737">
          <cell r="B737" t="str">
            <v>#56</v>
          </cell>
          <cell r="C737">
            <v>45835.155555555502</v>
          </cell>
          <cell r="D737">
            <v>358</v>
          </cell>
          <cell r="E737" t="str">
            <v>MXN</v>
          </cell>
          <cell r="F737" t="str">
            <v>Carlos Ivan Gonzalez Merino</v>
          </cell>
          <cell r="G737" t="str">
            <v>DP 11036 LAS AGUILAS   MEXICO DF     MEX</v>
          </cell>
          <cell r="H737" t="str">
            <v>Dp Las Aguilas Mexico Df Mex</v>
          </cell>
          <cell r="I737" t="str">
            <v>G&amp;A expenses</v>
          </cell>
          <cell r="J737" t="str">
            <v>Consumo de Alimentos PO_2155</v>
          </cell>
          <cell r="K737" t="str">
            <v>A8616D10-AC02-434F-9029-95402D231869</v>
          </cell>
          <cell r="L737">
            <v>0</v>
          </cell>
          <cell r="M737">
            <v>0</v>
          </cell>
          <cell r="N737">
            <v>0</v>
          </cell>
          <cell r="O737">
            <v>0</v>
          </cell>
          <cell r="Q737" t="str">
            <v>602.34.002 Gastos por visita tencica</v>
          </cell>
        </row>
        <row r="738">
          <cell r="B738" t="str">
            <v>#56</v>
          </cell>
          <cell r="C738">
            <v>45835.679166666603</v>
          </cell>
          <cell r="D738">
            <v>109.9</v>
          </cell>
          <cell r="E738" t="str">
            <v>MXN</v>
          </cell>
          <cell r="F738" t="str">
            <v>Carlos Ivan Gonzalez Merino</v>
          </cell>
          <cell r="G738" t="str">
            <v>UBER* PENDING          CIUDAD DE MEX MEX</v>
          </cell>
          <cell r="H738" t="str">
            <v>Uber</v>
          </cell>
          <cell r="I738" t="str">
            <v>G&amp;A expenses</v>
          </cell>
          <cell r="J738" t="str">
            <v>Traslado Proyecto Grajales_PO1724</v>
          </cell>
          <cell r="K738">
            <v>0</v>
          </cell>
          <cell r="L738">
            <v>0</v>
          </cell>
          <cell r="M738">
            <v>0</v>
          </cell>
          <cell r="N738">
            <v>0</v>
          </cell>
          <cell r="O738">
            <v>0</v>
          </cell>
          <cell r="Q738" t="str">
            <v>602.34.002 Gastos por visita tencica</v>
          </cell>
        </row>
        <row r="739">
          <cell r="B739" t="str">
            <v>#56</v>
          </cell>
          <cell r="C739">
            <v>45835.701388888803</v>
          </cell>
          <cell r="D739">
            <v>379.9</v>
          </cell>
          <cell r="E739" t="str">
            <v>MXN</v>
          </cell>
          <cell r="F739" t="str">
            <v>Carlos Ivan Gonzalez Merino</v>
          </cell>
          <cell r="G739" t="str">
            <v>OFFICE MAX CONDESA     CUAUHTEMOC    MEX</v>
          </cell>
          <cell r="H739" t="str">
            <v>Office Depot</v>
          </cell>
          <cell r="I739" t="str">
            <v>G&amp;A expenses</v>
          </cell>
          <cell r="J739" t="str">
            <v>Papeleria Grajales PO_1724</v>
          </cell>
          <cell r="K739">
            <v>0</v>
          </cell>
          <cell r="L739">
            <v>0</v>
          </cell>
          <cell r="M739">
            <v>0</v>
          </cell>
          <cell r="N739">
            <v>0</v>
          </cell>
          <cell r="O739">
            <v>0</v>
          </cell>
          <cell r="Q739" t="str">
            <v>602.34.002 Gastos por visita tencica</v>
          </cell>
        </row>
        <row r="740">
          <cell r="B740" t="str">
            <v>#56</v>
          </cell>
          <cell r="C740">
            <v>45838.974999999999</v>
          </cell>
          <cell r="D740">
            <v>149.99</v>
          </cell>
          <cell r="E740" t="str">
            <v>MXN</v>
          </cell>
          <cell r="F740" t="str">
            <v>Carlos Ivan Gonzalez Merino</v>
          </cell>
          <cell r="G740" t="str">
            <v>UBER* PENDING          CIUDAD DE MEX MEX</v>
          </cell>
          <cell r="H740" t="str">
            <v>Uber</v>
          </cell>
          <cell r="I740" t="str">
            <v>G&amp;A expenses</v>
          </cell>
          <cell r="J740" t="str">
            <v>Traslado Proyecto Grajales_PO1724</v>
          </cell>
          <cell r="K740">
            <v>0</v>
          </cell>
          <cell r="L740">
            <v>0</v>
          </cell>
          <cell r="M740">
            <v>0</v>
          </cell>
          <cell r="N740">
            <v>0</v>
          </cell>
          <cell r="O740">
            <v>0</v>
          </cell>
          <cell r="Q740" t="str">
            <v>602.34.002 Gastos por visita tencica</v>
          </cell>
        </row>
        <row r="741">
          <cell r="B741" t="str">
            <v>#54</v>
          </cell>
          <cell r="C741">
            <v>45813.9416666666</v>
          </cell>
          <cell r="D741">
            <v>9</v>
          </cell>
          <cell r="E741" t="str">
            <v>MXN</v>
          </cell>
          <cell r="F741" t="str">
            <v>mario castorela</v>
          </cell>
          <cell r="G741" t="str">
            <v>UBER* PENDING          CIUDAD DE MEX MEX</v>
          </cell>
          <cell r="H741" t="str">
            <v>Uber</v>
          </cell>
          <cell r="I741" t="str">
            <v>Recruiting</v>
          </cell>
          <cell r="J741" t="str">
            <v>Visita Mp RFQ 3312</v>
          </cell>
          <cell r="K741">
            <v>0</v>
          </cell>
          <cell r="L741">
            <v>0</v>
          </cell>
          <cell r="M741">
            <v>0</v>
          </cell>
          <cell r="N741">
            <v>0</v>
          </cell>
          <cell r="O741">
            <v>0</v>
          </cell>
          <cell r="Q741" t="str">
            <v>603.81.006 Gastos Administativos de venta</v>
          </cell>
        </row>
        <row r="742">
          <cell r="B742" t="str">
            <v>#54</v>
          </cell>
          <cell r="C742">
            <v>45814.117361111101</v>
          </cell>
          <cell r="D742">
            <v>335.22</v>
          </cell>
          <cell r="E742" t="str">
            <v>MXN</v>
          </cell>
          <cell r="F742" t="str">
            <v>mario castorela</v>
          </cell>
          <cell r="G742" t="str">
            <v>UBER* TRIP             CIUDAD DE MEX MEX</v>
          </cell>
          <cell r="H742" t="str">
            <v>Uber</v>
          </cell>
          <cell r="I742" t="str">
            <v>Recruiting</v>
          </cell>
          <cell r="J742" t="str">
            <v>Visita Mp RFQ 3312</v>
          </cell>
          <cell r="K742">
            <v>0</v>
          </cell>
          <cell r="L742">
            <v>0</v>
          </cell>
          <cell r="M742">
            <v>0</v>
          </cell>
          <cell r="N742">
            <v>0</v>
          </cell>
          <cell r="O742">
            <v>0</v>
          </cell>
          <cell r="Q742" t="str">
            <v>603.81.006 Gastos Administativos de venta</v>
          </cell>
        </row>
        <row r="743">
          <cell r="B743" t="str">
            <v>#54</v>
          </cell>
          <cell r="C743">
            <v>45833.774305555497</v>
          </cell>
          <cell r="D743">
            <v>200</v>
          </cell>
          <cell r="E743" t="str">
            <v>MXN</v>
          </cell>
          <cell r="F743" t="str">
            <v>mario castorela</v>
          </cell>
          <cell r="G743" t="str">
            <v>REVOLUCION MEGAGAS 2   CIUDAD DE MEX MEX</v>
          </cell>
          <cell r="H743" t="str">
            <v>Revolucion Megagas 2 Ciudad De Mex Mex</v>
          </cell>
          <cell r="I743" t="str">
            <v>Sales</v>
          </cell>
          <cell r="J743" t="str">
            <v>Visita cliente Syvasa  RFQ 3254</v>
          </cell>
          <cell r="K743">
            <v>0</v>
          </cell>
          <cell r="L743">
            <v>0</v>
          </cell>
          <cell r="M743">
            <v>0</v>
          </cell>
          <cell r="N743">
            <v>0</v>
          </cell>
          <cell r="O743">
            <v>0</v>
          </cell>
          <cell r="Q743" t="str">
            <v>603.81.006 Gastos Administativos de venta</v>
          </cell>
        </row>
        <row r="744">
          <cell r="B744" t="str">
            <v>#54</v>
          </cell>
          <cell r="C744">
            <v>45838.697222222203</v>
          </cell>
          <cell r="D744">
            <v>460</v>
          </cell>
          <cell r="E744" t="str">
            <v>MXN</v>
          </cell>
          <cell r="F744" t="str">
            <v>mario castorela</v>
          </cell>
          <cell r="G744" t="str">
            <v>MERCADOPAGO *SAUDAGO   Ciudad de Mex MEX</v>
          </cell>
          <cell r="H744" t="str">
            <v>Mercadopago</v>
          </cell>
          <cell r="I744" t="str">
            <v>Sales</v>
          </cell>
          <cell r="J744" t="str">
            <v>Material urgente RFQ 4084 escato</v>
          </cell>
          <cell r="K744">
            <v>0</v>
          </cell>
          <cell r="L744">
            <v>0</v>
          </cell>
          <cell r="M744">
            <v>0</v>
          </cell>
          <cell r="N744">
            <v>0</v>
          </cell>
          <cell r="O744">
            <v>0</v>
          </cell>
          <cell r="Q744" t="str">
            <v>603.81.006 Gastos Administativos de venta</v>
          </cell>
        </row>
        <row r="745">
          <cell r="B745" t="str">
            <v>#57</v>
          </cell>
          <cell r="C745">
            <v>45811.71875</v>
          </cell>
          <cell r="D745">
            <v>919.9</v>
          </cell>
          <cell r="E745" t="str">
            <v>MXN</v>
          </cell>
          <cell r="F745" t="str">
            <v>Paloma Santos</v>
          </cell>
          <cell r="G745" t="str">
            <v>MERCADOPAGO *COMERCIA  Cuauhtmoc     MEX</v>
          </cell>
          <cell r="H745" t="str">
            <v>Mercadopago</v>
          </cell>
          <cell r="I745" t="str">
            <v>Transaction cost</v>
          </cell>
          <cell r="J745" t="str">
            <v>Ida al aeropuerto para viaje a Monterrey para trabajar con el equipo de alla y hacer visitas a MP: Olmonegro</v>
          </cell>
          <cell r="K745" t="str">
            <v>.</v>
          </cell>
          <cell r="L745">
            <v>0</v>
          </cell>
          <cell r="M745">
            <v>0</v>
          </cell>
          <cell r="N745">
            <v>0</v>
          </cell>
          <cell r="O745">
            <v>0</v>
          </cell>
          <cell r="Q745" t="str">
            <v>603.81.006 Gastos Administativos de venta</v>
          </cell>
        </row>
        <row r="746">
          <cell r="B746" t="str">
            <v>#57</v>
          </cell>
          <cell r="C746">
            <v>45812.991666666603</v>
          </cell>
          <cell r="D746">
            <v>74</v>
          </cell>
          <cell r="E746" t="str">
            <v>MXN</v>
          </cell>
          <cell r="F746" t="str">
            <v>Paloma Santos</v>
          </cell>
          <cell r="G746" t="str">
            <v>STARBUCKS PALMAS       CMX           MEX</v>
          </cell>
          <cell r="H746" t="str">
            <v>Starbucks</v>
          </cell>
          <cell r="I746" t="str">
            <v>Transaction cost</v>
          </cell>
          <cell r="J746" t="str">
            <v>Ida al aeropuerto para viaje de regreso a CDMX para trabajar con el equipo y hacer visita a MP: Olmonegro</v>
          </cell>
          <cell r="K746" t="str">
            <v>.</v>
          </cell>
          <cell r="L746">
            <v>0</v>
          </cell>
          <cell r="M746">
            <v>0</v>
          </cell>
          <cell r="N746">
            <v>0</v>
          </cell>
          <cell r="O746">
            <v>0</v>
          </cell>
          <cell r="Q746" t="str">
            <v>603.81.006 Gastos Administativos de venta</v>
          </cell>
        </row>
        <row r="747">
          <cell r="B747" t="str">
            <v>#57</v>
          </cell>
          <cell r="C747">
            <v>45814.716666666602</v>
          </cell>
          <cell r="D747">
            <v>429.96</v>
          </cell>
          <cell r="E747" t="str">
            <v>MXN</v>
          </cell>
          <cell r="F747" t="str">
            <v>Paloma Santos</v>
          </cell>
          <cell r="G747" t="str">
            <v>UBER* PENDING          CIUDAD DE MEX MEX</v>
          </cell>
          <cell r="H747" t="str">
            <v>Uber</v>
          </cell>
          <cell r="I747">
            <v>0</v>
          </cell>
          <cell r="J747" t="str">
            <v>Regreso del aeropuerto a casa despues de viaje a Mty</v>
          </cell>
          <cell r="K747" t="str">
            <v>.</v>
          </cell>
          <cell r="L747">
            <v>0</v>
          </cell>
          <cell r="M747">
            <v>0</v>
          </cell>
          <cell r="N747">
            <v>0</v>
          </cell>
          <cell r="O747">
            <v>0</v>
          </cell>
          <cell r="Q747" t="str">
            <v>603.81.006 Gastos Administativos de venta</v>
          </cell>
        </row>
        <row r="748">
          <cell r="B748" t="str">
            <v>#57</v>
          </cell>
          <cell r="C748">
            <v>45814.912499999999</v>
          </cell>
          <cell r="D748">
            <v>314</v>
          </cell>
          <cell r="E748" t="str">
            <v>MXN</v>
          </cell>
          <cell r="F748" t="str">
            <v>Paloma Santos</v>
          </cell>
          <cell r="G748" t="str">
            <v>GREENGRASS PALMAS      CIUDAD DE MEX MEX</v>
          </cell>
          <cell r="H748" t="str">
            <v>Greengrass Palmas Ciudad De Mex Mex</v>
          </cell>
          <cell r="I748">
            <v>0</v>
          </cell>
          <cell r="J748" t="str">
            <v>Debe desaparecer que hice switch pahyment method</v>
          </cell>
          <cell r="K748" t="str">
            <v>.</v>
          </cell>
          <cell r="L748">
            <v>0</v>
          </cell>
          <cell r="M748">
            <v>0</v>
          </cell>
          <cell r="N748">
            <v>0</v>
          </cell>
          <cell r="O748">
            <v>0</v>
          </cell>
          <cell r="Q748" t="str">
            <v>603.81.006 Gastos Administativos de venta</v>
          </cell>
        </row>
        <row r="749">
          <cell r="B749" t="str">
            <v>#57</v>
          </cell>
          <cell r="C749">
            <v>45816.029861111099</v>
          </cell>
          <cell r="D749">
            <v>72.260000000000005</v>
          </cell>
          <cell r="E749" t="str">
            <v>MXN</v>
          </cell>
          <cell r="F749" t="str">
            <v>Paloma Santos</v>
          </cell>
          <cell r="G749" t="str">
            <v>UBER* TRIP             CIUDAD DE MEX MEX</v>
          </cell>
          <cell r="H749" t="str">
            <v>Uber</v>
          </cell>
          <cell r="I749">
            <v>0</v>
          </cell>
          <cell r="J749" t="str">
            <v>Debe desaparecer que hice switch pahyment method</v>
          </cell>
          <cell r="K749" t="str">
            <v>.</v>
          </cell>
          <cell r="L749">
            <v>0</v>
          </cell>
          <cell r="M749">
            <v>0</v>
          </cell>
          <cell r="N749">
            <v>0</v>
          </cell>
          <cell r="O749">
            <v>0</v>
          </cell>
          <cell r="Q749" t="str">
            <v>603.81.006 Gastos Administativos de venta</v>
          </cell>
        </row>
        <row r="750">
          <cell r="B750" t="str">
            <v>#57</v>
          </cell>
          <cell r="C750">
            <v>45819.948611111096</v>
          </cell>
          <cell r="D750">
            <v>1332.42</v>
          </cell>
          <cell r="E750" t="str">
            <v>MXN</v>
          </cell>
          <cell r="F750" t="str">
            <v>Paloma Santos</v>
          </cell>
          <cell r="G750" t="str">
            <v>VIVA AEROBUS CIB       APODACA       MEX</v>
          </cell>
          <cell r="H750" t="str">
            <v>Viva Aerobus Cib Apodaca Mex</v>
          </cell>
          <cell r="I750">
            <v>0</v>
          </cell>
          <cell r="J750">
            <v>0</v>
          </cell>
          <cell r="K750" t="str">
            <v>.</v>
          </cell>
          <cell r="L750">
            <v>0</v>
          </cell>
          <cell r="M750">
            <v>0</v>
          </cell>
          <cell r="N750">
            <v>0</v>
          </cell>
          <cell r="O750">
            <v>0</v>
          </cell>
          <cell r="Q750" t="str">
            <v>603.81.006 Gastos Administativos de venta</v>
          </cell>
        </row>
        <row r="751">
          <cell r="B751" t="str">
            <v>#57</v>
          </cell>
          <cell r="C751">
            <v>45820.714583333298</v>
          </cell>
          <cell r="D751">
            <v>28</v>
          </cell>
          <cell r="E751" t="str">
            <v>MXN</v>
          </cell>
          <cell r="F751" t="str">
            <v>Paloma Santos</v>
          </cell>
          <cell r="G751" t="str">
            <v>UBER* TRIP             CIUDAD DE MEX MEX</v>
          </cell>
          <cell r="H751" t="str">
            <v>Uber</v>
          </cell>
          <cell r="I751">
            <v>0</v>
          </cell>
          <cell r="J751">
            <v>0</v>
          </cell>
          <cell r="K751" t="str">
            <v>.</v>
          </cell>
          <cell r="L751">
            <v>0</v>
          </cell>
          <cell r="M751">
            <v>0</v>
          </cell>
          <cell r="N751">
            <v>0</v>
          </cell>
          <cell r="O751">
            <v>0</v>
          </cell>
          <cell r="Q751" t="str">
            <v>603.81.006 Gastos Administativos de venta</v>
          </cell>
        </row>
        <row r="752">
          <cell r="B752" t="str">
            <v>#57</v>
          </cell>
          <cell r="C752">
            <v>45826.029166666602</v>
          </cell>
          <cell r="D752">
            <v>675.9</v>
          </cell>
          <cell r="E752" t="str">
            <v>MXN</v>
          </cell>
          <cell r="F752" t="str">
            <v>Paloma Santos</v>
          </cell>
          <cell r="G752" t="str">
            <v>UBER* TRIP             CIUDAD DE MEX MEX</v>
          </cell>
          <cell r="H752" t="str">
            <v>Uber</v>
          </cell>
          <cell r="I752">
            <v>0</v>
          </cell>
          <cell r="J752">
            <v>0</v>
          </cell>
          <cell r="K752" t="str">
            <v>.</v>
          </cell>
          <cell r="L752">
            <v>0</v>
          </cell>
          <cell r="M752">
            <v>0</v>
          </cell>
          <cell r="N752">
            <v>0</v>
          </cell>
          <cell r="O752">
            <v>0</v>
          </cell>
          <cell r="Q752" t="str">
            <v>603.81.006 Gastos Administativos de venta</v>
          </cell>
        </row>
        <row r="753">
          <cell r="B753" t="str">
            <v>#57</v>
          </cell>
          <cell r="C753">
            <v>45828.128472222197</v>
          </cell>
          <cell r="D753">
            <v>377.95</v>
          </cell>
          <cell r="E753" t="str">
            <v>MXN</v>
          </cell>
          <cell r="F753" t="str">
            <v>Paloma Santos</v>
          </cell>
          <cell r="G753" t="str">
            <v>UBER* EATS PENDING     CIUDAD DE MEX MEX</v>
          </cell>
          <cell r="H753" t="str">
            <v>Uber Eats</v>
          </cell>
          <cell r="I753">
            <v>0</v>
          </cell>
          <cell r="J753">
            <v>0</v>
          </cell>
          <cell r="K753" t="str">
            <v>.</v>
          </cell>
          <cell r="L753">
            <v>0</v>
          </cell>
          <cell r="M753">
            <v>0</v>
          </cell>
          <cell r="N753">
            <v>0</v>
          </cell>
          <cell r="O753">
            <v>0</v>
          </cell>
          <cell r="Q753" t="str">
            <v>603.81.006 Gastos Administativos de venta</v>
          </cell>
        </row>
        <row r="754">
          <cell r="B754" t="str">
            <v>#57</v>
          </cell>
          <cell r="C754">
            <v>45828.958333333299</v>
          </cell>
          <cell r="D754">
            <v>194.46</v>
          </cell>
          <cell r="E754" t="str">
            <v>MXN</v>
          </cell>
          <cell r="F754" t="str">
            <v>Paloma Santos</v>
          </cell>
          <cell r="G754" t="str">
            <v>UBER* TRIP             CIUDAD DE MEX MEX</v>
          </cell>
          <cell r="H754" t="str">
            <v>Uber</v>
          </cell>
          <cell r="I754">
            <v>0</v>
          </cell>
          <cell r="J754">
            <v>0</v>
          </cell>
          <cell r="K754" t="str">
            <v>.</v>
          </cell>
          <cell r="L754">
            <v>0</v>
          </cell>
          <cell r="M754">
            <v>0</v>
          </cell>
          <cell r="N754">
            <v>0</v>
          </cell>
          <cell r="O754">
            <v>0</v>
          </cell>
          <cell r="Q754" t="str">
            <v>603.81.006 Gastos Administativos de venta</v>
          </cell>
        </row>
        <row r="755">
          <cell r="B755" t="str">
            <v>#57</v>
          </cell>
          <cell r="C755">
            <v>45830.054861111101</v>
          </cell>
          <cell r="D755">
            <v>377.95</v>
          </cell>
          <cell r="E755" t="str">
            <v>MXN</v>
          </cell>
          <cell r="F755" t="str">
            <v>Paloma Santos</v>
          </cell>
          <cell r="G755" t="str">
            <v>20250620T13:40:06/UBER* EATS\Rio Lerma 232 Piso 22 Cuauhtemoc\CIUDAD DE MEX\11510     CDMMEX</v>
          </cell>
          <cell r="H755" t="str">
            <v>Uber Eats</v>
          </cell>
          <cell r="I755">
            <v>0</v>
          </cell>
          <cell r="J755">
            <v>0</v>
          </cell>
          <cell r="K755" t="str">
            <v>.</v>
          </cell>
          <cell r="L755">
            <v>0</v>
          </cell>
          <cell r="M755">
            <v>0</v>
          </cell>
          <cell r="N755">
            <v>0</v>
          </cell>
          <cell r="O755">
            <v>0</v>
          </cell>
          <cell r="Q755" t="str">
            <v>603.81.006 Gastos Administativos de venta</v>
          </cell>
        </row>
        <row r="756">
          <cell r="B756" t="str">
            <v>#57</v>
          </cell>
          <cell r="C756">
            <v>45830.998611111099</v>
          </cell>
          <cell r="D756">
            <v>2437</v>
          </cell>
          <cell r="E756" t="str">
            <v>MXN</v>
          </cell>
          <cell r="F756" t="str">
            <v>Paloma Santos</v>
          </cell>
          <cell r="G756" t="str">
            <v>VOLARIS MOTO DEB 2     CIUDAD DE MEX MEX</v>
          </cell>
          <cell r="H756" t="str">
            <v>Volaris</v>
          </cell>
          <cell r="I756">
            <v>0</v>
          </cell>
          <cell r="J756">
            <v>0</v>
          </cell>
          <cell r="K756" t="str">
            <v>.</v>
          </cell>
          <cell r="L756">
            <v>0</v>
          </cell>
          <cell r="M756">
            <v>0</v>
          </cell>
          <cell r="N756">
            <v>0</v>
          </cell>
          <cell r="O756">
            <v>0</v>
          </cell>
          <cell r="Q756" t="str">
            <v>603.81.006 Gastos Administativos de venta</v>
          </cell>
        </row>
        <row r="757">
          <cell r="B757" t="str">
            <v>#57</v>
          </cell>
          <cell r="C757">
            <v>45831.000694444403</v>
          </cell>
          <cell r="D757">
            <v>1637.81</v>
          </cell>
          <cell r="E757" t="str">
            <v>MXN</v>
          </cell>
          <cell r="F757" t="str">
            <v>Paloma Santos</v>
          </cell>
          <cell r="G757" t="str">
            <v>VIVA AEROBUS CIB       APODACA       MEX</v>
          </cell>
          <cell r="H757" t="str">
            <v>Viva Aerobus Cib Apodaca Mex</v>
          </cell>
          <cell r="I757">
            <v>0</v>
          </cell>
          <cell r="J757">
            <v>0</v>
          </cell>
          <cell r="K757" t="str">
            <v>.</v>
          </cell>
          <cell r="L757">
            <v>0</v>
          </cell>
          <cell r="M757">
            <v>0</v>
          </cell>
          <cell r="N757">
            <v>0</v>
          </cell>
          <cell r="O757">
            <v>0</v>
          </cell>
          <cell r="Q757" t="str">
            <v>603.81.006 Gastos Administativos de venta</v>
          </cell>
        </row>
        <row r="758">
          <cell r="B758" t="str">
            <v>#57</v>
          </cell>
          <cell r="C758">
            <v>45831.5666666666</v>
          </cell>
          <cell r="D758">
            <v>459.98</v>
          </cell>
          <cell r="E758" t="str">
            <v>MXN</v>
          </cell>
          <cell r="F758" t="str">
            <v>Paloma Santos</v>
          </cell>
          <cell r="G758" t="str">
            <v>UBER* PENDING          CIUDAD DE MEX MEX</v>
          </cell>
          <cell r="H758" t="str">
            <v>Uber</v>
          </cell>
          <cell r="I758">
            <v>0</v>
          </cell>
          <cell r="J758">
            <v>0</v>
          </cell>
          <cell r="K758" t="str">
            <v>.</v>
          </cell>
          <cell r="L758">
            <v>0</v>
          </cell>
          <cell r="M758">
            <v>0</v>
          </cell>
          <cell r="N758">
            <v>0</v>
          </cell>
          <cell r="O758">
            <v>0</v>
          </cell>
          <cell r="Q758" t="str">
            <v>603.81.006 Gastos Administativos de venta</v>
          </cell>
        </row>
        <row r="759">
          <cell r="B759" t="str">
            <v>#57</v>
          </cell>
          <cell r="C759">
            <v>45831.636111111096</v>
          </cell>
          <cell r="D759">
            <v>92</v>
          </cell>
          <cell r="E759" t="str">
            <v>MXN</v>
          </cell>
          <cell r="F759" t="str">
            <v>Paloma Santos</v>
          </cell>
          <cell r="G759" t="str">
            <v>STARBUCKS A MTY TA II  NLE           MEX</v>
          </cell>
          <cell r="H759" t="str">
            <v>Starbucks</v>
          </cell>
          <cell r="I759">
            <v>0</v>
          </cell>
          <cell r="J759">
            <v>0</v>
          </cell>
          <cell r="K759" t="str">
            <v>.</v>
          </cell>
          <cell r="L759">
            <v>0</v>
          </cell>
          <cell r="M759">
            <v>0</v>
          </cell>
          <cell r="N759">
            <v>0</v>
          </cell>
          <cell r="O759">
            <v>0</v>
          </cell>
          <cell r="Q759" t="str">
            <v>603.81.006 Gastos Administativos de venta</v>
          </cell>
        </row>
        <row r="760">
          <cell r="B760" t="str">
            <v>#57</v>
          </cell>
          <cell r="C760">
            <v>45831.729166666599</v>
          </cell>
          <cell r="D760">
            <v>272.75</v>
          </cell>
          <cell r="E760" t="str">
            <v>MXN</v>
          </cell>
          <cell r="F760" t="str">
            <v>Paloma Santos</v>
          </cell>
          <cell r="G760" t="str">
            <v>UBER* PENDING          CIUDAD DE MEX MEX</v>
          </cell>
          <cell r="H760" t="str">
            <v>Uber</v>
          </cell>
          <cell r="I760">
            <v>0</v>
          </cell>
          <cell r="J760">
            <v>0</v>
          </cell>
          <cell r="K760" t="str">
            <v>.</v>
          </cell>
          <cell r="L760">
            <v>0</v>
          </cell>
          <cell r="M760">
            <v>0</v>
          </cell>
          <cell r="N760">
            <v>0</v>
          </cell>
          <cell r="O760">
            <v>0</v>
          </cell>
          <cell r="Q760" t="str">
            <v>603.81.006 Gastos Administativos de venta</v>
          </cell>
        </row>
        <row r="761">
          <cell r="B761" t="str">
            <v>#57</v>
          </cell>
          <cell r="C761">
            <v>45832.152083333298</v>
          </cell>
          <cell r="D761">
            <v>236.1</v>
          </cell>
          <cell r="E761" t="str">
            <v>MXN</v>
          </cell>
          <cell r="F761" t="str">
            <v>Paloma Santos</v>
          </cell>
          <cell r="G761" t="str">
            <v>UBER* EATS PENDING     CIUDAD DE MEX MEX</v>
          </cell>
          <cell r="H761" t="str">
            <v>Uber Eats</v>
          </cell>
          <cell r="I761">
            <v>0</v>
          </cell>
          <cell r="J761">
            <v>0</v>
          </cell>
          <cell r="K761" t="str">
            <v>.</v>
          </cell>
          <cell r="L761">
            <v>0</v>
          </cell>
          <cell r="M761">
            <v>0</v>
          </cell>
          <cell r="N761">
            <v>0</v>
          </cell>
          <cell r="O761">
            <v>0</v>
          </cell>
          <cell r="Q761" t="str">
            <v>603.81.006 Gastos Administativos de venta</v>
          </cell>
        </row>
        <row r="762">
          <cell r="B762" t="str">
            <v>#57</v>
          </cell>
          <cell r="C762">
            <v>45832.574999999997</v>
          </cell>
          <cell r="D762">
            <v>1908.95</v>
          </cell>
          <cell r="E762" t="str">
            <v>MXN</v>
          </cell>
          <cell r="F762" t="str">
            <v>Paloma Santos</v>
          </cell>
          <cell r="G762" t="str">
            <v>VIVA AEROBUS           APODACA NL    MEX</v>
          </cell>
          <cell r="H762" t="str">
            <v>Viva Aerobus Apodaca Nl Mex</v>
          </cell>
          <cell r="I762">
            <v>0</v>
          </cell>
          <cell r="J762">
            <v>0</v>
          </cell>
          <cell r="K762" t="str">
            <v>.</v>
          </cell>
          <cell r="L762">
            <v>0</v>
          </cell>
          <cell r="M762">
            <v>0</v>
          </cell>
          <cell r="N762">
            <v>0</v>
          </cell>
          <cell r="O762">
            <v>0</v>
          </cell>
          <cell r="Q762" t="str">
            <v>603.81.006 Gastos Administativos de venta</v>
          </cell>
        </row>
        <row r="763">
          <cell r="B763" t="str">
            <v>#57</v>
          </cell>
          <cell r="C763">
            <v>45832.622916666602</v>
          </cell>
          <cell r="D763">
            <v>144</v>
          </cell>
          <cell r="E763" t="str">
            <v>MXN</v>
          </cell>
          <cell r="F763" t="str">
            <v>Paloma Santos</v>
          </cell>
          <cell r="G763" t="str">
            <v>BPK*FASTFOOD CAFE RITM CIUDAD DE MEX MEX</v>
          </cell>
          <cell r="H763" t="str">
            <v>Bpk Fastfood Cafe Ritm Ciudad De Mex Mex</v>
          </cell>
          <cell r="I763">
            <v>0</v>
          </cell>
          <cell r="J763">
            <v>0</v>
          </cell>
          <cell r="K763" t="str">
            <v>.</v>
          </cell>
          <cell r="L763">
            <v>0</v>
          </cell>
          <cell r="M763">
            <v>0</v>
          </cell>
          <cell r="N763">
            <v>0</v>
          </cell>
          <cell r="O763">
            <v>0</v>
          </cell>
          <cell r="Q763" t="str">
            <v>603.81.006 Gastos Administativos de venta</v>
          </cell>
        </row>
        <row r="764">
          <cell r="B764" t="str">
            <v>#57</v>
          </cell>
          <cell r="C764">
            <v>45832.740277777702</v>
          </cell>
          <cell r="D764">
            <v>220.01</v>
          </cell>
          <cell r="E764" t="str">
            <v>MXN</v>
          </cell>
          <cell r="F764" t="str">
            <v>Paloma Santos</v>
          </cell>
          <cell r="G764" t="str">
            <v>VIVA AEROBUS           APODACA NL    MEX</v>
          </cell>
          <cell r="H764" t="str">
            <v>Viva Aerobus Apodaca Nl Mex</v>
          </cell>
          <cell r="I764">
            <v>0</v>
          </cell>
          <cell r="J764">
            <v>0</v>
          </cell>
          <cell r="K764" t="str">
            <v>.</v>
          </cell>
          <cell r="L764">
            <v>0</v>
          </cell>
          <cell r="M764">
            <v>0</v>
          </cell>
          <cell r="N764">
            <v>0</v>
          </cell>
          <cell r="O764">
            <v>0</v>
          </cell>
          <cell r="Q764" t="str">
            <v>603.81.006 Gastos Administativos de venta</v>
          </cell>
        </row>
        <row r="765">
          <cell r="B765" t="str">
            <v>#57</v>
          </cell>
          <cell r="C765">
            <v>45832.90625</v>
          </cell>
          <cell r="D765">
            <v>231.08</v>
          </cell>
          <cell r="E765" t="str">
            <v>MXN</v>
          </cell>
          <cell r="F765" t="str">
            <v>Paloma Santos</v>
          </cell>
          <cell r="G765" t="str">
            <v>UBER* PENDING          CIUDAD DE MEX MEX</v>
          </cell>
          <cell r="H765" t="str">
            <v>Uber</v>
          </cell>
          <cell r="I765">
            <v>0</v>
          </cell>
          <cell r="J765">
            <v>0</v>
          </cell>
          <cell r="K765" t="str">
            <v>.</v>
          </cell>
          <cell r="L765">
            <v>0</v>
          </cell>
          <cell r="M765">
            <v>0</v>
          </cell>
          <cell r="N765">
            <v>0</v>
          </cell>
          <cell r="O765">
            <v>0</v>
          </cell>
          <cell r="Q765" t="str">
            <v>603.81.006 Gastos Administativos de venta</v>
          </cell>
        </row>
        <row r="766">
          <cell r="B766" t="str">
            <v>#57</v>
          </cell>
          <cell r="C766">
            <v>45833.043749999997</v>
          </cell>
          <cell r="D766">
            <v>494.55</v>
          </cell>
          <cell r="E766" t="str">
            <v>MXN</v>
          </cell>
          <cell r="F766" t="str">
            <v>Paloma Santos</v>
          </cell>
          <cell r="G766" t="str">
            <v>UBER* EATS PENDING     CIUDAD DE MEX MEX</v>
          </cell>
          <cell r="H766" t="str">
            <v>Uber Eats</v>
          </cell>
          <cell r="I766">
            <v>0</v>
          </cell>
          <cell r="J766">
            <v>0</v>
          </cell>
          <cell r="K766" t="str">
            <v>.</v>
          </cell>
          <cell r="L766">
            <v>0</v>
          </cell>
          <cell r="M766">
            <v>0</v>
          </cell>
          <cell r="N766">
            <v>0</v>
          </cell>
          <cell r="O766">
            <v>0</v>
          </cell>
          <cell r="Q766" t="str">
            <v>603.81.006 Gastos Administativos de venta</v>
          </cell>
        </row>
        <row r="767">
          <cell r="B767" t="str">
            <v>#57</v>
          </cell>
          <cell r="C767">
            <v>45833.194444444402</v>
          </cell>
          <cell r="D767">
            <v>650</v>
          </cell>
          <cell r="E767" t="str">
            <v>MXN</v>
          </cell>
          <cell r="F767" t="str">
            <v>Paloma Santos</v>
          </cell>
          <cell r="G767" t="str">
            <v>VOLARIS MOTO DEB 2     CIUDAD DE MEX MEX</v>
          </cell>
          <cell r="H767" t="str">
            <v>Volaris</v>
          </cell>
          <cell r="I767">
            <v>0</v>
          </cell>
          <cell r="J767">
            <v>0</v>
          </cell>
          <cell r="K767" t="str">
            <v>.</v>
          </cell>
          <cell r="L767">
            <v>0</v>
          </cell>
          <cell r="M767">
            <v>0</v>
          </cell>
          <cell r="N767">
            <v>0</v>
          </cell>
          <cell r="O767">
            <v>0</v>
          </cell>
          <cell r="Q767" t="str">
            <v>603.81.006 Gastos Administativos de venta</v>
          </cell>
        </row>
        <row r="768">
          <cell r="B768" t="str">
            <v>#57</v>
          </cell>
          <cell r="C768">
            <v>45833.599999999999</v>
          </cell>
          <cell r="D768">
            <v>429.59</v>
          </cell>
          <cell r="E768" t="str">
            <v>MXN</v>
          </cell>
          <cell r="F768" t="str">
            <v>Paloma Santos</v>
          </cell>
          <cell r="G768" t="str">
            <v>UBER* TRIP             CIUDAD DE MEX MEX</v>
          </cell>
          <cell r="H768" t="str">
            <v>Uber</v>
          </cell>
          <cell r="I768">
            <v>0</v>
          </cell>
          <cell r="J768">
            <v>0</v>
          </cell>
          <cell r="K768" t="str">
            <v>.</v>
          </cell>
          <cell r="L768">
            <v>0</v>
          </cell>
          <cell r="M768">
            <v>0</v>
          </cell>
          <cell r="N768">
            <v>0</v>
          </cell>
          <cell r="O768">
            <v>0</v>
          </cell>
          <cell r="Q768" t="str">
            <v>603.81.006 Gastos Administativos de venta</v>
          </cell>
        </row>
        <row r="769">
          <cell r="B769" t="str">
            <v>#57</v>
          </cell>
          <cell r="C769">
            <v>45833.699305555499</v>
          </cell>
          <cell r="D769">
            <v>521.46</v>
          </cell>
          <cell r="E769" t="str">
            <v>MXN</v>
          </cell>
          <cell r="F769" t="str">
            <v>Paloma Santos</v>
          </cell>
          <cell r="G769" t="str">
            <v>UBER* PENDING          CIUDAD DE MEX MEX</v>
          </cell>
          <cell r="H769" t="str">
            <v>Uber</v>
          </cell>
          <cell r="I769">
            <v>0</v>
          </cell>
          <cell r="J769">
            <v>0</v>
          </cell>
          <cell r="K769" t="str">
            <v>.</v>
          </cell>
          <cell r="L769">
            <v>0</v>
          </cell>
          <cell r="M769">
            <v>0</v>
          </cell>
          <cell r="N769">
            <v>0</v>
          </cell>
          <cell r="O769">
            <v>0</v>
          </cell>
          <cell r="Q769" t="str">
            <v>603.81.006 Gastos Administativos de venta</v>
          </cell>
        </row>
        <row r="770">
          <cell r="B770" t="str">
            <v>#57</v>
          </cell>
          <cell r="C770">
            <v>45835.177083333299</v>
          </cell>
          <cell r="D770">
            <v>597.41999999999996</v>
          </cell>
          <cell r="E770" t="str">
            <v>MXN</v>
          </cell>
          <cell r="F770" t="str">
            <v>Paloma Santos</v>
          </cell>
          <cell r="G770" t="str">
            <v>UBER* EATS PENDING     CIUDAD DE MEX MEX</v>
          </cell>
          <cell r="H770" t="str">
            <v>Uber Eats</v>
          </cell>
          <cell r="I770">
            <v>0</v>
          </cell>
          <cell r="J770">
            <v>0</v>
          </cell>
          <cell r="K770" t="str">
            <v>.</v>
          </cell>
          <cell r="L770">
            <v>0</v>
          </cell>
          <cell r="M770">
            <v>0</v>
          </cell>
          <cell r="N770">
            <v>0</v>
          </cell>
          <cell r="O770">
            <v>0</v>
          </cell>
          <cell r="Q770" t="str">
            <v>603.81.006 Gastos Administativos de venta</v>
          </cell>
        </row>
        <row r="771">
          <cell r="B771" t="str">
            <v>#57</v>
          </cell>
          <cell r="C771">
            <v>45838.75</v>
          </cell>
          <cell r="D771">
            <v>183</v>
          </cell>
          <cell r="E771" t="str">
            <v>MXN</v>
          </cell>
          <cell r="F771" t="str">
            <v>Paloma Santos</v>
          </cell>
          <cell r="G771" t="str">
            <v>UBER* TRIP             CIUDAD DE MEX MEX</v>
          </cell>
          <cell r="H771" t="str">
            <v>Uber</v>
          </cell>
          <cell r="I771">
            <v>0</v>
          </cell>
          <cell r="J771">
            <v>0</v>
          </cell>
          <cell r="K771" t="str">
            <v>.</v>
          </cell>
          <cell r="L771">
            <v>0</v>
          </cell>
          <cell r="M771">
            <v>0</v>
          </cell>
          <cell r="N771">
            <v>0</v>
          </cell>
          <cell r="O771">
            <v>0</v>
          </cell>
          <cell r="Q771" t="str">
            <v>603.81.006 Gastos Administativos de venta</v>
          </cell>
        </row>
        <row r="772">
          <cell r="B772" t="str">
            <v>#58</v>
          </cell>
          <cell r="C772">
            <v>45812.8569444444</v>
          </cell>
          <cell r="D772">
            <v>600</v>
          </cell>
          <cell r="E772" t="str">
            <v>MXN</v>
          </cell>
          <cell r="F772" t="str">
            <v>Jose Rosas Ortiz</v>
          </cell>
          <cell r="G772" t="str">
            <v>RECARGA PASE TUTAG     CIUDAD DE MEX MEX</v>
          </cell>
          <cell r="H772" t="str">
            <v>Recarga Pase Tutag Ciudad De Mex Mex</v>
          </cell>
          <cell r="I772" t="str">
            <v>Transaction cost</v>
          </cell>
          <cell r="J772" t="str">
            <v>Vanities GAP</v>
          </cell>
          <cell r="K772" t="str">
            <v>SF</v>
          </cell>
          <cell r="L772">
            <v>0</v>
          </cell>
          <cell r="M772">
            <v>0</v>
          </cell>
          <cell r="N772">
            <v>0</v>
          </cell>
          <cell r="O772">
            <v>0</v>
          </cell>
          <cell r="Q772" t="str">
            <v>602.34.002 Gastos por visita tencica</v>
          </cell>
        </row>
        <row r="773">
          <cell r="B773" t="str">
            <v>#58</v>
          </cell>
          <cell r="C773">
            <v>45814.012499999997</v>
          </cell>
          <cell r="D773">
            <v>561.79999999999995</v>
          </cell>
          <cell r="E773" t="str">
            <v>MXN</v>
          </cell>
          <cell r="F773" t="str">
            <v>Jose Rosas Ortiz</v>
          </cell>
          <cell r="G773" t="str">
            <v>GASOLINERIA ES 06254   HUIXQUILUCAN  MEX</v>
          </cell>
          <cell r="H773" t="str">
            <v>Gasolineria Es Huixquilucan Mex</v>
          </cell>
          <cell r="I773" t="str">
            <v>Transaction cost</v>
          </cell>
          <cell r="J773" t="str">
            <v>Vanities GAP</v>
          </cell>
          <cell r="K773" t="str">
            <v>BBA 505564</v>
          </cell>
          <cell r="L773">
            <v>0</v>
          </cell>
          <cell r="M773">
            <v>0</v>
          </cell>
          <cell r="N773">
            <v>0</v>
          </cell>
          <cell r="O773">
            <v>0</v>
          </cell>
          <cell r="Q773" t="str">
            <v>602.34.002 Gastos por visita tencica</v>
          </cell>
        </row>
        <row r="774">
          <cell r="B774" t="str">
            <v>#58</v>
          </cell>
          <cell r="C774">
            <v>45814.946527777698</v>
          </cell>
          <cell r="D774">
            <v>959.25</v>
          </cell>
          <cell r="E774" t="str">
            <v>MXN</v>
          </cell>
          <cell r="F774" t="str">
            <v>Jose Rosas Ortiz</v>
          </cell>
          <cell r="G774" t="str">
            <v>SMARTSHEET INC.        +14253263995  USA</v>
          </cell>
          <cell r="H774" t="str">
            <v>Smartsheet</v>
          </cell>
          <cell r="I774" t="str">
            <v>Transaction cost</v>
          </cell>
          <cell r="J774" t="str">
            <v>IMESA</v>
          </cell>
          <cell r="K774" t="str">
            <v>#INV2438248</v>
          </cell>
          <cell r="L774">
            <v>0</v>
          </cell>
          <cell r="M774">
            <v>0</v>
          </cell>
          <cell r="N774">
            <v>0</v>
          </cell>
          <cell r="O774">
            <v>0</v>
          </cell>
          <cell r="Q774" t="str">
            <v>602.34.002 Gastos por visita tencica</v>
          </cell>
        </row>
        <row r="775">
          <cell r="B775" t="str">
            <v>#58</v>
          </cell>
          <cell r="C775">
            <v>45815</v>
          </cell>
          <cell r="D775">
            <v>54.5</v>
          </cell>
          <cell r="E775" t="str">
            <v>MXN</v>
          </cell>
          <cell r="F775" t="str">
            <v>Jose Rosas Ortiz</v>
          </cell>
          <cell r="G775" t="str">
            <v>OXXO ETLA MEX          CIUDAD DE MEX MEX</v>
          </cell>
          <cell r="H775" t="str">
            <v>Oxxo</v>
          </cell>
          <cell r="I775" t="str">
            <v>Transaction cost</v>
          </cell>
          <cell r="J775" t="str">
            <v>IMESA</v>
          </cell>
          <cell r="K775" t="str">
            <v>SF</v>
          </cell>
          <cell r="L775">
            <v>0</v>
          </cell>
          <cell r="M775">
            <v>0</v>
          </cell>
          <cell r="N775">
            <v>0</v>
          </cell>
          <cell r="O775">
            <v>0</v>
          </cell>
          <cell r="Q775" t="str">
            <v>602.34.002 Gastos por visita tencica</v>
          </cell>
        </row>
        <row r="776">
          <cell r="B776" t="str">
            <v>#58</v>
          </cell>
          <cell r="C776">
            <v>45817.984722222202</v>
          </cell>
          <cell r="D776">
            <v>1000</v>
          </cell>
          <cell r="E776" t="str">
            <v>MXN</v>
          </cell>
          <cell r="F776" t="str">
            <v>Jose Rosas Ortiz</v>
          </cell>
          <cell r="G776" t="str">
            <v>RECARGA PASE TUTAG     CIUDAD DE MEX MEX</v>
          </cell>
          <cell r="H776" t="str">
            <v>Recarga Pase Tutag Ciudad De Mex Mex</v>
          </cell>
          <cell r="I776" t="str">
            <v>Transaction cost</v>
          </cell>
          <cell r="J776" t="str">
            <v>RADIO FLYER</v>
          </cell>
          <cell r="K776" t="str">
            <v>SF</v>
          </cell>
          <cell r="L776">
            <v>0</v>
          </cell>
          <cell r="M776">
            <v>0</v>
          </cell>
          <cell r="N776">
            <v>0</v>
          </cell>
          <cell r="O776">
            <v>0</v>
          </cell>
          <cell r="Q776" t="str">
            <v>602.34.002 Gastos por visita tencica</v>
          </cell>
        </row>
        <row r="777">
          <cell r="B777" t="str">
            <v>#58</v>
          </cell>
          <cell r="C777">
            <v>45818.900694444397</v>
          </cell>
          <cell r="D777">
            <v>794.7</v>
          </cell>
          <cell r="E777" t="str">
            <v>MXN</v>
          </cell>
          <cell r="F777" t="str">
            <v>Jose Rosas Ortiz</v>
          </cell>
          <cell r="G777" t="str">
            <v>GASOL VEVEGA           HUIXQUILUCAN  MEX</v>
          </cell>
          <cell r="H777" t="str">
            <v>Gasol Vevega Huixquilucan Mex</v>
          </cell>
          <cell r="I777" t="str">
            <v>Transaction cost</v>
          </cell>
          <cell r="J777" t="str">
            <v>RADIO FLYER</v>
          </cell>
          <cell r="K777" t="str">
            <v>BBA 509103</v>
          </cell>
          <cell r="L777">
            <v>0</v>
          </cell>
          <cell r="M777">
            <v>0</v>
          </cell>
          <cell r="N777">
            <v>0</v>
          </cell>
          <cell r="O777">
            <v>0</v>
          </cell>
          <cell r="Q777" t="str">
            <v>602.34.002 Gastos por visita tencica</v>
          </cell>
        </row>
        <row r="778">
          <cell r="B778" t="str">
            <v>#58</v>
          </cell>
          <cell r="C778">
            <v>45820.203472222202</v>
          </cell>
          <cell r="D778">
            <v>1000</v>
          </cell>
          <cell r="E778" t="str">
            <v>MXN</v>
          </cell>
          <cell r="F778" t="str">
            <v>Jose Rosas Ortiz</v>
          </cell>
          <cell r="G778" t="str">
            <v>RECARGA PASE TUTAG     CIUDAD DE MEX MEX</v>
          </cell>
          <cell r="H778" t="str">
            <v>Recarga Pase Tutag Ciudad De Mex Mex</v>
          </cell>
          <cell r="I778" t="str">
            <v>Transaction cost</v>
          </cell>
          <cell r="J778" t="str">
            <v>RADIO FLYER</v>
          </cell>
          <cell r="K778" t="str">
            <v>SF</v>
          </cell>
          <cell r="L778">
            <v>0</v>
          </cell>
          <cell r="M778">
            <v>0</v>
          </cell>
          <cell r="N778">
            <v>0</v>
          </cell>
          <cell r="O778">
            <v>0</v>
          </cell>
          <cell r="Q778" t="str">
            <v>602.34.002 Gastos por visita tencica</v>
          </cell>
        </row>
        <row r="779">
          <cell r="B779" t="str">
            <v>#58</v>
          </cell>
          <cell r="C779">
            <v>45820.8256944444</v>
          </cell>
          <cell r="D779">
            <v>750.77</v>
          </cell>
          <cell r="E779" t="str">
            <v>MXN</v>
          </cell>
          <cell r="F779" t="str">
            <v>Jose Rosas Ortiz</v>
          </cell>
          <cell r="G779" t="str">
            <v>SERV FAGOSA 1          NEZAHUALCOYOT MEX</v>
          </cell>
          <cell r="H779" t="str">
            <v>Serv Fagosa 1 Nezahualcoyot Mex</v>
          </cell>
          <cell r="I779" t="str">
            <v>Transaction cost</v>
          </cell>
          <cell r="J779" t="str">
            <v>RADIO FLYER</v>
          </cell>
          <cell r="K779" t="str">
            <v>FGVM-06610</v>
          </cell>
          <cell r="L779">
            <v>0</v>
          </cell>
          <cell r="M779">
            <v>0</v>
          </cell>
          <cell r="N779">
            <v>0</v>
          </cell>
          <cell r="O779">
            <v>0</v>
          </cell>
          <cell r="Q779" t="str">
            <v>602.34.002 Gastos por visita tencica</v>
          </cell>
        </row>
        <row r="780">
          <cell r="B780" t="str">
            <v>#58</v>
          </cell>
          <cell r="C780">
            <v>45820.890277777697</v>
          </cell>
          <cell r="D780">
            <v>734.8</v>
          </cell>
          <cell r="E780" t="str">
            <v>MXN</v>
          </cell>
          <cell r="F780" t="str">
            <v>Jose Rosas Ortiz</v>
          </cell>
          <cell r="G780" t="str">
            <v>MITSPUG*REST LOS OVNIS MIGUEL HIDALG MEX</v>
          </cell>
          <cell r="H780" t="str">
            <v>Mitspug Rest Los Ovnis Miguel Hidalg Mex</v>
          </cell>
          <cell r="I780" t="str">
            <v>Transaction cost</v>
          </cell>
          <cell r="J780" t="str">
            <v>RADIO FLYER</v>
          </cell>
          <cell r="K780" t="str">
            <v>F1096</v>
          </cell>
          <cell r="L780">
            <v>0</v>
          </cell>
          <cell r="M780">
            <v>0</v>
          </cell>
          <cell r="N780">
            <v>0</v>
          </cell>
          <cell r="O780">
            <v>0</v>
          </cell>
          <cell r="Q780" t="str">
            <v>602.34.002 Gastos por visita tencica</v>
          </cell>
        </row>
        <row r="781">
          <cell r="B781" t="str">
            <v>#58</v>
          </cell>
          <cell r="C781">
            <v>45823.890972222202</v>
          </cell>
          <cell r="D781">
            <v>489.84</v>
          </cell>
          <cell r="E781" t="str">
            <v>MXN</v>
          </cell>
          <cell r="F781" t="str">
            <v>Jose Rosas Ortiz</v>
          </cell>
          <cell r="G781" t="str">
            <v>UBER* TRIP             CIUDAD DE MEX MEX</v>
          </cell>
          <cell r="H781" t="str">
            <v>Uber</v>
          </cell>
          <cell r="I781" t="str">
            <v>Transaction cost</v>
          </cell>
          <cell r="J781" t="str">
            <v>Visita IMESA -  ALTAMIRA</v>
          </cell>
          <cell r="K781" t="str">
            <v>00001000000509727848</v>
          </cell>
          <cell r="L781">
            <v>0</v>
          </cell>
          <cell r="M781">
            <v>0</v>
          </cell>
          <cell r="N781">
            <v>0</v>
          </cell>
          <cell r="O781">
            <v>0</v>
          </cell>
          <cell r="Q781" t="str">
            <v>602.34.002 Gastos por visita tencica</v>
          </cell>
        </row>
        <row r="782">
          <cell r="B782" t="str">
            <v>#58</v>
          </cell>
          <cell r="C782">
            <v>45823.907638888799</v>
          </cell>
          <cell r="D782">
            <v>3472.78</v>
          </cell>
          <cell r="E782" t="str">
            <v>MXN</v>
          </cell>
          <cell r="F782" t="str">
            <v>Jose Rosas Ortiz</v>
          </cell>
          <cell r="G782" t="str">
            <v>AVIS MXN               MERIDA YUC    MEX</v>
          </cell>
          <cell r="H782" t="str">
            <v>Avis Rent A Car</v>
          </cell>
          <cell r="I782" t="str">
            <v>Transaction cost</v>
          </cell>
          <cell r="J782" t="str">
            <v>Visita IMESA -  ALTAMIRA</v>
          </cell>
          <cell r="K782" t="str">
            <v>00001000000509573003</v>
          </cell>
          <cell r="L782">
            <v>0</v>
          </cell>
          <cell r="M782">
            <v>0</v>
          </cell>
          <cell r="N782">
            <v>0</v>
          </cell>
          <cell r="O782">
            <v>0</v>
          </cell>
          <cell r="Q782" t="str">
            <v>602.34.002 Gastos por visita tencica</v>
          </cell>
        </row>
        <row r="783">
          <cell r="B783" t="str">
            <v>#58</v>
          </cell>
          <cell r="C783">
            <v>45824.672916666597</v>
          </cell>
          <cell r="D783">
            <v>900.27</v>
          </cell>
          <cell r="E783" t="str">
            <v>MXN</v>
          </cell>
          <cell r="F783" t="str">
            <v>Jose Rosas Ortiz</v>
          </cell>
          <cell r="G783" t="str">
            <v>GASOL EDARSI           OZULUAMA VER  MEX</v>
          </cell>
          <cell r="H783" t="str">
            <v>Gasol Edarsi Ozuluama Ver Mex</v>
          </cell>
          <cell r="I783" t="str">
            <v>Transaction cost</v>
          </cell>
          <cell r="J783" t="str">
            <v>Visita IMESA -  ALTAMIRA</v>
          </cell>
          <cell r="K783" t="str">
            <v>BBA 509103</v>
          </cell>
          <cell r="L783">
            <v>0</v>
          </cell>
          <cell r="M783">
            <v>0</v>
          </cell>
          <cell r="N783">
            <v>0</v>
          </cell>
          <cell r="O783">
            <v>0</v>
          </cell>
          <cell r="Q783" t="str">
            <v>602.34.002 Gastos por visita tencica</v>
          </cell>
        </row>
        <row r="784">
          <cell r="B784" t="str">
            <v>#58</v>
          </cell>
          <cell r="C784">
            <v>45824.696527777698</v>
          </cell>
          <cell r="D784">
            <v>1000</v>
          </cell>
          <cell r="E784" t="str">
            <v>MXN</v>
          </cell>
          <cell r="F784" t="str">
            <v>Jose Rosas Ortiz</v>
          </cell>
          <cell r="G784" t="str">
            <v>RECARGA PASE TUTAG     CIUDAD DE MEX MEX</v>
          </cell>
          <cell r="H784" t="str">
            <v>Recarga Pase Tutag Ciudad De Mex Mex</v>
          </cell>
          <cell r="I784" t="str">
            <v>Transaction cost</v>
          </cell>
          <cell r="J784" t="str">
            <v>Visita IMESA -  ALTAMIRA</v>
          </cell>
          <cell r="K784" t="str">
            <v>SF</v>
          </cell>
          <cell r="L784">
            <v>0</v>
          </cell>
          <cell r="M784">
            <v>0</v>
          </cell>
          <cell r="N784">
            <v>0</v>
          </cell>
          <cell r="O784">
            <v>0</v>
          </cell>
          <cell r="Q784" t="str">
            <v>602.34.002 Gastos por visita tencica</v>
          </cell>
        </row>
        <row r="785">
          <cell r="B785" t="str">
            <v>#58</v>
          </cell>
          <cell r="C785">
            <v>45825.661805555501</v>
          </cell>
          <cell r="D785">
            <v>1000</v>
          </cell>
          <cell r="E785" t="str">
            <v>MXN</v>
          </cell>
          <cell r="F785" t="str">
            <v>Jose Rosas Ortiz</v>
          </cell>
          <cell r="G785" t="str">
            <v>RECARGA PASE TUTAG     CIUDAD DE MEX MEX</v>
          </cell>
          <cell r="H785" t="str">
            <v>Recarga Pase Tutag Ciudad De Mex Mex</v>
          </cell>
          <cell r="I785" t="str">
            <v>Transaction cost</v>
          </cell>
          <cell r="J785" t="str">
            <v>Visita IMESA -  ALTAMIRA</v>
          </cell>
          <cell r="K785" t="str">
            <v>SF</v>
          </cell>
          <cell r="L785">
            <v>0</v>
          </cell>
          <cell r="M785">
            <v>0</v>
          </cell>
          <cell r="N785">
            <v>0</v>
          </cell>
          <cell r="O785">
            <v>0</v>
          </cell>
          <cell r="Q785" t="str">
            <v>602.34.002 Gastos por visita tencica</v>
          </cell>
        </row>
        <row r="786">
          <cell r="B786" t="str">
            <v>#58</v>
          </cell>
          <cell r="C786">
            <v>45825.752083333296</v>
          </cell>
          <cell r="D786">
            <v>723.35</v>
          </cell>
          <cell r="E786" t="str">
            <v>MXN</v>
          </cell>
          <cell r="F786" t="str">
            <v>Jose Rosas Ortiz</v>
          </cell>
          <cell r="G786" t="str">
            <v>GASOL BP TIHUAT SMART2 CIUDAD DE MEX MEX</v>
          </cell>
          <cell r="H786" t="str">
            <v>Gasol Bp Tihuat Smart2 Ciudad De Mex Mex</v>
          </cell>
          <cell r="I786" t="str">
            <v>Transaction cost</v>
          </cell>
          <cell r="J786" t="str">
            <v>Visita IMESA -  ALTAMIRA</v>
          </cell>
          <cell r="K786" t="str">
            <v>BPBW 31904</v>
          </cell>
          <cell r="L786">
            <v>0</v>
          </cell>
          <cell r="M786">
            <v>0</v>
          </cell>
          <cell r="N786">
            <v>0</v>
          </cell>
          <cell r="O786">
            <v>0</v>
          </cell>
          <cell r="Q786" t="str">
            <v>602.34.002 Gastos por visita tencica</v>
          </cell>
        </row>
        <row r="787">
          <cell r="B787" t="str">
            <v>#58</v>
          </cell>
          <cell r="C787">
            <v>45825.8659722222</v>
          </cell>
          <cell r="D787">
            <v>625.91999999999996</v>
          </cell>
          <cell r="E787" t="str">
            <v>MXN</v>
          </cell>
          <cell r="F787" t="str">
            <v>Jose Rosas Ortiz</v>
          </cell>
          <cell r="G787" t="str">
            <v>EST 57 LAS ARMAS       CIUDAD DE MEX MEX</v>
          </cell>
          <cell r="H787" t="str">
            <v>Est 57 Las Armas Ciudad De Mex Mex</v>
          </cell>
          <cell r="I787" t="str">
            <v>Transaction cost</v>
          </cell>
          <cell r="J787" t="str">
            <v>Visita IMESA -  ALTAMIRA</v>
          </cell>
          <cell r="K787" t="str">
            <v>MCFI-124399</v>
          </cell>
          <cell r="L787">
            <v>0</v>
          </cell>
          <cell r="M787">
            <v>0</v>
          </cell>
          <cell r="N787">
            <v>0</v>
          </cell>
          <cell r="O787">
            <v>0</v>
          </cell>
          <cell r="Q787" t="str">
            <v>602.34.002 Gastos por visita tencica</v>
          </cell>
        </row>
        <row r="788">
          <cell r="B788" t="str">
            <v>#58</v>
          </cell>
          <cell r="C788">
            <v>45826.878472222197</v>
          </cell>
          <cell r="D788">
            <v>270.35000000000002</v>
          </cell>
          <cell r="E788" t="str">
            <v>MXN</v>
          </cell>
          <cell r="F788" t="str">
            <v>Jose Rosas Ortiz</v>
          </cell>
          <cell r="G788" t="str">
            <v>UBER* TRIP             CIUDAD DE MEX MEX</v>
          </cell>
          <cell r="H788" t="str">
            <v>Uber</v>
          </cell>
          <cell r="I788" t="str">
            <v>Transaction cost</v>
          </cell>
          <cell r="J788" t="str">
            <v>Visita IMESA -  ALTAMIRA</v>
          </cell>
          <cell r="K788" t="str">
            <v>SF</v>
          </cell>
          <cell r="L788">
            <v>0</v>
          </cell>
          <cell r="M788">
            <v>0</v>
          </cell>
          <cell r="N788">
            <v>0</v>
          </cell>
          <cell r="O788">
            <v>0</v>
          </cell>
          <cell r="Q788" t="str">
            <v>602.34.002 Gastos por visita tencica</v>
          </cell>
        </row>
        <row r="789">
          <cell r="B789" t="str">
            <v>#58</v>
          </cell>
          <cell r="C789">
            <v>45828.797916666597</v>
          </cell>
          <cell r="D789">
            <v>148</v>
          </cell>
          <cell r="E789" t="str">
            <v>MXN</v>
          </cell>
          <cell r="F789" t="str">
            <v>Jose Rosas Ortiz</v>
          </cell>
          <cell r="G789" t="str">
            <v>SBX Atizapan           CMX           MEX</v>
          </cell>
          <cell r="H789" t="str">
            <v>Sbx Atizapan Cmx Mex</v>
          </cell>
          <cell r="I789" t="str">
            <v>Transaction cost</v>
          </cell>
          <cell r="J789" t="str">
            <v>Visita IMESA -  ALTAMIRA</v>
          </cell>
          <cell r="K789" t="str">
            <v>SF</v>
          </cell>
          <cell r="L789">
            <v>0</v>
          </cell>
          <cell r="M789">
            <v>0</v>
          </cell>
          <cell r="N789">
            <v>0</v>
          </cell>
          <cell r="O789">
            <v>0</v>
          </cell>
          <cell r="Q789" t="str">
            <v>602.34.002 Gastos por visita tencica</v>
          </cell>
        </row>
        <row r="790">
          <cell r="B790" t="str">
            <v>#58</v>
          </cell>
          <cell r="C790">
            <v>45828.913888888797</v>
          </cell>
          <cell r="D790">
            <v>55</v>
          </cell>
          <cell r="E790" t="str">
            <v>MXN</v>
          </cell>
          <cell r="F790" t="str">
            <v>Jose Rosas Ortiz</v>
          </cell>
          <cell r="G790" t="str">
            <v>UBER* TRIP             CIUDAD DE MEX MEX</v>
          </cell>
          <cell r="H790" t="str">
            <v>Uber</v>
          </cell>
          <cell r="I790" t="str">
            <v>Transaction cost</v>
          </cell>
          <cell r="J790" t="str">
            <v>Visita IMESA -  ALTAMIRA</v>
          </cell>
          <cell r="K790" t="str">
            <v>SF</v>
          </cell>
          <cell r="L790">
            <v>0</v>
          </cell>
          <cell r="M790">
            <v>0</v>
          </cell>
          <cell r="N790">
            <v>0</v>
          </cell>
          <cell r="O790">
            <v>0</v>
          </cell>
          <cell r="Q790" t="str">
            <v>602.34.002 Gastos por visita tencica</v>
          </cell>
        </row>
        <row r="791">
          <cell r="B791" t="str">
            <v>#58</v>
          </cell>
          <cell r="C791">
            <v>45833.952083333301</v>
          </cell>
          <cell r="D791">
            <v>1000</v>
          </cell>
          <cell r="E791" t="str">
            <v>MXN</v>
          </cell>
          <cell r="F791" t="str">
            <v>Jose Rosas Ortiz</v>
          </cell>
          <cell r="G791" t="str">
            <v>RECARGA PASE TUTAG     CIUDAD DE MEX MEX</v>
          </cell>
          <cell r="H791" t="str">
            <v>Recarga Pase Tutag Ciudad De Mex Mex</v>
          </cell>
          <cell r="I791" t="str">
            <v>Transaction cost</v>
          </cell>
          <cell r="J791" t="str">
            <v>Visita IMESA -  ALTAMIRA</v>
          </cell>
          <cell r="K791" t="str">
            <v>SF</v>
          </cell>
          <cell r="L791">
            <v>0</v>
          </cell>
          <cell r="M791">
            <v>0</v>
          </cell>
          <cell r="N791">
            <v>0</v>
          </cell>
          <cell r="O791">
            <v>0</v>
          </cell>
          <cell r="Q791" t="str">
            <v>602.34.002 Gastos por visita tencica</v>
          </cell>
        </row>
        <row r="792">
          <cell r="B792" t="str">
            <v>#58</v>
          </cell>
          <cell r="C792">
            <v>45834.726388888797</v>
          </cell>
          <cell r="D792">
            <v>1000</v>
          </cell>
          <cell r="E792" t="str">
            <v>MXN</v>
          </cell>
          <cell r="F792" t="str">
            <v>Jose Rosas Ortiz</v>
          </cell>
          <cell r="G792" t="str">
            <v>RECARGA PASE TUTAG     CIUDAD DE MEX MEX</v>
          </cell>
          <cell r="H792" t="str">
            <v>Recarga Pase Tutag Ciudad De Mex Mex</v>
          </cell>
          <cell r="I792" t="str">
            <v>Transaction cost</v>
          </cell>
          <cell r="J792" t="str">
            <v>Visita IMESA -  ALTAMIRA</v>
          </cell>
          <cell r="K792" t="str">
            <v>SF</v>
          </cell>
          <cell r="L792">
            <v>0</v>
          </cell>
          <cell r="M792">
            <v>0</v>
          </cell>
          <cell r="N792">
            <v>0</v>
          </cell>
          <cell r="O792">
            <v>0</v>
          </cell>
          <cell r="Q792" t="str">
            <v>602.34.002 Gastos por visita tencica</v>
          </cell>
        </row>
        <row r="793">
          <cell r="B793" t="str">
            <v>#58</v>
          </cell>
          <cell r="C793">
            <v>45834.859722222202</v>
          </cell>
          <cell r="D793">
            <v>58</v>
          </cell>
          <cell r="E793" t="str">
            <v>MXN</v>
          </cell>
          <cell r="F793" t="str">
            <v>Jose Rosas Ortiz</v>
          </cell>
          <cell r="G793" t="str">
            <v>UBER* TRIP             CIUDAD DE MEX MEX</v>
          </cell>
          <cell r="H793" t="str">
            <v>Uber</v>
          </cell>
          <cell r="I793" t="str">
            <v>Transaction cost</v>
          </cell>
          <cell r="J793" t="str">
            <v>Visita IMESA -  ALTAMIRA</v>
          </cell>
          <cell r="K793" t="str">
            <v>SF</v>
          </cell>
          <cell r="L793">
            <v>0</v>
          </cell>
          <cell r="M793">
            <v>0</v>
          </cell>
          <cell r="N793">
            <v>0</v>
          </cell>
          <cell r="O793">
            <v>0</v>
          </cell>
          <cell r="Q793" t="str">
            <v>602.34.002 Gastos por visita tencica</v>
          </cell>
        </row>
        <row r="794">
          <cell r="B794" t="str">
            <v>#58</v>
          </cell>
          <cell r="C794">
            <v>45834.893750000003</v>
          </cell>
          <cell r="D794">
            <v>1030.02</v>
          </cell>
          <cell r="E794" t="str">
            <v>MXN</v>
          </cell>
          <cell r="F794" t="str">
            <v>Jose Rosas Ortiz</v>
          </cell>
          <cell r="G794" t="str">
            <v>ESTACION JABA          NAUCALPAN DE  MEX</v>
          </cell>
          <cell r="H794" t="str">
            <v>Estacion Jaba Naucalpan De Mex</v>
          </cell>
          <cell r="I794" t="str">
            <v>Transaction cost</v>
          </cell>
          <cell r="J794" t="str">
            <v>Visita Escato</v>
          </cell>
          <cell r="K794" t="str">
            <v>ESJW 92310</v>
          </cell>
          <cell r="L794">
            <v>0</v>
          </cell>
          <cell r="M794">
            <v>0</v>
          </cell>
          <cell r="N794">
            <v>0</v>
          </cell>
          <cell r="O794">
            <v>0</v>
          </cell>
          <cell r="Q794" t="str">
            <v>602.34.002 Gastos por visita tencica</v>
          </cell>
        </row>
        <row r="795">
          <cell r="B795" t="str">
            <v>#58</v>
          </cell>
          <cell r="C795">
            <v>45835.954861111102</v>
          </cell>
          <cell r="D795">
            <v>155</v>
          </cell>
          <cell r="E795" t="str">
            <v>MXN</v>
          </cell>
          <cell r="F795" t="str">
            <v>Jose Rosas Ortiz</v>
          </cell>
          <cell r="G795" t="str">
            <v>STARBUCKS C T M KM48   MEX           MEX</v>
          </cell>
          <cell r="H795" t="str">
            <v>Starbucks</v>
          </cell>
          <cell r="I795" t="str">
            <v>Transaction cost</v>
          </cell>
          <cell r="J795" t="str">
            <v>Visita Escato</v>
          </cell>
          <cell r="K795" t="str">
            <v>SCNBJB 5138</v>
          </cell>
          <cell r="L795">
            <v>0</v>
          </cell>
          <cell r="M795">
            <v>0</v>
          </cell>
          <cell r="N795">
            <v>0</v>
          </cell>
          <cell r="O795">
            <v>0</v>
          </cell>
          <cell r="Q795" t="str">
            <v>602.34.002 Gastos por visita tencica</v>
          </cell>
        </row>
        <row r="796">
          <cell r="B796" t="str">
            <v>#64</v>
          </cell>
          <cell r="C796">
            <v>45809.931944444397</v>
          </cell>
          <cell r="D796">
            <v>0.01</v>
          </cell>
          <cell r="E796" t="str">
            <v>MXN</v>
          </cell>
          <cell r="F796" t="str">
            <v>Jorge Rojas</v>
          </cell>
          <cell r="G796" t="str">
            <v>HERTZ MEX WAL SAT MXN  NAUCALPAN DE  MEX</v>
          </cell>
          <cell r="H796" t="str">
            <v>Hertz</v>
          </cell>
          <cell r="I796" t="str">
            <v>Hertz</v>
          </cell>
          <cell r="J796" t="str">
            <v>G&amp;A expenses</v>
          </cell>
          <cell r="K796" t="str">
            <v>Garantía cancelada renta car</v>
          </cell>
          <cell r="L796">
            <v>0</v>
          </cell>
          <cell r="M796">
            <v>0</v>
          </cell>
          <cell r="N796">
            <v>0</v>
          </cell>
          <cell r="O796">
            <v>0</v>
          </cell>
          <cell r="Q796" t="str">
            <v>602.34.002 Gastos por visita tencica</v>
          </cell>
        </row>
        <row r="797">
          <cell r="B797" t="str">
            <v>#64</v>
          </cell>
          <cell r="C797">
            <v>45810.913194444402</v>
          </cell>
          <cell r="D797">
            <v>18183</v>
          </cell>
          <cell r="E797" t="str">
            <v>MXN</v>
          </cell>
          <cell r="F797" t="str">
            <v>Jorge Rojas</v>
          </cell>
          <cell r="G797" t="str">
            <v>HERTZ MEX WAL SAT MXN  NAUCALPAN DE  MEX</v>
          </cell>
          <cell r="H797" t="str">
            <v>Hertz</v>
          </cell>
          <cell r="I797" t="str">
            <v>Hertz</v>
          </cell>
          <cell r="J797" t="str">
            <v>G&amp;A expenses</v>
          </cell>
          <cell r="K797" t="str">
            <v>Renta car hertz</v>
          </cell>
          <cell r="L797">
            <v>0</v>
          </cell>
          <cell r="M797">
            <v>0</v>
          </cell>
          <cell r="N797">
            <v>0</v>
          </cell>
          <cell r="O797">
            <v>0</v>
          </cell>
          <cell r="Q797" t="str">
            <v>602.34.002 Gastos por visita tencica</v>
          </cell>
        </row>
        <row r="798">
          <cell r="B798" t="str">
            <v>#64</v>
          </cell>
          <cell r="C798">
            <v>45811.005555555501</v>
          </cell>
          <cell r="D798">
            <v>182</v>
          </cell>
          <cell r="E798" t="str">
            <v>MXN</v>
          </cell>
          <cell r="F798" t="str">
            <v>Jorge Rojas</v>
          </cell>
          <cell r="G798" t="str">
            <v>CASA DE TONO ECHEGARAY NAUCALPAN DE  MEX</v>
          </cell>
          <cell r="H798" t="str">
            <v>Casa De Tono Echegaray Naucalpan De Mex</v>
          </cell>
          <cell r="I798" t="str">
            <v>Casa De Tono Echegaray Naucalpan De Mex</v>
          </cell>
          <cell r="J798" t="str">
            <v>G&amp;A expenses</v>
          </cell>
          <cell r="K798" t="str">
            <v>Alimentos</v>
          </cell>
          <cell r="L798">
            <v>0</v>
          </cell>
          <cell r="M798">
            <v>0</v>
          </cell>
          <cell r="N798">
            <v>0</v>
          </cell>
          <cell r="O798">
            <v>0</v>
          </cell>
          <cell r="Q798" t="str">
            <v>602.34.002 Gastos por visita tencica</v>
          </cell>
        </row>
        <row r="799">
          <cell r="B799" t="str">
            <v>#64</v>
          </cell>
          <cell r="C799">
            <v>45811.016666666597</v>
          </cell>
          <cell r="D799">
            <v>830</v>
          </cell>
          <cell r="E799" t="str">
            <v>MXN</v>
          </cell>
          <cell r="F799" t="str">
            <v>Jorge Rojas</v>
          </cell>
          <cell r="G799" t="str">
            <v>IMP DE SERV Y TURISMO  NAUCALPAN DE  MEX</v>
          </cell>
          <cell r="H799" t="str">
            <v>Imp De Serv Y Turismo Naucalpan De Mex</v>
          </cell>
          <cell r="I799" t="str">
            <v>Imp De Serv Y Turismo Naucalpan De Mex</v>
          </cell>
          <cell r="J799" t="str">
            <v>G&amp;A expenses</v>
          </cell>
          <cell r="K799" t="str">
            <v>Gasolina para movilidad</v>
          </cell>
          <cell r="L799">
            <v>0</v>
          </cell>
          <cell r="M799">
            <v>0</v>
          </cell>
          <cell r="N799">
            <v>0</v>
          </cell>
          <cell r="O799">
            <v>0</v>
          </cell>
          <cell r="Q799" t="str">
            <v>602.34.002 Gastos por visita tencica</v>
          </cell>
        </row>
        <row r="800">
          <cell r="B800" t="str">
            <v>#64</v>
          </cell>
          <cell r="C800">
            <v>45812.032638888799</v>
          </cell>
          <cell r="D800">
            <v>300</v>
          </cell>
          <cell r="E800" t="str">
            <v>MXN</v>
          </cell>
          <cell r="F800" t="str">
            <v>Jorge Rojas</v>
          </cell>
          <cell r="G800" t="str">
            <v>MERCADOPAGO *SUCET     Naucalpan     MEX</v>
          </cell>
          <cell r="H800" t="str">
            <v>Mercadopago</v>
          </cell>
          <cell r="I800" t="str">
            <v>Mercadopago</v>
          </cell>
          <cell r="J800" t="str">
            <v>G&amp;A expenses</v>
          </cell>
          <cell r="K800">
            <v>0</v>
          </cell>
          <cell r="L800">
            <v>0</v>
          </cell>
          <cell r="M800">
            <v>0</v>
          </cell>
          <cell r="N800">
            <v>0</v>
          </cell>
          <cell r="O800">
            <v>0</v>
          </cell>
          <cell r="Q800" t="str">
            <v>602.34.002 Gastos por visita tencica</v>
          </cell>
        </row>
        <row r="801">
          <cell r="B801" t="str">
            <v>#64</v>
          </cell>
          <cell r="C801">
            <v>45812.829861111102</v>
          </cell>
          <cell r="D801">
            <v>622.6</v>
          </cell>
          <cell r="E801" t="str">
            <v>MXN</v>
          </cell>
          <cell r="F801" t="str">
            <v>Jorge Rojas</v>
          </cell>
          <cell r="G801" t="str">
            <v>VIPS PERIF CUAUTITLAN  CUAUTITLAN IZ MEX</v>
          </cell>
          <cell r="H801" t="str">
            <v>Vips Perif Cuautitlan Cuautitlan Iz Mex</v>
          </cell>
          <cell r="I801" t="str">
            <v>Vips Perif Cuautitlan Cuautitlan Iz Mex</v>
          </cell>
          <cell r="J801" t="str">
            <v>Recruiting</v>
          </cell>
          <cell r="K801" t="str">
            <v>Alimentos</v>
          </cell>
          <cell r="L801">
            <v>0</v>
          </cell>
          <cell r="M801">
            <v>0</v>
          </cell>
          <cell r="N801">
            <v>0</v>
          </cell>
          <cell r="O801">
            <v>0</v>
          </cell>
          <cell r="Q801" t="str">
            <v>602.34.002 Gastos por visita tencica</v>
          </cell>
        </row>
        <row r="802">
          <cell r="B802" t="str">
            <v>#64</v>
          </cell>
          <cell r="C802">
            <v>45812.977083333302</v>
          </cell>
          <cell r="D802">
            <v>1740</v>
          </cell>
          <cell r="E802" t="str">
            <v>MXN</v>
          </cell>
          <cell r="F802" t="str">
            <v>Jorge Rojas</v>
          </cell>
          <cell r="G802" t="str">
            <v>UALAMX *UALABIS MPOS   CIUDAD DE MEX MEX</v>
          </cell>
          <cell r="H802" t="str">
            <v>Ualamx Ualabis Mpos Ciudad De Mex Mex</v>
          </cell>
          <cell r="I802" t="str">
            <v>Ualamx Ualabis Mpos Ciudad De Mex Mex</v>
          </cell>
          <cell r="J802" t="str">
            <v>Recruiting</v>
          </cell>
          <cell r="K802" t="str">
            <v>Honorarios oftalmológicos</v>
          </cell>
          <cell r="L802">
            <v>0</v>
          </cell>
          <cell r="M802">
            <v>0</v>
          </cell>
          <cell r="N802">
            <v>0</v>
          </cell>
          <cell r="O802">
            <v>0</v>
          </cell>
          <cell r="Q802" t="str">
            <v>602.34.002 Gastos por visita tencica</v>
          </cell>
        </row>
        <row r="803">
          <cell r="B803" t="str">
            <v>#64</v>
          </cell>
          <cell r="C803">
            <v>45814.0666666666</v>
          </cell>
          <cell r="D803">
            <v>318</v>
          </cell>
          <cell r="E803" t="str">
            <v>MXN</v>
          </cell>
          <cell r="F803" t="str">
            <v>Jorge Rojas</v>
          </cell>
          <cell r="G803" t="str">
            <v>MC DONALD S SAN MATEO  NAUCALPAN DE  MEX</v>
          </cell>
          <cell r="H803" t="str">
            <v>Mc Donald S San Mateo Naucalpan De Mex</v>
          </cell>
          <cell r="I803" t="str">
            <v>Mc Donald S San Mateo Naucalpan De Mex</v>
          </cell>
          <cell r="J803" t="str">
            <v>Recruiting</v>
          </cell>
          <cell r="K803" t="str">
            <v>Alimentos</v>
          </cell>
          <cell r="L803">
            <v>0</v>
          </cell>
          <cell r="M803">
            <v>0</v>
          </cell>
          <cell r="N803">
            <v>0</v>
          </cell>
          <cell r="O803">
            <v>0</v>
          </cell>
          <cell r="Q803" t="str">
            <v>602.34.002 Gastos por visita tencica</v>
          </cell>
        </row>
        <row r="804">
          <cell r="B804" t="str">
            <v>#64</v>
          </cell>
          <cell r="C804">
            <v>45815.083333333299</v>
          </cell>
          <cell r="D804">
            <v>339</v>
          </cell>
          <cell r="E804" t="str">
            <v>MXN</v>
          </cell>
          <cell r="F804" t="str">
            <v>Jorge Rojas</v>
          </cell>
          <cell r="G804" t="str">
            <v>SAN MATEO              NAUCALPAN DE  MEX</v>
          </cell>
          <cell r="H804" t="str">
            <v>San Mateo Naucalpan De Mex</v>
          </cell>
          <cell r="I804" t="str">
            <v>San Mateo Naucalpan De Mex</v>
          </cell>
          <cell r="J804" t="str">
            <v>Recruiting</v>
          </cell>
          <cell r="K804" t="str">
            <v>Alimentos</v>
          </cell>
          <cell r="L804">
            <v>0</v>
          </cell>
          <cell r="M804">
            <v>0</v>
          </cell>
          <cell r="N804">
            <v>0</v>
          </cell>
          <cell r="O804">
            <v>0</v>
          </cell>
          <cell r="Q804" t="str">
            <v>602.34.002 Gastos por visita tencica</v>
          </cell>
        </row>
        <row r="805">
          <cell r="B805" t="str">
            <v>#64</v>
          </cell>
          <cell r="C805">
            <v>45815.837500000001</v>
          </cell>
          <cell r="D805">
            <v>575</v>
          </cell>
          <cell r="E805" t="str">
            <v>MXN</v>
          </cell>
          <cell r="F805" t="str">
            <v>Jorge Rojas</v>
          </cell>
          <cell r="G805" t="str">
            <v>IMP DE SERV Y TURISMO  NAUCALPAN DE  MEX</v>
          </cell>
          <cell r="H805" t="str">
            <v>Imp De Serv Y Turismo Naucalpan De Mex</v>
          </cell>
          <cell r="I805" t="str">
            <v>Imp De Serv Y Turismo Naucalpan De Mex</v>
          </cell>
          <cell r="J805" t="str">
            <v>Recruiting</v>
          </cell>
          <cell r="K805" t="str">
            <v>Gasolina para movilidad</v>
          </cell>
          <cell r="L805">
            <v>0</v>
          </cell>
          <cell r="M805">
            <v>0</v>
          </cell>
          <cell r="N805">
            <v>0</v>
          </cell>
          <cell r="O805">
            <v>0</v>
          </cell>
          <cell r="Q805" t="str">
            <v>602.34.002 Gastos por visita tencica</v>
          </cell>
        </row>
        <row r="806">
          <cell r="B806" t="str">
            <v>#64</v>
          </cell>
          <cell r="C806">
            <v>45815.838194444397</v>
          </cell>
          <cell r="D806">
            <v>200</v>
          </cell>
          <cell r="E806" t="str">
            <v>MXN</v>
          </cell>
          <cell r="F806" t="str">
            <v>Jorge Rojas</v>
          </cell>
          <cell r="G806" t="str">
            <v>RECARGA PASE TUTAG     CIUDAD DE MEX MEX</v>
          </cell>
          <cell r="H806" t="str">
            <v>Recarga Pase Tutag Ciudad De Mex Mex</v>
          </cell>
          <cell r="I806" t="str">
            <v>Recarga Pase Tutag Ciudad De Mex Mex</v>
          </cell>
          <cell r="J806" t="str">
            <v>Capex</v>
          </cell>
          <cell r="K806" t="str">
            <v>Recarga TAG</v>
          </cell>
          <cell r="L806">
            <v>0</v>
          </cell>
          <cell r="M806">
            <v>0</v>
          </cell>
          <cell r="N806">
            <v>0</v>
          </cell>
          <cell r="O806">
            <v>0</v>
          </cell>
          <cell r="Q806" t="str">
            <v>602.34.002 Gastos por visita tencica</v>
          </cell>
        </row>
        <row r="807">
          <cell r="B807" t="str">
            <v>#64</v>
          </cell>
          <cell r="C807">
            <v>45817.832638888802</v>
          </cell>
          <cell r="D807">
            <v>669.9</v>
          </cell>
          <cell r="E807" t="str">
            <v>MXN</v>
          </cell>
          <cell r="F807" t="str">
            <v>Jorge Rojas</v>
          </cell>
          <cell r="G807" t="str">
            <v>VIPS CUAUTITLAN        CUAUTITLAN IZ MEX</v>
          </cell>
          <cell r="H807" t="str">
            <v>Vips Cuautitlan Cuautitlan Iz Mex</v>
          </cell>
          <cell r="I807" t="str">
            <v>Vips Cuautitlan Cuautitlan Iz Mex</v>
          </cell>
          <cell r="J807" t="str">
            <v>Recruiting</v>
          </cell>
          <cell r="K807" t="str">
            <v>Alimentos</v>
          </cell>
          <cell r="L807">
            <v>0</v>
          </cell>
          <cell r="M807">
            <v>0</v>
          </cell>
          <cell r="N807">
            <v>0</v>
          </cell>
          <cell r="O807">
            <v>0</v>
          </cell>
          <cell r="Q807" t="str">
            <v>602.34.002 Gastos por visita tencica</v>
          </cell>
        </row>
        <row r="808">
          <cell r="B808" t="str">
            <v>#64</v>
          </cell>
          <cell r="C808">
            <v>45819.067361111098</v>
          </cell>
          <cell r="D808">
            <v>236.5</v>
          </cell>
          <cell r="E808" t="str">
            <v>MXN</v>
          </cell>
          <cell r="F808" t="str">
            <v>Jorge Rojas</v>
          </cell>
          <cell r="G808" t="str">
            <v>MERCADOPAGO *SUCET     Naucalpan     MEX</v>
          </cell>
          <cell r="H808" t="str">
            <v>Mercadopago</v>
          </cell>
          <cell r="I808" t="str">
            <v>Mercadopago</v>
          </cell>
          <cell r="J808" t="str">
            <v>Recruiting</v>
          </cell>
          <cell r="K808">
            <v>0</v>
          </cell>
          <cell r="L808">
            <v>0</v>
          </cell>
          <cell r="M808">
            <v>0</v>
          </cell>
          <cell r="N808">
            <v>0</v>
          </cell>
          <cell r="O808">
            <v>0</v>
          </cell>
          <cell r="Q808" t="str">
            <v>602.34.002 Gastos por visita tencica</v>
          </cell>
        </row>
        <row r="809">
          <cell r="B809" t="str">
            <v>#64</v>
          </cell>
          <cell r="C809">
            <v>45819.1201388888</v>
          </cell>
          <cell r="D809">
            <v>2876.5</v>
          </cell>
          <cell r="E809" t="str">
            <v>MXN</v>
          </cell>
          <cell r="F809" t="str">
            <v>Jorge Rojas</v>
          </cell>
          <cell r="G809" t="str">
            <v>BOULEVAR LOMAS VERDES  NAUCALPAN DE  MEX</v>
          </cell>
          <cell r="H809" t="str">
            <v>Boulevar Lomas Verdes Naucalpan De Mex</v>
          </cell>
          <cell r="I809" t="str">
            <v>Boulevar Lomas Verdes Naucalpan De Mex</v>
          </cell>
          <cell r="J809" t="str">
            <v>G&amp;A expenses</v>
          </cell>
          <cell r="K809" t="str">
            <v>Impresiones y lo necesario para dossier físico</v>
          </cell>
          <cell r="L809">
            <v>0</v>
          </cell>
          <cell r="M809">
            <v>0</v>
          </cell>
          <cell r="N809">
            <v>0</v>
          </cell>
          <cell r="O809">
            <v>0</v>
          </cell>
          <cell r="Q809" t="str">
            <v>602.34.002 Gastos por visita tencica</v>
          </cell>
        </row>
        <row r="810">
          <cell r="B810" t="str">
            <v>#64</v>
          </cell>
          <cell r="C810">
            <v>45819.617361111101</v>
          </cell>
          <cell r="D810">
            <v>830.22</v>
          </cell>
          <cell r="E810" t="str">
            <v>MXN</v>
          </cell>
          <cell r="F810" t="str">
            <v>Jorge Rojas</v>
          </cell>
          <cell r="G810" t="str">
            <v>GASOL COMBUSERV 413MIT TLALNEPANTLA  MEX</v>
          </cell>
          <cell r="H810" t="str">
            <v>Gasol Combuserv 413mit Tlalnepantla Mex</v>
          </cell>
          <cell r="I810" t="str">
            <v>Gasol Combuserv 413mit Tlalnepantla Mex</v>
          </cell>
          <cell r="J810" t="str">
            <v>Office expenses</v>
          </cell>
          <cell r="K810" t="str">
            <v>Gasolina para movilidad</v>
          </cell>
          <cell r="L810">
            <v>0</v>
          </cell>
          <cell r="M810">
            <v>0</v>
          </cell>
          <cell r="N810">
            <v>0</v>
          </cell>
          <cell r="O810">
            <v>0</v>
          </cell>
          <cell r="Q810" t="str">
            <v>602.34.002 Gastos por visita tencica</v>
          </cell>
        </row>
        <row r="811">
          <cell r="B811" t="str">
            <v>#64</v>
          </cell>
          <cell r="C811">
            <v>45819.849305555501</v>
          </cell>
          <cell r="D811">
            <v>590.70000000000005</v>
          </cell>
          <cell r="E811" t="str">
            <v>MXN</v>
          </cell>
          <cell r="F811" t="str">
            <v>Jorge Rojas</v>
          </cell>
          <cell r="G811" t="str">
            <v>VIPS PERIF CUAUTITLAN  CUAUTITLAN IZ MEX</v>
          </cell>
          <cell r="H811" t="str">
            <v>Vips Perif Cuautitlan Cuautitlan Iz Mex</v>
          </cell>
          <cell r="I811" t="str">
            <v>Vips Perif Cuautitlan Cuautitlan Iz Mex</v>
          </cell>
          <cell r="J811" t="str">
            <v>Recruiting</v>
          </cell>
          <cell r="K811" t="str">
            <v>Alimentos</v>
          </cell>
          <cell r="L811">
            <v>0</v>
          </cell>
          <cell r="M811">
            <v>0</v>
          </cell>
          <cell r="N811">
            <v>0</v>
          </cell>
          <cell r="O811">
            <v>0</v>
          </cell>
          <cell r="Q811" t="str">
            <v>602.34.002 Gastos por visita tencica</v>
          </cell>
        </row>
        <row r="812">
          <cell r="B812" t="str">
            <v>#64</v>
          </cell>
          <cell r="C812">
            <v>45820.728472222203</v>
          </cell>
          <cell r="D812">
            <v>74</v>
          </cell>
          <cell r="E812" t="str">
            <v>MXN</v>
          </cell>
          <cell r="F812" t="str">
            <v>Jorge Rojas</v>
          </cell>
          <cell r="G812" t="str">
            <v>20250611T01:01:01/OXXOANDRE MARIE\UNKNOWN\CUAUTITLAN IZ\54730        MEX</v>
          </cell>
          <cell r="H812" t="str">
            <v>T :01/Oxxoandre Marie\Unknown\Cuautitlan Iz\54730 Mex</v>
          </cell>
          <cell r="I812" t="str">
            <v>T :01/Oxxoandre Marie\Unknown\Cuautitlan Iz\54730 Mex</v>
          </cell>
          <cell r="J812" t="str">
            <v>Recruiting</v>
          </cell>
          <cell r="K812" t="str">
            <v>Consumibles</v>
          </cell>
          <cell r="L812">
            <v>0</v>
          </cell>
          <cell r="M812">
            <v>0</v>
          </cell>
          <cell r="N812">
            <v>0</v>
          </cell>
          <cell r="O812">
            <v>0</v>
          </cell>
          <cell r="Q812" t="str">
            <v>602.34.002 Gastos por visita tencica</v>
          </cell>
        </row>
        <row r="813">
          <cell r="B813" t="str">
            <v>#64</v>
          </cell>
          <cell r="C813">
            <v>45820.857638888803</v>
          </cell>
          <cell r="D813">
            <v>428.95</v>
          </cell>
          <cell r="E813" t="str">
            <v>MXN</v>
          </cell>
          <cell r="F813" t="str">
            <v>Jorge Rojas</v>
          </cell>
          <cell r="G813" t="str">
            <v>VIPS PERIF CUAUTITLAN  CUAUTITLAN IZ MEX</v>
          </cell>
          <cell r="H813" t="str">
            <v>Vips Perif Cuautitlan Cuautitlan Iz Mex</v>
          </cell>
          <cell r="I813" t="str">
            <v>Vips Perif Cuautitlan Cuautitlan Iz Mex</v>
          </cell>
          <cell r="J813" t="str">
            <v>G&amp;A expenses</v>
          </cell>
          <cell r="K813" t="str">
            <v>Alimentos</v>
          </cell>
          <cell r="L813">
            <v>0</v>
          </cell>
          <cell r="M813">
            <v>0</v>
          </cell>
          <cell r="N813">
            <v>0</v>
          </cell>
          <cell r="O813">
            <v>0</v>
          </cell>
          <cell r="Q813" t="str">
            <v>602.34.002 Gastos por visita tencica</v>
          </cell>
        </row>
        <row r="814">
          <cell r="B814" t="str">
            <v>#64</v>
          </cell>
          <cell r="C814">
            <v>45821.095138888799</v>
          </cell>
          <cell r="D814">
            <v>452.5</v>
          </cell>
          <cell r="E814" t="str">
            <v>MXN</v>
          </cell>
          <cell r="F814" t="str">
            <v>Jorge Rojas</v>
          </cell>
          <cell r="G814" t="str">
            <v>BOULEVAR LOMAS VERDES  NAUCALPAN DE  MEX</v>
          </cell>
          <cell r="H814" t="str">
            <v>Boulevar Lomas Verdes Naucalpan De Mex</v>
          </cell>
          <cell r="I814" t="str">
            <v>Boulevar Lomas Verdes Naucalpan De Mex</v>
          </cell>
          <cell r="J814" t="str">
            <v>Recruiting</v>
          </cell>
          <cell r="K814" t="str">
            <v>Copias, ploter y engargolado</v>
          </cell>
          <cell r="L814">
            <v>0</v>
          </cell>
          <cell r="M814">
            <v>0</v>
          </cell>
          <cell r="N814">
            <v>0</v>
          </cell>
          <cell r="O814">
            <v>0</v>
          </cell>
          <cell r="Q814" t="str">
            <v>602.34.002 Gastos por visita tencica</v>
          </cell>
        </row>
        <row r="815">
          <cell r="B815" t="str">
            <v>#64</v>
          </cell>
          <cell r="C815">
            <v>45821.849305555501</v>
          </cell>
          <cell r="D815">
            <v>567.6</v>
          </cell>
          <cell r="E815" t="str">
            <v>MXN</v>
          </cell>
          <cell r="F815" t="str">
            <v>Jorge Rojas</v>
          </cell>
          <cell r="G815" t="str">
            <v>VIPS PERIF CUAUTITLAN  CUAUTITLAN IZ MEX</v>
          </cell>
          <cell r="H815" t="str">
            <v>Vips Perif Cuautitlan Cuautitlan Iz Mex</v>
          </cell>
          <cell r="I815" t="str">
            <v>Vips Perif Cuautitlan Cuautitlan Iz Mex</v>
          </cell>
          <cell r="J815" t="str">
            <v>Capex</v>
          </cell>
          <cell r="K815" t="str">
            <v>Alimentos</v>
          </cell>
          <cell r="L815">
            <v>0</v>
          </cell>
          <cell r="M815">
            <v>0</v>
          </cell>
          <cell r="N815">
            <v>0</v>
          </cell>
          <cell r="O815">
            <v>0</v>
          </cell>
          <cell r="Q815" t="str">
            <v>602.34.002 Gastos por visita tencica</v>
          </cell>
        </row>
        <row r="816">
          <cell r="B816" t="str">
            <v>#64</v>
          </cell>
          <cell r="C816">
            <v>45822.121527777701</v>
          </cell>
          <cell r="D816">
            <v>354</v>
          </cell>
          <cell r="E816" t="str">
            <v>MXN</v>
          </cell>
          <cell r="F816" t="str">
            <v>Jorge Rojas</v>
          </cell>
          <cell r="G816" t="str">
            <v>MC DONALD S SAN MATEO  NAUCALPAN DE  MEX</v>
          </cell>
          <cell r="H816" t="str">
            <v>Mc Donald S San Mateo Naucalpan De Mex</v>
          </cell>
          <cell r="I816" t="str">
            <v>Mc Donald S San Mateo Naucalpan De Mex</v>
          </cell>
          <cell r="J816" t="str">
            <v>Recruiting</v>
          </cell>
          <cell r="K816" t="str">
            <v>Alimentos</v>
          </cell>
          <cell r="L816">
            <v>0</v>
          </cell>
          <cell r="M816">
            <v>0</v>
          </cell>
          <cell r="N816">
            <v>0</v>
          </cell>
          <cell r="O816">
            <v>0</v>
          </cell>
          <cell r="Q816" t="str">
            <v>602.34.002 Gastos por visita tencica</v>
          </cell>
        </row>
        <row r="817">
          <cell r="B817" t="str">
            <v>#64</v>
          </cell>
          <cell r="C817">
            <v>45822.9819444444</v>
          </cell>
          <cell r="D817">
            <v>138.72</v>
          </cell>
          <cell r="E817" t="str">
            <v>MXN</v>
          </cell>
          <cell r="F817" t="str">
            <v>Jorge Rojas</v>
          </cell>
          <cell r="G817" t="str">
            <v>MERCADOPAGO *2PRODUCT  Ciudad de Mex MEX</v>
          </cell>
          <cell r="H817" t="str">
            <v>Mercadopago</v>
          </cell>
          <cell r="I817" t="str">
            <v>Mercadopago</v>
          </cell>
          <cell r="J817" t="str">
            <v>Recruiting</v>
          </cell>
          <cell r="K817">
            <v>0</v>
          </cell>
          <cell r="L817">
            <v>0</v>
          </cell>
          <cell r="M817">
            <v>0</v>
          </cell>
          <cell r="N817">
            <v>0</v>
          </cell>
          <cell r="O817">
            <v>0</v>
          </cell>
          <cell r="Q817" t="str">
            <v>602.34.002 Gastos por visita tencica</v>
          </cell>
        </row>
        <row r="818">
          <cell r="B818" t="str">
            <v>#64</v>
          </cell>
          <cell r="C818">
            <v>45822.9819444444</v>
          </cell>
          <cell r="D818">
            <v>596.66</v>
          </cell>
          <cell r="E818" t="str">
            <v>MXN</v>
          </cell>
          <cell r="F818" t="str">
            <v>Jorge Rojas</v>
          </cell>
          <cell r="G818" t="str">
            <v>MERCADOPAGO *2PRODUCT  Ciudad de Mex MEX</v>
          </cell>
          <cell r="H818" t="str">
            <v>Mercadopago</v>
          </cell>
          <cell r="I818" t="str">
            <v>Mercadopago</v>
          </cell>
          <cell r="J818" t="str">
            <v>Recruiting</v>
          </cell>
          <cell r="K818">
            <v>0</v>
          </cell>
          <cell r="L818">
            <v>0</v>
          </cell>
          <cell r="M818">
            <v>0</v>
          </cell>
          <cell r="N818">
            <v>0</v>
          </cell>
          <cell r="O818">
            <v>0</v>
          </cell>
          <cell r="Q818" t="str">
            <v>602.34.002 Gastos por visita tencica</v>
          </cell>
        </row>
        <row r="819">
          <cell r="B819" t="str">
            <v>#64</v>
          </cell>
          <cell r="C819">
            <v>45825.072222222203</v>
          </cell>
          <cell r="D819">
            <v>219</v>
          </cell>
          <cell r="E819" t="str">
            <v>MXN</v>
          </cell>
          <cell r="F819" t="str">
            <v>Jorge Rojas</v>
          </cell>
          <cell r="G819" t="str">
            <v>MC DONALD S SAN MATEO  NAUCALPAN DE  MEX</v>
          </cell>
          <cell r="H819" t="str">
            <v>Mc Donald S San Mateo Naucalpan De Mex</v>
          </cell>
          <cell r="I819" t="str">
            <v>Mc Donald S San Mateo Naucalpan De Mex</v>
          </cell>
          <cell r="J819" t="str">
            <v>G&amp;A expenses</v>
          </cell>
          <cell r="K819" t="str">
            <v>Alimentos</v>
          </cell>
          <cell r="L819">
            <v>0</v>
          </cell>
          <cell r="M819">
            <v>0</v>
          </cell>
          <cell r="N819">
            <v>0</v>
          </cell>
          <cell r="O819">
            <v>0</v>
          </cell>
          <cell r="Q819" t="str">
            <v>602.34.002 Gastos por visita tencica</v>
          </cell>
        </row>
        <row r="820">
          <cell r="B820" t="str">
            <v>#64</v>
          </cell>
          <cell r="C820">
            <v>45826.8388888888</v>
          </cell>
          <cell r="D820">
            <v>727.1</v>
          </cell>
          <cell r="E820" t="str">
            <v>MXN</v>
          </cell>
          <cell r="F820" t="str">
            <v>Jorge Rojas</v>
          </cell>
          <cell r="G820" t="str">
            <v>VIPS PERIF CUAUTITLAN  CUAUTITLAN IZ MEX</v>
          </cell>
          <cell r="H820" t="str">
            <v>Vips Perif Cuautitlan Cuautitlan Iz Mex</v>
          </cell>
          <cell r="I820" t="str">
            <v>Vips Perif Cuautitlan Cuautitlan Iz Mex</v>
          </cell>
          <cell r="J820" t="str">
            <v>G&amp;A expenses</v>
          </cell>
          <cell r="K820" t="str">
            <v>Alimentos</v>
          </cell>
          <cell r="L820">
            <v>0</v>
          </cell>
          <cell r="M820">
            <v>0</v>
          </cell>
          <cell r="N820">
            <v>0</v>
          </cell>
          <cell r="O820">
            <v>0</v>
          </cell>
          <cell r="Q820" t="str">
            <v>602.34.002 Gastos por visita tencica</v>
          </cell>
        </row>
        <row r="821">
          <cell r="B821" t="str">
            <v>#64</v>
          </cell>
          <cell r="C821">
            <v>45826.8659722222</v>
          </cell>
          <cell r="D821">
            <v>261.5</v>
          </cell>
          <cell r="E821" t="str">
            <v>MXN</v>
          </cell>
          <cell r="F821" t="str">
            <v>Jorge Rojas</v>
          </cell>
          <cell r="G821" t="str">
            <v>UBER* EATS PENDING     CIUDAD DE MEX MEX</v>
          </cell>
          <cell r="H821" t="str">
            <v>Uber Eats</v>
          </cell>
          <cell r="I821" t="str">
            <v>Uber Eats</v>
          </cell>
          <cell r="J821" t="str">
            <v>Recruiting</v>
          </cell>
          <cell r="K821" t="str">
            <v>Alimentos</v>
          </cell>
          <cell r="L821">
            <v>0</v>
          </cell>
          <cell r="M821">
            <v>0</v>
          </cell>
          <cell r="N821">
            <v>0</v>
          </cell>
          <cell r="O821">
            <v>0</v>
          </cell>
          <cell r="Q821" t="str">
            <v>602.34.002 Gastos por visita tencica</v>
          </cell>
        </row>
        <row r="822">
          <cell r="B822" t="str">
            <v>#64</v>
          </cell>
          <cell r="C822">
            <v>45826.9284722222</v>
          </cell>
          <cell r="D822">
            <v>20.07</v>
          </cell>
          <cell r="E822" t="str">
            <v>MXN</v>
          </cell>
          <cell r="F822" t="str">
            <v>Jorge Rojas</v>
          </cell>
          <cell r="G822" t="str">
            <v>UBER* EATS             CIUDAD DE MEX MEX</v>
          </cell>
          <cell r="H822" t="str">
            <v>Uber Eats</v>
          </cell>
          <cell r="I822" t="str">
            <v>Uber Eats</v>
          </cell>
          <cell r="J822" t="str">
            <v>Recruiting</v>
          </cell>
          <cell r="K822" t="str">
            <v>Alimentos</v>
          </cell>
          <cell r="L822">
            <v>0</v>
          </cell>
          <cell r="M822">
            <v>0</v>
          </cell>
          <cell r="N822">
            <v>0</v>
          </cell>
          <cell r="O822">
            <v>0</v>
          </cell>
          <cell r="Q822" t="str">
            <v>602.34.002 Gastos por visita tencica</v>
          </cell>
        </row>
        <row r="823">
          <cell r="B823" t="str">
            <v>#64</v>
          </cell>
          <cell r="C823">
            <v>45827.604166666599</v>
          </cell>
          <cell r="D823">
            <v>776.63</v>
          </cell>
          <cell r="E823" t="str">
            <v>MXN</v>
          </cell>
          <cell r="F823" t="str">
            <v>Jorge Rojas</v>
          </cell>
          <cell r="G823" t="str">
            <v>IMP DE SERV Y TURISMO  NAUCALPAN DE  MEX</v>
          </cell>
          <cell r="H823" t="str">
            <v>Imp De Serv Y Turismo Naucalpan De Mex</v>
          </cell>
          <cell r="I823" t="str">
            <v>Imp De Serv Y Turismo Naucalpan De Mex</v>
          </cell>
          <cell r="J823" t="str">
            <v>G&amp;A expenses</v>
          </cell>
          <cell r="K823" t="str">
            <v>Gasolina para movilidad</v>
          </cell>
          <cell r="L823">
            <v>0</v>
          </cell>
          <cell r="M823">
            <v>0</v>
          </cell>
          <cell r="N823">
            <v>0</v>
          </cell>
          <cell r="O823">
            <v>0</v>
          </cell>
          <cell r="Q823" t="str">
            <v>602.34.002 Gastos por visita tencica</v>
          </cell>
        </row>
        <row r="824">
          <cell r="B824" t="str">
            <v>#64</v>
          </cell>
          <cell r="C824">
            <v>45827.991666666603</v>
          </cell>
          <cell r="D824">
            <v>219</v>
          </cell>
          <cell r="E824" t="str">
            <v>MXN</v>
          </cell>
          <cell r="F824" t="str">
            <v>Jorge Rojas</v>
          </cell>
          <cell r="G824" t="str">
            <v>MC DONALD S SAN MATEO  NAUCALPAN DE  MEX</v>
          </cell>
          <cell r="H824" t="str">
            <v>Mc Donald S San Mateo Naucalpan De Mex</v>
          </cell>
          <cell r="I824" t="str">
            <v>Mc Donald S San Mateo Naucalpan De Mex</v>
          </cell>
          <cell r="J824" t="str">
            <v>Recruiting</v>
          </cell>
          <cell r="K824" t="str">
            <v>Alimentos</v>
          </cell>
          <cell r="L824">
            <v>0</v>
          </cell>
          <cell r="M824">
            <v>0</v>
          </cell>
          <cell r="N824">
            <v>0</v>
          </cell>
          <cell r="O824">
            <v>0</v>
          </cell>
          <cell r="Q824" t="str">
            <v>602.34.002 Gastos por visita tencica</v>
          </cell>
        </row>
        <row r="825">
          <cell r="B825" t="str">
            <v>#64</v>
          </cell>
          <cell r="C825">
            <v>45829.8465277777</v>
          </cell>
          <cell r="D825">
            <v>446</v>
          </cell>
          <cell r="E825" t="str">
            <v>MXN</v>
          </cell>
          <cell r="F825" t="str">
            <v>Jorge Rojas</v>
          </cell>
          <cell r="G825" t="str">
            <v>COM RAP TAQ DON PEDRO  NAUCALPAN DE  MEX</v>
          </cell>
          <cell r="H825" t="str">
            <v>Com Rap Taq Don Pedro Naucalpan De Mex</v>
          </cell>
          <cell r="I825" t="str">
            <v>Com Rap Taq Don Pedro Naucalpan De Mex</v>
          </cell>
          <cell r="J825" t="str">
            <v>G&amp;A expenses</v>
          </cell>
          <cell r="K825" t="str">
            <v>Alimentos</v>
          </cell>
          <cell r="L825">
            <v>0</v>
          </cell>
          <cell r="M825">
            <v>0</v>
          </cell>
          <cell r="N825">
            <v>0</v>
          </cell>
          <cell r="O825">
            <v>0</v>
          </cell>
          <cell r="Q825" t="str">
            <v>602.34.002 Gastos por visita tencica</v>
          </cell>
        </row>
        <row r="826">
          <cell r="B826" t="str">
            <v>#64</v>
          </cell>
          <cell r="C826">
            <v>45831.730555555499</v>
          </cell>
          <cell r="D826">
            <v>7424.56</v>
          </cell>
          <cell r="E826" t="str">
            <v>MXN</v>
          </cell>
          <cell r="F826" t="str">
            <v>Jorge Rojas</v>
          </cell>
          <cell r="G826" t="str">
            <v>ANSACERO CUAUTITLAN    NAUCALPAN DE  MEX</v>
          </cell>
          <cell r="H826" t="str">
            <v>Ansacero Cuautitlan Naucalpan De Mex</v>
          </cell>
          <cell r="I826" t="str">
            <v>Ansacero Cuautitlan Naucalpan De Mex</v>
          </cell>
          <cell r="J826" t="str">
            <v>Recruiting</v>
          </cell>
          <cell r="K826" t="str">
            <v>Angulo LI 6"x3/8" para EM muro tilt-up</v>
          </cell>
          <cell r="L826">
            <v>0</v>
          </cell>
          <cell r="M826">
            <v>0</v>
          </cell>
          <cell r="N826">
            <v>0</v>
          </cell>
          <cell r="O826">
            <v>0</v>
          </cell>
          <cell r="Q826" t="str">
            <v>602.34.002 Gastos por visita tencica</v>
          </cell>
        </row>
        <row r="827">
          <cell r="B827" t="str">
            <v>#64</v>
          </cell>
          <cell r="C827">
            <v>45832.056250000001</v>
          </cell>
          <cell r="D827">
            <v>236</v>
          </cell>
          <cell r="E827" t="str">
            <v>MXN</v>
          </cell>
          <cell r="F827" t="str">
            <v>Jorge Rojas</v>
          </cell>
          <cell r="G827" t="str">
            <v>CASA DE TONO ECHEGARAY NAUCALPAN DE  MEX</v>
          </cell>
          <cell r="H827" t="str">
            <v>Casa De Tono Echegaray Naucalpan De Mex</v>
          </cell>
          <cell r="I827" t="str">
            <v>Casa De Tono Echegaray Naucalpan De Mex</v>
          </cell>
          <cell r="J827">
            <v>0</v>
          </cell>
          <cell r="K827" t="str">
            <v>Alimentos</v>
          </cell>
          <cell r="L827">
            <v>0</v>
          </cell>
          <cell r="M827">
            <v>0</v>
          </cell>
          <cell r="N827">
            <v>0</v>
          </cell>
          <cell r="O827">
            <v>0</v>
          </cell>
          <cell r="Q827" t="str">
            <v>602.34.002 Gastos por visita tencica</v>
          </cell>
        </row>
        <row r="828">
          <cell r="B828" t="str">
            <v>#64</v>
          </cell>
          <cell r="C828">
            <v>45832.215972222199</v>
          </cell>
          <cell r="D828">
            <v>184.99</v>
          </cell>
          <cell r="E828" t="str">
            <v>MXN</v>
          </cell>
          <cell r="F828" t="str">
            <v>Jorge Rojas</v>
          </cell>
          <cell r="G828" t="str">
            <v>Microsoft*Microsoft 36 CMX           MEX</v>
          </cell>
          <cell r="H828" t="str">
            <v>Microsoft</v>
          </cell>
          <cell r="I828" t="str">
            <v>Microsoft</v>
          </cell>
          <cell r="J828">
            <v>0</v>
          </cell>
          <cell r="K828" t="str">
            <v>Renovación paquetería office</v>
          </cell>
          <cell r="L828">
            <v>0</v>
          </cell>
          <cell r="M828">
            <v>0</v>
          </cell>
          <cell r="N828">
            <v>0</v>
          </cell>
          <cell r="O828">
            <v>0</v>
          </cell>
          <cell r="Q828" t="str">
            <v>602.34.002 Gastos por visita tencica</v>
          </cell>
        </row>
        <row r="829">
          <cell r="B829" t="str">
            <v>#64</v>
          </cell>
          <cell r="C829">
            <v>45833.154166666602</v>
          </cell>
          <cell r="D829">
            <v>292.95</v>
          </cell>
          <cell r="E829" t="str">
            <v>MXN</v>
          </cell>
          <cell r="F829" t="str">
            <v>Jorge Rojas</v>
          </cell>
          <cell r="G829" t="str">
            <v>UBER* EATS PENDING     CIUDAD DE MEX MEX</v>
          </cell>
          <cell r="H829" t="str">
            <v>Uber Eats</v>
          </cell>
          <cell r="I829" t="str">
            <v>Uber Eats</v>
          </cell>
          <cell r="J829">
            <v>0</v>
          </cell>
          <cell r="K829" t="str">
            <v>Cinta métrica de 20 m para reporte dimensional</v>
          </cell>
          <cell r="L829">
            <v>0</v>
          </cell>
          <cell r="M829">
            <v>0</v>
          </cell>
          <cell r="N829">
            <v>0</v>
          </cell>
          <cell r="O829">
            <v>0</v>
          </cell>
          <cell r="Q829" t="str">
            <v>602.34.002 Gastos por visita tencica</v>
          </cell>
        </row>
        <row r="830">
          <cell r="B830" t="str">
            <v>#64</v>
          </cell>
          <cell r="C830">
            <v>45833.6694444444</v>
          </cell>
          <cell r="D830">
            <v>274.89999999999998</v>
          </cell>
          <cell r="E830" t="str">
            <v>MXN</v>
          </cell>
          <cell r="F830" t="str">
            <v>Jorge Rojas</v>
          </cell>
          <cell r="G830" t="str">
            <v>UBER* EATS PENDING     CIUDAD DE MEX MEX</v>
          </cell>
          <cell r="H830" t="str">
            <v>Uber Eats</v>
          </cell>
          <cell r="I830" t="str">
            <v>Uber Eats</v>
          </cell>
          <cell r="J830">
            <v>0</v>
          </cell>
          <cell r="K830" t="str">
            <v>WD-40</v>
          </cell>
          <cell r="L830">
            <v>0</v>
          </cell>
          <cell r="M830">
            <v>0</v>
          </cell>
          <cell r="N830">
            <v>0</v>
          </cell>
          <cell r="O830">
            <v>0</v>
          </cell>
          <cell r="Q830" t="str">
            <v>602.34.002 Gastos por visita tencica</v>
          </cell>
        </row>
        <row r="831">
          <cell r="B831" t="str">
            <v>#64</v>
          </cell>
          <cell r="C831">
            <v>45833.817361111098</v>
          </cell>
          <cell r="D831">
            <v>296.7</v>
          </cell>
          <cell r="E831" t="str">
            <v>MXN</v>
          </cell>
          <cell r="F831" t="str">
            <v>Jorge Rojas</v>
          </cell>
          <cell r="G831" t="str">
            <v>VIPS PERIF CUAUTITLAN  CUAUTITLAN IZ MEX</v>
          </cell>
          <cell r="H831" t="str">
            <v>Vips Perif Cuautitlan Cuautitlan Iz Mex</v>
          </cell>
          <cell r="I831" t="str">
            <v>Vips Perif Cuautitlan Cuautitlan Iz Mex</v>
          </cell>
          <cell r="J831">
            <v>0</v>
          </cell>
          <cell r="K831" t="str">
            <v>Alimentos</v>
          </cell>
          <cell r="L831">
            <v>0</v>
          </cell>
          <cell r="M831">
            <v>0</v>
          </cell>
          <cell r="N831">
            <v>0</v>
          </cell>
          <cell r="O831">
            <v>0</v>
          </cell>
          <cell r="Q831" t="str">
            <v>602.34.002 Gastos por visita tencica</v>
          </cell>
        </row>
        <row r="832">
          <cell r="B832" t="str">
            <v>#64</v>
          </cell>
          <cell r="C832">
            <v>45834.038194444402</v>
          </cell>
          <cell r="D832">
            <v>555</v>
          </cell>
          <cell r="E832" t="str">
            <v>MXN</v>
          </cell>
          <cell r="F832" t="str">
            <v>Jorge Rojas</v>
          </cell>
          <cell r="G832" t="str">
            <v>REST LOS COMPADRES ARA TLALNEPANTLA  MEX</v>
          </cell>
          <cell r="H832" t="str">
            <v>Rest Los Compadres Ara Tlalnepantla Mex</v>
          </cell>
          <cell r="I832" t="str">
            <v>Rest Los Compadres Ara Tlalnepantla Mex</v>
          </cell>
          <cell r="J832" t="str">
            <v>Recruiting</v>
          </cell>
          <cell r="K832" t="str">
            <v>Alimentos</v>
          </cell>
          <cell r="L832">
            <v>0</v>
          </cell>
          <cell r="M832">
            <v>0</v>
          </cell>
          <cell r="N832">
            <v>0</v>
          </cell>
          <cell r="O832">
            <v>0</v>
          </cell>
          <cell r="Q832" t="str">
            <v>602.34.002 Gastos por visita tencica</v>
          </cell>
        </row>
        <row r="833">
          <cell r="B833" t="str">
            <v>#64</v>
          </cell>
          <cell r="C833">
            <v>45834.045138888803</v>
          </cell>
          <cell r="D833">
            <v>848.31</v>
          </cell>
          <cell r="E833" t="str">
            <v>MXN</v>
          </cell>
          <cell r="F833" t="str">
            <v>Jorge Rojas</v>
          </cell>
          <cell r="G833" t="str">
            <v>EST 182 MUNDO E        CIUDAD DE MEX MEX</v>
          </cell>
          <cell r="H833" t="str">
            <v>Est 182 Mundo E Ciudad De Mex Mex</v>
          </cell>
          <cell r="I833" t="str">
            <v>Est 182 Mundo E Ciudad De Mex Mex</v>
          </cell>
          <cell r="J833">
            <v>0</v>
          </cell>
          <cell r="K833" t="str">
            <v>Gasolina para movilidad</v>
          </cell>
          <cell r="L833">
            <v>0</v>
          </cell>
          <cell r="M833">
            <v>0</v>
          </cell>
          <cell r="N833">
            <v>0</v>
          </cell>
          <cell r="O833">
            <v>0</v>
          </cell>
          <cell r="Q833" t="str">
            <v>602.34.002 Gastos por visita tencica</v>
          </cell>
        </row>
        <row r="834">
          <cell r="B834" t="str">
            <v>#64</v>
          </cell>
          <cell r="C834">
            <v>45835.143750000003</v>
          </cell>
          <cell r="D834">
            <v>567.52</v>
          </cell>
          <cell r="E834" t="str">
            <v>MXN</v>
          </cell>
          <cell r="F834" t="str">
            <v>Jorge Rojas</v>
          </cell>
          <cell r="G834" t="str">
            <v>ITALIANNIS MUNDO E     TLALNEPANTLA  MEX</v>
          </cell>
          <cell r="H834" t="str">
            <v>Italiannis Mundo E Tlalnepantla Mex</v>
          </cell>
          <cell r="I834" t="str">
            <v>Italiannis Mundo E Tlalnepantla Mex</v>
          </cell>
          <cell r="J834">
            <v>0</v>
          </cell>
          <cell r="K834" t="str">
            <v>Alimentos</v>
          </cell>
          <cell r="L834">
            <v>0</v>
          </cell>
          <cell r="M834">
            <v>0</v>
          </cell>
          <cell r="N834">
            <v>0</v>
          </cell>
          <cell r="O834">
            <v>0</v>
          </cell>
          <cell r="Q834" t="str">
            <v>602.34.002 Gastos por visita tencica</v>
          </cell>
        </row>
        <row r="835">
          <cell r="B835" t="str">
            <v>#64</v>
          </cell>
          <cell r="C835">
            <v>45836.0666666666</v>
          </cell>
          <cell r="D835">
            <v>588.5</v>
          </cell>
          <cell r="E835" t="str">
            <v>MXN</v>
          </cell>
          <cell r="F835" t="str">
            <v>Jorge Rojas</v>
          </cell>
          <cell r="G835" t="str">
            <v>ITALIANNI S LUNA PARC  CUAUTITLAN IZ MEX</v>
          </cell>
          <cell r="H835" t="str">
            <v>Italianni S Luna Parc Cuautitlan Iz Mex</v>
          </cell>
          <cell r="I835" t="str">
            <v>Italianni S Luna Parc Cuautitlan Iz Mex</v>
          </cell>
          <cell r="J835" t="str">
            <v>Recruiting</v>
          </cell>
          <cell r="K835" t="str">
            <v>Alimentos</v>
          </cell>
          <cell r="L835">
            <v>0</v>
          </cell>
          <cell r="M835">
            <v>0</v>
          </cell>
          <cell r="N835">
            <v>0</v>
          </cell>
          <cell r="O835">
            <v>0</v>
          </cell>
          <cell r="Q835" t="str">
            <v>602.34.002 Gastos por visita tencica</v>
          </cell>
        </row>
        <row r="836">
          <cell r="B836" t="str">
            <v>#64</v>
          </cell>
          <cell r="C836">
            <v>45837.041666666599</v>
          </cell>
          <cell r="D836">
            <v>477</v>
          </cell>
          <cell r="E836" t="str">
            <v>MXN</v>
          </cell>
          <cell r="F836" t="str">
            <v>Jorge Rojas</v>
          </cell>
          <cell r="G836" t="str">
            <v>BURGER KING SAN MATEO  CMX           MEX</v>
          </cell>
          <cell r="H836" t="str">
            <v>Burger King</v>
          </cell>
          <cell r="I836" t="str">
            <v>Burger King</v>
          </cell>
          <cell r="J836">
            <v>0</v>
          </cell>
          <cell r="K836" t="str">
            <v>Alimentos</v>
          </cell>
          <cell r="L836">
            <v>0</v>
          </cell>
          <cell r="M836">
            <v>0</v>
          </cell>
          <cell r="N836">
            <v>0</v>
          </cell>
          <cell r="O836">
            <v>0</v>
          </cell>
          <cell r="Q836" t="str">
            <v>602.34.002 Gastos por visita tencica</v>
          </cell>
        </row>
        <row r="837">
          <cell r="B837" t="str">
            <v>#64</v>
          </cell>
          <cell r="C837">
            <v>45837.790277777698</v>
          </cell>
          <cell r="D837">
            <v>87.9</v>
          </cell>
          <cell r="E837" t="str">
            <v>MXN</v>
          </cell>
          <cell r="F837" t="str">
            <v>Jorge Rojas</v>
          </cell>
          <cell r="G837" t="str">
            <v>MEGA COMERCIAL S MATEO NAUCALPAN     MEX</v>
          </cell>
          <cell r="H837" t="str">
            <v>Mega Comercial S Mateo Naucalpan Mex</v>
          </cell>
          <cell r="I837" t="str">
            <v>Mega Comercial S Mateo Naucalpan Mex</v>
          </cell>
          <cell r="J837">
            <v>0</v>
          </cell>
          <cell r="K837" t="str">
            <v>Agua</v>
          </cell>
          <cell r="L837">
            <v>0</v>
          </cell>
          <cell r="M837">
            <v>0</v>
          </cell>
          <cell r="N837">
            <v>0</v>
          </cell>
          <cell r="O837">
            <v>0</v>
          </cell>
          <cell r="Q837" t="str">
            <v>602.34.002 Gastos por visita tencica</v>
          </cell>
        </row>
        <row r="838">
          <cell r="B838" t="str">
            <v>#64</v>
          </cell>
          <cell r="C838">
            <v>45838.602083333302</v>
          </cell>
          <cell r="D838">
            <v>200</v>
          </cell>
          <cell r="E838" t="str">
            <v>MXN</v>
          </cell>
          <cell r="F838" t="str">
            <v>Jorge Rojas</v>
          </cell>
          <cell r="G838" t="str">
            <v>RECARGA PASE TUTAG     CIUDAD DE MEX MEX</v>
          </cell>
          <cell r="H838" t="str">
            <v>Recarga Pase Tutag Ciudad De Mex Mex</v>
          </cell>
          <cell r="I838" t="str">
            <v>Recarga Pase Tutag Ciudad De Mex Mex</v>
          </cell>
          <cell r="J838">
            <v>0</v>
          </cell>
          <cell r="K838" t="str">
            <v>Recarga TAG</v>
          </cell>
          <cell r="L838">
            <v>0</v>
          </cell>
          <cell r="M838">
            <v>0</v>
          </cell>
          <cell r="N838">
            <v>0</v>
          </cell>
          <cell r="O838">
            <v>0</v>
          </cell>
          <cell r="Q838" t="str">
            <v>602.34.002 Gastos por visita tencica</v>
          </cell>
        </row>
        <row r="839">
          <cell r="B839" t="str">
            <v>#64</v>
          </cell>
          <cell r="C839">
            <v>45838.818055555501</v>
          </cell>
          <cell r="D839">
            <v>476</v>
          </cell>
          <cell r="E839" t="str">
            <v>MXN</v>
          </cell>
          <cell r="F839" t="str">
            <v>Jorge Rojas</v>
          </cell>
          <cell r="G839" t="str">
            <v>CASA TONO IZCALLI      CUAUTITLAN IZ MEX</v>
          </cell>
          <cell r="H839" t="str">
            <v>Casa Tono Izcalli Cuautitlan Iz Mex</v>
          </cell>
          <cell r="I839" t="str">
            <v>Casa Tono Izcalli Cuautitlan Iz Mex</v>
          </cell>
          <cell r="J839">
            <v>0</v>
          </cell>
          <cell r="K839" t="str">
            <v>Alimentos</v>
          </cell>
          <cell r="L839">
            <v>0</v>
          </cell>
          <cell r="M839">
            <v>0</v>
          </cell>
          <cell r="N839">
            <v>0</v>
          </cell>
          <cell r="O839">
            <v>0</v>
          </cell>
          <cell r="Q839" t="str">
            <v>602.34.002 Gastos por visita tencica</v>
          </cell>
        </row>
        <row r="840">
          <cell r="B840" t="str">
            <v>#67</v>
          </cell>
          <cell r="C840">
            <v>45818.220833333296</v>
          </cell>
          <cell r="D840">
            <v>500</v>
          </cell>
          <cell r="E840" t="str">
            <v>MXN</v>
          </cell>
          <cell r="F840" t="str">
            <v>Diana Miranda</v>
          </cell>
          <cell r="G840" t="str">
            <v>MERCADOPAGO *TELEVIA   Miguel Hidalg MEX</v>
          </cell>
          <cell r="H840" t="str">
            <v>Mercadopago</v>
          </cell>
          <cell r="I840" t="str">
            <v/>
          </cell>
          <cell r="J840" t="str">
            <v>Recarga Tag llegada a Emacsa - PO 1545 y 1753</v>
          </cell>
          <cell r="K840" t="str">
            <v>.</v>
          </cell>
          <cell r="L840">
            <v>0</v>
          </cell>
          <cell r="M840">
            <v>0</v>
          </cell>
          <cell r="N840">
            <v>0</v>
          </cell>
          <cell r="O840">
            <v>0</v>
          </cell>
          <cell r="Q840" t="str">
            <v>603.81.006 Gastos Administativos de venta</v>
          </cell>
        </row>
        <row r="841">
          <cell r="B841" t="str">
            <v>#67</v>
          </cell>
          <cell r="C841">
            <v>45818.8972222222</v>
          </cell>
          <cell r="D841">
            <v>500</v>
          </cell>
          <cell r="E841" t="str">
            <v>MXN</v>
          </cell>
          <cell r="F841" t="str">
            <v>Diana Miranda</v>
          </cell>
          <cell r="G841" t="str">
            <v>MERCADOPAGO *TELEVIA   Miguel Hidalg MEX</v>
          </cell>
          <cell r="H841" t="str">
            <v>Mercadopago</v>
          </cell>
          <cell r="I841">
            <v>0</v>
          </cell>
          <cell r="J841" t="str">
            <v>Recarga Tag regreso de Emacsa - PO 1545 y 1753</v>
          </cell>
          <cell r="K841" t="str">
            <v>.</v>
          </cell>
          <cell r="L841">
            <v>0</v>
          </cell>
          <cell r="M841">
            <v>0</v>
          </cell>
          <cell r="N841">
            <v>0</v>
          </cell>
          <cell r="O841">
            <v>0</v>
          </cell>
          <cell r="Q841" t="str">
            <v>603.81.006 Gastos Administativos de venta</v>
          </cell>
        </row>
        <row r="842">
          <cell r="B842" t="str">
            <v>#67</v>
          </cell>
          <cell r="C842">
            <v>45818.898611111101</v>
          </cell>
          <cell r="D842">
            <v>495</v>
          </cell>
          <cell r="E842" t="str">
            <v>MXN</v>
          </cell>
          <cell r="F842" t="str">
            <v>Diana Miranda</v>
          </cell>
          <cell r="G842" t="str">
            <v>REST LA ORQUIDEA       ACULCO EM     MEX</v>
          </cell>
          <cell r="H842" t="str">
            <v>Rest La Orquidea Aculco Em Mex</v>
          </cell>
          <cell r="I842">
            <v>0</v>
          </cell>
          <cell r="J842" t="str">
            <v>Comida Visita Aculco - PO 1545 y 1753</v>
          </cell>
          <cell r="K842" t="str">
            <v>.</v>
          </cell>
          <cell r="L842">
            <v>0</v>
          </cell>
          <cell r="M842">
            <v>0</v>
          </cell>
          <cell r="N842">
            <v>0</v>
          </cell>
          <cell r="O842">
            <v>0</v>
          </cell>
          <cell r="Q842" t="str">
            <v>603.81.006 Gastos Administativos de venta</v>
          </cell>
        </row>
        <row r="843">
          <cell r="B843" t="str">
            <v>#67</v>
          </cell>
          <cell r="C843">
            <v>45818.949305555499</v>
          </cell>
          <cell r="D843">
            <v>827.61</v>
          </cell>
          <cell r="E843" t="str">
            <v>MXN</v>
          </cell>
          <cell r="F843" t="str">
            <v>Diana Miranda</v>
          </cell>
          <cell r="G843" t="str">
            <v>SERVICIOSMODERNOSJILOT SOYANIQUILPAN MEX</v>
          </cell>
          <cell r="H843" t="str">
            <v>Serviciosmodernosjilot Soyaniquilpan Mex</v>
          </cell>
          <cell r="I843">
            <v>0</v>
          </cell>
          <cell r="J843" t="str">
            <v>Recarga gasolina visita emacsa - PO 1545 y 1753</v>
          </cell>
          <cell r="K843" t="str">
            <v>.</v>
          </cell>
          <cell r="L843">
            <v>0</v>
          </cell>
          <cell r="M843">
            <v>0</v>
          </cell>
          <cell r="N843">
            <v>0</v>
          </cell>
          <cell r="O843">
            <v>0</v>
          </cell>
          <cell r="Q843" t="str">
            <v>603.81.006 Gastos Administativos de venta</v>
          </cell>
        </row>
        <row r="844">
          <cell r="B844" t="str">
            <v>#67</v>
          </cell>
          <cell r="C844">
            <v>45822.836805555497</v>
          </cell>
          <cell r="D844">
            <v>235.87</v>
          </cell>
          <cell r="E844" t="str">
            <v>MXN</v>
          </cell>
          <cell r="F844" t="str">
            <v>Diana Miranda</v>
          </cell>
          <cell r="G844" t="str">
            <v>MERCADOPAGO *NOCCLILI  Ciudad de Mex MEX</v>
          </cell>
          <cell r="H844" t="str">
            <v>Mercadopago</v>
          </cell>
          <cell r="I844">
            <v>0</v>
          </cell>
          <cell r="J844" t="str">
            <v xml:space="preserve">Mouse para computadora </v>
          </cell>
          <cell r="K844" t="str">
            <v>.</v>
          </cell>
          <cell r="L844">
            <v>0</v>
          </cell>
          <cell r="M844">
            <v>0</v>
          </cell>
          <cell r="N844">
            <v>0</v>
          </cell>
          <cell r="O844">
            <v>0</v>
          </cell>
          <cell r="Q844" t="str">
            <v>603.81.006 Gastos Administativos de venta</v>
          </cell>
        </row>
        <row r="845">
          <cell r="B845" t="str">
            <v>#68</v>
          </cell>
          <cell r="C845">
            <v>45813.805555555497</v>
          </cell>
          <cell r="D845">
            <v>289.94</v>
          </cell>
          <cell r="E845" t="str">
            <v>MXN</v>
          </cell>
          <cell r="F845" t="str">
            <v>Jorge Armando Ramirez Perez</v>
          </cell>
          <cell r="G845" t="str">
            <v>UBER* PENDING          CIUDAD DE MEX MEX</v>
          </cell>
          <cell r="H845" t="str">
            <v>Uber</v>
          </cell>
          <cell r="I845" t="str">
            <v>Transaction cost</v>
          </cell>
          <cell r="J845" t="str">
            <v>Envio UBER material / Tractor Supply</v>
          </cell>
          <cell r="K845" t="str">
            <v>DKNVTY-I-0000692</v>
          </cell>
          <cell r="L845">
            <v>0</v>
          </cell>
          <cell r="M845">
            <v>0</v>
          </cell>
          <cell r="N845">
            <v>0</v>
          </cell>
          <cell r="O845">
            <v>0</v>
          </cell>
          <cell r="Q845" t="str">
            <v>602.34.002 Gastos por visita tencica</v>
          </cell>
        </row>
        <row r="846">
          <cell r="B846" t="str">
            <v>#68</v>
          </cell>
          <cell r="C846">
            <v>45813.868055555497</v>
          </cell>
          <cell r="D846">
            <v>1097.01</v>
          </cell>
          <cell r="E846" t="str">
            <v>MXN</v>
          </cell>
          <cell r="F846" t="str">
            <v>Jorge Armando Ramirez Perez</v>
          </cell>
          <cell r="G846" t="str">
            <v>GAS VASCONCELOS        SN PEDRO GARZ MEX</v>
          </cell>
          <cell r="H846" t="str">
            <v>Gas Vasconcelos Sn Pedro Garz Mex</v>
          </cell>
          <cell r="I846" t="str">
            <v>Transaction cost</v>
          </cell>
          <cell r="J846" t="str">
            <v>RFQ 1784 PO 864</v>
          </cell>
          <cell r="K846" t="str">
            <v>ENH - 682862</v>
          </cell>
          <cell r="L846">
            <v>0</v>
          </cell>
          <cell r="M846">
            <v>0</v>
          </cell>
          <cell r="N846">
            <v>0</v>
          </cell>
          <cell r="O846">
            <v>0</v>
          </cell>
          <cell r="Q846" t="str">
            <v>602.34.002 Gastos por visita tencica</v>
          </cell>
        </row>
        <row r="847">
          <cell r="B847" t="str">
            <v>#68</v>
          </cell>
          <cell r="C847">
            <v>45819.136111111096</v>
          </cell>
          <cell r="D847">
            <v>935.66</v>
          </cell>
          <cell r="E847" t="str">
            <v>MXN</v>
          </cell>
          <cell r="F847" t="str">
            <v>Jorge Armando Ramirez Perez</v>
          </cell>
          <cell r="G847" t="str">
            <v>OXXO GAS SAN RAFAEL    GUADALUPE NL  MEX</v>
          </cell>
          <cell r="H847" t="str">
            <v>Oxxo</v>
          </cell>
          <cell r="I847" t="str">
            <v>Transaction cost</v>
          </cell>
          <cell r="J847" t="str">
            <v>RFQ 1784 PO 864</v>
          </cell>
          <cell r="K847" t="str">
            <v>CLI50656899</v>
          </cell>
          <cell r="L847">
            <v>0</v>
          </cell>
          <cell r="M847">
            <v>0</v>
          </cell>
          <cell r="N847">
            <v>0</v>
          </cell>
          <cell r="O847">
            <v>0</v>
          </cell>
          <cell r="Q847" t="str">
            <v>602.34.002 Gastos por visita tencica</v>
          </cell>
        </row>
        <row r="848">
          <cell r="B848" t="str">
            <v>#68</v>
          </cell>
          <cell r="C848">
            <v>45819.982638888803</v>
          </cell>
          <cell r="D848">
            <v>300</v>
          </cell>
          <cell r="E848" t="str">
            <v>MXN</v>
          </cell>
          <cell r="F848" t="str">
            <v>Jorge Armando Ramirez Perez</v>
          </cell>
          <cell r="G848" t="str">
            <v>SORIANA23 FELIXU GOMEZ MONTERREY NL  MEX</v>
          </cell>
          <cell r="H848" t="str">
            <v>Soriana23 Felixu Gomez Monterrey Nl Mex</v>
          </cell>
          <cell r="I848" t="str">
            <v>Transaction cost</v>
          </cell>
          <cell r="J848" t="str">
            <v>RFQ 1784 PO 864</v>
          </cell>
          <cell r="K848" t="str">
            <v>BAACD-84796</v>
          </cell>
          <cell r="L848">
            <v>0</v>
          </cell>
          <cell r="M848">
            <v>0</v>
          </cell>
          <cell r="N848">
            <v>0</v>
          </cell>
          <cell r="O848">
            <v>0</v>
          </cell>
          <cell r="Q848" t="str">
            <v>602.34.002 Gastos por visita tencica</v>
          </cell>
        </row>
        <row r="849">
          <cell r="B849" t="str">
            <v>#68</v>
          </cell>
          <cell r="C849">
            <v>45826.658333333296</v>
          </cell>
          <cell r="D849">
            <v>1039.6500000000001</v>
          </cell>
          <cell r="E849" t="str">
            <v>MXN</v>
          </cell>
          <cell r="F849" t="str">
            <v>Jorge Armando Ramirez Perez</v>
          </cell>
          <cell r="G849" t="str">
            <v>GAS DULNI              GUADALUPE NL  MEX</v>
          </cell>
          <cell r="H849" t="str">
            <v>Gas Dulni Guadalupe Nl Mex</v>
          </cell>
          <cell r="I849" t="str">
            <v>Transaction cost</v>
          </cell>
          <cell r="J849" t="str">
            <v>RFQ 1784 PO 864</v>
          </cell>
          <cell r="K849" t="str">
            <v>Serie: GCBEK Folio: 2177747</v>
          </cell>
          <cell r="L849">
            <v>0</v>
          </cell>
          <cell r="M849">
            <v>0</v>
          </cell>
          <cell r="N849">
            <v>0</v>
          </cell>
          <cell r="O849">
            <v>0</v>
          </cell>
          <cell r="Q849" t="str">
            <v>602.34.002 Gastos por visita tencica</v>
          </cell>
        </row>
        <row r="850">
          <cell r="B850" t="str">
            <v>#68</v>
          </cell>
          <cell r="C850">
            <v>45828.818055555501</v>
          </cell>
          <cell r="D850">
            <v>113</v>
          </cell>
          <cell r="E850" t="str">
            <v>MXN</v>
          </cell>
          <cell r="F850" t="str">
            <v>Jorge Armando Ramirez Perez</v>
          </cell>
          <cell r="G850" t="str">
            <v>SUBWAY71892            SALTILLO COAH MEX</v>
          </cell>
          <cell r="H850" t="str">
            <v>Subway</v>
          </cell>
          <cell r="I850" t="str">
            <v>Transaction cost</v>
          </cell>
          <cell r="J850" t="str">
            <v>RFQ 3617 PO 1675</v>
          </cell>
          <cell r="K850">
            <v>7508</v>
          </cell>
          <cell r="L850">
            <v>0</v>
          </cell>
          <cell r="M850">
            <v>0</v>
          </cell>
          <cell r="N850">
            <v>0</v>
          </cell>
          <cell r="O850">
            <v>0</v>
          </cell>
          <cell r="Q850" t="str">
            <v>602.34.002 Gastos por visita tencica</v>
          </cell>
        </row>
        <row r="851">
          <cell r="B851" t="str">
            <v>#68</v>
          </cell>
          <cell r="C851">
            <v>45831.820833333302</v>
          </cell>
          <cell r="D851">
            <v>1001.02</v>
          </cell>
          <cell r="E851" t="str">
            <v>MXN</v>
          </cell>
          <cell r="F851" t="str">
            <v>Jorge Armando Ramirez Perez</v>
          </cell>
          <cell r="G851" t="str">
            <v>OXXO GAS HDA HUINALA   APODACA NL    MEX</v>
          </cell>
          <cell r="H851" t="str">
            <v>Oxxo</v>
          </cell>
          <cell r="I851" t="str">
            <v>Transaction cost</v>
          </cell>
          <cell r="J851" t="str">
            <v>RFQ 3617 PO 1675</v>
          </cell>
          <cell r="K851" t="str">
            <v>CLI51014321</v>
          </cell>
          <cell r="L851">
            <v>0</v>
          </cell>
          <cell r="M851">
            <v>0</v>
          </cell>
          <cell r="N851">
            <v>0</v>
          </cell>
          <cell r="O851">
            <v>0</v>
          </cell>
          <cell r="Q851" t="str">
            <v>602.34.002 Gastos por visita tencica</v>
          </cell>
        </row>
        <row r="852">
          <cell r="B852" t="str">
            <v>#68</v>
          </cell>
          <cell r="C852">
            <v>45833.5576388888</v>
          </cell>
          <cell r="D852">
            <v>617</v>
          </cell>
          <cell r="E852" t="str">
            <v>MXN</v>
          </cell>
          <cell r="F852" t="str">
            <v>Jorge Armando Ramirez Perez</v>
          </cell>
          <cell r="G852" t="str">
            <v>OXXOARISTA II MTY      MONTERREY NL  MEX</v>
          </cell>
          <cell r="H852" t="str">
            <v>Oxxoarista Ii Mty Monterrey Nl Mex</v>
          </cell>
          <cell r="I852" t="str">
            <v>Transaction cost</v>
          </cell>
          <cell r="J852" t="str">
            <v>RFQ 3617 PO 1675</v>
          </cell>
          <cell r="K852" t="str">
            <v>11529 / $17 Comision Oxxo</v>
          </cell>
          <cell r="L852">
            <v>0</v>
          </cell>
          <cell r="M852">
            <v>0</v>
          </cell>
          <cell r="N852">
            <v>0</v>
          </cell>
          <cell r="O852">
            <v>0</v>
          </cell>
          <cell r="Q852" t="str">
            <v>602.34.002 Gastos por visita tencica</v>
          </cell>
        </row>
        <row r="853">
          <cell r="B853" t="str">
            <v>#68</v>
          </cell>
          <cell r="C853">
            <v>45833.868055555497</v>
          </cell>
          <cell r="D853">
            <v>201</v>
          </cell>
          <cell r="E853" t="str">
            <v>MXN</v>
          </cell>
          <cell r="F853" t="str">
            <v>Jorge Armando Ramirez Perez</v>
          </cell>
          <cell r="G853" t="str">
            <v>HEB SALTILLO REPUBLICA SALTILLO COAH MEX</v>
          </cell>
          <cell r="H853" t="str">
            <v>H-E-B</v>
          </cell>
          <cell r="I853" t="str">
            <v>Transaction cost</v>
          </cell>
          <cell r="J853" t="str">
            <v>RFQ 3617 PO 1675</v>
          </cell>
          <cell r="K853" t="str">
            <v>JE 741270</v>
          </cell>
          <cell r="L853">
            <v>0</v>
          </cell>
          <cell r="M853">
            <v>0</v>
          </cell>
          <cell r="N853">
            <v>0</v>
          </cell>
          <cell r="O853">
            <v>0</v>
          </cell>
          <cell r="Q853" t="str">
            <v>602.34.002 Gastos por visita tencica</v>
          </cell>
        </row>
        <row r="854">
          <cell r="B854" t="str">
            <v>#68</v>
          </cell>
          <cell r="C854">
            <v>45834.766666666597</v>
          </cell>
          <cell r="D854">
            <v>1055.54</v>
          </cell>
          <cell r="E854" t="str">
            <v>MXN</v>
          </cell>
          <cell r="F854" t="str">
            <v>Jorge Armando Ramirez Perez</v>
          </cell>
          <cell r="G854" t="str">
            <v>GAS GENSA AUTO ACAPULC APODACA NL    MEX</v>
          </cell>
          <cell r="H854" t="str">
            <v>Gas Gensa Auto Acapulc Apodaca Nl Mex</v>
          </cell>
          <cell r="I854" t="str">
            <v>Transaction cost</v>
          </cell>
          <cell r="J854" t="str">
            <v>RFQ 3617 PO 1675</v>
          </cell>
          <cell r="K854" t="str">
            <v>3887B97A-1419-4C75-BDC8-9D78DD1D0247</v>
          </cell>
          <cell r="L854">
            <v>0</v>
          </cell>
          <cell r="M854">
            <v>0</v>
          </cell>
          <cell r="N854">
            <v>0</v>
          </cell>
          <cell r="O854">
            <v>0</v>
          </cell>
          <cell r="Q854" t="str">
            <v>602.34.002 Gastos por visita tencica</v>
          </cell>
        </row>
        <row r="855">
          <cell r="B855" t="str">
            <v>#68</v>
          </cell>
          <cell r="C855">
            <v>45838.818055555501</v>
          </cell>
          <cell r="D855">
            <v>376</v>
          </cell>
          <cell r="E855" t="str">
            <v>MXN</v>
          </cell>
          <cell r="F855" t="str">
            <v>Jorge Armando Ramirez Perez</v>
          </cell>
          <cell r="G855" t="str">
            <v>KFC 645 GALERIAS SALTI SALTILLO COAH MEX</v>
          </cell>
          <cell r="H855" t="str">
            <v>Kentucky Fried Chicken</v>
          </cell>
          <cell r="I855" t="str">
            <v>Transaction cost</v>
          </cell>
          <cell r="J855" t="str">
            <v>RFQ 3617 PO 1675</v>
          </cell>
          <cell r="K855" t="str">
            <v>W - 13175469</v>
          </cell>
          <cell r="L855">
            <v>0</v>
          </cell>
          <cell r="M855">
            <v>0</v>
          </cell>
          <cell r="N855">
            <v>0</v>
          </cell>
          <cell r="O855">
            <v>0</v>
          </cell>
          <cell r="Q855" t="str">
            <v>602.34.002 Gastos por visita tencica</v>
          </cell>
        </row>
        <row r="856">
          <cell r="B856" t="str">
            <v>#68</v>
          </cell>
          <cell r="C856">
            <v>45838.979166666599</v>
          </cell>
          <cell r="D856">
            <v>143</v>
          </cell>
          <cell r="E856" t="str">
            <v>MXN</v>
          </cell>
          <cell r="F856" t="str">
            <v>Jorge Armando Ramirez Perez</v>
          </cell>
          <cell r="G856" t="str">
            <v>CONCESIONARIA AUT MTY  SANTA CATARIN MEX</v>
          </cell>
          <cell r="H856" t="str">
            <v>Concesionaria Aut Mty Santa Catarin Mex</v>
          </cell>
          <cell r="I856" t="str">
            <v>Transaction cost</v>
          </cell>
          <cell r="J856" t="str">
            <v>RFQ 3617 PO 1675</v>
          </cell>
          <cell r="K856">
            <v>0</v>
          </cell>
          <cell r="L856">
            <v>0</v>
          </cell>
          <cell r="M856">
            <v>0</v>
          </cell>
          <cell r="N856">
            <v>0</v>
          </cell>
          <cell r="O856">
            <v>0</v>
          </cell>
          <cell r="Q856" t="str">
            <v>602.34.002 Gastos por visita tencica</v>
          </cell>
        </row>
        <row r="857">
          <cell r="B857" t="str">
            <v>#69</v>
          </cell>
          <cell r="C857">
            <v>45812.631249999999</v>
          </cell>
          <cell r="D857">
            <v>4694.97</v>
          </cell>
          <cell r="E857" t="str">
            <v>MXN</v>
          </cell>
          <cell r="F857" t="str">
            <v>Gustavo Rivas</v>
          </cell>
          <cell r="G857" t="str">
            <v>CYAN RESORT &amp; SPA      BENITO JUAREZ MEX</v>
          </cell>
          <cell r="H857" t="str">
            <v>Cyan Resort &amp; Spa Benito Juarez Mex</v>
          </cell>
          <cell r="I857" t="str">
            <v>Sales</v>
          </cell>
          <cell r="J857" t="str">
            <v>3 noches de hospedaje</v>
          </cell>
          <cell r="K857" t="str">
            <v>A1511</v>
          </cell>
          <cell r="L857">
            <v>0</v>
          </cell>
          <cell r="M857">
            <v>0</v>
          </cell>
          <cell r="N857">
            <v>0</v>
          </cell>
          <cell r="O857">
            <v>0</v>
          </cell>
          <cell r="Q857" t="str">
            <v>603.81.006 Gastos Administativos de venta</v>
          </cell>
        </row>
        <row r="858">
          <cell r="B858" t="str">
            <v>#69</v>
          </cell>
          <cell r="C858">
            <v>45812.645833333299</v>
          </cell>
          <cell r="D858">
            <v>373.79</v>
          </cell>
          <cell r="E858" t="str">
            <v>MXN</v>
          </cell>
          <cell r="F858" t="str">
            <v>Gustavo Rivas</v>
          </cell>
          <cell r="G858" t="str">
            <v>UBER* TRIP             CIUDAD DE MEX MEX</v>
          </cell>
          <cell r="H858" t="str">
            <v>Uber</v>
          </cell>
          <cell r="I858" t="str">
            <v>Sales</v>
          </cell>
          <cell r="J858" t="str">
            <v>Uber aeropuerto</v>
          </cell>
          <cell r="K858">
            <v>0</v>
          </cell>
          <cell r="L858">
            <v>0</v>
          </cell>
          <cell r="M858">
            <v>0</v>
          </cell>
          <cell r="N858">
            <v>0</v>
          </cell>
          <cell r="O858">
            <v>0</v>
          </cell>
          <cell r="Q858" t="str">
            <v>603.81.006 Gastos Administativos de venta</v>
          </cell>
        </row>
        <row r="859">
          <cell r="B859" t="str">
            <v>#69</v>
          </cell>
          <cell r="C859">
            <v>45812.804166666603</v>
          </cell>
          <cell r="D859">
            <v>800</v>
          </cell>
          <cell r="E859" t="str">
            <v>MXN</v>
          </cell>
          <cell r="F859" t="str">
            <v>Gustavo Rivas</v>
          </cell>
          <cell r="G859" t="str">
            <v>FLEX SHUTTLE C         BENITO JUAREZ MEX</v>
          </cell>
          <cell r="H859" t="str">
            <v>Flex Shuttle C Benito Juarez Mex</v>
          </cell>
          <cell r="I859" t="str">
            <v>Sales</v>
          </cell>
          <cell r="J859" t="str">
            <v>Transporte aeropuerto CUN</v>
          </cell>
          <cell r="K859" t="str">
            <v>B370DD31-5FE9-481A-A91A-E10788424B1F</v>
          </cell>
          <cell r="L859">
            <v>0</v>
          </cell>
          <cell r="M859">
            <v>0</v>
          </cell>
          <cell r="N859">
            <v>0</v>
          </cell>
          <cell r="O859">
            <v>0</v>
          </cell>
          <cell r="Q859" t="str">
            <v>603.81.006 Gastos Administativos de venta</v>
          </cell>
        </row>
        <row r="860">
          <cell r="B860" t="str">
            <v>#69</v>
          </cell>
          <cell r="C860">
            <v>45813.172916666597</v>
          </cell>
          <cell r="D860">
            <v>1345.5</v>
          </cell>
          <cell r="E860" t="str">
            <v>MXN</v>
          </cell>
          <cell r="F860" t="str">
            <v>Gustavo Rivas</v>
          </cell>
          <cell r="G860" t="str">
            <v>KAI RESTAURANTE        BENITO JUAREZ MEX</v>
          </cell>
          <cell r="H860" t="str">
            <v>Kai Restaurante Benito Juarez Mex</v>
          </cell>
          <cell r="I860" t="str">
            <v>Sales</v>
          </cell>
          <cell r="J860" t="str">
            <v>Cena con MP</v>
          </cell>
          <cell r="K860" t="str">
            <v>250604032631143511</v>
          </cell>
          <cell r="L860">
            <v>0</v>
          </cell>
          <cell r="M860">
            <v>0</v>
          </cell>
          <cell r="N860">
            <v>0</v>
          </cell>
          <cell r="O860">
            <v>0</v>
          </cell>
          <cell r="Q860" t="str">
            <v>603.81.006 Gastos Administativos de venta</v>
          </cell>
        </row>
        <row r="861">
          <cell r="B861" t="str">
            <v>#69</v>
          </cell>
          <cell r="C861">
            <v>45813.622916666602</v>
          </cell>
          <cell r="D861">
            <v>1124.8499999999999</v>
          </cell>
          <cell r="E861" t="str">
            <v>MXN</v>
          </cell>
          <cell r="F861" t="str">
            <v>Gustavo Rivas</v>
          </cell>
          <cell r="G861" t="str">
            <v>GAS ESTACION HUAYACAN  CANCUN QROO   MEX</v>
          </cell>
          <cell r="H861" t="str">
            <v>Gas Estacion Huayacan Cancun Qroo Mex</v>
          </cell>
          <cell r="I861" t="str">
            <v>Sales</v>
          </cell>
          <cell r="J861" t="str">
            <v>Gasolina del coche</v>
          </cell>
          <cell r="K861" t="str">
            <v>5705F937-6DC4-4A17-85C8-48EFD868F578</v>
          </cell>
          <cell r="L861">
            <v>0</v>
          </cell>
          <cell r="M861">
            <v>0</v>
          </cell>
          <cell r="N861">
            <v>0</v>
          </cell>
          <cell r="O861">
            <v>0</v>
          </cell>
          <cell r="Q861" t="str">
            <v>603.81.006 Gastos Administativos de venta</v>
          </cell>
        </row>
        <row r="862">
          <cell r="B862" t="str">
            <v>#69</v>
          </cell>
          <cell r="C862">
            <v>45813.704861111102</v>
          </cell>
          <cell r="D862">
            <v>78</v>
          </cell>
          <cell r="E862" t="str">
            <v>MXN</v>
          </cell>
          <cell r="F862" t="str">
            <v>Gustavo Rivas</v>
          </cell>
          <cell r="G862" t="str">
            <v>RESTAURANTS ELDELI PUE BENITO JUAREZ MEX</v>
          </cell>
          <cell r="H862" t="str">
            <v>Restaurants Eldeli Pue Benito Juarez Mex</v>
          </cell>
          <cell r="I862" t="str">
            <v>Sales</v>
          </cell>
          <cell r="J862" t="str">
            <v>aguas</v>
          </cell>
          <cell r="K862">
            <v>0</v>
          </cell>
          <cell r="L862">
            <v>0</v>
          </cell>
          <cell r="M862">
            <v>0</v>
          </cell>
          <cell r="N862">
            <v>0</v>
          </cell>
          <cell r="O862">
            <v>0</v>
          </cell>
          <cell r="Q862" t="str">
            <v>603.81.006 Gastos Administativos de venta</v>
          </cell>
        </row>
        <row r="863">
          <cell r="B863" t="str">
            <v>#69</v>
          </cell>
          <cell r="C863">
            <v>45814.153472222199</v>
          </cell>
          <cell r="D863">
            <v>4918.8</v>
          </cell>
          <cell r="E863" t="str">
            <v>MXN</v>
          </cell>
          <cell r="F863" t="str">
            <v>Gustavo Rivas</v>
          </cell>
          <cell r="G863" t="str">
            <v>REST CARFE             BENITO JUAREZ MEX</v>
          </cell>
          <cell r="H863" t="str">
            <v>Rest Carfe Benito Juarez Mex</v>
          </cell>
          <cell r="I863" t="str">
            <v>Sales</v>
          </cell>
          <cell r="J863" t="str">
            <v>Comida con cliente</v>
          </cell>
          <cell r="K863">
            <v>0</v>
          </cell>
          <cell r="L863">
            <v>0</v>
          </cell>
          <cell r="M863">
            <v>0</v>
          </cell>
          <cell r="N863">
            <v>0</v>
          </cell>
          <cell r="O863">
            <v>0</v>
          </cell>
          <cell r="Q863" t="str">
            <v>603.81.006 Gastos Administativos de venta</v>
          </cell>
        </row>
        <row r="864">
          <cell r="B864" t="str">
            <v>#69</v>
          </cell>
          <cell r="C864">
            <v>45815.71875</v>
          </cell>
          <cell r="D864">
            <v>45</v>
          </cell>
          <cell r="E864" t="str">
            <v>MXN</v>
          </cell>
          <cell r="F864" t="str">
            <v>Gustavo Rivas</v>
          </cell>
          <cell r="G864" t="str">
            <v>CYAN RESORT &amp; SPA      BENITO JUAREZ MEX</v>
          </cell>
          <cell r="H864" t="str">
            <v>Cyan Resort &amp; Spa Benito Juarez Mex</v>
          </cell>
          <cell r="I864" t="str">
            <v>Sales</v>
          </cell>
          <cell r="J864" t="str">
            <v>agua en hotel</v>
          </cell>
          <cell r="K864" t="str">
            <v>A1511</v>
          </cell>
          <cell r="L864">
            <v>0</v>
          </cell>
          <cell r="M864">
            <v>0</v>
          </cell>
          <cell r="N864">
            <v>0</v>
          </cell>
          <cell r="O864">
            <v>0</v>
          </cell>
          <cell r="Q864" t="str">
            <v>603.81.006 Gastos Administativos de venta</v>
          </cell>
        </row>
        <row r="865">
          <cell r="B865" t="str">
            <v>#69</v>
          </cell>
          <cell r="C865">
            <v>45815.7319444444</v>
          </cell>
          <cell r="D865">
            <v>797.54</v>
          </cell>
          <cell r="E865" t="str">
            <v>MXN</v>
          </cell>
          <cell r="F865" t="str">
            <v>Gustavo Rivas</v>
          </cell>
          <cell r="G865" t="str">
            <v>ES LOS AVALLANOS       BENITO JUAREZ MEX</v>
          </cell>
          <cell r="H865" t="str">
            <v>Es Los Avallanos Benito Juarez Mex</v>
          </cell>
          <cell r="I865" t="str">
            <v>Sales</v>
          </cell>
          <cell r="J865" t="str">
            <v>gasolina coche</v>
          </cell>
          <cell r="K865">
            <v>0</v>
          </cell>
          <cell r="L865">
            <v>0</v>
          </cell>
          <cell r="M865">
            <v>0</v>
          </cell>
          <cell r="N865">
            <v>0</v>
          </cell>
          <cell r="O865">
            <v>0</v>
          </cell>
          <cell r="Q865" t="str">
            <v>603.81.006 Gastos Administativos de venta</v>
          </cell>
        </row>
        <row r="866">
          <cell r="B866" t="str">
            <v>#69</v>
          </cell>
          <cell r="C866">
            <v>45815.740277777702</v>
          </cell>
          <cell r="D866">
            <v>285.06</v>
          </cell>
          <cell r="E866" t="str">
            <v>MXN</v>
          </cell>
          <cell r="F866" t="str">
            <v>Gustavo Rivas</v>
          </cell>
          <cell r="G866" t="str">
            <v>UBER* PENDING          CIUDAD DE MEX MEX</v>
          </cell>
          <cell r="H866" t="str">
            <v>Uber</v>
          </cell>
          <cell r="I866" t="str">
            <v>Sales</v>
          </cell>
          <cell r="J866" t="str">
            <v>Uber CUN</v>
          </cell>
          <cell r="K866">
            <v>0</v>
          </cell>
          <cell r="L866">
            <v>0</v>
          </cell>
          <cell r="M866">
            <v>0</v>
          </cell>
          <cell r="N866">
            <v>0</v>
          </cell>
          <cell r="O866">
            <v>0</v>
          </cell>
          <cell r="Q866" t="str">
            <v>603.81.006 Gastos Administativos de venta</v>
          </cell>
        </row>
        <row r="867">
          <cell r="B867" t="str">
            <v>#69</v>
          </cell>
          <cell r="C867">
            <v>45815.768055555498</v>
          </cell>
          <cell r="D867">
            <v>354</v>
          </cell>
          <cell r="E867" t="str">
            <v>MXN</v>
          </cell>
          <cell r="F867" t="str">
            <v>Gustavo Rivas</v>
          </cell>
          <cell r="G867" t="str">
            <v>REST AB JR FC          CANCUN QROO   MEX</v>
          </cell>
          <cell r="H867" t="str">
            <v>Rest Ab Jr Fc Cancun Qroo Mex</v>
          </cell>
          <cell r="I867" t="str">
            <v>Sales</v>
          </cell>
          <cell r="J867" t="str">
            <v>Comida en aeropuerto</v>
          </cell>
          <cell r="K867" t="str">
            <v>4C107DFB-3FB5-4C8E-9134-4F2DAFEF90D6</v>
          </cell>
          <cell r="L867">
            <v>0</v>
          </cell>
          <cell r="M867">
            <v>0</v>
          </cell>
          <cell r="N867">
            <v>0</v>
          </cell>
          <cell r="O867">
            <v>0</v>
          </cell>
          <cell r="Q867" t="str">
            <v>603.81.006 Gastos Administativos de venta</v>
          </cell>
        </row>
        <row r="868">
          <cell r="B868" t="str">
            <v>#69</v>
          </cell>
          <cell r="C868">
            <v>45815.970833333296</v>
          </cell>
          <cell r="D868">
            <v>410.25</v>
          </cell>
          <cell r="E868" t="str">
            <v>MXN</v>
          </cell>
          <cell r="F868" t="str">
            <v>Gustavo Rivas</v>
          </cell>
          <cell r="G868" t="str">
            <v>UBER *TRIP HELP.UBER.C CMX           MEX</v>
          </cell>
          <cell r="H868" t="str">
            <v>Uber</v>
          </cell>
          <cell r="I868" t="str">
            <v>Sales</v>
          </cell>
          <cell r="J868" t="str">
            <v>Uber aeropuerto</v>
          </cell>
          <cell r="K868">
            <v>0</v>
          </cell>
          <cell r="L868">
            <v>0</v>
          </cell>
          <cell r="M868">
            <v>0</v>
          </cell>
          <cell r="N868">
            <v>0</v>
          </cell>
          <cell r="O868">
            <v>0</v>
          </cell>
          <cell r="Q868" t="str">
            <v>603.81.006 Gastos Administativos de venta</v>
          </cell>
        </row>
        <row r="869">
          <cell r="B869" t="str">
            <v>#69</v>
          </cell>
          <cell r="C869">
            <v>45816.045138888803</v>
          </cell>
          <cell r="D869">
            <v>49</v>
          </cell>
          <cell r="E869" t="str">
            <v>MXN</v>
          </cell>
          <cell r="F869" t="str">
            <v>Gustavo Rivas</v>
          </cell>
          <cell r="G869" t="str">
            <v>VTA A BORDO VAEROBUS   CIUDAD DE MEX MEX</v>
          </cell>
          <cell r="H869" t="str">
            <v>Vta A Bordo Vaerobus Ciudad De Mex Mex</v>
          </cell>
          <cell r="I869" t="str">
            <v>Sales</v>
          </cell>
          <cell r="J869" t="str">
            <v>Café en avión</v>
          </cell>
          <cell r="K869">
            <v>0</v>
          </cell>
          <cell r="L869">
            <v>0</v>
          </cell>
          <cell r="M869">
            <v>0</v>
          </cell>
          <cell r="N869">
            <v>0</v>
          </cell>
          <cell r="O869">
            <v>0</v>
          </cell>
          <cell r="Q869" t="str">
            <v>603.81.006 Gastos Administativos de venta</v>
          </cell>
        </row>
        <row r="870">
          <cell r="B870" t="str">
            <v>#69</v>
          </cell>
          <cell r="C870">
            <v>45821.129861111098</v>
          </cell>
          <cell r="D870">
            <v>815.92</v>
          </cell>
          <cell r="E870" t="str">
            <v>MXN</v>
          </cell>
          <cell r="F870" t="str">
            <v>Gustavo Rivas</v>
          </cell>
          <cell r="G870" t="str">
            <v>LA BUENA BARRA ARISTOT CIUDAD DE MEX MEX</v>
          </cell>
          <cell r="H870" t="str">
            <v>La Buena Barra Aristot Ciudad De Mex Mex</v>
          </cell>
          <cell r="I870" t="str">
            <v>Sales</v>
          </cell>
          <cell r="J870" t="str">
            <v>Cena MP CINDU</v>
          </cell>
          <cell r="K870">
            <v>0</v>
          </cell>
          <cell r="L870">
            <v>0</v>
          </cell>
          <cell r="M870">
            <v>0</v>
          </cell>
          <cell r="N870">
            <v>0</v>
          </cell>
          <cell r="O870">
            <v>0</v>
          </cell>
          <cell r="Q870" t="str">
            <v>603.81.006 Gastos Administativos de venta</v>
          </cell>
        </row>
        <row r="871">
          <cell r="B871" t="str">
            <v>#69</v>
          </cell>
          <cell r="C871">
            <v>45826.905555555502</v>
          </cell>
          <cell r="D871">
            <v>6424.19</v>
          </cell>
          <cell r="E871" t="str">
            <v>MXN</v>
          </cell>
          <cell r="F871" t="str">
            <v>Gustavo Rivas</v>
          </cell>
          <cell r="G871" t="str">
            <v>VIVA AEROBUS CIB       APODACA       MEX</v>
          </cell>
          <cell r="H871" t="str">
            <v>Viva Aerobus Cib Apodaca Mex</v>
          </cell>
          <cell r="I871" t="str">
            <v>Sales</v>
          </cell>
          <cell r="J871" t="str">
            <v>Boleto CUN</v>
          </cell>
          <cell r="K871">
            <v>138913643</v>
          </cell>
          <cell r="L871">
            <v>0</v>
          </cell>
          <cell r="M871">
            <v>0</v>
          </cell>
          <cell r="N871">
            <v>0</v>
          </cell>
          <cell r="O871">
            <v>0</v>
          </cell>
          <cell r="Q871" t="str">
            <v>603.81.006 Gastos Administativos de venta</v>
          </cell>
        </row>
        <row r="872">
          <cell r="B872" t="str">
            <v>#69</v>
          </cell>
          <cell r="C872">
            <v>45827.65625</v>
          </cell>
          <cell r="D872">
            <v>748.87</v>
          </cell>
          <cell r="E872" t="str">
            <v>MXN</v>
          </cell>
          <cell r="F872" t="str">
            <v>Gustavo Rivas</v>
          </cell>
          <cell r="G872" t="str">
            <v>UBER* PENDING          CIUDAD DE MEX MEX</v>
          </cell>
          <cell r="H872" t="str">
            <v>Uber</v>
          </cell>
          <cell r="I872" t="str">
            <v>Sales</v>
          </cell>
          <cell r="J872" t="str">
            <v>Uber aeropuerto CUN</v>
          </cell>
          <cell r="K872">
            <v>0</v>
          </cell>
          <cell r="L872">
            <v>0</v>
          </cell>
          <cell r="M872">
            <v>0</v>
          </cell>
          <cell r="N872">
            <v>0</v>
          </cell>
          <cell r="O872">
            <v>0</v>
          </cell>
          <cell r="Q872" t="str">
            <v>603.81.006 Gastos Administativos de venta</v>
          </cell>
        </row>
        <row r="873">
          <cell r="B873" t="str">
            <v>#69</v>
          </cell>
          <cell r="C873">
            <v>45827.733333333301</v>
          </cell>
          <cell r="D873">
            <v>60</v>
          </cell>
          <cell r="E873" t="str">
            <v>MXN</v>
          </cell>
          <cell r="F873" t="str">
            <v>Gustavo Rivas</v>
          </cell>
          <cell r="G873" t="str">
            <v>COM RAP PIZZA BAR AIFA ZUMPANGO EM   MEX</v>
          </cell>
          <cell r="H873" t="str">
            <v>Com Rap Pizza Bar Aifa Zumpango Em Mex</v>
          </cell>
          <cell r="I873" t="str">
            <v>Sales</v>
          </cell>
          <cell r="J873" t="str">
            <v>Agua en aeropuerto</v>
          </cell>
          <cell r="K873">
            <v>0</v>
          </cell>
          <cell r="L873">
            <v>0</v>
          </cell>
          <cell r="M873">
            <v>0</v>
          </cell>
          <cell r="N873">
            <v>0</v>
          </cell>
          <cell r="O873">
            <v>0</v>
          </cell>
          <cell r="Q873" t="str">
            <v>603.81.006 Gastos Administativos de venta</v>
          </cell>
        </row>
        <row r="874">
          <cell r="B874" t="str">
            <v>#69</v>
          </cell>
          <cell r="C874">
            <v>45827.754861111098</v>
          </cell>
          <cell r="D874">
            <v>2238.02</v>
          </cell>
          <cell r="E874" t="str">
            <v>MXN</v>
          </cell>
          <cell r="F874" t="str">
            <v>Gustavo Rivas</v>
          </cell>
          <cell r="G874" t="str">
            <v>Viva Aerobus           APO           MEX</v>
          </cell>
          <cell r="H874" t="str">
            <v>Viva Aerobus Apo Mex</v>
          </cell>
          <cell r="I874" t="str">
            <v>Sales</v>
          </cell>
          <cell r="J874" t="str">
            <v>Boleto CUN</v>
          </cell>
          <cell r="K874">
            <v>138962568</v>
          </cell>
          <cell r="L874">
            <v>0</v>
          </cell>
          <cell r="M874">
            <v>0</v>
          </cell>
          <cell r="N874">
            <v>0</v>
          </cell>
          <cell r="O874">
            <v>0</v>
          </cell>
          <cell r="Q874" t="str">
            <v>603.81.006 Gastos Administativos de venta</v>
          </cell>
        </row>
        <row r="875">
          <cell r="B875" t="str">
            <v>#69</v>
          </cell>
          <cell r="C875">
            <v>45827.867361111101</v>
          </cell>
          <cell r="D875">
            <v>519.64</v>
          </cell>
          <cell r="E875" t="str">
            <v>MXN</v>
          </cell>
          <cell r="F875" t="str">
            <v>Gustavo Rivas</v>
          </cell>
          <cell r="G875" t="str">
            <v>UBER* PENDING          CIUDAD DE MEX MEX</v>
          </cell>
          <cell r="H875" t="str">
            <v>Uber</v>
          </cell>
          <cell r="I875" t="str">
            <v>Sales</v>
          </cell>
          <cell r="J875" t="str">
            <v>Uber aeropuerto</v>
          </cell>
          <cell r="K875">
            <v>0</v>
          </cell>
          <cell r="L875">
            <v>0</v>
          </cell>
          <cell r="M875">
            <v>0</v>
          </cell>
          <cell r="N875">
            <v>0</v>
          </cell>
          <cell r="O875">
            <v>0</v>
          </cell>
          <cell r="Q875" t="str">
            <v>603.81.006 Gastos Administativos de venta</v>
          </cell>
        </row>
        <row r="876">
          <cell r="B876" t="str">
            <v>#69</v>
          </cell>
          <cell r="C876">
            <v>45827.890277777697</v>
          </cell>
          <cell r="D876">
            <v>1550.21</v>
          </cell>
          <cell r="E876" t="str">
            <v>MXN</v>
          </cell>
          <cell r="F876" t="str">
            <v>Gustavo Rivas</v>
          </cell>
          <cell r="G876" t="str">
            <v>HIVE CANCUN MXN SC TA  BENITO JUAREZ MEX</v>
          </cell>
          <cell r="H876" t="str">
            <v>Hive Cancun Mxn Sc Ta Benito Juarez Mex</v>
          </cell>
          <cell r="I876" t="str">
            <v>Sales</v>
          </cell>
          <cell r="J876" t="str">
            <v>Estadía una noche en HIVE</v>
          </cell>
          <cell r="K876">
            <v>0</v>
          </cell>
          <cell r="L876">
            <v>0</v>
          </cell>
          <cell r="M876">
            <v>0</v>
          </cell>
          <cell r="N876">
            <v>0</v>
          </cell>
          <cell r="O876">
            <v>0</v>
          </cell>
          <cell r="Q876" t="str">
            <v>603.81.006 Gastos Administativos de venta</v>
          </cell>
        </row>
        <row r="877">
          <cell r="B877" t="str">
            <v>#69</v>
          </cell>
          <cell r="C877">
            <v>45827.891666666597</v>
          </cell>
          <cell r="D877">
            <v>105</v>
          </cell>
          <cell r="E877" t="str">
            <v>MXN</v>
          </cell>
          <cell r="F877" t="str">
            <v>Gustavo Rivas</v>
          </cell>
          <cell r="G877" t="str">
            <v>HIVE CANCUN MXN SC TA  BENITO JUAREZ MEX</v>
          </cell>
          <cell r="H877" t="str">
            <v>Hive Cancun Mxn Sc Ta Benito Juarez Mex</v>
          </cell>
          <cell r="I877" t="str">
            <v>Sales</v>
          </cell>
          <cell r="J877" t="str">
            <v>Consumo en hotel HIVE</v>
          </cell>
          <cell r="K877">
            <v>0</v>
          </cell>
          <cell r="L877">
            <v>0</v>
          </cell>
          <cell r="M877">
            <v>0</v>
          </cell>
          <cell r="N877">
            <v>0</v>
          </cell>
          <cell r="O877">
            <v>0</v>
          </cell>
          <cell r="Q877" t="str">
            <v>603.81.006 Gastos Administativos de venta</v>
          </cell>
        </row>
        <row r="878">
          <cell r="B878" t="str">
            <v>#69</v>
          </cell>
          <cell r="C878">
            <v>45827.952083333301</v>
          </cell>
          <cell r="D878">
            <v>1859.55</v>
          </cell>
          <cell r="E878" t="str">
            <v>MXN</v>
          </cell>
          <cell r="F878" t="str">
            <v>Gustavo Rivas</v>
          </cell>
          <cell r="G878" t="str">
            <v>BATTA SUSHI TULUM      TULUM QROO    MEX</v>
          </cell>
          <cell r="H878" t="str">
            <v>Batta Sushi Tulum Tulum Qroo Mex</v>
          </cell>
          <cell r="I878" t="str">
            <v>Sales</v>
          </cell>
          <cell r="J878" t="str">
            <v>cena cliente</v>
          </cell>
          <cell r="K878">
            <v>5775</v>
          </cell>
          <cell r="L878">
            <v>0</v>
          </cell>
          <cell r="M878">
            <v>0</v>
          </cell>
          <cell r="N878">
            <v>0</v>
          </cell>
          <cell r="O878">
            <v>0</v>
          </cell>
          <cell r="Q878" t="str">
            <v>603.81.006 Gastos Administativos de venta</v>
          </cell>
        </row>
        <row r="879">
          <cell r="B879" t="str">
            <v>#69</v>
          </cell>
          <cell r="C879">
            <v>45828.571527777698</v>
          </cell>
          <cell r="D879">
            <v>180.71</v>
          </cell>
          <cell r="E879" t="str">
            <v>MXN</v>
          </cell>
          <cell r="F879" t="str">
            <v>Gustavo Rivas</v>
          </cell>
          <cell r="G879" t="str">
            <v>UBER* PENDING          CIUDAD DE MEX MEX</v>
          </cell>
          <cell r="H879" t="str">
            <v>Uber</v>
          </cell>
          <cell r="I879" t="str">
            <v>Sales</v>
          </cell>
          <cell r="J879" t="str">
            <v>Uber Cancun</v>
          </cell>
          <cell r="K879">
            <v>0</v>
          </cell>
          <cell r="L879">
            <v>0</v>
          </cell>
          <cell r="M879">
            <v>0</v>
          </cell>
          <cell r="N879">
            <v>0</v>
          </cell>
          <cell r="O879">
            <v>0</v>
          </cell>
          <cell r="Q879" t="str">
            <v>603.81.006 Gastos Administativos de venta</v>
          </cell>
        </row>
        <row r="880">
          <cell r="B880" t="str">
            <v>#69</v>
          </cell>
          <cell r="C880">
            <v>45828.661805555501</v>
          </cell>
          <cell r="D880">
            <v>62.22</v>
          </cell>
          <cell r="E880" t="str">
            <v>MXN</v>
          </cell>
          <cell r="F880" t="str">
            <v>Gustavo Rivas</v>
          </cell>
          <cell r="G880" t="str">
            <v>UBER* PENDING          CIUDAD DE MEX MEX</v>
          </cell>
          <cell r="H880" t="str">
            <v>Uber</v>
          </cell>
          <cell r="I880" t="str">
            <v>Sales</v>
          </cell>
          <cell r="J880" t="str">
            <v>Uber Cancun</v>
          </cell>
          <cell r="K880">
            <v>0</v>
          </cell>
          <cell r="L880">
            <v>0</v>
          </cell>
          <cell r="M880">
            <v>0</v>
          </cell>
          <cell r="N880">
            <v>0</v>
          </cell>
          <cell r="O880">
            <v>0</v>
          </cell>
          <cell r="Q880" t="str">
            <v>603.81.006 Gastos Administativos de venta</v>
          </cell>
        </row>
        <row r="881">
          <cell r="B881" t="str">
            <v>#69</v>
          </cell>
          <cell r="C881">
            <v>45828.729166666599</v>
          </cell>
          <cell r="D881">
            <v>176</v>
          </cell>
          <cell r="E881" t="str">
            <v>MXN</v>
          </cell>
          <cell r="F881" t="str">
            <v>Gustavo Rivas</v>
          </cell>
          <cell r="G881" t="str">
            <v>REST ONORA             BENITO JUAREZ MEX</v>
          </cell>
          <cell r="H881" t="str">
            <v>Rest Onora Benito Juarez Mex</v>
          </cell>
          <cell r="I881" t="str">
            <v>Sales</v>
          </cell>
          <cell r="J881" t="str">
            <v>bebidas con cliente</v>
          </cell>
          <cell r="K881" t="str">
            <v>.</v>
          </cell>
          <cell r="L881">
            <v>0</v>
          </cell>
          <cell r="M881">
            <v>0</v>
          </cell>
          <cell r="N881">
            <v>0</v>
          </cell>
          <cell r="O881">
            <v>0</v>
          </cell>
          <cell r="Q881" t="str">
            <v>603.81.006 Gastos Administativos de venta</v>
          </cell>
        </row>
        <row r="882">
          <cell r="B882" t="str">
            <v>#69</v>
          </cell>
          <cell r="C882">
            <v>45828.7854166666</v>
          </cell>
          <cell r="D882">
            <v>166.75</v>
          </cell>
          <cell r="E882" t="str">
            <v>MXN</v>
          </cell>
          <cell r="F882" t="str">
            <v>Gustavo Rivas</v>
          </cell>
          <cell r="G882" t="str">
            <v>REST ONORA             BENITO JUAREZ MEX</v>
          </cell>
          <cell r="H882" t="str">
            <v>Rest Onora Benito Juarez Mex</v>
          </cell>
          <cell r="I882" t="str">
            <v>Sales</v>
          </cell>
          <cell r="J882" t="str">
            <v>Café y agua</v>
          </cell>
          <cell r="K882" t="str">
            <v>.</v>
          </cell>
          <cell r="L882">
            <v>0</v>
          </cell>
          <cell r="M882">
            <v>0</v>
          </cell>
          <cell r="N882">
            <v>0</v>
          </cell>
          <cell r="O882">
            <v>0</v>
          </cell>
          <cell r="Q882" t="str">
            <v>603.81.006 Gastos Administativos de venta</v>
          </cell>
        </row>
        <row r="883">
          <cell r="B883" t="str">
            <v>#69</v>
          </cell>
          <cell r="C883">
            <v>45828.824999999997</v>
          </cell>
          <cell r="D883">
            <v>879.75</v>
          </cell>
          <cell r="E883" t="str">
            <v>MXN</v>
          </cell>
          <cell r="F883" t="str">
            <v>Gustavo Rivas</v>
          </cell>
          <cell r="G883" t="str">
            <v>RESTAURANTE KOGURE     BENITO JUAREZ MEX</v>
          </cell>
          <cell r="H883" t="str">
            <v>Restaurante Kogure Benito Juarez Mex</v>
          </cell>
          <cell r="I883" t="str">
            <v>Sales</v>
          </cell>
          <cell r="J883" t="str">
            <v>comuda</v>
          </cell>
          <cell r="K883">
            <v>0.94100050092109999</v>
          </cell>
          <cell r="L883">
            <v>0</v>
          </cell>
          <cell r="M883">
            <v>0</v>
          </cell>
          <cell r="N883">
            <v>0</v>
          </cell>
          <cell r="O883">
            <v>0</v>
          </cell>
          <cell r="Q883" t="str">
            <v>603.81.006 Gastos Administativos de venta</v>
          </cell>
        </row>
        <row r="884">
          <cell r="B884" t="str">
            <v>#69</v>
          </cell>
          <cell r="C884">
            <v>45828.8479166666</v>
          </cell>
          <cell r="D884">
            <v>527.37</v>
          </cell>
          <cell r="E884" t="str">
            <v>MXN</v>
          </cell>
          <cell r="F884" t="str">
            <v>Gustavo Rivas</v>
          </cell>
          <cell r="G884" t="str">
            <v>UBER* TRIP             CIUDAD DE MEX MEX</v>
          </cell>
          <cell r="H884" t="str">
            <v>Uber</v>
          </cell>
          <cell r="I884" t="str">
            <v>Sales</v>
          </cell>
          <cell r="J884" t="str">
            <v>Uber Cancun</v>
          </cell>
          <cell r="K884" t="str">
            <v>.</v>
          </cell>
          <cell r="L884">
            <v>0</v>
          </cell>
          <cell r="M884">
            <v>0</v>
          </cell>
          <cell r="N884">
            <v>0</v>
          </cell>
          <cell r="O884">
            <v>0</v>
          </cell>
          <cell r="Q884" t="str">
            <v>603.81.006 Gastos Administativos de venta</v>
          </cell>
        </row>
        <row r="885">
          <cell r="B885" t="str">
            <v>#69</v>
          </cell>
          <cell r="C885">
            <v>45828.856249999997</v>
          </cell>
          <cell r="D885">
            <v>99</v>
          </cell>
          <cell r="E885" t="str">
            <v>MXN</v>
          </cell>
          <cell r="F885" t="str">
            <v>Gustavo Rivas</v>
          </cell>
          <cell r="G885" t="str">
            <v>ASUR C CONV SHOP 15    BENITO JUAREZ MEX</v>
          </cell>
          <cell r="H885" t="str">
            <v>Asur C Conv Shop 15 Benito Juarez Mex</v>
          </cell>
          <cell r="I885" t="str">
            <v>Sales</v>
          </cell>
          <cell r="J885" t="str">
            <v>agua y café aeropuerto</v>
          </cell>
          <cell r="K885" t="str">
            <v>.</v>
          </cell>
          <cell r="L885">
            <v>0</v>
          </cell>
          <cell r="M885">
            <v>0</v>
          </cell>
          <cell r="N885">
            <v>0</v>
          </cell>
          <cell r="O885">
            <v>0</v>
          </cell>
          <cell r="Q885" t="str">
            <v>603.81.006 Gastos Administativos de venta</v>
          </cell>
        </row>
        <row r="886">
          <cell r="B886" t="str">
            <v>#69</v>
          </cell>
          <cell r="C886">
            <v>45828.863888888802</v>
          </cell>
          <cell r="D886">
            <v>59</v>
          </cell>
          <cell r="E886" t="str">
            <v>MXN</v>
          </cell>
          <cell r="F886" t="str">
            <v>Gustavo Rivas</v>
          </cell>
          <cell r="G886" t="str">
            <v>MAEMAISONKAISER        CANCUN QROO   MEX</v>
          </cell>
          <cell r="H886" t="str">
            <v>Maemaisonkaiser Cancun Qroo Mex</v>
          </cell>
          <cell r="I886" t="str">
            <v>Sales</v>
          </cell>
          <cell r="J886" t="str">
            <v>agua</v>
          </cell>
          <cell r="K886" t="str">
            <v>.FD3B5ADC-E203-4F7E-8A82-075762561314</v>
          </cell>
          <cell r="L886">
            <v>0</v>
          </cell>
          <cell r="M886">
            <v>0</v>
          </cell>
          <cell r="N886">
            <v>0</v>
          </cell>
          <cell r="O886">
            <v>0</v>
          </cell>
          <cell r="Q886" t="str">
            <v>603.81.006 Gastos Administativos de venta</v>
          </cell>
        </row>
        <row r="887">
          <cell r="B887" t="str">
            <v>#69</v>
          </cell>
          <cell r="C887">
            <v>45829.040277777698</v>
          </cell>
          <cell r="D887">
            <v>728.37</v>
          </cell>
          <cell r="E887" t="str">
            <v>MXN</v>
          </cell>
          <cell r="F887" t="str">
            <v>Gustavo Rivas</v>
          </cell>
          <cell r="G887" t="str">
            <v>UBER* TRIP             CIUDAD DE MEX MEX</v>
          </cell>
          <cell r="H887" t="str">
            <v>Uber</v>
          </cell>
          <cell r="I887" t="str">
            <v>Sales</v>
          </cell>
          <cell r="J887" t="str">
            <v>uber aeropuerto</v>
          </cell>
          <cell r="K887" t="str">
            <v>.</v>
          </cell>
          <cell r="L887">
            <v>0</v>
          </cell>
          <cell r="M887">
            <v>0</v>
          </cell>
          <cell r="N887">
            <v>0</v>
          </cell>
          <cell r="O887">
            <v>0</v>
          </cell>
          <cell r="Q887" t="str">
            <v>603.81.006 Gastos Administativos de venta</v>
          </cell>
        </row>
        <row r="888">
          <cell r="B888" t="str">
            <v>#69</v>
          </cell>
          <cell r="C888">
            <v>45833.109027777697</v>
          </cell>
          <cell r="D888">
            <v>348</v>
          </cell>
          <cell r="E888" t="str">
            <v>MXN</v>
          </cell>
          <cell r="F888" t="str">
            <v>Gustavo Rivas</v>
          </cell>
          <cell r="G888" t="str">
            <v>UBER* TRIP             CIUDAD DE MEX MEX</v>
          </cell>
          <cell r="H888" t="str">
            <v>Uber</v>
          </cell>
          <cell r="I888" t="str">
            <v>Sales</v>
          </cell>
          <cell r="J888" t="str">
            <v>uber aeropuerto</v>
          </cell>
          <cell r="K888" t="str">
            <v>.</v>
          </cell>
          <cell r="L888">
            <v>0</v>
          </cell>
          <cell r="M888">
            <v>0</v>
          </cell>
          <cell r="N888">
            <v>0</v>
          </cell>
          <cell r="O888">
            <v>0</v>
          </cell>
          <cell r="Q888" t="str">
            <v>603.81.006 Gastos Administativos de venta</v>
          </cell>
        </row>
        <row r="889">
          <cell r="B889" t="str">
            <v>#69</v>
          </cell>
          <cell r="C889">
            <v>45833.679861111101</v>
          </cell>
          <cell r="D889">
            <v>166</v>
          </cell>
          <cell r="E889" t="str">
            <v>MXN</v>
          </cell>
          <cell r="F889" t="str">
            <v>Gustavo Rivas</v>
          </cell>
          <cell r="G889" t="str">
            <v>UBER *TRIP HELP.UBER.C CMX           MEX</v>
          </cell>
          <cell r="H889" t="str">
            <v>Uber</v>
          </cell>
          <cell r="I889" t="str">
            <v>Sales</v>
          </cell>
          <cell r="J889" t="str">
            <v>uber cliente</v>
          </cell>
          <cell r="K889" t="str">
            <v>.</v>
          </cell>
          <cell r="L889">
            <v>0</v>
          </cell>
          <cell r="M889">
            <v>0</v>
          </cell>
          <cell r="N889">
            <v>0</v>
          </cell>
          <cell r="O889">
            <v>0</v>
          </cell>
          <cell r="Q889" t="str">
            <v>603.81.006 Gastos Administativos de venta</v>
          </cell>
        </row>
        <row r="890">
          <cell r="B890" t="str">
            <v>#69</v>
          </cell>
          <cell r="C890">
            <v>45834.734722222202</v>
          </cell>
          <cell r="D890">
            <v>490.35</v>
          </cell>
          <cell r="E890" t="str">
            <v>MXN</v>
          </cell>
          <cell r="F890" t="str">
            <v>Gustavo Rivas</v>
          </cell>
          <cell r="G890" t="str">
            <v>UBER* TRIP             CIUDAD DE MEX MEX</v>
          </cell>
          <cell r="H890" t="str">
            <v>Uber</v>
          </cell>
          <cell r="I890" t="str">
            <v>Sales</v>
          </cell>
          <cell r="J890" t="str">
            <v>uber Hecho en Mexico</v>
          </cell>
          <cell r="K890" t="str">
            <v>.</v>
          </cell>
          <cell r="L890">
            <v>0</v>
          </cell>
          <cell r="M890">
            <v>0</v>
          </cell>
          <cell r="N890">
            <v>0</v>
          </cell>
          <cell r="O890">
            <v>0</v>
          </cell>
          <cell r="Q890" t="str">
            <v>603.81.006 Gastos Administativos de venta</v>
          </cell>
        </row>
        <row r="891">
          <cell r="B891" t="str">
            <v>#69</v>
          </cell>
          <cell r="C891">
            <v>45834.822222222203</v>
          </cell>
          <cell r="D891">
            <v>80</v>
          </cell>
          <cell r="E891" t="str">
            <v>MXN</v>
          </cell>
          <cell r="F891" t="str">
            <v>Gustavo Rivas</v>
          </cell>
          <cell r="G891" t="str">
            <v>UBER* TRIP             CIUDAD DE MEX MEX</v>
          </cell>
          <cell r="H891" t="str">
            <v>Uber</v>
          </cell>
          <cell r="I891" t="str">
            <v>Sales</v>
          </cell>
          <cell r="J891" t="str">
            <v>uber Hecho en Mexico</v>
          </cell>
          <cell r="K891" t="str">
            <v>.</v>
          </cell>
          <cell r="L891">
            <v>0</v>
          </cell>
          <cell r="M891">
            <v>0</v>
          </cell>
          <cell r="N891">
            <v>0</v>
          </cell>
          <cell r="O891">
            <v>0</v>
          </cell>
          <cell r="Q891" t="str">
            <v>603.81.006 Gastos Administativos de venta</v>
          </cell>
        </row>
        <row r="892">
          <cell r="B892" t="str">
            <v>#69</v>
          </cell>
          <cell r="C892">
            <v>45834.882638888797</v>
          </cell>
          <cell r="D892">
            <v>357.01</v>
          </cell>
          <cell r="E892" t="str">
            <v>MXN</v>
          </cell>
          <cell r="F892" t="str">
            <v>Gustavo Rivas</v>
          </cell>
          <cell r="G892" t="str">
            <v>UBER* TRIP             CIUDAD DE MEX MEX</v>
          </cell>
          <cell r="H892" t="str">
            <v>Uber</v>
          </cell>
          <cell r="I892" t="str">
            <v>Sales</v>
          </cell>
          <cell r="J892" t="str">
            <v>uber Hecho en Mexico</v>
          </cell>
          <cell r="K892" t="str">
            <v>.</v>
          </cell>
          <cell r="L892">
            <v>0</v>
          </cell>
          <cell r="M892">
            <v>0</v>
          </cell>
          <cell r="N892">
            <v>0</v>
          </cell>
          <cell r="O892">
            <v>0</v>
          </cell>
          <cell r="Q892" t="str">
            <v>603.81.006 Gastos Administativos de venta</v>
          </cell>
        </row>
        <row r="893">
          <cell r="B893" t="str">
            <v>#70</v>
          </cell>
          <cell r="C893">
            <v>45812.045138888803</v>
          </cell>
          <cell r="D893">
            <v>6159</v>
          </cell>
          <cell r="E893" t="str">
            <v>MXN</v>
          </cell>
          <cell r="F893" t="str">
            <v>Alfonso Bello</v>
          </cell>
          <cell r="G893" t="str">
            <v>MERCADOPAGO *COMERCIA  Culiacn       MEX</v>
          </cell>
          <cell r="H893" t="str">
            <v>Mercadopago</v>
          </cell>
          <cell r="I893" t="str">
            <v>Capex</v>
          </cell>
          <cell r="J893" t="str">
            <v>P.O 1507 - Cámara Tijuana</v>
          </cell>
          <cell r="K893">
            <v>35446</v>
          </cell>
          <cell r="L893">
            <v>0</v>
          </cell>
          <cell r="M893">
            <v>0</v>
          </cell>
          <cell r="N893">
            <v>0</v>
          </cell>
          <cell r="O893">
            <v>0</v>
          </cell>
          <cell r="Q893" t="str">
            <v>603.81.006 Gastos Administativos de venta</v>
          </cell>
        </row>
        <row r="894">
          <cell r="B894" t="str">
            <v>#70</v>
          </cell>
          <cell r="C894">
            <v>45812.714583333298</v>
          </cell>
          <cell r="D894">
            <v>1379.65</v>
          </cell>
          <cell r="E894" t="str">
            <v>MXN</v>
          </cell>
          <cell r="F894" t="str">
            <v>Alfonso Bello</v>
          </cell>
          <cell r="G894" t="str">
            <v>GASOL GRUPO Q L        TEPOTZOTLAN E MEX</v>
          </cell>
          <cell r="H894" t="str">
            <v>Gasol Grupo Q L Tepotzotlan E Mex</v>
          </cell>
          <cell r="I894" t="str">
            <v>G&amp;A expenses</v>
          </cell>
          <cell r="J894" t="str">
            <v>P.O 1507 - Visitas a Planta de EMACSA</v>
          </cell>
          <cell r="K894">
            <v>131369437</v>
          </cell>
          <cell r="L894">
            <v>0</v>
          </cell>
          <cell r="M894">
            <v>0</v>
          </cell>
          <cell r="N894">
            <v>0</v>
          </cell>
          <cell r="O894">
            <v>0</v>
          </cell>
          <cell r="Q894" t="str">
            <v>603.81.006 Gastos Administativos de venta</v>
          </cell>
        </row>
        <row r="895">
          <cell r="B895" t="str">
            <v>#70</v>
          </cell>
          <cell r="C895">
            <v>45812.974305555501</v>
          </cell>
          <cell r="D895">
            <v>1192</v>
          </cell>
          <cell r="E895" t="str">
            <v>MXN</v>
          </cell>
          <cell r="F895" t="str">
            <v>Alfonso Bello</v>
          </cell>
          <cell r="G895" t="str">
            <v>REST LINDAVISTA        POLOTITLAN EM MEX</v>
          </cell>
          <cell r="H895" t="str">
            <v>Rest Lindavista Polotitlan Em Mex</v>
          </cell>
          <cell r="I895" t="str">
            <v>Sales</v>
          </cell>
          <cell r="J895" t="str">
            <v>P.O 1507 - Viáticos (Ro, Erick y Alfonso)</v>
          </cell>
          <cell r="K895">
            <v>131555253</v>
          </cell>
          <cell r="L895">
            <v>0</v>
          </cell>
          <cell r="M895">
            <v>0</v>
          </cell>
          <cell r="N895">
            <v>0</v>
          </cell>
          <cell r="O895">
            <v>0</v>
          </cell>
          <cell r="Q895" t="str">
            <v>603.81.006 Gastos Administativos de venta</v>
          </cell>
        </row>
        <row r="896">
          <cell r="B896" t="str">
            <v>#70</v>
          </cell>
          <cell r="C896">
            <v>45813.871527777701</v>
          </cell>
          <cell r="D896">
            <v>906.4</v>
          </cell>
          <cell r="E896" t="str">
            <v>MXN</v>
          </cell>
          <cell r="F896" t="str">
            <v>Alfonso Bello</v>
          </cell>
          <cell r="G896" t="str">
            <v>BARRITA DE MAR POLANCO CIUDAD DE MEX MEX</v>
          </cell>
          <cell r="H896" t="str">
            <v>Barrita De Mar Polanco Ciudad De Mex Mex</v>
          </cell>
          <cell r="I896" t="str">
            <v>G&amp;A expenses</v>
          </cell>
          <cell r="J896" t="str">
            <v>P.O 1162 - Comida con PM GAYA</v>
          </cell>
          <cell r="K896" t="str">
            <v>.</v>
          </cell>
          <cell r="L896">
            <v>0</v>
          </cell>
          <cell r="M896">
            <v>0</v>
          </cell>
          <cell r="N896">
            <v>0</v>
          </cell>
          <cell r="O896">
            <v>0</v>
          </cell>
          <cell r="Q896" t="str">
            <v>603.81.006 Gastos Administativos de venta</v>
          </cell>
        </row>
        <row r="897">
          <cell r="B897" t="str">
            <v>#70</v>
          </cell>
          <cell r="C897">
            <v>45813.956250000003</v>
          </cell>
          <cell r="D897">
            <v>4831.63</v>
          </cell>
          <cell r="E897" t="str">
            <v>MXN</v>
          </cell>
          <cell r="F897" t="str">
            <v>Alfonso Bello</v>
          </cell>
          <cell r="G897" t="str">
            <v>VIVA AEROBUS CIB       APODACA       MEX</v>
          </cell>
          <cell r="H897" t="str">
            <v>Viva Aerobus Cib Apodaca Mex</v>
          </cell>
          <cell r="I897" t="str">
            <v>G&amp;A expenses</v>
          </cell>
          <cell r="J897" t="str">
            <v>P.O 1507 - Vuelo Tijuana</v>
          </cell>
          <cell r="K897" t="str">
            <v>.</v>
          </cell>
          <cell r="L897">
            <v>0</v>
          </cell>
          <cell r="M897">
            <v>0</v>
          </cell>
          <cell r="N897">
            <v>0</v>
          </cell>
          <cell r="O897">
            <v>0</v>
          </cell>
          <cell r="Q897" t="str">
            <v>603.81.006 Gastos Administativos de venta</v>
          </cell>
        </row>
        <row r="898">
          <cell r="B898" t="str">
            <v>#70</v>
          </cell>
          <cell r="C898">
            <v>45815.080555555498</v>
          </cell>
          <cell r="D898">
            <v>29</v>
          </cell>
          <cell r="E898" t="str">
            <v>MXN</v>
          </cell>
          <cell r="F898" t="str">
            <v>Alfonso Bello</v>
          </cell>
          <cell r="G898" t="str">
            <v>SANBORNS JARDIN BALBUE MEXICO DF     MEX</v>
          </cell>
          <cell r="H898" t="str">
            <v>Sanborns Jardin Balbue Mexico Df Mex</v>
          </cell>
          <cell r="I898" t="str">
            <v>G&amp;A expenses</v>
          </cell>
          <cell r="J898" t="str">
            <v>P.O 1507 - Chip para cámara</v>
          </cell>
          <cell r="K898" t="str">
            <v>.</v>
          </cell>
          <cell r="L898">
            <v>0</v>
          </cell>
          <cell r="M898">
            <v>0</v>
          </cell>
          <cell r="N898">
            <v>0</v>
          </cell>
          <cell r="O898">
            <v>0</v>
          </cell>
          <cell r="Q898" t="str">
            <v>603.81.006 Gastos Administativos de venta</v>
          </cell>
        </row>
        <row r="899">
          <cell r="B899" t="str">
            <v>#70</v>
          </cell>
          <cell r="C899">
            <v>45815.081944444399</v>
          </cell>
          <cell r="D899">
            <v>100</v>
          </cell>
          <cell r="E899" t="str">
            <v>MXN</v>
          </cell>
          <cell r="F899" t="str">
            <v>Alfonso Bello</v>
          </cell>
          <cell r="G899" t="str">
            <v>SANBORNS JARDIN BALBUE MEXICO DF     MEX</v>
          </cell>
          <cell r="H899" t="str">
            <v>Sanborns Jardin Balbue Mexico Df Mex</v>
          </cell>
          <cell r="I899" t="str">
            <v>G&amp;A expenses</v>
          </cell>
          <cell r="J899" t="str">
            <v>P.O 1507 - carga de saldo para Chip</v>
          </cell>
          <cell r="K899" t="str">
            <v>.</v>
          </cell>
          <cell r="L899">
            <v>0</v>
          </cell>
          <cell r="M899">
            <v>0</v>
          </cell>
          <cell r="N899">
            <v>0</v>
          </cell>
          <cell r="O899">
            <v>0</v>
          </cell>
          <cell r="Q899" t="str">
            <v>603.81.006 Gastos Administativos de venta</v>
          </cell>
        </row>
        <row r="900">
          <cell r="B900" t="str">
            <v>#70</v>
          </cell>
          <cell r="C900">
            <v>45817.667361111096</v>
          </cell>
          <cell r="D900">
            <v>718.18</v>
          </cell>
          <cell r="E900" t="str">
            <v>MXN</v>
          </cell>
          <cell r="F900" t="str">
            <v>Alfonso Bello</v>
          </cell>
          <cell r="G900" t="str">
            <v>UBER* TRIP             CIUDAD DE MEX MEX</v>
          </cell>
          <cell r="H900" t="str">
            <v>Uber</v>
          </cell>
          <cell r="I900" t="str">
            <v>G&amp;A expenses</v>
          </cell>
          <cell r="J900" t="str">
            <v>P.O 1507 - Transporte proyecto</v>
          </cell>
          <cell r="K900" t="str">
            <v>.</v>
          </cell>
          <cell r="L900">
            <v>0</v>
          </cell>
          <cell r="M900">
            <v>0</v>
          </cell>
          <cell r="N900">
            <v>0</v>
          </cell>
          <cell r="O900">
            <v>0</v>
          </cell>
          <cell r="Q900" t="str">
            <v>603.81.006 Gastos Administativos de venta</v>
          </cell>
        </row>
        <row r="901">
          <cell r="B901" t="str">
            <v>#70</v>
          </cell>
          <cell r="C901">
            <v>45817.698611111096</v>
          </cell>
          <cell r="D901">
            <v>2893.29</v>
          </cell>
          <cell r="E901" t="str">
            <v>MXN</v>
          </cell>
          <cell r="F901" t="str">
            <v>Alfonso Bello</v>
          </cell>
          <cell r="G901" t="str">
            <v>VIVAAEROBUS WEB        APODACA NL    MEX</v>
          </cell>
          <cell r="H901" t="str">
            <v>Vivaaerobus</v>
          </cell>
          <cell r="I901" t="str">
            <v>G&amp;A expenses</v>
          </cell>
          <cell r="J901" t="str">
            <v>P.O 1507 - Vuelo Tijuana</v>
          </cell>
          <cell r="K901" t="str">
            <v>.</v>
          </cell>
          <cell r="L901">
            <v>0</v>
          </cell>
          <cell r="M901">
            <v>0</v>
          </cell>
          <cell r="N901">
            <v>0</v>
          </cell>
          <cell r="O901">
            <v>0</v>
          </cell>
          <cell r="Q901" t="str">
            <v>603.81.006 Gastos Administativos de venta</v>
          </cell>
        </row>
        <row r="902">
          <cell r="B902" t="str">
            <v>#70</v>
          </cell>
          <cell r="C902">
            <v>45817.715277777701</v>
          </cell>
          <cell r="D902">
            <v>393.42</v>
          </cell>
          <cell r="E902" t="str">
            <v>MXN</v>
          </cell>
          <cell r="F902" t="str">
            <v>Alfonso Bello</v>
          </cell>
          <cell r="G902" t="str">
            <v>UBER* PENDING          CIUDAD DE MEX MEX</v>
          </cell>
          <cell r="H902" t="str">
            <v>Uber</v>
          </cell>
          <cell r="I902" t="str">
            <v>G&amp;A expenses</v>
          </cell>
          <cell r="J902" t="str">
            <v>P.O 1507 - Transporte proyecto</v>
          </cell>
          <cell r="K902" t="str">
            <v>.</v>
          </cell>
          <cell r="L902">
            <v>0</v>
          </cell>
          <cell r="M902">
            <v>0</v>
          </cell>
          <cell r="N902">
            <v>0</v>
          </cell>
          <cell r="O902">
            <v>0</v>
          </cell>
          <cell r="Q902" t="str">
            <v>603.81.006 Gastos Administativos de venta</v>
          </cell>
        </row>
        <row r="903">
          <cell r="B903" t="str">
            <v>#70</v>
          </cell>
          <cell r="C903">
            <v>45818.082638888802</v>
          </cell>
          <cell r="D903">
            <v>400</v>
          </cell>
          <cell r="E903" t="str">
            <v>MXN</v>
          </cell>
          <cell r="F903" t="str">
            <v>Alfonso Bello</v>
          </cell>
          <cell r="G903" t="str">
            <v>TTE AEROPUERTO TIJ     TIJUANA BCN   MEX</v>
          </cell>
          <cell r="H903" t="str">
            <v>Tte Aeropuerto Tij Tijuana Bcn Mex</v>
          </cell>
          <cell r="I903" t="str">
            <v>G&amp;A expenses</v>
          </cell>
          <cell r="J903" t="str">
            <v>P.O 1507 - Transporte Aeropuerto-Hotel</v>
          </cell>
          <cell r="K903" t="str">
            <v>.</v>
          </cell>
          <cell r="L903">
            <v>0</v>
          </cell>
          <cell r="M903">
            <v>0</v>
          </cell>
          <cell r="N903">
            <v>0</v>
          </cell>
          <cell r="O903">
            <v>0</v>
          </cell>
          <cell r="Q903" t="str">
            <v>603.81.006 Gastos Administativos de venta</v>
          </cell>
        </row>
        <row r="904">
          <cell r="B904" t="str">
            <v>#70</v>
          </cell>
          <cell r="C904">
            <v>45818.106249999997</v>
          </cell>
          <cell r="D904">
            <v>1700.91</v>
          </cell>
          <cell r="E904" t="str">
            <v>MXN</v>
          </cell>
          <cell r="F904" t="str">
            <v>Alfonso Bello</v>
          </cell>
          <cell r="G904" t="str">
            <v>ONE TIJUANA OTAY       TIJUANA BCN   MEX</v>
          </cell>
          <cell r="H904" t="str">
            <v>One Tijuana Otay Tijuana Bcn Mex</v>
          </cell>
          <cell r="I904" t="str">
            <v>G&amp;A expenses</v>
          </cell>
          <cell r="J904" t="str">
            <v>P.O 1507 - Hospedaje</v>
          </cell>
          <cell r="K904" t="str">
            <v>.</v>
          </cell>
          <cell r="L904">
            <v>0</v>
          </cell>
          <cell r="M904">
            <v>0</v>
          </cell>
          <cell r="N904">
            <v>0</v>
          </cell>
          <cell r="O904">
            <v>0</v>
          </cell>
          <cell r="Q904" t="str">
            <v>603.81.006 Gastos Administativos de venta</v>
          </cell>
        </row>
        <row r="905">
          <cell r="B905" t="str">
            <v>#70</v>
          </cell>
          <cell r="C905">
            <v>45818.688194444403</v>
          </cell>
          <cell r="D905">
            <v>482.9</v>
          </cell>
          <cell r="E905" t="str">
            <v>MXN</v>
          </cell>
          <cell r="F905" t="str">
            <v>Alfonso Bello</v>
          </cell>
          <cell r="G905" t="str">
            <v>TOKS TIJUANA OTAY      TIJUANA BCN   MEX</v>
          </cell>
          <cell r="H905" t="str">
            <v>Toks Tijuana Otay Tijuana Bcn Mex</v>
          </cell>
          <cell r="I905" t="str">
            <v>G&amp;A expenses</v>
          </cell>
          <cell r="J905" t="str">
            <v>P.O 1507 - Viáticos</v>
          </cell>
          <cell r="K905" t="str">
            <v>.</v>
          </cell>
          <cell r="L905">
            <v>0</v>
          </cell>
          <cell r="M905">
            <v>0</v>
          </cell>
          <cell r="N905">
            <v>0</v>
          </cell>
          <cell r="O905">
            <v>0</v>
          </cell>
          <cell r="Q905" t="str">
            <v>603.81.006 Gastos Administativos de venta</v>
          </cell>
        </row>
        <row r="906">
          <cell r="B906" t="str">
            <v>#70</v>
          </cell>
          <cell r="C906">
            <v>45818.861111111102</v>
          </cell>
          <cell r="D906">
            <v>3754.06</v>
          </cell>
          <cell r="E906" t="str">
            <v>MXN</v>
          </cell>
          <cell r="F906" t="str">
            <v>Alfonso Bello</v>
          </cell>
          <cell r="G906" t="str">
            <v>VIVAAEROBUS WEB        APODACA NL    MEX</v>
          </cell>
          <cell r="H906" t="str">
            <v>Vivaaerobus</v>
          </cell>
          <cell r="I906" t="str">
            <v>G&amp;A expenses</v>
          </cell>
          <cell r="J906" t="str">
            <v>P.O 1507 - Vuelo Tijuana</v>
          </cell>
          <cell r="K906" t="str">
            <v>.</v>
          </cell>
          <cell r="L906">
            <v>0</v>
          </cell>
          <cell r="M906">
            <v>0</v>
          </cell>
          <cell r="N906">
            <v>0</v>
          </cell>
          <cell r="O906">
            <v>0</v>
          </cell>
          <cell r="Q906" t="str">
            <v>603.81.006 Gastos Administativos de venta</v>
          </cell>
        </row>
        <row r="907">
          <cell r="B907" t="str">
            <v>#70</v>
          </cell>
          <cell r="C907">
            <v>45818.925000000003</v>
          </cell>
          <cell r="D907">
            <v>545</v>
          </cell>
          <cell r="E907" t="str">
            <v>MXN</v>
          </cell>
          <cell r="F907" t="str">
            <v>Alfonso Bello</v>
          </cell>
          <cell r="G907" t="str">
            <v>ZTL*ELANTOJOCOMIDAMEXI CIUDAD DE MEX MEX</v>
          </cell>
          <cell r="H907" t="str">
            <v>Elantojocomidamexi Ciudad De Mex Mex</v>
          </cell>
          <cell r="I907" t="str">
            <v>G&amp;A expenses</v>
          </cell>
          <cell r="J907" t="str">
            <v>P.O 1507 - Viáticos</v>
          </cell>
          <cell r="K907" t="str">
            <v>.</v>
          </cell>
          <cell r="L907">
            <v>0</v>
          </cell>
          <cell r="M907">
            <v>0</v>
          </cell>
          <cell r="N907">
            <v>0</v>
          </cell>
          <cell r="O907">
            <v>0</v>
          </cell>
          <cell r="Q907" t="str">
            <v>603.81.006 Gastos Administativos de venta</v>
          </cell>
        </row>
        <row r="908">
          <cell r="B908" t="str">
            <v>#70</v>
          </cell>
          <cell r="C908">
            <v>45819.268055555498</v>
          </cell>
          <cell r="D908">
            <v>271.22000000000003</v>
          </cell>
          <cell r="E908" t="str">
            <v>MXN</v>
          </cell>
          <cell r="F908" t="str">
            <v>Alfonso Bello</v>
          </cell>
          <cell r="G908" t="str">
            <v>UBER* PENDING          CIUDAD DE MEX MEX</v>
          </cell>
          <cell r="H908" t="str">
            <v>Uber</v>
          </cell>
          <cell r="I908" t="str">
            <v>G&amp;A expenses</v>
          </cell>
          <cell r="J908" t="str">
            <v>P.O 1507 - Transporte proyecto</v>
          </cell>
          <cell r="K908" t="str">
            <v>.</v>
          </cell>
          <cell r="L908">
            <v>0</v>
          </cell>
          <cell r="M908">
            <v>0</v>
          </cell>
          <cell r="N908">
            <v>0</v>
          </cell>
          <cell r="O908">
            <v>0</v>
          </cell>
          <cell r="Q908" t="str">
            <v>603.81.006 Gastos Administativos de venta</v>
          </cell>
        </row>
        <row r="909">
          <cell r="B909" t="str">
            <v>#70</v>
          </cell>
          <cell r="C909">
            <v>45819.611805555498</v>
          </cell>
          <cell r="D909">
            <v>94.92</v>
          </cell>
          <cell r="E909" t="str">
            <v>MXN</v>
          </cell>
          <cell r="F909" t="str">
            <v>Alfonso Bello</v>
          </cell>
          <cell r="G909" t="str">
            <v>UBER* TRIP             CIUDAD DE MEX MEX</v>
          </cell>
          <cell r="H909" t="str">
            <v>Uber</v>
          </cell>
          <cell r="I909" t="str">
            <v>G&amp;A expenses</v>
          </cell>
          <cell r="J909" t="str">
            <v>P.O 1507 - Transporte proyecto</v>
          </cell>
          <cell r="K909" t="str">
            <v>.</v>
          </cell>
          <cell r="L909">
            <v>0</v>
          </cell>
          <cell r="M909">
            <v>0</v>
          </cell>
          <cell r="N909">
            <v>0</v>
          </cell>
          <cell r="O909">
            <v>0</v>
          </cell>
          <cell r="Q909" t="str">
            <v>603.81.006 Gastos Administativos de venta</v>
          </cell>
        </row>
        <row r="910">
          <cell r="B910" t="str">
            <v>#70</v>
          </cell>
          <cell r="C910">
            <v>45820.920833333301</v>
          </cell>
          <cell r="D910">
            <v>200</v>
          </cell>
          <cell r="E910" t="str">
            <v>MXN</v>
          </cell>
          <cell r="F910" t="str">
            <v>Alfonso Bello</v>
          </cell>
          <cell r="G910" t="str">
            <v>MERCADOPAGO *TELCEL    Miguel Hidalg MEX</v>
          </cell>
          <cell r="H910" t="str">
            <v>Mercadopago</v>
          </cell>
          <cell r="I910" t="str">
            <v>G&amp;A expenses</v>
          </cell>
          <cell r="J910" t="str">
            <v>P.O 1507 - Carga saldo Chip cámara</v>
          </cell>
          <cell r="K910" t="str">
            <v>.</v>
          </cell>
          <cell r="L910">
            <v>0</v>
          </cell>
          <cell r="M910">
            <v>0</v>
          </cell>
          <cell r="N910">
            <v>0</v>
          </cell>
          <cell r="O910">
            <v>0</v>
          </cell>
          <cell r="Q910" t="str">
            <v>603.81.006 Gastos Administativos de venta</v>
          </cell>
        </row>
        <row r="911">
          <cell r="B911" t="str">
            <v>#70</v>
          </cell>
          <cell r="C911">
            <v>45823.839583333298</v>
          </cell>
          <cell r="D911">
            <v>1639.36</v>
          </cell>
          <cell r="E911" t="str">
            <v>MXN</v>
          </cell>
          <cell r="F911" t="str">
            <v>Alfonso Bello</v>
          </cell>
          <cell r="G911" t="str">
            <v>SERV VISTA HERMOSA     CIUDAD DE MEX MEX</v>
          </cell>
          <cell r="H911" t="str">
            <v>Serv Vista Hermosa Ciudad De Mex Mex</v>
          </cell>
          <cell r="I911" t="str">
            <v>G&amp;A expenses</v>
          </cell>
          <cell r="J911" t="str">
            <v>P.O 1162 - Visitas a proyectos</v>
          </cell>
          <cell r="K911" t="str">
            <v>.</v>
          </cell>
          <cell r="L911">
            <v>0</v>
          </cell>
          <cell r="M911">
            <v>0</v>
          </cell>
          <cell r="N911">
            <v>0</v>
          </cell>
          <cell r="O911">
            <v>0</v>
          </cell>
          <cell r="Q911" t="str">
            <v>603.81.006 Gastos Administativos de venta</v>
          </cell>
        </row>
        <row r="912">
          <cell r="B912" t="str">
            <v>#70</v>
          </cell>
          <cell r="C912">
            <v>45825.804166666603</v>
          </cell>
          <cell r="D912">
            <v>183.75</v>
          </cell>
          <cell r="E912" t="str">
            <v>MXN</v>
          </cell>
          <cell r="F912" t="str">
            <v>Alfonso Bello</v>
          </cell>
          <cell r="G912" t="str">
            <v>OFFICE DEPOT HAMBURGO  CIUDAD DE MEX MEX</v>
          </cell>
          <cell r="H912" t="str">
            <v>Office Depot</v>
          </cell>
          <cell r="I912" t="str">
            <v>G&amp;A expenses</v>
          </cell>
          <cell r="J912" t="str">
            <v>P.O 1909 - Copias REFORMA 322</v>
          </cell>
          <cell r="K912" t="str">
            <v>.</v>
          </cell>
          <cell r="L912">
            <v>0</v>
          </cell>
          <cell r="M912">
            <v>0</v>
          </cell>
          <cell r="N912">
            <v>0</v>
          </cell>
          <cell r="O912">
            <v>0</v>
          </cell>
          <cell r="Q912" t="str">
            <v>603.81.006 Gastos Administativos de venta</v>
          </cell>
        </row>
        <row r="913">
          <cell r="B913" t="str">
            <v>#70</v>
          </cell>
          <cell r="C913">
            <v>45827.05</v>
          </cell>
          <cell r="D913">
            <v>1280.04</v>
          </cell>
          <cell r="E913" t="str">
            <v>MXN</v>
          </cell>
          <cell r="F913" t="str">
            <v>Alfonso Bello</v>
          </cell>
          <cell r="G913" t="str">
            <v>GAS 1 STOP PALMILLAS 1 SAN JUAN DEL  MEX</v>
          </cell>
          <cell r="H913" t="str">
            <v>Gas 1 Stop Palmillas 1 San Juan Del Mex</v>
          </cell>
          <cell r="I913" t="str">
            <v>G&amp;A expenses</v>
          </cell>
          <cell r="J913" t="str">
            <v>P.O 1507 - Visitas a Planta de EMACSA</v>
          </cell>
          <cell r="K913" t="str">
            <v>.</v>
          </cell>
          <cell r="L913">
            <v>0</v>
          </cell>
          <cell r="M913">
            <v>0</v>
          </cell>
          <cell r="N913">
            <v>0</v>
          </cell>
          <cell r="O913">
            <v>0</v>
          </cell>
          <cell r="Q913" t="str">
            <v>603.81.006 Gastos Administativos de venta</v>
          </cell>
        </row>
        <row r="914">
          <cell r="B914" t="str">
            <v>#70</v>
          </cell>
          <cell r="C914">
            <v>45827.8465277777</v>
          </cell>
          <cell r="D914">
            <v>1965.7</v>
          </cell>
          <cell r="E914" t="str">
            <v>MXN</v>
          </cell>
          <cell r="F914" t="str">
            <v>Alfonso Bello</v>
          </cell>
          <cell r="G914" t="str">
            <v>CHILLIS ZONA ROSA      MEXICO DF     MEX</v>
          </cell>
          <cell r="H914" t="str">
            <v>Rosa Mexico</v>
          </cell>
          <cell r="I914" t="str">
            <v>G&amp;A expenses</v>
          </cell>
          <cell r="J914" t="str">
            <v>P.O 1909 - Comida con residente de obra Mauricio Quiroz</v>
          </cell>
          <cell r="K914" t="str">
            <v>.</v>
          </cell>
          <cell r="L914">
            <v>0</v>
          </cell>
          <cell r="M914">
            <v>0</v>
          </cell>
          <cell r="N914">
            <v>0</v>
          </cell>
          <cell r="O914">
            <v>0</v>
          </cell>
          <cell r="Q914" t="str">
            <v>603.81.006 Gastos Administativos de venta</v>
          </cell>
        </row>
        <row r="915">
          <cell r="B915" t="str">
            <v>#70</v>
          </cell>
          <cell r="C915">
            <v>45828.981249999997</v>
          </cell>
          <cell r="D915">
            <v>6559</v>
          </cell>
          <cell r="E915" t="str">
            <v>MXN</v>
          </cell>
          <cell r="F915" t="str">
            <v>Alfonso Bello</v>
          </cell>
          <cell r="G915" t="str">
            <v>MERCADOPAGO *COMERCIA  Ciudad de Mex MEX</v>
          </cell>
          <cell r="H915" t="str">
            <v>Mercadopago</v>
          </cell>
          <cell r="I915" t="str">
            <v>Capex</v>
          </cell>
          <cell r="J915" t="str">
            <v>P.O 1410 - Cámara FRIALSA</v>
          </cell>
          <cell r="K915" t="str">
            <v>.</v>
          </cell>
          <cell r="L915">
            <v>0</v>
          </cell>
          <cell r="M915">
            <v>0</v>
          </cell>
          <cell r="N915">
            <v>0</v>
          </cell>
          <cell r="O915">
            <v>0</v>
          </cell>
          <cell r="Q915" t="str">
            <v>603.81.006 Gastos Administativos de venta</v>
          </cell>
        </row>
        <row r="916">
          <cell r="B916" t="str">
            <v>#70</v>
          </cell>
          <cell r="C916">
            <v>45831.887499999997</v>
          </cell>
          <cell r="D916">
            <v>616.09</v>
          </cell>
          <cell r="E916" t="str">
            <v>MXN</v>
          </cell>
          <cell r="F916" t="str">
            <v>Alfonso Bello</v>
          </cell>
          <cell r="G916" t="str">
            <v>DHL C E SANTA FE       CIUDAD DE MEX MEX</v>
          </cell>
          <cell r="H916" t="str">
            <v>DHL</v>
          </cell>
          <cell r="I916" t="str">
            <v>Sales</v>
          </cell>
          <cell r="J916" t="str">
            <v>P.O 1507 - Libretas promocionales para TIJANA</v>
          </cell>
          <cell r="K916" t="str">
            <v>.</v>
          </cell>
          <cell r="L916">
            <v>0</v>
          </cell>
          <cell r="M916">
            <v>0</v>
          </cell>
          <cell r="N916">
            <v>0</v>
          </cell>
          <cell r="O916">
            <v>0</v>
          </cell>
          <cell r="Q916" t="str">
            <v>603.81.006 Gastos Administativos de venta</v>
          </cell>
        </row>
        <row r="917">
          <cell r="B917" t="str">
            <v>#70</v>
          </cell>
          <cell r="C917">
            <v>45832.719444444403</v>
          </cell>
          <cell r="D917">
            <v>94.28</v>
          </cell>
          <cell r="E917" t="str">
            <v>MXN</v>
          </cell>
          <cell r="F917" t="str">
            <v>Alfonso Bello</v>
          </cell>
          <cell r="G917" t="str">
            <v>UBER* PENDING          CIUDAD DE MEX MEX</v>
          </cell>
          <cell r="H917" t="str">
            <v>Uber</v>
          </cell>
          <cell r="I917" t="str">
            <v>G&amp;A expenses</v>
          </cell>
          <cell r="J917" t="str">
            <v>P.O 1507 - Transporte proyecto</v>
          </cell>
          <cell r="K917" t="str">
            <v>.</v>
          </cell>
          <cell r="L917">
            <v>0</v>
          </cell>
          <cell r="M917">
            <v>0</v>
          </cell>
          <cell r="N917">
            <v>0</v>
          </cell>
          <cell r="O917">
            <v>0</v>
          </cell>
          <cell r="Q917" t="str">
            <v>603.81.006 Gastos Administativos de venta</v>
          </cell>
        </row>
        <row r="918">
          <cell r="B918" t="str">
            <v>#71</v>
          </cell>
          <cell r="C918">
            <v>45811.011111111096</v>
          </cell>
          <cell r="D918">
            <v>6736.37</v>
          </cell>
          <cell r="E918" t="str">
            <v>MXN</v>
          </cell>
          <cell r="F918" t="str">
            <v>Cole Anderson</v>
          </cell>
          <cell r="G918" t="str">
            <v>APOLLO.IO              +14156912009  USA</v>
          </cell>
          <cell r="H918" t="str">
            <v>Apollo.Io</v>
          </cell>
          <cell r="I918" t="str">
            <v>Sales</v>
          </cell>
          <cell r="J918">
            <v>0</v>
          </cell>
          <cell r="K918" t="str">
            <v>.</v>
          </cell>
          <cell r="L918">
            <v>0</v>
          </cell>
          <cell r="M918">
            <v>0</v>
          </cell>
          <cell r="N918">
            <v>0</v>
          </cell>
          <cell r="O918">
            <v>0</v>
          </cell>
          <cell r="Q918" t="str">
            <v>603.81.006 Gastos Administativos de venta</v>
          </cell>
        </row>
        <row r="919">
          <cell r="B919" t="str">
            <v>#71</v>
          </cell>
          <cell r="C919">
            <v>45813.851388888797</v>
          </cell>
          <cell r="D919">
            <v>819.55</v>
          </cell>
          <cell r="E919" t="str">
            <v>MXN</v>
          </cell>
          <cell r="F919" t="str">
            <v>Cole Anderson</v>
          </cell>
          <cell r="G919" t="str">
            <v>UBER   * PENDING       SAN FRANCISCO USA</v>
          </cell>
          <cell r="H919" t="str">
            <v>Uber</v>
          </cell>
          <cell r="I919" t="str">
            <v>Sales</v>
          </cell>
          <cell r="J919">
            <v>0</v>
          </cell>
          <cell r="K919" t="str">
            <v>.</v>
          </cell>
          <cell r="L919">
            <v>0</v>
          </cell>
          <cell r="M919">
            <v>0</v>
          </cell>
          <cell r="N919">
            <v>0</v>
          </cell>
          <cell r="O919">
            <v>0</v>
          </cell>
          <cell r="Q919" t="str">
            <v>603.81.006 Gastos Administativos de venta</v>
          </cell>
        </row>
        <row r="920">
          <cell r="B920" t="str">
            <v>#71</v>
          </cell>
          <cell r="C920">
            <v>45813.900694444397</v>
          </cell>
          <cell r="D920">
            <v>864.37</v>
          </cell>
          <cell r="E920" t="str">
            <v>MXN</v>
          </cell>
          <cell r="F920" t="str">
            <v>Cole Anderson</v>
          </cell>
          <cell r="G920" t="str">
            <v>UBER   * PENDING       SAN FRANCISCO USA</v>
          </cell>
          <cell r="H920" t="str">
            <v>Uber</v>
          </cell>
          <cell r="I920" t="str">
            <v>Sales</v>
          </cell>
          <cell r="J920">
            <v>0</v>
          </cell>
          <cell r="K920" t="str">
            <v>.</v>
          </cell>
          <cell r="L920">
            <v>0</v>
          </cell>
          <cell r="M920">
            <v>0</v>
          </cell>
          <cell r="N920">
            <v>0</v>
          </cell>
          <cell r="O920">
            <v>0</v>
          </cell>
          <cell r="Q920" t="str">
            <v>603.81.006 Gastos Administativos de venta</v>
          </cell>
        </row>
        <row r="921">
          <cell r="B921" t="str">
            <v>#71</v>
          </cell>
          <cell r="C921">
            <v>45815.656944444403</v>
          </cell>
          <cell r="D921">
            <v>599.53</v>
          </cell>
          <cell r="E921" t="str">
            <v>MXN</v>
          </cell>
          <cell r="F921" t="str">
            <v>Cole Anderson</v>
          </cell>
          <cell r="G921" t="str">
            <v>LUMIN PDF SE40QGJYOE5B +18002419323  NZL</v>
          </cell>
          <cell r="H921" t="str">
            <v>Lumin</v>
          </cell>
          <cell r="I921" t="str">
            <v>Sales</v>
          </cell>
          <cell r="J921">
            <v>0</v>
          </cell>
          <cell r="K921" t="str">
            <v>.</v>
          </cell>
          <cell r="L921">
            <v>0</v>
          </cell>
          <cell r="M921">
            <v>0</v>
          </cell>
          <cell r="N921">
            <v>0</v>
          </cell>
          <cell r="O921">
            <v>0</v>
          </cell>
          <cell r="Q921" t="str">
            <v>603.81.006 Gastos Administativos de venta</v>
          </cell>
        </row>
        <row r="922">
          <cell r="B922" t="str">
            <v>#71</v>
          </cell>
          <cell r="C922">
            <v>45817.0534722222</v>
          </cell>
          <cell r="D922">
            <v>10905.6</v>
          </cell>
          <cell r="E922" t="str">
            <v>MXN</v>
          </cell>
          <cell r="F922" t="str">
            <v>Cole Anderson</v>
          </cell>
          <cell r="G922" t="str">
            <v>AMERICAN AIRLINES      PHOENIX       USA</v>
          </cell>
          <cell r="H922" t="str">
            <v>American Airlines</v>
          </cell>
          <cell r="I922">
            <v>0</v>
          </cell>
          <cell r="J922">
            <v>0</v>
          </cell>
          <cell r="K922" t="str">
            <v>.</v>
          </cell>
          <cell r="L922">
            <v>0</v>
          </cell>
          <cell r="M922">
            <v>0</v>
          </cell>
          <cell r="N922">
            <v>0</v>
          </cell>
          <cell r="O922">
            <v>0</v>
          </cell>
          <cell r="Q922" t="str">
            <v>603.81.006 Gastos Administativos de venta</v>
          </cell>
        </row>
        <row r="923">
          <cell r="B923" t="str">
            <v>#71</v>
          </cell>
          <cell r="C923">
            <v>45820.0625</v>
          </cell>
          <cell r="D923">
            <v>296.72000000000003</v>
          </cell>
          <cell r="E923" t="str">
            <v>MXN</v>
          </cell>
          <cell r="F923" t="str">
            <v>Cole Anderson</v>
          </cell>
          <cell r="G923" t="str">
            <v>UBER   * PENDING       SAN FRANCISCO USA</v>
          </cell>
          <cell r="H923" t="str">
            <v>Uber</v>
          </cell>
          <cell r="I923">
            <v>0</v>
          </cell>
          <cell r="J923">
            <v>0</v>
          </cell>
          <cell r="K923" t="str">
            <v>.</v>
          </cell>
          <cell r="L923">
            <v>0</v>
          </cell>
          <cell r="M923">
            <v>0</v>
          </cell>
          <cell r="N923">
            <v>0</v>
          </cell>
          <cell r="O923">
            <v>0</v>
          </cell>
          <cell r="Q923" t="str">
            <v>603.81.006 Gastos Administativos de venta</v>
          </cell>
        </row>
        <row r="924">
          <cell r="B924" t="str">
            <v>#71</v>
          </cell>
          <cell r="C924">
            <v>45820.8076388888</v>
          </cell>
          <cell r="D924">
            <v>826.41</v>
          </cell>
          <cell r="E924" t="str">
            <v>MXN</v>
          </cell>
          <cell r="F924" t="str">
            <v>Cole Anderson</v>
          </cell>
          <cell r="G924" t="str">
            <v>UBER   * PENDING       SAN FRANCISCO USA</v>
          </cell>
          <cell r="H924" t="str">
            <v>Uber</v>
          </cell>
          <cell r="I924">
            <v>0</v>
          </cell>
          <cell r="J924">
            <v>0</v>
          </cell>
          <cell r="K924" t="str">
            <v>.</v>
          </cell>
          <cell r="L924">
            <v>0</v>
          </cell>
          <cell r="M924">
            <v>0</v>
          </cell>
          <cell r="N924">
            <v>0</v>
          </cell>
          <cell r="O924">
            <v>0</v>
          </cell>
          <cell r="Q924" t="str">
            <v>603.81.006 Gastos Administativos de venta</v>
          </cell>
        </row>
        <row r="925">
          <cell r="B925" t="str">
            <v>#71</v>
          </cell>
          <cell r="C925">
            <v>45821.84375</v>
          </cell>
          <cell r="D925">
            <v>375.28</v>
          </cell>
          <cell r="E925" t="str">
            <v>MXN</v>
          </cell>
          <cell r="F925" t="str">
            <v>Cole Anderson</v>
          </cell>
          <cell r="G925" t="str">
            <v>UBER   *TRIP           SAN FRANCISCO USA</v>
          </cell>
          <cell r="H925" t="str">
            <v>Uber</v>
          </cell>
          <cell r="I925">
            <v>0</v>
          </cell>
          <cell r="J925">
            <v>0</v>
          </cell>
          <cell r="K925" t="str">
            <v>.</v>
          </cell>
          <cell r="L925">
            <v>0</v>
          </cell>
          <cell r="M925">
            <v>0</v>
          </cell>
          <cell r="N925">
            <v>0</v>
          </cell>
          <cell r="O925">
            <v>0</v>
          </cell>
          <cell r="Q925" t="str">
            <v>603.81.006 Gastos Administativos de venta</v>
          </cell>
        </row>
        <row r="926">
          <cell r="B926" t="str">
            <v>#71</v>
          </cell>
          <cell r="C926">
            <v>45824.352083333302</v>
          </cell>
          <cell r="D926">
            <v>215.3</v>
          </cell>
          <cell r="E926" t="str">
            <v>MXN</v>
          </cell>
          <cell r="F926" t="str">
            <v>Cole Anderson</v>
          </cell>
          <cell r="G926" t="str">
            <v>UBER   * PENDING       SAN FRANCISCO USA</v>
          </cell>
          <cell r="H926" t="str">
            <v>Uber</v>
          </cell>
          <cell r="I926">
            <v>0</v>
          </cell>
          <cell r="J926">
            <v>0</v>
          </cell>
          <cell r="K926" t="str">
            <v>.</v>
          </cell>
          <cell r="L926">
            <v>0</v>
          </cell>
          <cell r="M926">
            <v>0</v>
          </cell>
          <cell r="N926">
            <v>0</v>
          </cell>
          <cell r="O926">
            <v>0</v>
          </cell>
          <cell r="Q926" t="str">
            <v>603.81.006 Gastos Administativos de venta</v>
          </cell>
        </row>
        <row r="927">
          <cell r="B927" t="str">
            <v>#71</v>
          </cell>
          <cell r="C927">
            <v>45830.844444444403</v>
          </cell>
          <cell r="D927">
            <v>2778.1</v>
          </cell>
          <cell r="E927" t="str">
            <v>MXN</v>
          </cell>
          <cell r="F927" t="str">
            <v>Cole Anderson</v>
          </cell>
          <cell r="G927" t="str">
            <v>LinkedIn SN P462160766 LINKEDIN.COM  IRL</v>
          </cell>
          <cell r="H927" t="str">
            <v>Linkedin</v>
          </cell>
          <cell r="I927">
            <v>0</v>
          </cell>
          <cell r="J927">
            <v>0</v>
          </cell>
          <cell r="K927" t="str">
            <v>.</v>
          </cell>
          <cell r="L927">
            <v>0</v>
          </cell>
          <cell r="M927">
            <v>0</v>
          </cell>
          <cell r="N927">
            <v>0</v>
          </cell>
          <cell r="O927">
            <v>0</v>
          </cell>
          <cell r="Q927" t="str">
            <v>603.81.006 Gastos Administativos de venta</v>
          </cell>
        </row>
        <row r="928">
          <cell r="B928" t="str">
            <v>#71</v>
          </cell>
          <cell r="C928">
            <v>45833.688194444403</v>
          </cell>
          <cell r="D928">
            <v>8729.8700000000008</v>
          </cell>
          <cell r="E928" t="str">
            <v>MXN</v>
          </cell>
          <cell r="F928" t="str">
            <v>Cole Anderson</v>
          </cell>
          <cell r="G928" t="str">
            <v>AMERICAN AIRLINES      PHOENIX       USA</v>
          </cell>
          <cell r="H928" t="str">
            <v>American Airlines</v>
          </cell>
          <cell r="I928">
            <v>0</v>
          </cell>
          <cell r="J928">
            <v>0</v>
          </cell>
          <cell r="K928" t="str">
            <v>.</v>
          </cell>
          <cell r="L928">
            <v>0</v>
          </cell>
          <cell r="M928">
            <v>0</v>
          </cell>
          <cell r="N928">
            <v>0</v>
          </cell>
          <cell r="O928">
            <v>0</v>
          </cell>
          <cell r="Q928" t="str">
            <v>603.81.006 Gastos Administativos de venta</v>
          </cell>
        </row>
        <row r="929">
          <cell r="B929" t="str">
            <v>#71</v>
          </cell>
          <cell r="C929">
            <v>45838.055555555497</v>
          </cell>
          <cell r="D929">
            <v>170.39</v>
          </cell>
          <cell r="E929" t="str">
            <v>MXN</v>
          </cell>
          <cell r="F929" t="str">
            <v>Cole Anderson</v>
          </cell>
          <cell r="G929" t="str">
            <v>UBER* TRIP             CIUDAD DE MEX MEX</v>
          </cell>
          <cell r="H929" t="str">
            <v>Uber</v>
          </cell>
          <cell r="I929">
            <v>0</v>
          </cell>
          <cell r="J929">
            <v>0</v>
          </cell>
          <cell r="K929" t="str">
            <v>.</v>
          </cell>
          <cell r="L929">
            <v>0</v>
          </cell>
          <cell r="M929">
            <v>0</v>
          </cell>
          <cell r="N929">
            <v>0</v>
          </cell>
          <cell r="O929">
            <v>0</v>
          </cell>
          <cell r="Q929" t="str">
            <v>603.81.006 Gastos Administativos de venta</v>
          </cell>
        </row>
        <row r="930">
          <cell r="B930" t="str">
            <v>#71</v>
          </cell>
          <cell r="C930">
            <v>45838.613888888802</v>
          </cell>
          <cell r="D930">
            <v>230.41</v>
          </cell>
          <cell r="E930" t="str">
            <v>MXN</v>
          </cell>
          <cell r="F930" t="str">
            <v>Cole Anderson</v>
          </cell>
          <cell r="G930" t="str">
            <v>UBER *TRIP HELP.UBER.C CMX           MEX</v>
          </cell>
          <cell r="H930" t="str">
            <v>Uber</v>
          </cell>
          <cell r="I930">
            <v>0</v>
          </cell>
          <cell r="J930">
            <v>0</v>
          </cell>
          <cell r="K930" t="str">
            <v>.</v>
          </cell>
          <cell r="L930">
            <v>0</v>
          </cell>
          <cell r="M930">
            <v>0</v>
          </cell>
          <cell r="N930">
            <v>0</v>
          </cell>
          <cell r="O930">
            <v>0</v>
          </cell>
          <cell r="Q930" t="str">
            <v>603.81.006 Gastos Administativos de venta</v>
          </cell>
        </row>
        <row r="931">
          <cell r="B931" t="str">
            <v>-</v>
          </cell>
          <cell r="C931">
            <v>45820.152777777781</v>
          </cell>
          <cell r="D931">
            <v>1100</v>
          </cell>
          <cell r="E931" t="str">
            <v>MXN</v>
          </cell>
          <cell r="F931" t="str">
            <v>Mariano Alcaraz Aguilar</v>
          </cell>
          <cell r="G931" t="str">
            <v>MERCADOPAGO *PADELDV   Alvaro Obregn MEX</v>
          </cell>
          <cell r="H931" t="str">
            <v>Mercadopago</v>
          </cell>
          <cell r="I931">
            <v>3283</v>
          </cell>
          <cell r="J931" t="str">
            <v>Recreation Services</v>
          </cell>
          <cell r="K931">
            <v>0</v>
          </cell>
          <cell r="L931">
            <v>0</v>
          </cell>
          <cell r="M931">
            <v>0</v>
          </cell>
          <cell r="N931">
            <v>0</v>
          </cell>
          <cell r="O931">
            <v>0</v>
          </cell>
          <cell r="Q931" t="str">
            <v>603.81.006 Gastos Administativos de venta</v>
          </cell>
        </row>
        <row r="932">
          <cell r="B932" t="str">
            <v>#73</v>
          </cell>
          <cell r="C932">
            <v>45816.633333333302</v>
          </cell>
          <cell r="D932">
            <v>2579.81</v>
          </cell>
          <cell r="E932" t="str">
            <v>MXN</v>
          </cell>
          <cell r="F932" t="str">
            <v>Alan Renzenbrink</v>
          </cell>
          <cell r="G932" t="str">
            <v>LinkedIn SN P441519576 Mountain View USA</v>
          </cell>
          <cell r="H932" t="str">
            <v>Linkedin</v>
          </cell>
          <cell r="I932" t="str">
            <v>Sales</v>
          </cell>
          <cell r="J932">
            <v>0</v>
          </cell>
          <cell r="K932" t="str">
            <v>.</v>
          </cell>
          <cell r="L932">
            <v>0</v>
          </cell>
          <cell r="M932">
            <v>0</v>
          </cell>
          <cell r="N932">
            <v>0</v>
          </cell>
          <cell r="O932">
            <v>0</v>
          </cell>
          <cell r="Q932" t="str">
            <v>603.32.001 Reclutamiento</v>
          </cell>
        </row>
        <row r="933">
          <cell r="B933" t="str">
            <v>#74</v>
          </cell>
          <cell r="C933">
            <v>45817.7229166666</v>
          </cell>
          <cell r="D933">
            <v>2194.9899999999998</v>
          </cell>
          <cell r="E933" t="str">
            <v>MXN</v>
          </cell>
          <cell r="F933" t="str">
            <v>Julio Cesar Guemes Reynoso</v>
          </cell>
          <cell r="G933" t="str">
            <v>PR*LINKEDIN CR         CIUDAD DE MEX MEX</v>
          </cell>
          <cell r="H933" t="str">
            <v>Linkedin</v>
          </cell>
          <cell r="I933" t="str">
            <v>Sales</v>
          </cell>
          <cell r="J933" t="str">
            <v>Prospección de clientes</v>
          </cell>
          <cell r="K933">
            <v>781109191458</v>
          </cell>
          <cell r="L933">
            <v>0</v>
          </cell>
          <cell r="M933">
            <v>0</v>
          </cell>
          <cell r="N933">
            <v>0</v>
          </cell>
          <cell r="O933">
            <v>0</v>
          </cell>
          <cell r="Q933" t="str">
            <v>603.81.006 Gastos Administativos de venta</v>
          </cell>
        </row>
        <row r="934">
          <cell r="B934" t="str">
            <v>#74</v>
          </cell>
          <cell r="C934">
            <v>45818.880555555501</v>
          </cell>
          <cell r="D934">
            <v>2900</v>
          </cell>
          <cell r="E934" t="str">
            <v>MXN</v>
          </cell>
          <cell r="F934" t="str">
            <v>Julio Cesar Guemes Reynoso</v>
          </cell>
          <cell r="G934" t="str">
            <v>CLIP MX*ASOC AIPM AC   MIGUEL HIDALG MEX</v>
          </cell>
          <cell r="H934" t="str">
            <v>Clip Mx Asoc Aipm Ac Miguel Hidalg Mex</v>
          </cell>
          <cell r="I934" t="str">
            <v>Sales</v>
          </cell>
          <cell r="J934" t="str">
            <v>Congreso Mexico del Pedtroleo (se cancelo y enviaran un reembolso)</v>
          </cell>
          <cell r="K934" t="str">
            <v>No se genero factura por la cancelación</v>
          </cell>
          <cell r="L934">
            <v>0</v>
          </cell>
          <cell r="M934">
            <v>0</v>
          </cell>
          <cell r="N934">
            <v>0</v>
          </cell>
          <cell r="O934">
            <v>0</v>
          </cell>
          <cell r="Q934" t="str">
            <v>603.81.006 Gastos Administativos de venta</v>
          </cell>
        </row>
        <row r="935">
          <cell r="B935" t="str">
            <v>#74</v>
          </cell>
          <cell r="C935">
            <v>45818.886111111096</v>
          </cell>
          <cell r="D935">
            <v>3838.16</v>
          </cell>
          <cell r="E935" t="str">
            <v>MXN</v>
          </cell>
          <cell r="F935" t="str">
            <v>Julio Cesar Guemes Reynoso</v>
          </cell>
          <cell r="G935" t="str">
            <v>VIVAAEROBUS WEB        APODACA NL    MEX</v>
          </cell>
          <cell r="H935" t="str">
            <v>Vivaaerobus</v>
          </cell>
          <cell r="I935" t="str">
            <v>Sales</v>
          </cell>
          <cell r="J935" t="str">
            <v>Vuelo a Acapulco al CMP (se cancelo y enviaron reembolso)</v>
          </cell>
          <cell r="K935" t="str">
            <v>No se genero factura por la cancelación</v>
          </cell>
          <cell r="L935">
            <v>0</v>
          </cell>
          <cell r="M935">
            <v>0</v>
          </cell>
          <cell r="N935">
            <v>0</v>
          </cell>
          <cell r="O935">
            <v>0</v>
          </cell>
          <cell r="Q935" t="str">
            <v>603.81.006 Gastos Administativos de venta</v>
          </cell>
        </row>
        <row r="936">
          <cell r="B936" t="str">
            <v>#74</v>
          </cell>
          <cell r="C936">
            <v>45821.036805555501</v>
          </cell>
          <cell r="D936">
            <v>3299.16</v>
          </cell>
          <cell r="E936" t="str">
            <v>MXN</v>
          </cell>
          <cell r="F936" t="str">
            <v>Julio Cesar Guemes Reynoso</v>
          </cell>
          <cell r="G936" t="str">
            <v>CLIP MX*SERV CCS HOSPI CUAUHTEMOC    MEX</v>
          </cell>
          <cell r="H936" t="str">
            <v>Clip Mx Serv Ccs Hospi Cuauhtemoc Mex</v>
          </cell>
          <cell r="I936" t="str">
            <v>Sales</v>
          </cell>
          <cell r="J936" t="str">
            <v>Hotel Acapulco (se cancelo enviaran reembolso)</v>
          </cell>
          <cell r="K936" t="str">
            <v>No se genero factura por la cancelación</v>
          </cell>
          <cell r="L936">
            <v>0</v>
          </cell>
          <cell r="M936">
            <v>0</v>
          </cell>
          <cell r="N936">
            <v>0</v>
          </cell>
          <cell r="O936">
            <v>0</v>
          </cell>
          <cell r="Q936" t="str">
            <v>603.81.006 Gastos Administativos de venta</v>
          </cell>
        </row>
        <row r="937">
          <cell r="B937" t="str">
            <v>#74</v>
          </cell>
          <cell r="C937">
            <v>45825.777083333298</v>
          </cell>
          <cell r="D937">
            <v>1946</v>
          </cell>
          <cell r="E937" t="str">
            <v>MXN</v>
          </cell>
          <cell r="F937" t="str">
            <v>Julio Cesar Guemes Reynoso</v>
          </cell>
          <cell r="G937" t="str">
            <v>AUT EXPRESO FUTURA TAQ SN LUIS POTOS MEX</v>
          </cell>
          <cell r="H937" t="str">
            <v>Aut Expreso Futura Taq Sn Luis Potos Mex</v>
          </cell>
          <cell r="I937" t="str">
            <v>Sales</v>
          </cell>
          <cell r="J937" t="str">
            <v>SLP-CDMX (Julio y Tommaso)</v>
          </cell>
          <cell r="K937" t="str">
            <v xml:space="preserve"> 03211 - 296431</v>
          </cell>
          <cell r="L937">
            <v>0</v>
          </cell>
          <cell r="M937">
            <v>0</v>
          </cell>
          <cell r="N937">
            <v>0</v>
          </cell>
          <cell r="O937">
            <v>0</v>
          </cell>
          <cell r="Q937" t="str">
            <v>603.81.006 Gastos Administativos de venta</v>
          </cell>
        </row>
        <row r="938">
          <cell r="B938" t="str">
            <v>#74</v>
          </cell>
          <cell r="C938">
            <v>45831.101388888797</v>
          </cell>
          <cell r="D938">
            <v>3838.16</v>
          </cell>
          <cell r="E938" t="str">
            <v>MXN</v>
          </cell>
          <cell r="F938" t="str">
            <v>Julio Cesar Guemes Reynoso</v>
          </cell>
          <cell r="G938" t="str">
            <v>20250621T00:00:00/VIVAAEROBUS WEB\CARR MIGUEL ALEMAN KM 24 SN\APODACA NL\066629    APOMEX</v>
          </cell>
          <cell r="H938" t="str">
            <v>Vivaaerobus</v>
          </cell>
          <cell r="I938" t="str">
            <v>Sales</v>
          </cell>
          <cell r="J938" t="str">
            <v>Debe ser el reembolso porque el monto es igual</v>
          </cell>
          <cell r="K938" t="str">
            <v>No se genero factura por la cancelación</v>
          </cell>
          <cell r="L938">
            <v>0</v>
          </cell>
          <cell r="M938">
            <v>0</v>
          </cell>
          <cell r="N938">
            <v>0</v>
          </cell>
          <cell r="O938">
            <v>0</v>
          </cell>
          <cell r="Q938" t="str">
            <v>603.81.006 Gastos Administativos de venta</v>
          </cell>
        </row>
        <row r="939">
          <cell r="B939" t="str">
            <v>#74</v>
          </cell>
          <cell r="C939">
            <v>45832.749305555502</v>
          </cell>
          <cell r="D939">
            <v>140.1</v>
          </cell>
          <cell r="E939" t="str">
            <v>MXN</v>
          </cell>
          <cell r="F939" t="str">
            <v>Julio Cesar Guemes Reynoso</v>
          </cell>
          <cell r="G939" t="str">
            <v>UBER* PENDING          CIUDAD DE MEX MEX</v>
          </cell>
          <cell r="H939" t="str">
            <v>Uber</v>
          </cell>
          <cell r="I939" t="str">
            <v>Sales</v>
          </cell>
          <cell r="J939" t="str">
            <v>Movimientos en CDMX</v>
          </cell>
          <cell r="K939">
            <v>0</v>
          </cell>
          <cell r="L939">
            <v>0</v>
          </cell>
          <cell r="M939">
            <v>0</v>
          </cell>
          <cell r="N939">
            <v>0</v>
          </cell>
          <cell r="O939">
            <v>0</v>
          </cell>
          <cell r="Q939" t="str">
            <v>603.81.006 Gastos Administativos de venta</v>
          </cell>
        </row>
        <row r="940">
          <cell r="B940" t="str">
            <v>#74</v>
          </cell>
          <cell r="C940">
            <v>45832.918055555499</v>
          </cell>
          <cell r="D940">
            <v>511.75</v>
          </cell>
          <cell r="E940" t="str">
            <v>MXN</v>
          </cell>
          <cell r="F940" t="str">
            <v>Julio Cesar Guemes Reynoso</v>
          </cell>
          <cell r="G940" t="str">
            <v>RESTAURANTE IL RICO    APAXCO EM     MEX</v>
          </cell>
          <cell r="H940" t="str">
            <v>Restaurante Il Rico Apaxco Em Mex</v>
          </cell>
          <cell r="I940" t="str">
            <v>Sales</v>
          </cell>
          <cell r="J940" t="str">
            <v>Comida visita a Cementos Fortaleza</v>
          </cell>
          <cell r="K940" t="str">
            <v>E77A6846-5C4C-4BB9-B070-226EC3E46150</v>
          </cell>
          <cell r="L940">
            <v>0</v>
          </cell>
          <cell r="M940">
            <v>0</v>
          </cell>
          <cell r="N940">
            <v>0</v>
          </cell>
          <cell r="O940">
            <v>0</v>
          </cell>
          <cell r="Q940" t="str">
            <v>603.81.006 Gastos Administativos de venta</v>
          </cell>
        </row>
        <row r="941">
          <cell r="B941" t="str">
            <v>#74</v>
          </cell>
          <cell r="C941">
            <v>45834.722222222197</v>
          </cell>
          <cell r="D941">
            <v>438.28</v>
          </cell>
          <cell r="E941" t="str">
            <v>MXN</v>
          </cell>
          <cell r="F941" t="str">
            <v>Julio Cesar Guemes Reynoso</v>
          </cell>
          <cell r="G941" t="str">
            <v>UBER* TRIP             CIUDAD DE MEX MEX</v>
          </cell>
          <cell r="H941" t="str">
            <v>Uber</v>
          </cell>
          <cell r="I941" t="str">
            <v>Sales</v>
          </cell>
          <cell r="J941" t="str">
            <v>Movimientos en CDMX</v>
          </cell>
          <cell r="K941">
            <v>0</v>
          </cell>
          <cell r="L941">
            <v>0</v>
          </cell>
          <cell r="M941">
            <v>0</v>
          </cell>
          <cell r="N941">
            <v>0</v>
          </cell>
          <cell r="O941">
            <v>0</v>
          </cell>
          <cell r="Q941" t="str">
            <v>603.81.006 Gastos Administativos de venta</v>
          </cell>
        </row>
        <row r="942">
          <cell r="B942" t="str">
            <v>#74</v>
          </cell>
          <cell r="C942">
            <v>45838.768055555498</v>
          </cell>
          <cell r="D942">
            <v>28.11</v>
          </cell>
          <cell r="E942" t="str">
            <v>MXN</v>
          </cell>
          <cell r="F942" t="str">
            <v>Julio Cesar Guemes Reynoso</v>
          </cell>
          <cell r="G942" t="str">
            <v>UBER *TRIP HELP.UBER.C CMX           MEX</v>
          </cell>
          <cell r="H942" t="str">
            <v>Uber</v>
          </cell>
          <cell r="I942" t="str">
            <v>Sales</v>
          </cell>
          <cell r="J942" t="str">
            <v>Movimientos en CDMX</v>
          </cell>
          <cell r="K942" t="str">
            <v>.</v>
          </cell>
          <cell r="L942">
            <v>0</v>
          </cell>
          <cell r="M942">
            <v>0</v>
          </cell>
          <cell r="N942">
            <v>0</v>
          </cell>
          <cell r="O942">
            <v>0</v>
          </cell>
          <cell r="Q942" t="str">
            <v>603.81.006 Gastos Administativos de venta</v>
          </cell>
        </row>
        <row r="943">
          <cell r="B943" t="str">
            <v>#76</v>
          </cell>
          <cell r="C943">
            <v>45810.615277777702</v>
          </cell>
          <cell r="D943">
            <v>1048.46</v>
          </cell>
          <cell r="E943" t="str">
            <v>MXN</v>
          </cell>
          <cell r="F943" t="str">
            <v>Alan Gillengerten</v>
          </cell>
          <cell r="G943" t="str">
            <v>ESET WWW.ESET.COM      SAN DIEGO     USA</v>
          </cell>
          <cell r="H943" t="str">
            <v>Eset</v>
          </cell>
          <cell r="I943" t="str">
            <v/>
          </cell>
          <cell r="J943">
            <v>0</v>
          </cell>
          <cell r="K943" t="str">
            <v>.</v>
          </cell>
          <cell r="L943">
            <v>0</v>
          </cell>
          <cell r="M943">
            <v>0</v>
          </cell>
          <cell r="N943">
            <v>0</v>
          </cell>
          <cell r="O943">
            <v>0</v>
          </cell>
          <cell r="Q943" t="str">
            <v>603.81.006 Gastos Administativos de venta</v>
          </cell>
        </row>
        <row r="944">
          <cell r="B944" t="str">
            <v>#76</v>
          </cell>
          <cell r="C944">
            <v>45811.735416666597</v>
          </cell>
          <cell r="D944">
            <v>2184.42</v>
          </cell>
          <cell r="E944" t="str">
            <v>MXN</v>
          </cell>
          <cell r="F944" t="str">
            <v>Alan Gillengerten</v>
          </cell>
          <cell r="G944" t="str">
            <v>LinkedIn SN P435127656 Mountain View USA</v>
          </cell>
          <cell r="H944" t="str">
            <v>Linkedin</v>
          </cell>
          <cell r="I944">
            <v>0</v>
          </cell>
          <cell r="J944">
            <v>0</v>
          </cell>
          <cell r="K944" t="str">
            <v>.</v>
          </cell>
          <cell r="L944">
            <v>0</v>
          </cell>
          <cell r="M944">
            <v>0</v>
          </cell>
          <cell r="N944">
            <v>0</v>
          </cell>
          <cell r="O944">
            <v>0</v>
          </cell>
          <cell r="Q944" t="str">
            <v>603.81.006 Gastos Administativos de venta</v>
          </cell>
        </row>
        <row r="945">
          <cell r="B945" t="str">
            <v>#77</v>
          </cell>
          <cell r="C945">
            <v>45820.602083333302</v>
          </cell>
          <cell r="D945">
            <v>202.34</v>
          </cell>
          <cell r="E945" t="str">
            <v>MXN</v>
          </cell>
          <cell r="F945" t="str">
            <v>Naomi Gonzalez</v>
          </cell>
          <cell r="G945" t="str">
            <v>UBER* PENDING          CIUDAD DE MEX MEX</v>
          </cell>
          <cell r="H945" t="str">
            <v>Uber</v>
          </cell>
          <cell r="I945" t="str">
            <v>Transaction cost</v>
          </cell>
          <cell r="J945" t="str">
            <v>traslado a nave nokia</v>
          </cell>
          <cell r="K945" t="str">
            <v>63f9d-0002011</v>
          </cell>
          <cell r="L945">
            <v>0</v>
          </cell>
          <cell r="M945">
            <v>0</v>
          </cell>
          <cell r="N945">
            <v>0</v>
          </cell>
          <cell r="O945">
            <v>0</v>
          </cell>
          <cell r="Q945" t="str">
            <v>603.81.006 Gastos Administativos de venta</v>
          </cell>
        </row>
        <row r="946">
          <cell r="B946" t="str">
            <v>#77</v>
          </cell>
          <cell r="C946">
            <v>45820.811805555502</v>
          </cell>
          <cell r="D946">
            <v>213.94</v>
          </cell>
          <cell r="E946" t="str">
            <v>MXN</v>
          </cell>
          <cell r="F946" t="str">
            <v>Naomi Gonzalez</v>
          </cell>
          <cell r="G946" t="str">
            <v>UBER* PENDING          CIUDAD DE MEX MEX</v>
          </cell>
          <cell r="H946" t="str">
            <v>Uber</v>
          </cell>
          <cell r="I946" t="str">
            <v>Transaction cost</v>
          </cell>
          <cell r="J946" t="str">
            <v>traslado a oficina de nokia</v>
          </cell>
          <cell r="K946" t="str">
            <v>AED09-0000420</v>
          </cell>
          <cell r="L946">
            <v>0</v>
          </cell>
          <cell r="M946">
            <v>0</v>
          </cell>
          <cell r="N946">
            <v>0</v>
          </cell>
          <cell r="O946">
            <v>0</v>
          </cell>
          <cell r="Q946" t="str">
            <v>603.81.006 Gastos Administativos de venta</v>
          </cell>
        </row>
        <row r="947">
          <cell r="B947" t="str">
            <v>#77</v>
          </cell>
          <cell r="C947">
            <v>45825.786805555501</v>
          </cell>
          <cell r="D947">
            <v>52.06</v>
          </cell>
          <cell r="E947" t="str">
            <v>MXN</v>
          </cell>
          <cell r="F947" t="str">
            <v>Naomi Gonzalez</v>
          </cell>
          <cell r="G947" t="str">
            <v>UBER* TRIP             CIUDAD DE MEX MEX</v>
          </cell>
          <cell r="H947" t="str">
            <v>Uber</v>
          </cell>
          <cell r="I947" t="str">
            <v>Transaction cost</v>
          </cell>
          <cell r="J947" t="str">
            <v>traslado a oficina de nokia (ajuste tarifa)</v>
          </cell>
          <cell r="K947" t="str">
            <v>AED09-0000431</v>
          </cell>
          <cell r="L947">
            <v>0</v>
          </cell>
          <cell r="M947">
            <v>0</v>
          </cell>
          <cell r="N947">
            <v>0</v>
          </cell>
          <cell r="O947">
            <v>0</v>
          </cell>
          <cell r="Q947" t="str">
            <v>603.81.006 Gastos Administativos de venta</v>
          </cell>
        </row>
        <row r="948">
          <cell r="B948" t="str">
            <v>#77</v>
          </cell>
          <cell r="C948">
            <v>45826.8152777777</v>
          </cell>
          <cell r="D948">
            <v>227.59</v>
          </cell>
          <cell r="E948" t="str">
            <v>MXN</v>
          </cell>
          <cell r="F948" t="str">
            <v>Naomi Gonzalez</v>
          </cell>
          <cell r="G948" t="str">
            <v>UBER* PENDING          CIUDAD DE MEX MEX</v>
          </cell>
          <cell r="H948" t="str">
            <v>Uber</v>
          </cell>
          <cell r="I948" t="str">
            <v>Transaction cost</v>
          </cell>
          <cell r="J948" t="str">
            <v>traslado de regreso de nokia</v>
          </cell>
          <cell r="K948" t="str">
            <v>TER-113213701</v>
          </cell>
          <cell r="L948">
            <v>0</v>
          </cell>
          <cell r="M948">
            <v>0</v>
          </cell>
          <cell r="N948">
            <v>0</v>
          </cell>
          <cell r="O948">
            <v>0</v>
          </cell>
          <cell r="Q948" t="str">
            <v>603.81.006 Gastos Administativos de venta</v>
          </cell>
        </row>
        <row r="949">
          <cell r="B949" t="str">
            <v>#77</v>
          </cell>
          <cell r="C949">
            <v>45827.735416666597</v>
          </cell>
          <cell r="D949">
            <v>1689</v>
          </cell>
          <cell r="E949" t="str">
            <v>MXN</v>
          </cell>
          <cell r="F949" t="str">
            <v>Naomi Gonzalez</v>
          </cell>
          <cell r="G949" t="str">
            <v>MERCADOPAGO *CALZADOB  Ciudad de Mex MEX</v>
          </cell>
          <cell r="H949" t="str">
            <v>Mercadopago</v>
          </cell>
          <cell r="I949" t="str">
            <v>Transaction cost</v>
          </cell>
          <cell r="J949" t="str">
            <v xml:space="preserve">Calzado de segurirdad </v>
          </cell>
          <cell r="K949" t="str">
            <v>FN 1059327</v>
          </cell>
          <cell r="L949">
            <v>0</v>
          </cell>
          <cell r="M949">
            <v>0</v>
          </cell>
          <cell r="N949">
            <v>0</v>
          </cell>
          <cell r="O949">
            <v>0</v>
          </cell>
          <cell r="Q949" t="str">
            <v>603.81.006 Gastos Administativos de venta</v>
          </cell>
        </row>
        <row r="950">
          <cell r="B950" t="str">
            <v>#77</v>
          </cell>
          <cell r="C950">
            <v>45831.949305555499</v>
          </cell>
          <cell r="D950">
            <v>27.57</v>
          </cell>
          <cell r="E950" t="str">
            <v>MXN</v>
          </cell>
          <cell r="F950" t="str">
            <v>Naomi Gonzalez</v>
          </cell>
          <cell r="G950" t="str">
            <v>UBER* TRIP             CIUDAD DE MEX MEX</v>
          </cell>
          <cell r="H950" t="str">
            <v>Uber</v>
          </cell>
          <cell r="I950" t="str">
            <v>Transaction cost</v>
          </cell>
          <cell r="J950" t="str">
            <v>traslado de regreso de nokia (ajuste tarifa)</v>
          </cell>
          <cell r="K950" t="str">
            <v>TER-113213701</v>
          </cell>
          <cell r="L950">
            <v>0</v>
          </cell>
          <cell r="M950">
            <v>0</v>
          </cell>
          <cell r="N950">
            <v>0</v>
          </cell>
          <cell r="O950">
            <v>0</v>
          </cell>
          <cell r="Q950" t="str">
            <v>603.81.006 Gastos Administativos de venta</v>
          </cell>
        </row>
        <row r="951">
          <cell r="B951" t="str">
            <v>-</v>
          </cell>
          <cell r="C951">
            <v>45813.015972222223</v>
          </cell>
          <cell r="D951">
            <v>800</v>
          </cell>
          <cell r="E951" t="str">
            <v>MXN</v>
          </cell>
          <cell r="F951" t="str">
            <v>Eduardo Javier Cantu Gonzalez</v>
          </cell>
          <cell r="G951" t="str">
            <v>GAS LADERAS DEL MIRADO MONTERREY NL  MEX</v>
          </cell>
          <cell r="H951" t="str">
            <v>Gas Laderas Del Mirado Monterrey Nl Mex</v>
          </cell>
          <cell r="I951" t="str">
            <v>552568XXXXXX1421</v>
          </cell>
          <cell r="J951" t="str">
            <v>Service Stations (with or without Ancillary Services)</v>
          </cell>
          <cell r="K951">
            <v>0</v>
          </cell>
          <cell r="L951">
            <v>0</v>
          </cell>
          <cell r="M951">
            <v>0</v>
          </cell>
          <cell r="N951">
            <v>0</v>
          </cell>
          <cell r="O951">
            <v>0</v>
          </cell>
          <cell r="Q951" t="str">
            <v>603.81.006 Gastos Administativos de venta</v>
          </cell>
        </row>
        <row r="952">
          <cell r="B952" t="str">
            <v>-</v>
          </cell>
          <cell r="C952">
            <v>45818.695138888892</v>
          </cell>
          <cell r="D952">
            <v>143</v>
          </cell>
          <cell r="E952" t="str">
            <v>MXN</v>
          </cell>
          <cell r="F952" t="str">
            <v>Eduardo Javier Cantu Gonzalez</v>
          </cell>
          <cell r="G952" t="str">
            <v>CONCESIONARIA AUT MTY  SANTA CATARIN MEX</v>
          </cell>
          <cell r="H952" t="str">
            <v>Concesionaria Aut Mty Santa Catarin Mex</v>
          </cell>
          <cell r="I952">
            <v>3013</v>
          </cell>
          <cell r="J952" t="str">
            <v>Bridge and Road Fees, Tolls</v>
          </cell>
          <cell r="K952">
            <v>0</v>
          </cell>
          <cell r="L952">
            <v>0</v>
          </cell>
          <cell r="M952">
            <v>0</v>
          </cell>
          <cell r="N952">
            <v>0</v>
          </cell>
          <cell r="O952">
            <v>0</v>
          </cell>
          <cell r="Q952" t="str">
            <v>603.81.006 Gastos Administativos de venta</v>
          </cell>
        </row>
        <row r="953">
          <cell r="B953" t="str">
            <v>-</v>
          </cell>
          <cell r="C953">
            <v>45818.783333333333</v>
          </cell>
          <cell r="D953">
            <v>145.5</v>
          </cell>
          <cell r="E953" t="str">
            <v>MXN</v>
          </cell>
          <cell r="F953" t="str">
            <v>Eduardo Javier Cantu Gonzalez</v>
          </cell>
          <cell r="G953" t="str">
            <v>7 ELEVEN T 1582        RAMOS ARIZPE  MEX</v>
          </cell>
          <cell r="H953" t="str">
            <v>7 Eleven</v>
          </cell>
          <cell r="I953">
            <v>3013</v>
          </cell>
          <cell r="J953" t="str">
            <v>Miscellaneous Food Stores Convenience Stores, Markets, Specialty Stores</v>
          </cell>
          <cell r="K953">
            <v>0</v>
          </cell>
          <cell r="L953">
            <v>0</v>
          </cell>
          <cell r="M953">
            <v>0</v>
          </cell>
          <cell r="N953">
            <v>0</v>
          </cell>
          <cell r="O953">
            <v>0</v>
          </cell>
          <cell r="Q953" t="str">
            <v>603.81.006 Gastos Administativos de venta</v>
          </cell>
        </row>
        <row r="954">
          <cell r="B954" t="str">
            <v>-</v>
          </cell>
          <cell r="C954">
            <v>45818.806944444441</v>
          </cell>
          <cell r="D954">
            <v>143</v>
          </cell>
          <cell r="E954" t="str">
            <v>MXN</v>
          </cell>
          <cell r="F954" t="str">
            <v>Eduardo Javier Cantu Gonzalez</v>
          </cell>
          <cell r="G954" t="str">
            <v>CONCESIONARIA AUT MTY  SANTA CATARIN MEX</v>
          </cell>
          <cell r="H954" t="str">
            <v>Concesionaria Aut Mty Santa Catarin Mex</v>
          </cell>
          <cell r="I954">
            <v>4431</v>
          </cell>
          <cell r="J954" t="str">
            <v>Bridge and Road Fees, Tolls</v>
          </cell>
          <cell r="K954">
            <v>0</v>
          </cell>
          <cell r="L954">
            <v>0</v>
          </cell>
          <cell r="M954">
            <v>0</v>
          </cell>
          <cell r="N954">
            <v>0</v>
          </cell>
          <cell r="O954">
            <v>0</v>
          </cell>
          <cell r="Q954" t="str">
            <v>603.81.006 Gastos Administativos de venta</v>
          </cell>
        </row>
        <row r="955">
          <cell r="B955" t="str">
            <v>-</v>
          </cell>
          <cell r="C955">
            <v>45820.886805555558</v>
          </cell>
          <cell r="D955">
            <v>3960.6</v>
          </cell>
          <cell r="E955" t="str">
            <v>MXN</v>
          </cell>
          <cell r="F955" t="str">
            <v>Eduardo Javier Cantu Gonzalez</v>
          </cell>
          <cell r="G955" t="str">
            <v>EL FELIGREZ            SALTILLO COAH MEX</v>
          </cell>
          <cell r="H955" t="str">
            <v>El Saltillo</v>
          </cell>
          <cell r="I955">
            <v>7350</v>
          </cell>
          <cell r="J955" t="str">
            <v>Fast Food Restaurants</v>
          </cell>
          <cell r="K955">
            <v>0</v>
          </cell>
          <cell r="L955">
            <v>0</v>
          </cell>
          <cell r="M955">
            <v>0</v>
          </cell>
          <cell r="N955">
            <v>0</v>
          </cell>
          <cell r="O955">
            <v>0</v>
          </cell>
          <cell r="Q955" t="str">
            <v>603.81.006 Gastos Administativos de venta</v>
          </cell>
        </row>
        <row r="956">
          <cell r="B956" t="str">
            <v>-</v>
          </cell>
          <cell r="C956">
            <v>45822.631944444445</v>
          </cell>
          <cell r="D956">
            <v>800</v>
          </cell>
          <cell r="E956" t="str">
            <v>MXN</v>
          </cell>
          <cell r="F956" t="str">
            <v>Eduardo Javier Cantu Gonzalez</v>
          </cell>
          <cell r="G956" t="str">
            <v>OXXO GAS ALFAREROS     MONTERREY NL  MEX</v>
          </cell>
          <cell r="H956" t="str">
            <v>Oxxo</v>
          </cell>
          <cell r="I956">
            <v>3902</v>
          </cell>
          <cell r="J956" t="str">
            <v>Service Stations (with or without Ancillary Services)</v>
          </cell>
          <cell r="K956">
            <v>0</v>
          </cell>
          <cell r="L956">
            <v>0</v>
          </cell>
          <cell r="M956">
            <v>0</v>
          </cell>
          <cell r="N956">
            <v>0</v>
          </cell>
          <cell r="O956">
            <v>0</v>
          </cell>
          <cell r="Q956" t="str">
            <v>603.81.006 Gastos Administativos de venta</v>
          </cell>
        </row>
        <row r="957">
          <cell r="B957" t="str">
            <v>-</v>
          </cell>
          <cell r="C957">
            <v>45828.003472222219</v>
          </cell>
          <cell r="D957">
            <v>600</v>
          </cell>
          <cell r="E957" t="str">
            <v>MXN</v>
          </cell>
          <cell r="F957" t="str">
            <v>Eduardo Javier Cantu Gonzalez</v>
          </cell>
          <cell r="G957" t="str">
            <v>OXXO GAS ALFAREROS     MONTERREY NL  MEX</v>
          </cell>
          <cell r="H957" t="str">
            <v>Oxxo</v>
          </cell>
          <cell r="I957">
            <v>16</v>
          </cell>
          <cell r="J957" t="str">
            <v>Service Stations (with or without Ancillary Services)</v>
          </cell>
          <cell r="K957">
            <v>0</v>
          </cell>
          <cell r="L957">
            <v>0</v>
          </cell>
          <cell r="M957">
            <v>0</v>
          </cell>
          <cell r="N957">
            <v>0</v>
          </cell>
          <cell r="O957">
            <v>0</v>
          </cell>
          <cell r="Q957" t="str">
            <v>603.81.006 Gastos Administativos de venta</v>
          </cell>
        </row>
        <row r="958">
          <cell r="B958" t="str">
            <v>-</v>
          </cell>
          <cell r="C958">
            <v>45828.673611111109</v>
          </cell>
          <cell r="D958">
            <v>143</v>
          </cell>
          <cell r="E958" t="str">
            <v>MXN</v>
          </cell>
          <cell r="F958" t="str">
            <v>Eduardo Javier Cantu Gonzalez</v>
          </cell>
          <cell r="G958" t="str">
            <v>CONCESIONARIA AUT MTY  SANTA CATARIN MEX</v>
          </cell>
          <cell r="H958" t="str">
            <v>Concesionaria Aut Mty Santa Catarin Mex</v>
          </cell>
          <cell r="I958">
            <v>3893</v>
          </cell>
          <cell r="J958" t="str">
            <v>Bridge and Road Fees, Tolls</v>
          </cell>
          <cell r="K958">
            <v>0</v>
          </cell>
          <cell r="L958">
            <v>0</v>
          </cell>
          <cell r="M958">
            <v>0</v>
          </cell>
          <cell r="N958">
            <v>0</v>
          </cell>
          <cell r="O958">
            <v>0</v>
          </cell>
          <cell r="Q958" t="str">
            <v>603.81.006 Gastos Administativos de venta</v>
          </cell>
        </row>
        <row r="959">
          <cell r="B959" t="str">
            <v>-</v>
          </cell>
          <cell r="C959">
            <v>45828.813888888886</v>
          </cell>
          <cell r="D959">
            <v>136</v>
          </cell>
          <cell r="E959" t="str">
            <v>MXN</v>
          </cell>
          <cell r="F959" t="str">
            <v>Eduardo Javier Cantu Gonzalez</v>
          </cell>
          <cell r="G959" t="str">
            <v>7 ELEVEN T 1582        RAMOS ARIZPE  MEX</v>
          </cell>
          <cell r="H959" t="str">
            <v>7 Eleven</v>
          </cell>
          <cell r="I959" t="str">
            <v>552568XXXXXX0585</v>
          </cell>
          <cell r="J959" t="str">
            <v>Miscellaneous Food Stores Convenience Stores, Markets, Specialty Stores</v>
          </cell>
          <cell r="K959">
            <v>0</v>
          </cell>
          <cell r="L959">
            <v>0</v>
          </cell>
          <cell r="M959">
            <v>0</v>
          </cell>
          <cell r="N959">
            <v>0</v>
          </cell>
          <cell r="O959">
            <v>0</v>
          </cell>
          <cell r="Q959" t="str">
            <v>603.81.006 Gastos Administativos de venta</v>
          </cell>
        </row>
        <row r="960">
          <cell r="B960" t="str">
            <v>-</v>
          </cell>
          <cell r="C960">
            <v>45828.837500000001</v>
          </cell>
          <cell r="D960">
            <v>143</v>
          </cell>
          <cell r="E960" t="str">
            <v>MXN</v>
          </cell>
          <cell r="F960" t="str">
            <v>Eduardo Javier Cantu Gonzalez</v>
          </cell>
          <cell r="G960" t="str">
            <v>CONCESIONARIA AUT MTY  SANTA CATARIN MEX</v>
          </cell>
          <cell r="H960" t="str">
            <v>Concesionaria Aut Mty Santa Catarin Mex</v>
          </cell>
          <cell r="I960">
            <v>4488</v>
          </cell>
          <cell r="J960" t="str">
            <v>Bridge and Road Fees, Tolls</v>
          </cell>
          <cell r="K960">
            <v>0</v>
          </cell>
          <cell r="L960">
            <v>0</v>
          </cell>
          <cell r="M960">
            <v>0</v>
          </cell>
          <cell r="N960">
            <v>0</v>
          </cell>
          <cell r="O960">
            <v>0</v>
          </cell>
          <cell r="Q960" t="str">
            <v>603.81.006 Gastos Administativos de venta</v>
          </cell>
        </row>
        <row r="961">
          <cell r="B961" t="str">
            <v>-</v>
          </cell>
          <cell r="C961">
            <v>45834.249305555553</v>
          </cell>
          <cell r="D961">
            <v>317.36</v>
          </cell>
          <cell r="E961" t="str">
            <v>MXN</v>
          </cell>
          <cell r="F961" t="str">
            <v>Eduardo Javier Cantu Gonzalez</v>
          </cell>
          <cell r="G961" t="str">
            <v>3DEXPERIENCE DASSAULT  WALTHAM       USA</v>
          </cell>
          <cell r="H961" t="str">
            <v>3dexperience Dassault Waltham USA</v>
          </cell>
          <cell r="I961">
            <v>7142</v>
          </cell>
          <cell r="J961" t="str">
            <v>Computer Software Stores</v>
          </cell>
          <cell r="K961">
            <v>0</v>
          </cell>
          <cell r="L961">
            <v>0</v>
          </cell>
          <cell r="M961">
            <v>0</v>
          </cell>
          <cell r="N961">
            <v>0</v>
          </cell>
          <cell r="O961">
            <v>0</v>
          </cell>
          <cell r="Q961" t="str">
            <v>603.81.006 Gastos Administativos de venta</v>
          </cell>
        </row>
        <row r="962">
          <cell r="B962" t="str">
            <v>#78</v>
          </cell>
          <cell r="C962">
            <v>45817.638888888803</v>
          </cell>
          <cell r="D962">
            <v>749.11</v>
          </cell>
          <cell r="E962" t="str">
            <v>MXN</v>
          </cell>
          <cell r="F962" t="str">
            <v>Ricardo Malo de Molina</v>
          </cell>
          <cell r="G962" t="str">
            <v>DHL EXPRESS CIB        CIUDAD DE MEX MEX</v>
          </cell>
          <cell r="H962" t="str">
            <v>DHL</v>
          </cell>
          <cell r="I962" t="str">
            <v>Transaction cost</v>
          </cell>
          <cell r="J962" t="str">
            <v>RFQ 3873 / PO 1709 / Pago 4241 y RFQ 3925 / PO 1708 / Pago 4240</v>
          </cell>
          <cell r="K962" t="str">
            <v>.</v>
          </cell>
          <cell r="L962">
            <v>0</v>
          </cell>
          <cell r="M962">
            <v>0</v>
          </cell>
          <cell r="N962">
            <v>0</v>
          </cell>
          <cell r="O962">
            <v>0</v>
          </cell>
          <cell r="Q962" t="str">
            <v>603.81.006 Gastos Administativos de venta</v>
          </cell>
        </row>
        <row r="963">
          <cell r="B963" t="str">
            <v>#78</v>
          </cell>
          <cell r="C963">
            <v>45817.644444444399</v>
          </cell>
          <cell r="D963">
            <v>1147.97</v>
          </cell>
          <cell r="E963" t="str">
            <v>MXN</v>
          </cell>
          <cell r="F963" t="str">
            <v>Ricardo Malo de Molina</v>
          </cell>
          <cell r="G963" t="str">
            <v>DHL EXPRESS CIB        CIUDAD DE MEX MEX</v>
          </cell>
          <cell r="H963" t="str">
            <v>DHL</v>
          </cell>
          <cell r="I963" t="str">
            <v>Transaction cost</v>
          </cell>
          <cell r="J963" t="str">
            <v>RFQ 3873 / PO 1709 / Pago 4241 y RFQ 3925 / PO 1708 / Pago 4241</v>
          </cell>
          <cell r="K963" t="str">
            <v>.</v>
          </cell>
          <cell r="L963">
            <v>0</v>
          </cell>
          <cell r="M963">
            <v>0</v>
          </cell>
          <cell r="N963">
            <v>0</v>
          </cell>
          <cell r="O963">
            <v>0</v>
          </cell>
          <cell r="Q963" t="str">
            <v>603.81.006 Gastos Administativos de venta</v>
          </cell>
        </row>
        <row r="964">
          <cell r="B964" t="str">
            <v>#78</v>
          </cell>
          <cell r="C964">
            <v>45817.645138888802</v>
          </cell>
          <cell r="D964">
            <v>928.79</v>
          </cell>
          <cell r="E964" t="str">
            <v>MXN</v>
          </cell>
          <cell r="F964" t="str">
            <v>Ricardo Malo de Molina</v>
          </cell>
          <cell r="G964" t="str">
            <v>DHL EXPRESS CIB        CIUDAD DE MEX MEX</v>
          </cell>
          <cell r="H964" t="str">
            <v>DHL</v>
          </cell>
          <cell r="I964" t="str">
            <v>Transaction cost</v>
          </cell>
          <cell r="J964" t="str">
            <v>RFQ3925/PO1784 y RFQ3873/PO1755</v>
          </cell>
          <cell r="K964" t="str">
            <v>.</v>
          </cell>
          <cell r="L964">
            <v>0</v>
          </cell>
          <cell r="M964">
            <v>0</v>
          </cell>
          <cell r="N964">
            <v>0</v>
          </cell>
          <cell r="O964">
            <v>0</v>
          </cell>
          <cell r="Q964" t="str">
            <v>603.81.006 Gastos Administativos de venta</v>
          </cell>
        </row>
        <row r="965">
          <cell r="B965" t="str">
            <v>#78</v>
          </cell>
          <cell r="C965">
            <v>45824.091666666602</v>
          </cell>
          <cell r="D965">
            <v>148</v>
          </cell>
          <cell r="E965" t="str">
            <v>MXN</v>
          </cell>
          <cell r="F965" t="str">
            <v>Ricardo Malo de Molina</v>
          </cell>
          <cell r="G965" t="str">
            <v>WAL MART PZA CENTRIKA  MONTERREY NL  MEX</v>
          </cell>
          <cell r="H965" t="str">
            <v>Walmart</v>
          </cell>
          <cell r="I965" t="str">
            <v>Office expenses</v>
          </cell>
          <cell r="J965" t="str">
            <v>Snacks oficina Monterrey</v>
          </cell>
          <cell r="K965" t="str">
            <v>73A533B5-4072-4665-92D0-477F226005D2</v>
          </cell>
          <cell r="L965">
            <v>0</v>
          </cell>
          <cell r="M965">
            <v>0</v>
          </cell>
          <cell r="N965">
            <v>0</v>
          </cell>
          <cell r="O965">
            <v>0</v>
          </cell>
          <cell r="Q965" t="str">
            <v>603.81.006 Gastos Administativos de venta</v>
          </cell>
        </row>
        <row r="966">
          <cell r="B966" t="str">
            <v>#78</v>
          </cell>
          <cell r="C966">
            <v>45824.790277777698</v>
          </cell>
          <cell r="D966">
            <v>700</v>
          </cell>
          <cell r="E966" t="str">
            <v>MXN</v>
          </cell>
          <cell r="F966" t="str">
            <v>Ricardo Malo de Molina</v>
          </cell>
          <cell r="G966" t="str">
            <v>SERV SIERRA A RAMOS    RAMOS ARIZPE  MEX</v>
          </cell>
          <cell r="H966" t="str">
            <v>Serv Sierra A Ramos Ramos Arizpe Mex</v>
          </cell>
          <cell r="I966" t="str">
            <v>Transaction cost</v>
          </cell>
          <cell r="J966" t="str">
            <v>RFQ 3997 PO 1787   +   RFQ 3925 PO 1780     +    RFQ 3873 PO 1755</v>
          </cell>
          <cell r="K966" t="str">
            <v xml:space="preserve">bb9aa15a-aa76-413e-8d93-76ca393fbf00
</v>
          </cell>
          <cell r="L966">
            <v>0</v>
          </cell>
          <cell r="M966">
            <v>0</v>
          </cell>
          <cell r="N966">
            <v>0</v>
          </cell>
          <cell r="O966">
            <v>0</v>
          </cell>
          <cell r="Q966" t="str">
            <v>603.81.006 Gastos Administativos de venta</v>
          </cell>
        </row>
        <row r="967">
          <cell r="B967" t="str">
            <v>#78</v>
          </cell>
          <cell r="C967">
            <v>45824.809027777701</v>
          </cell>
          <cell r="D967">
            <v>143</v>
          </cell>
          <cell r="E967" t="str">
            <v>MXN</v>
          </cell>
          <cell r="F967" t="str">
            <v>Ricardo Malo de Molina</v>
          </cell>
          <cell r="G967" t="str">
            <v>CONCESIONARIA AUT MTY  SANTA CATARIN MEX</v>
          </cell>
          <cell r="H967" t="str">
            <v>Concesionaria Aut Mty Santa Catarin Mex</v>
          </cell>
          <cell r="I967" t="str">
            <v>Transaction cost</v>
          </cell>
          <cell r="J967" t="str">
            <v>RFQ 3925 PO 1780     +    RFQ 3873 PO 1755</v>
          </cell>
          <cell r="K967" t="str">
            <v>20250616/009775- FOP</v>
          </cell>
          <cell r="L967">
            <v>0</v>
          </cell>
          <cell r="M967">
            <v>0</v>
          </cell>
          <cell r="N967">
            <v>0</v>
          </cell>
          <cell r="O967">
            <v>0</v>
          </cell>
          <cell r="Q967" t="str">
            <v>603.81.006 Gastos Administativos de venta</v>
          </cell>
        </row>
        <row r="968">
          <cell r="B968" t="str">
            <v>#78</v>
          </cell>
          <cell r="C968">
            <v>45827.994444444397</v>
          </cell>
          <cell r="D968">
            <v>198.52</v>
          </cell>
          <cell r="E968" t="str">
            <v>MXN</v>
          </cell>
          <cell r="F968" t="str">
            <v>Ricardo Malo de Molina</v>
          </cell>
          <cell r="G968" t="str">
            <v>TREVISA                SN NCLAS D LO MEX</v>
          </cell>
          <cell r="H968" t="str">
            <v>Trevisa Sn Nclas D Lo Mex</v>
          </cell>
          <cell r="I968" t="str">
            <v>Transaction cost</v>
          </cell>
          <cell r="J968" t="str">
            <v>RFQ 3873 PO 1755</v>
          </cell>
          <cell r="K968" t="str">
            <v>R165554</v>
          </cell>
          <cell r="L968">
            <v>0</v>
          </cell>
          <cell r="M968">
            <v>0</v>
          </cell>
          <cell r="N968">
            <v>0</v>
          </cell>
          <cell r="O968">
            <v>0</v>
          </cell>
          <cell r="Q968" t="str">
            <v>603.81.006 Gastos Administativos de venta</v>
          </cell>
        </row>
        <row r="969">
          <cell r="B969" t="str">
            <v>#78</v>
          </cell>
          <cell r="C969">
            <v>45828.0263888888</v>
          </cell>
          <cell r="D969">
            <v>838.96</v>
          </cell>
          <cell r="E969" t="str">
            <v>MXN</v>
          </cell>
          <cell r="F969" t="str">
            <v>Ricardo Malo de Molina</v>
          </cell>
          <cell r="G969" t="str">
            <v>DHL EXPRESS CIB        CIUDAD DE MEX MEX</v>
          </cell>
          <cell r="H969" t="str">
            <v>DHL</v>
          </cell>
          <cell r="I969" t="str">
            <v>Transaction cost</v>
          </cell>
          <cell r="J969" t="str">
            <v>RFQ 3997 PO 1787</v>
          </cell>
          <cell r="K969" t="str">
            <v>.</v>
          </cell>
          <cell r="L969">
            <v>0</v>
          </cell>
          <cell r="M969">
            <v>0</v>
          </cell>
          <cell r="N969">
            <v>0</v>
          </cell>
          <cell r="O969">
            <v>0</v>
          </cell>
          <cell r="Q969" t="str">
            <v>603.81.006 Gastos Administativos de venta</v>
          </cell>
        </row>
        <row r="970">
          <cell r="B970" t="str">
            <v>#78</v>
          </cell>
          <cell r="C970">
            <v>45831.968055555502</v>
          </cell>
          <cell r="D970">
            <v>925.65</v>
          </cell>
          <cell r="E970" t="str">
            <v>MXN</v>
          </cell>
          <cell r="F970" t="str">
            <v>Ricardo Malo de Molina</v>
          </cell>
          <cell r="G970" t="str">
            <v>UBER* EATS PENDING     CIUDAD DE MEX MEX</v>
          </cell>
          <cell r="H970" t="str">
            <v>Uber Eats</v>
          </cell>
          <cell r="I970" t="str">
            <v>Office expenses</v>
          </cell>
          <cell r="J970" t="str">
            <v>Snacks oficina Monterrey</v>
          </cell>
          <cell r="K970" t="str">
            <v>.</v>
          </cell>
          <cell r="L970">
            <v>0</v>
          </cell>
          <cell r="M970">
            <v>0</v>
          </cell>
          <cell r="N970">
            <v>0</v>
          </cell>
          <cell r="O970">
            <v>0</v>
          </cell>
          <cell r="Q970" t="str">
            <v>603.81.006 Gastos Administativos de venta</v>
          </cell>
        </row>
        <row r="971">
          <cell r="B971" t="str">
            <v>#78</v>
          </cell>
          <cell r="C971">
            <v>45832.152777777701</v>
          </cell>
          <cell r="D971">
            <v>50.08</v>
          </cell>
          <cell r="E971" t="str">
            <v>MXN</v>
          </cell>
          <cell r="F971" t="str">
            <v>Ricardo Malo de Molina</v>
          </cell>
          <cell r="G971" t="str">
            <v>UBER* EATS             CIUDAD DE MEX MEX</v>
          </cell>
          <cell r="H971" t="str">
            <v>Uber Eats</v>
          </cell>
          <cell r="I971" t="str">
            <v>Office expenses</v>
          </cell>
          <cell r="J971" t="str">
            <v>Snacks oficina Monterrey</v>
          </cell>
          <cell r="K971" t="str">
            <v>.</v>
          </cell>
          <cell r="L971">
            <v>0</v>
          </cell>
          <cell r="M971">
            <v>0</v>
          </cell>
          <cell r="N971">
            <v>0</v>
          </cell>
          <cell r="O971">
            <v>0</v>
          </cell>
          <cell r="Q971" t="str">
            <v>603.81.006 Gastos Administativos de venta</v>
          </cell>
        </row>
        <row r="973">
          <cell r="D973">
            <v>1178175.0400000007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persons/person.xml><?xml version="1.0" encoding="utf-8"?>
<personList xmlns="http://schemas.microsoft.com/office/spreadsheetml/2018/threadedcomments" xmlns:x="http://schemas.openxmlformats.org/spreadsheetml/2006/main">
  <person displayName="Fernanda Ruiz" id="{A56D8181-A787-4BC8-A424-B4A0C3123DD4}" userId="" providerId="google-sheets"/>
  <person displayName="Rogelio Gámez" id="{32ED76F9-1A9B-406F-8B07-F813F7AEB466}" userId="" providerId="google-sheets"/>
  <person displayName="rogelio@prima.ai" id="{5502CB6C-8E32-47CD-BE8B-1912F197D693}" userId="rogelio@prima.ai"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89" dT="2023-11-01T18:27:32.00" personId="{A56D8181-A787-4BC8-A424-B4A0C3123DD4}" id="{FC363197-532A-447D-983C-09C6ADA63491}" done="1">
    <text>@rogelio@prima.ai de aquí hast ala fila X</text>
    <mentions>
      <mention mentionpersonId="{5502CB6C-8E32-47CD-BE8B-1912F197D693}" mentionId="{BA076205-3034-4FC5-A85C-7E66158E1C51}" startIndex="0" length="17"/>
    </mentions>
  </threadedComment>
  <threadedComment ref="C489" dT="2023-11-01T20:06:52.00" personId="{32ED76F9-1A9B-406F-8B07-F813F7AEB466}" id="{5E2342AE-5A4A-4CA5-AD0D-3BF2C34D4AF6}" parentId="{FC363197-532A-447D-983C-09C6ADA63491}">
    <text>listo</text>
  </threadedComment>
</ThreadedComments>
</file>

<file path=xl/threadedComments/threadedComment2.xml><?xml version="1.0" encoding="utf-8"?>
<ThreadedComments xmlns="http://schemas.microsoft.com/office/spreadsheetml/2018/threadedcomments" xmlns:x="http://schemas.openxmlformats.org/spreadsheetml/2006/main">
  <threadedComment ref="A24" dT="2023-11-01T19:59:54.00" personId="{A56D8181-A787-4BC8-A424-B4A0C3123DD4}" id="{77E10264-DD46-4B09-B6EB-8B81BC66B812}" done="1">
    <text>@rogelio@prima.ai Me ayudas con esta hoja tambien porfis</text>
    <mentions>
      <mention mentionpersonId="{5502CB6C-8E32-47CD-BE8B-1912F197D693}" mentionId="{0F86D5A9-DF88-482B-BF27-894F81D81BD4}" startIndex="0" length="17"/>
    </mentions>
  </threadedComment>
</ThreadedComments>
</file>

<file path=xl/worksheets/_rels/sheet2.xml.rels><?xml version="1.0" encoding="UTF-8" standalone="yes"?>
<Relationships xmlns="http://schemas.openxmlformats.org/package/2006/relationships"><Relationship Id="rId3" Type="http://schemas.openxmlformats.org/officeDocument/2006/relationships/hyperlink" Target="http://claude.ai/" TargetMode="External"/><Relationship Id="rId2" Type="http://schemas.openxmlformats.org/officeDocument/2006/relationships/hyperlink" Target="http://claude.ai/" TargetMode="External"/><Relationship Id="rId1" Type="http://schemas.openxmlformats.org/officeDocument/2006/relationships/hyperlink" Target="https://drive.google.com/drive/folders/1tBRPEiGyYMUgsvzRDRDhDGIf_ZAKNFA1?usp=shar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ocs.google.com/spreadsheets/u/0/d/12JCB6hhl9O91-86VqK8pE9xcpuAbysSeyHHQARoQlWk/edit" TargetMode="External"/><Relationship Id="rId18" Type="http://schemas.openxmlformats.org/officeDocument/2006/relationships/hyperlink" Target="https://docs.google.com/spreadsheets/u/0/d/1bY_cnwntXOEvciDKuaLaW78_2oveuCjJtJ9oRUNET6k/edit" TargetMode="External"/><Relationship Id="rId26" Type="http://schemas.openxmlformats.org/officeDocument/2006/relationships/hyperlink" Target="https://docs.google.com/spreadsheets/u/0/d/13nIfSNb8NL6jXpWP6q7TubloeuYGk2ncQK8mdh4WzRs/edit" TargetMode="External"/><Relationship Id="rId39" Type="http://schemas.openxmlformats.org/officeDocument/2006/relationships/hyperlink" Target="https://docs.google.com/spreadsheets/d/1znylLiIp5kF-4qUWwRfDQDyK87zN_Gio0f7zXM7KYYs/edit?usp=drive_link" TargetMode="External"/><Relationship Id="rId21" Type="http://schemas.openxmlformats.org/officeDocument/2006/relationships/hyperlink" Target="https://docs.google.com/spreadsheets/d/1twFYJ2YbixbronY1_Bg-T6ZOMv53H1WUG4WtqlBE7Z8/edit?usp=drive_link" TargetMode="External"/><Relationship Id="rId34" Type="http://schemas.openxmlformats.org/officeDocument/2006/relationships/hyperlink" Target="https://docs.google.com/spreadsheets/d/1HOK7I00Untwj8kMAaC_eZIYZ5zcV6JGVU3HjCyYBqk8/edit" TargetMode="External"/><Relationship Id="rId42" Type="http://schemas.openxmlformats.org/officeDocument/2006/relationships/hyperlink" Target="https://docs.google.com/spreadsheets/u/0/d/1569AAB94bMysApcY4yrW10gLO3VQfF_Sz8LItmn-5xA/edit" TargetMode="External"/><Relationship Id="rId47" Type="http://schemas.openxmlformats.org/officeDocument/2006/relationships/hyperlink" Target="https://docs.google.com/spreadsheets/u/0/d/1s7OwEoQYeNdqdnSSuMeSGFPP166YyRU7TcFEULXqMPo/edit" TargetMode="External"/><Relationship Id="rId50" Type="http://schemas.openxmlformats.org/officeDocument/2006/relationships/hyperlink" Target="https://docs.google.com/spreadsheets/u/0/d/1v03imj-CmbFvfgdhbAcfRQsf82VAop6KDtxsIqptYic/edit" TargetMode="External"/><Relationship Id="rId55" Type="http://schemas.openxmlformats.org/officeDocument/2006/relationships/hyperlink" Target="https://docs.google.com/spreadsheets/u/0/d/17zVock4GW596GS_QJUEekcEdC-g-lIMmnlKE8u-mHmc/edit" TargetMode="External"/><Relationship Id="rId7" Type="http://schemas.openxmlformats.org/officeDocument/2006/relationships/hyperlink" Target="https://docs.google.com/spreadsheets/d/1SBj4ktrLT_l6UqRgy6U1ouyuNBU7s2xfNatGEQgzBjA/edit?usp=drive_link" TargetMode="External"/><Relationship Id="rId2" Type="http://schemas.openxmlformats.org/officeDocument/2006/relationships/hyperlink" Target="https://docs.google.com/spreadsheets/d/1UlFEOrE1rV0PC5eXTnAnjuhLeVl7w9duJVLofK1_zMM/edit?usp=drive_link" TargetMode="External"/><Relationship Id="rId16" Type="http://schemas.openxmlformats.org/officeDocument/2006/relationships/hyperlink" Target="https://docs.google.com/spreadsheets/d/1IVXzoDtK521BBPu1kRInP1quyZkv9JaGFKnizEnc-As/edit" TargetMode="External"/><Relationship Id="rId29" Type="http://schemas.openxmlformats.org/officeDocument/2006/relationships/hyperlink" Target="https://docs.google.com/spreadsheets/u/0/d/1FWLDKFkDgfHjCOyKFD7Z8qOWY-DF725XRjqgdWEAOog/edit" TargetMode="External"/><Relationship Id="rId11" Type="http://schemas.openxmlformats.org/officeDocument/2006/relationships/hyperlink" Target="https://docs.google.com/spreadsheets/u/0/d/1r7mnrDtLhxOm4i_hyLnuNHiwaZqclgVUqnahU-jeJuM/edit" TargetMode="External"/><Relationship Id="rId24" Type="http://schemas.openxmlformats.org/officeDocument/2006/relationships/hyperlink" Target="https://docs.google.com/spreadsheets/u/0/d/1teXRm872G6CnIBYcoXHPXMds54yEqJWqeZKGZyRjA8Q/edit" TargetMode="External"/><Relationship Id="rId32" Type="http://schemas.openxmlformats.org/officeDocument/2006/relationships/hyperlink" Target="https://docs.google.com/spreadsheets/u/0/d/1Y2JPaGV3tIMPJMLbUL5vagGv50EP_PXobUAQDD_uW7g/edit" TargetMode="External"/><Relationship Id="rId37" Type="http://schemas.openxmlformats.org/officeDocument/2006/relationships/hyperlink" Target="https://docs.google.com/spreadsheets/u/0/d/1En5HeoMUsGo-MCRuXu8AatilM-EFl8QdYhmYWTXhneY/edit" TargetMode="External"/><Relationship Id="rId40" Type="http://schemas.openxmlformats.org/officeDocument/2006/relationships/hyperlink" Target="https://docs.google.com/spreadsheets/d/1SDfRQAQlF-TIbIAW8u4ItP3_rV_E_qC8thtbpc9jkb8/edit" TargetMode="External"/><Relationship Id="rId45" Type="http://schemas.openxmlformats.org/officeDocument/2006/relationships/hyperlink" Target="https://docs.google.com/spreadsheets/d/11jz2XYKFAQt8O7VlyomTOYdNgCKk5yiwVZomRZLhmXw/edit?usp=drive_link" TargetMode="External"/><Relationship Id="rId53" Type="http://schemas.openxmlformats.org/officeDocument/2006/relationships/hyperlink" Target="https://docs.google.com/spreadsheets/u/0/d/1zVUjK6-dUX8kLlxVIh7kZiHQM7QMlX8VoC_EKusCSa8/edit" TargetMode="External"/><Relationship Id="rId58" Type="http://schemas.openxmlformats.org/officeDocument/2006/relationships/hyperlink" Target="http://claude.ai/" TargetMode="External"/><Relationship Id="rId5" Type="http://schemas.openxmlformats.org/officeDocument/2006/relationships/hyperlink" Target="https://docs.google.com/spreadsheets/u/0/d/1_59JJTpHLWU734jyHJCLeaU7j_pyZDK76xL0t8Fudhc/edit" TargetMode="External"/><Relationship Id="rId61" Type="http://schemas.microsoft.com/office/2017/10/relationships/threadedComment" Target="../threadedComments/threadedComment1.xml"/><Relationship Id="rId19" Type="http://schemas.openxmlformats.org/officeDocument/2006/relationships/hyperlink" Target="https://docs.google.com/spreadsheets/u/0/d/1uES7PPE1zZmBTod3wrterOz2e_5WCZcfnqWZ2YbLIGg/edit" TargetMode="External"/><Relationship Id="rId14" Type="http://schemas.openxmlformats.org/officeDocument/2006/relationships/hyperlink" Target="https://docs.google.com/spreadsheets/d/1XvBdMcjRa-pDfZE7cTM91eH54JoxDdQOcSUyj_sXR-Q/edit?usp=drive_link" TargetMode="External"/><Relationship Id="rId22" Type="http://schemas.openxmlformats.org/officeDocument/2006/relationships/hyperlink" Target="https://docs.google.com/spreadsheets/d/17f0y4iSqqb1LnQlfSvWVx1KyLQXVX4ISea9SsFNQfHE/edit?usp=drive_link" TargetMode="External"/><Relationship Id="rId27" Type="http://schemas.openxmlformats.org/officeDocument/2006/relationships/hyperlink" Target="https://docs.google.com/spreadsheets/d/1n76Pwq4RoifXoRMfa-tXDSA2OSQvarmf2Kvyevnx6v0/edit?usp=drive_link" TargetMode="External"/><Relationship Id="rId30" Type="http://schemas.openxmlformats.org/officeDocument/2006/relationships/hyperlink" Target="https://docs.google.com/spreadsheets/u/0/d/1EvlVvTCOYeGHDT0HiFxRv6tKsBASRbKnuXkCXkwA0SA/edit" TargetMode="External"/><Relationship Id="rId35" Type="http://schemas.openxmlformats.org/officeDocument/2006/relationships/hyperlink" Target="https://docs.google.com/spreadsheets/u/0/d/1IJyoAelWRP-0lSg3EwiJ12zwUcyEVmqm05u8eB-xvnY/edit" TargetMode="External"/><Relationship Id="rId43" Type="http://schemas.openxmlformats.org/officeDocument/2006/relationships/hyperlink" Target="https://docs.google.com/spreadsheets/d/1fQXPw3byDcmZse6vGCTPKivK3T8bkefo7fKb24m_XnE/edit?gid=1404531132" TargetMode="External"/><Relationship Id="rId48" Type="http://schemas.openxmlformats.org/officeDocument/2006/relationships/hyperlink" Target="https://docs.google.com/spreadsheets/u/0/d/1vZUi4faA-FYifaZ99w4RSYBnYd86ynwTKHK_purTSxM/edit" TargetMode="External"/><Relationship Id="rId56" Type="http://schemas.openxmlformats.org/officeDocument/2006/relationships/hyperlink" Target="https://docs.google.com/spreadsheets/u/0/d/1TLMajq9Z7tHh2v5QDtKEUUJwIdbnbF4YJLzBFwdvt-g/edit" TargetMode="External"/><Relationship Id="rId8" Type="http://schemas.openxmlformats.org/officeDocument/2006/relationships/hyperlink" Target="https://docs.google.com/spreadsheets/d/1XQL_Tcm8ICyqg6WO3BNIaQE1jsJL3qc_F7NT2w4vj1M/edit?usp=drive_link" TargetMode="External"/><Relationship Id="rId51" Type="http://schemas.openxmlformats.org/officeDocument/2006/relationships/hyperlink" Target="https://docs.google.com/spreadsheets/d/1k00Wlzrx5xV9V9Ju0ODkMBL8gsh2fh1iXH7FMJdS23k/edit?usp=drive_link" TargetMode="External"/><Relationship Id="rId3" Type="http://schemas.openxmlformats.org/officeDocument/2006/relationships/hyperlink" Target="https://docs.google.com/spreadsheets/u/0/d/1pRSdzxDSKOIQ5nTUytV7Y1sYbEzjxXBwBKuOVuHCh-U/edit" TargetMode="External"/><Relationship Id="rId12" Type="http://schemas.openxmlformats.org/officeDocument/2006/relationships/hyperlink" Target="https://docs.google.com/spreadsheets/u/0/d/1_lI3Hc-4wdASUIbaln_bIoe1p3tMuWQZbvyV4_VxExs/edit" TargetMode="External"/><Relationship Id="rId17" Type="http://schemas.openxmlformats.org/officeDocument/2006/relationships/hyperlink" Target="https://docs.google.com/spreadsheets/u/0/d/1yBEceqOEZO1RLYA1E9gtL9cVnhHc3AJbX0UJZ1kRMCs/edit" TargetMode="External"/><Relationship Id="rId25" Type="http://schemas.openxmlformats.org/officeDocument/2006/relationships/hyperlink" Target="https://docs.google.com/spreadsheets/u/0/d/10RV-TTCdatRTiYI6OCntwr-_13CwFvsbbPbYcZRIrpc/edit" TargetMode="External"/><Relationship Id="rId33" Type="http://schemas.openxmlformats.org/officeDocument/2006/relationships/hyperlink" Target="https://docs.google.com/spreadsheets/d/1UrnnEgoRUhdzr46QM7K30e2kRMlXxzyr7EcuvAu5JLA/edit?usp=drive_link" TargetMode="External"/><Relationship Id="rId38" Type="http://schemas.openxmlformats.org/officeDocument/2006/relationships/hyperlink" Target="https://docs.google.com/spreadsheets/u/0/d/16O0MP-dzMtEMGIdBizEruqHG794nByH32xiWGbR2eEg/edit" TargetMode="External"/><Relationship Id="rId46" Type="http://schemas.openxmlformats.org/officeDocument/2006/relationships/hyperlink" Target="https://docs.google.com/spreadsheets/d/1tB3A9wfwSV1X_su136AohQ5OGeRPOj8t6BeK_VPgZ8w/edit" TargetMode="External"/><Relationship Id="rId59" Type="http://schemas.openxmlformats.org/officeDocument/2006/relationships/vmlDrawing" Target="../drawings/vmlDrawing1.vml"/><Relationship Id="rId20" Type="http://schemas.openxmlformats.org/officeDocument/2006/relationships/hyperlink" Target="https://docs.google.com/spreadsheets/u/0/d/1i0MX37DliWevr17Lf288NkQN6V6L0PV_-ovQQC-cgkY/edit" TargetMode="External"/><Relationship Id="rId41" Type="http://schemas.openxmlformats.org/officeDocument/2006/relationships/hyperlink" Target="https://docs.google.com/spreadsheets/u/0/d/1q8N02hz7Obh6IOP0nLhLRSGTRcz_YD-5FNNNl_Nz3N4/edit" TargetMode="External"/><Relationship Id="rId54" Type="http://schemas.openxmlformats.org/officeDocument/2006/relationships/hyperlink" Target="https://docs.google.com/spreadsheets/u/0/d/1erhSbLHAryMKv0mb1JqC4SZMwg6jc2fI6k8I-s6b0Tg/edit" TargetMode="External"/><Relationship Id="rId1" Type="http://schemas.openxmlformats.org/officeDocument/2006/relationships/hyperlink" Target="https://docs.google.com/spreadsheets/d/1MBgQy-yF1OkA_9X0Qz48OHlR2f47Z50N37rUi7p114Y/edit?usp=drive_link" TargetMode="External"/><Relationship Id="rId6" Type="http://schemas.openxmlformats.org/officeDocument/2006/relationships/hyperlink" Target="https://docs.google.com/spreadsheets/u/0/d/1QnG7fc0FbGOKBc0_P1irHEHN5nluO9HULlZbjzsaTDs/edit" TargetMode="External"/><Relationship Id="rId15" Type="http://schemas.openxmlformats.org/officeDocument/2006/relationships/hyperlink" Target="https://docs.google.com/spreadsheets/d/1KiyAf9G1I934qnsQjx1_j3_ODcgOAYK2jfwnh8c74JY/edit?usp=drive_link" TargetMode="External"/><Relationship Id="rId23" Type="http://schemas.openxmlformats.org/officeDocument/2006/relationships/hyperlink" Target="https://docs.google.com/spreadsheets/d/1k3BmuStjWylkJ3EmwXJ7atRrqteIbi2foJpNA8PAQBU/edit" TargetMode="External"/><Relationship Id="rId28" Type="http://schemas.openxmlformats.org/officeDocument/2006/relationships/hyperlink" Target="https://docs.google.com/spreadsheets/d/1HiYEa0CHbQ2RnAxopYY-_pSMNoQDWuV0wPwaTCsf29o/edit" TargetMode="External"/><Relationship Id="rId36" Type="http://schemas.openxmlformats.org/officeDocument/2006/relationships/hyperlink" Target="https://docs.google.com/spreadsheets/u/0/d/1geWeSYSM5sCIAGq5PberaHjsTYBDsS2iJ1Hq9oX_daY/edit" TargetMode="External"/><Relationship Id="rId49" Type="http://schemas.openxmlformats.org/officeDocument/2006/relationships/hyperlink" Target="https://docs.google.com/spreadsheets/u/0/d/1Q-9LeRZPz_LB8EpnJsJvVUJLabv1cN59DPrGIpTg4g0/edit" TargetMode="External"/><Relationship Id="rId57" Type="http://schemas.openxmlformats.org/officeDocument/2006/relationships/hyperlink" Target="http://claude.ai/" TargetMode="External"/><Relationship Id="rId10" Type="http://schemas.openxmlformats.org/officeDocument/2006/relationships/hyperlink" Target="https://docs.google.com/spreadsheets/u/0/d/1ImHppyRutaGFNuNhYOuCdnOd_h1EJ5vGgmhS4PES33I/edit" TargetMode="External"/><Relationship Id="rId31" Type="http://schemas.openxmlformats.org/officeDocument/2006/relationships/hyperlink" Target="https://docs.google.com/spreadsheets/u/0/d/14uTWfnZ38BE1EZKdvyUJHeOi9daDemJ3Eh4W47RcpTA/edit" TargetMode="External"/><Relationship Id="rId44" Type="http://schemas.openxmlformats.org/officeDocument/2006/relationships/hyperlink" Target="https://docs.google.com/spreadsheets/u/0/d/11MWYp3vV_ApRYEqHY59_8Qf33zC4SUuzz2-yj0zL09U/edit" TargetMode="External"/><Relationship Id="rId52" Type="http://schemas.openxmlformats.org/officeDocument/2006/relationships/hyperlink" Target="https://docs.google.com/spreadsheets/u/0/d/1x0IoMfCkdM2SnoLJlapujw6d5VLUvYc1QlLg18zG32c/edit" TargetMode="External"/><Relationship Id="rId60" Type="http://schemas.openxmlformats.org/officeDocument/2006/relationships/comments" Target="../comments1.xml"/><Relationship Id="rId4" Type="http://schemas.openxmlformats.org/officeDocument/2006/relationships/hyperlink" Target="https://docs.google.com/spreadsheets/u/0/d/152bUFc0vInWmOXpvnOFCwOY2UBLMI1hrxw0hvkr1UwQ/edit" TargetMode="External"/><Relationship Id="rId9" Type="http://schemas.openxmlformats.org/officeDocument/2006/relationships/hyperlink" Target="https://docs.google.com/spreadsheets/u/0/d/1UdOAn4NUz7TLEiVWZd-37kYgDvyNXRolH9egCUW5dgo/edi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drive.google.com/drive/folders/1tBRPEiGyYMUgsvzRDRDhDGIf_ZAKNFA1?usp=sharing" TargetMode="External"/><Relationship Id="rId4" Type="http://schemas.microsoft.com/office/2017/10/relationships/threadedComment" Target="../threadedComments/threadedComment2.x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drive/folders/1tBRPEiGyYMUgsvzRDRDhDGIf_ZAKNFA1?usp=sharing"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claude.ai/"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claude.a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D9316-F6EE-4CA2-AFF4-E5FA0B0AA441}">
  <sheetPr filterMode="1"/>
  <dimension ref="A1:N1163"/>
  <sheetViews>
    <sheetView tabSelected="1" topLeftCell="A1121" workbookViewId="0">
      <selection activeCell="A2" sqref="A2:N1163"/>
    </sheetView>
  </sheetViews>
  <sheetFormatPr baseColWidth="10" defaultRowHeight="12.5"/>
  <sheetData>
    <row r="1" spans="1:14">
      <c r="A1" s="77" t="s">
        <v>0</v>
      </c>
      <c r="B1" s="78" t="s">
        <v>1</v>
      </c>
      <c r="C1" s="135" t="s">
        <v>2</v>
      </c>
      <c r="D1" s="136" t="s">
        <v>3</v>
      </c>
      <c r="E1" s="81" t="s">
        <v>4</v>
      </c>
      <c r="F1" s="82" t="s">
        <v>5</v>
      </c>
      <c r="G1" s="83" t="s">
        <v>6</v>
      </c>
      <c r="H1" s="82" t="s">
        <v>7</v>
      </c>
      <c r="I1" s="35" t="s">
        <v>8</v>
      </c>
      <c r="J1" s="35" t="s">
        <v>9</v>
      </c>
      <c r="K1" s="35" t="s">
        <v>10</v>
      </c>
      <c r="L1" s="35" t="s">
        <v>2015</v>
      </c>
      <c r="M1" s="35" t="s">
        <v>2016</v>
      </c>
      <c r="N1" s="35" t="s">
        <v>2017</v>
      </c>
    </row>
    <row r="2" spans="1:14">
      <c r="A2" t="str" cm="1">
        <f t="array" aca="1" ref="A2:K1163" ca="1">_xlfn._xlws.FILTER(_xlfn.VSTACK('#16 Rogelio:#88 Rene Granados'!A12:K206),_xlfn.VSTACK('#16 Rogelio:#88 Rene Granados'!A12:A206)&lt;&gt;0)</f>
        <v>TRX1294</v>
      </c>
      <c r="B2" t="str">
        <f ca="1"/>
        <v>#16</v>
      </c>
      <c r="C2">
        <f ca="1"/>
        <v>46055.416666666599</v>
      </c>
      <c r="D2">
        <f ca="1"/>
        <v>363.15</v>
      </c>
      <c r="E2" t="str">
        <f ca="1"/>
        <v>USD</v>
      </c>
      <c r="F2" t="str">
        <f ca="1"/>
        <v>Rogelio Gamez</v>
      </c>
      <c r="G2" t="str">
        <f ca="1"/>
        <v>OPENAI *CHATGPT SUBSCR SAN FRANCISCO USA</v>
      </c>
      <c r="H2" t="str">
        <f ca="1"/>
        <v>Openai</v>
      </c>
      <c r="I2" t="str">
        <f ca="1"/>
        <v>Tech&amp;Product</v>
      </c>
      <c r="J2">
        <f ca="1"/>
        <v>0</v>
      </c>
      <c r="K2">
        <f ca="1"/>
        <v>0</v>
      </c>
      <c r="L2" t="str">
        <f ca="1">VLOOKUP(B2,[1]Total!$B:$Q,16,0)</f>
        <v>603.81.004 Gastos de Oficina</v>
      </c>
      <c r="M2">
        <f ca="1">D2</f>
        <v>363.15</v>
      </c>
      <c r="N2" t="str">
        <f t="shared" ref="N2" ca="1" si="0">CONCATENATE(F2," ",G2," ",H2," ",I2," ",J2," ",K2," ")</f>
        <v xml:space="preserve">Rogelio Gamez OPENAI *CHATGPT SUBSCR SAN FRANCISCO USA Openai Tech&amp;Product 0 0 </v>
      </c>
    </row>
    <row r="3" spans="1:14">
      <c r="A3" t="str">
        <f ca="1"/>
        <v>TRX1233</v>
      </c>
      <c r="B3" t="str">
        <f ca="1"/>
        <v>#16</v>
      </c>
      <c r="C3">
        <f ca="1"/>
        <v>46058.416666666599</v>
      </c>
      <c r="D3">
        <f ca="1"/>
        <v>6615.11</v>
      </c>
      <c r="E3" t="str">
        <f ca="1"/>
        <v>MXN</v>
      </c>
      <c r="F3" t="str">
        <f ca="1"/>
        <v>Rogelio Gamez</v>
      </c>
      <c r="G3" t="str">
        <f ca="1"/>
        <v>PAYU   *GOOGLE ADS     MIGUEL HIDALG MEX</v>
      </c>
      <c r="H3" t="str">
        <f ca="1"/>
        <v>Google</v>
      </c>
      <c r="I3" t="str">
        <f ca="1"/>
        <v>Sales</v>
      </c>
      <c r="J3" t="str">
        <f ca="1"/>
        <v>Marketing</v>
      </c>
      <c r="K3">
        <f ca="1"/>
        <v>0</v>
      </c>
      <c r="L3" s="137" t="s">
        <v>2019</v>
      </c>
      <c r="M3">
        <f t="shared" ref="M3:M66" ca="1" si="1">D3</f>
        <v>6615.11</v>
      </c>
      <c r="N3" t="str">
        <f t="shared" ref="N3:N66" ca="1" si="2">CONCATENATE(F3," ",G3," ",H3," ",I3," ",J3," ",K3," ")</f>
        <v xml:space="preserve">Rogelio Gamez PAYU   *GOOGLE ADS     MIGUEL HIDALG MEX Google Sales Marketing 0 </v>
      </c>
    </row>
    <row r="4" spans="1:14">
      <c r="A4" t="str">
        <f ca="1"/>
        <v>TRX1185</v>
      </c>
      <c r="B4" t="str">
        <f ca="1"/>
        <v>#16</v>
      </c>
      <c r="C4">
        <f ca="1"/>
        <v>46059.416666666599</v>
      </c>
      <c r="D4">
        <f ca="1"/>
        <v>696.88</v>
      </c>
      <c r="E4" t="str">
        <f ca="1"/>
        <v>MXN</v>
      </c>
      <c r="F4" t="str">
        <f ca="1"/>
        <v>Rogelio Gamez</v>
      </c>
      <c r="G4" t="str">
        <f ca="1"/>
        <v>Amazon Mexico          CMX           MEX</v>
      </c>
      <c r="H4" t="str">
        <f ca="1"/>
        <v>Amazon</v>
      </c>
      <c r="I4" t="str">
        <f ca="1"/>
        <v>Office expenses</v>
      </c>
      <c r="J4">
        <f ca="1"/>
        <v>0</v>
      </c>
      <c r="K4">
        <f ca="1"/>
        <v>0</v>
      </c>
      <c r="L4" t="str">
        <f ca="1">VLOOKUP(B4,[1]Total!$B:$Q,16,0)</f>
        <v>603.81.004 Gastos de Oficina</v>
      </c>
      <c r="M4">
        <f t="shared" ca="1" si="1"/>
        <v>696.88</v>
      </c>
      <c r="N4" t="str">
        <f t="shared" ca="1" si="2"/>
        <v xml:space="preserve">Rogelio Gamez Amazon Mexico          CMX           MEX Amazon Office expenses 0 0 </v>
      </c>
    </row>
    <row r="5" spans="1:14">
      <c r="A5" t="str">
        <f ca="1"/>
        <v>TRX1184</v>
      </c>
      <c r="B5" t="str">
        <f ca="1"/>
        <v>#16</v>
      </c>
      <c r="C5">
        <f ca="1"/>
        <v>46059.416666666599</v>
      </c>
      <c r="D5">
        <f ca="1"/>
        <v>903.99</v>
      </c>
      <c r="E5" t="str">
        <f ca="1"/>
        <v>MXN</v>
      </c>
      <c r="F5" t="str">
        <f ca="1"/>
        <v>Rogelio Gamez</v>
      </c>
      <c r="G5" t="str">
        <f ca="1"/>
        <v>Amazon Mexico          CMX           MEX</v>
      </c>
      <c r="H5" t="str">
        <f ca="1"/>
        <v>Amazon</v>
      </c>
      <c r="I5" t="str">
        <f ca="1"/>
        <v>Office expenses</v>
      </c>
      <c r="J5">
        <f ca="1"/>
        <v>0</v>
      </c>
      <c r="K5">
        <f ca="1"/>
        <v>0</v>
      </c>
      <c r="L5" t="str">
        <f ca="1">VLOOKUP(B5,[1]Total!$B:$Q,16,0)</f>
        <v>603.81.004 Gastos de Oficina</v>
      </c>
      <c r="M5">
        <f t="shared" ca="1" si="1"/>
        <v>903.99</v>
      </c>
      <c r="N5" t="str">
        <f t="shared" ca="1" si="2"/>
        <v xml:space="preserve">Rogelio Gamez Amazon Mexico          CMX           MEX Amazon Office expenses 0 0 </v>
      </c>
    </row>
    <row r="6" spans="1:14">
      <c r="A6" t="str">
        <f ca="1"/>
        <v>TRX1179</v>
      </c>
      <c r="B6" t="str">
        <f ca="1"/>
        <v>#16</v>
      </c>
      <c r="C6">
        <f ca="1"/>
        <v>46059.416666666599</v>
      </c>
      <c r="D6">
        <f ca="1"/>
        <v>647.16999999999996</v>
      </c>
      <c r="E6" t="str">
        <f ca="1"/>
        <v>MXN</v>
      </c>
      <c r="F6" t="str">
        <f ca="1"/>
        <v>Rogelio Gamez</v>
      </c>
      <c r="G6" t="str">
        <f ca="1"/>
        <v>Amazon Mexico          CMX           MEX</v>
      </c>
      <c r="H6" t="str">
        <f ca="1"/>
        <v>Amazon</v>
      </c>
      <c r="I6" t="str">
        <f ca="1"/>
        <v>Tech&amp;Product</v>
      </c>
      <c r="J6">
        <f ca="1"/>
        <v>0</v>
      </c>
      <c r="K6">
        <f ca="1"/>
        <v>0</v>
      </c>
      <c r="L6" t="str">
        <f ca="1">VLOOKUP(B6,[1]Total!$B:$Q,16,0)</f>
        <v>603.81.004 Gastos de Oficina</v>
      </c>
      <c r="M6">
        <f t="shared" ca="1" si="1"/>
        <v>647.16999999999996</v>
      </c>
      <c r="N6" t="str">
        <f t="shared" ca="1" si="2"/>
        <v xml:space="preserve">Rogelio Gamez Amazon Mexico          CMX           MEX Amazon Tech&amp;Product 0 0 </v>
      </c>
    </row>
    <row r="7" spans="1:14">
      <c r="A7" t="str">
        <f ca="1"/>
        <v>TRX1177</v>
      </c>
      <c r="B7" t="str">
        <f ca="1"/>
        <v>#16</v>
      </c>
      <c r="C7">
        <f ca="1"/>
        <v>46059.416666666599</v>
      </c>
      <c r="D7">
        <f ca="1"/>
        <v>620.01</v>
      </c>
      <c r="E7" t="str">
        <f ca="1"/>
        <v>MXN</v>
      </c>
      <c r="F7" t="str">
        <f ca="1"/>
        <v>Rogelio Gamez</v>
      </c>
      <c r="G7" t="str">
        <f ca="1"/>
        <v>Amazon Mexico          CMX           MEX</v>
      </c>
      <c r="H7" t="str">
        <f ca="1"/>
        <v>Amazon</v>
      </c>
      <c r="I7" t="str">
        <f ca="1"/>
        <v>Office expenses</v>
      </c>
      <c r="J7">
        <f ca="1"/>
        <v>0</v>
      </c>
      <c r="K7">
        <f ca="1"/>
        <v>0</v>
      </c>
      <c r="L7" t="str">
        <f ca="1">VLOOKUP(B7,[1]Total!$B:$Q,16,0)</f>
        <v>603.81.004 Gastos de Oficina</v>
      </c>
      <c r="M7">
        <f t="shared" ca="1" si="1"/>
        <v>620.01</v>
      </c>
      <c r="N7" t="str">
        <f t="shared" ca="1" si="2"/>
        <v xml:space="preserve">Rogelio Gamez Amazon Mexico          CMX           MEX Amazon Office expenses 0 0 </v>
      </c>
    </row>
    <row r="8" spans="1:14">
      <c r="A8" t="str">
        <f ca="1"/>
        <v>TRX1170</v>
      </c>
      <c r="B8" t="str">
        <f ca="1"/>
        <v>#16</v>
      </c>
      <c r="C8">
        <f ca="1"/>
        <v>46059.416666666599</v>
      </c>
      <c r="D8">
        <f ca="1"/>
        <v>4420</v>
      </c>
      <c r="E8" t="str">
        <f ca="1"/>
        <v>MXN</v>
      </c>
      <c r="F8" t="str">
        <f ca="1"/>
        <v>Rogelio Gamez</v>
      </c>
      <c r="G8" t="str">
        <f ca="1"/>
        <v>MERCADOPAGO *FIERCEMX  Ciudad de Mex MEX</v>
      </c>
      <c r="H8" t="str">
        <f ca="1"/>
        <v>Mercadopago</v>
      </c>
      <c r="I8" t="str">
        <f ca="1"/>
        <v>Office expenses</v>
      </c>
      <c r="J8">
        <f ca="1"/>
        <v>0</v>
      </c>
      <c r="K8">
        <f ca="1"/>
        <v>0</v>
      </c>
      <c r="L8" t="str">
        <f ca="1">VLOOKUP(B8,[1]Total!$B:$Q,16,0)</f>
        <v>603.81.004 Gastos de Oficina</v>
      </c>
      <c r="M8">
        <f t="shared" ca="1" si="1"/>
        <v>4420</v>
      </c>
      <c r="N8" t="str">
        <f t="shared" ca="1" si="2"/>
        <v xml:space="preserve">Rogelio Gamez MERCADOPAGO *FIERCEMX  Ciudad de Mex MEX Mercadopago Office expenses 0 0 </v>
      </c>
    </row>
    <row r="9" spans="1:14">
      <c r="A9" t="str">
        <f ca="1"/>
        <v>TRX1157</v>
      </c>
      <c r="B9" t="str">
        <f ca="1"/>
        <v>#16</v>
      </c>
      <c r="C9">
        <f ca="1"/>
        <v>46059.417361111096</v>
      </c>
      <c r="D9">
        <f ca="1"/>
        <v>8990</v>
      </c>
      <c r="E9" t="str">
        <f ca="1"/>
        <v>MXN</v>
      </c>
      <c r="F9" t="str">
        <f ca="1"/>
        <v>Rogelio Gamez</v>
      </c>
      <c r="G9" t="str">
        <f ca="1"/>
        <v>STR*SYNTAGE            CIUDAD DE MEX MEX</v>
      </c>
      <c r="H9" t="str">
        <f ca="1"/>
        <v>Str Syntage Ciudad De Mex Mex</v>
      </c>
      <c r="I9" t="str">
        <f ca="1"/>
        <v>Office expenses</v>
      </c>
      <c r="J9">
        <f ca="1"/>
        <v>0</v>
      </c>
      <c r="K9">
        <f ca="1"/>
        <v>0</v>
      </c>
      <c r="L9" t="str">
        <f ca="1">VLOOKUP(B9,[1]Total!$B:$Q,16,0)</f>
        <v>603.81.004 Gastos de Oficina</v>
      </c>
      <c r="M9">
        <f t="shared" ca="1" si="1"/>
        <v>8990</v>
      </c>
      <c r="N9" t="str">
        <f t="shared" ca="1" si="2"/>
        <v xml:space="preserve">Rogelio Gamez STR*SYNTAGE            CIUDAD DE MEX MEX Str Syntage Ciudad De Mex Mex Office expenses 0 0 </v>
      </c>
    </row>
    <row r="10" spans="1:14">
      <c r="A10" t="str">
        <f ca="1"/>
        <v>TRX1541</v>
      </c>
      <c r="B10" t="str">
        <f ca="1"/>
        <v>#16</v>
      </c>
      <c r="C10">
        <f ca="1"/>
        <v>46061.417361111096</v>
      </c>
      <c r="D10">
        <f ca="1"/>
        <v>17401.349999999999</v>
      </c>
      <c r="E10" t="str">
        <f ca="1"/>
        <v>USD</v>
      </c>
      <c r="F10" t="str">
        <f ca="1"/>
        <v>Rogelio Gamez</v>
      </c>
      <c r="G10" t="str">
        <f ca="1"/>
        <v>NOTION LABS, INC.      SAN FRANCISCO USA</v>
      </c>
      <c r="H10" t="str">
        <f ca="1"/>
        <v>Notion</v>
      </c>
      <c r="I10" t="str">
        <f ca="1"/>
        <v>Office expenses</v>
      </c>
      <c r="J10">
        <f ca="1"/>
        <v>0</v>
      </c>
      <c r="K10">
        <f ca="1"/>
        <v>0</v>
      </c>
      <c r="L10" t="str">
        <f ca="1">VLOOKUP(B10,[1]Total!$B:$Q,16,0)</f>
        <v>603.81.004 Gastos de Oficina</v>
      </c>
      <c r="M10">
        <f t="shared" ca="1" si="1"/>
        <v>17401.349999999999</v>
      </c>
      <c r="N10" t="str">
        <f t="shared" ca="1" si="2"/>
        <v xml:space="preserve">Rogelio Gamez NOTION LABS, INC.      SAN FRANCISCO USA Notion Office expenses 0 0 </v>
      </c>
    </row>
    <row r="11" spans="1:14">
      <c r="A11" t="str">
        <f ca="1"/>
        <v>TRX1648</v>
      </c>
      <c r="B11" t="str">
        <f ca="1"/>
        <v>#16</v>
      </c>
      <c r="C11">
        <f ca="1"/>
        <v>46061.417361111096</v>
      </c>
      <c r="D11">
        <f ca="1"/>
        <v>151306.79</v>
      </c>
      <c r="E11" t="str">
        <f ca="1"/>
        <v>USD</v>
      </c>
      <c r="F11" t="str">
        <f ca="1"/>
        <v>Rogelio Gamez</v>
      </c>
      <c r="G11" t="str">
        <f ca="1"/>
        <v>Amazon web services    SEATTLE       USA</v>
      </c>
      <c r="H11" t="str">
        <f ca="1"/>
        <v>Amazon Web Services</v>
      </c>
      <c r="I11" t="str">
        <f ca="1"/>
        <v>Sales</v>
      </c>
      <c r="J11" t="str">
        <f ca="1"/>
        <v>Marketing</v>
      </c>
      <c r="K11">
        <f ca="1"/>
        <v>0</v>
      </c>
      <c r="L11" s="137" t="s">
        <v>2019</v>
      </c>
      <c r="M11">
        <f t="shared" ca="1" si="1"/>
        <v>151306.79</v>
      </c>
      <c r="N11" t="str">
        <f t="shared" ca="1" si="2"/>
        <v xml:space="preserve">Rogelio Gamez Amazon web services    SEATTLE       USA Amazon Web Services Sales Marketing 0 </v>
      </c>
    </row>
    <row r="12" spans="1:14">
      <c r="A12" t="str">
        <f ca="1"/>
        <v>TRX1277</v>
      </c>
      <c r="B12" t="str">
        <f ca="1"/>
        <v>#16</v>
      </c>
      <c r="C12">
        <f ca="1"/>
        <v>46062.416666666599</v>
      </c>
      <c r="D12">
        <f ca="1"/>
        <v>39</v>
      </c>
      <c r="E12" t="str">
        <f ca="1"/>
        <v>MXN</v>
      </c>
      <c r="F12" t="str">
        <f ca="1"/>
        <v>Rogelio Gamez</v>
      </c>
      <c r="G12" t="str">
        <f ca="1"/>
        <v>OFFICE DEPOT STAM      TLANEPANTLA E MEX</v>
      </c>
      <c r="H12" t="str">
        <f ca="1"/>
        <v>Office Depot</v>
      </c>
      <c r="I12" t="str">
        <f ca="1"/>
        <v>Office expenses</v>
      </c>
      <c r="J12">
        <f ca="1"/>
        <v>0</v>
      </c>
      <c r="K12">
        <f ca="1"/>
        <v>0</v>
      </c>
      <c r="L12" t="str">
        <f ca="1">VLOOKUP(B12,[1]Total!$B:$Q,16,0)</f>
        <v>603.81.004 Gastos de Oficina</v>
      </c>
      <c r="M12">
        <f t="shared" ca="1" si="1"/>
        <v>39</v>
      </c>
      <c r="N12" t="str">
        <f t="shared" ca="1" si="2"/>
        <v xml:space="preserve">Rogelio Gamez OFFICE DEPOT STAM      TLANEPANTLA E MEX Office Depot Office expenses 0 0 </v>
      </c>
    </row>
    <row r="13" spans="1:14">
      <c r="A13" t="str">
        <f ca="1"/>
        <v>TRX1426</v>
      </c>
      <c r="B13" t="str">
        <f ca="1"/>
        <v>#16</v>
      </c>
      <c r="C13">
        <f ca="1"/>
        <v>46064.416666666599</v>
      </c>
      <c r="D13">
        <f ca="1"/>
        <v>259.94</v>
      </c>
      <c r="E13" t="str">
        <f ca="1"/>
        <v>MXN</v>
      </c>
      <c r="F13" t="str">
        <f ca="1"/>
        <v>Rogelio Gamez</v>
      </c>
      <c r="G13" t="str">
        <f ca="1"/>
        <v>UBER * PENDING         CMX           MEX</v>
      </c>
      <c r="H13" t="str">
        <f ca="1"/>
        <v>Uber</v>
      </c>
      <c r="I13" t="str">
        <f ca="1"/>
        <v>G&amp;A expenses</v>
      </c>
      <c r="J13">
        <f ca="1"/>
        <v>0</v>
      </c>
      <c r="K13">
        <f ca="1"/>
        <v>0</v>
      </c>
      <c r="L13" t="str">
        <f ca="1">VLOOKUP(B13,[1]Total!$B:$Q,16,0)</f>
        <v>603.81.004 Gastos de Oficina</v>
      </c>
      <c r="M13">
        <f t="shared" ca="1" si="1"/>
        <v>259.94</v>
      </c>
      <c r="N13" t="str">
        <f t="shared" ca="1" si="2"/>
        <v xml:space="preserve">Rogelio Gamez UBER * PENDING         CMX           MEX Uber G&amp;A expenses 0 0 </v>
      </c>
    </row>
    <row r="14" spans="1:14">
      <c r="A14" t="str">
        <f ca="1"/>
        <v>TRX1453</v>
      </c>
      <c r="B14" t="str">
        <f ca="1"/>
        <v>#16</v>
      </c>
      <c r="C14">
        <f ca="1"/>
        <v>46065.416666666599</v>
      </c>
      <c r="D14">
        <f ca="1"/>
        <v>179</v>
      </c>
      <c r="E14" t="str">
        <f ca="1"/>
        <v>MXN</v>
      </c>
      <c r="F14" t="str">
        <f ca="1"/>
        <v>Rogelio Gamez</v>
      </c>
      <c r="G14" t="str">
        <f ca="1"/>
        <v>Amazon Mexico          CMX           MEX</v>
      </c>
      <c r="H14" t="str">
        <f ca="1"/>
        <v>Amazon</v>
      </c>
      <c r="I14" t="str">
        <f ca="1"/>
        <v>Office expenses</v>
      </c>
      <c r="J14">
        <f ca="1"/>
        <v>0</v>
      </c>
      <c r="K14">
        <f ca="1"/>
        <v>0</v>
      </c>
      <c r="L14" t="str">
        <f ca="1">VLOOKUP(B14,[1]Total!$B:$Q,16,0)</f>
        <v>603.81.004 Gastos de Oficina</v>
      </c>
      <c r="M14">
        <f t="shared" ca="1" si="1"/>
        <v>179</v>
      </c>
      <c r="N14" t="str">
        <f t="shared" ca="1" si="2"/>
        <v xml:space="preserve">Rogelio Gamez Amazon Mexico          CMX           MEX Amazon Office expenses 0 0 </v>
      </c>
    </row>
    <row r="15" spans="1:14">
      <c r="A15" t="str">
        <f ca="1"/>
        <v>TRX1331</v>
      </c>
      <c r="B15" t="str">
        <f ca="1"/>
        <v>#16</v>
      </c>
      <c r="C15">
        <f ca="1"/>
        <v>46065.416666666599</v>
      </c>
      <c r="D15">
        <f ca="1"/>
        <v>939.94</v>
      </c>
      <c r="E15" t="str">
        <f ca="1"/>
        <v>MXN</v>
      </c>
      <c r="F15" t="str">
        <f ca="1"/>
        <v>Rogelio Gamez</v>
      </c>
      <c r="G15" t="str">
        <f ca="1"/>
        <v>Amazon Mexico          CMX           MEX</v>
      </c>
      <c r="H15" t="str">
        <f ca="1"/>
        <v>Amazon</v>
      </c>
      <c r="I15" t="str">
        <f ca="1"/>
        <v>G&amp;A expenses</v>
      </c>
      <c r="J15">
        <f ca="1"/>
        <v>0</v>
      </c>
      <c r="K15">
        <f ca="1"/>
        <v>0</v>
      </c>
      <c r="L15" t="str">
        <f ca="1">VLOOKUP(B15,[1]Total!$B:$Q,16,0)</f>
        <v>603.81.004 Gastos de Oficina</v>
      </c>
      <c r="M15">
        <f t="shared" ca="1" si="1"/>
        <v>939.94</v>
      </c>
      <c r="N15" t="str">
        <f t="shared" ca="1" si="2"/>
        <v xml:space="preserve">Rogelio Gamez Amazon Mexico          CMX           MEX Amazon G&amp;A expenses 0 0 </v>
      </c>
    </row>
    <row r="16" spans="1:14">
      <c r="A16" t="str">
        <f ca="1"/>
        <v>TRX1926</v>
      </c>
      <c r="B16" t="str">
        <f ca="1"/>
        <v>#16</v>
      </c>
      <c r="C16">
        <f ca="1"/>
        <v>46065.416666666599</v>
      </c>
      <c r="D16">
        <f ca="1"/>
        <v>499.72</v>
      </c>
      <c r="E16" t="str">
        <f ca="1"/>
        <v>MXN</v>
      </c>
      <c r="F16" t="str">
        <f ca="1"/>
        <v>Rogelio Gamez</v>
      </c>
      <c r="G16" t="str">
        <f ca="1"/>
        <v>Amazon Mexico          CMX           MEX</v>
      </c>
      <c r="H16" t="str">
        <f ca="1"/>
        <v>Amazon</v>
      </c>
      <c r="I16" t="str">
        <f ca="1"/>
        <v>Tech&amp;Product</v>
      </c>
      <c r="J16">
        <f ca="1"/>
        <v>0</v>
      </c>
      <c r="K16">
        <f ca="1"/>
        <v>0</v>
      </c>
      <c r="L16" t="str">
        <f ca="1">VLOOKUP(B16,[1]Total!$B:$Q,16,0)</f>
        <v>603.81.004 Gastos de Oficina</v>
      </c>
      <c r="M16">
        <f t="shared" ca="1" si="1"/>
        <v>499.72</v>
      </c>
      <c r="N16" t="str">
        <f t="shared" ca="1" si="2"/>
        <v xml:space="preserve">Rogelio Gamez Amazon Mexico          CMX           MEX Amazon Tech&amp;Product 0 0 </v>
      </c>
    </row>
    <row r="17" spans="1:14">
      <c r="A17" t="str">
        <f ca="1"/>
        <v>TRX1345</v>
      </c>
      <c r="B17" t="str">
        <f ca="1"/>
        <v>#16</v>
      </c>
      <c r="C17">
        <f ca="1"/>
        <v>46065.416666666599</v>
      </c>
      <c r="D17">
        <f ca="1"/>
        <v>299.99</v>
      </c>
      <c r="E17" t="str">
        <f ca="1"/>
        <v>MXN</v>
      </c>
      <c r="F17" t="str">
        <f ca="1"/>
        <v>Rogelio Gamez</v>
      </c>
      <c r="G17" t="str">
        <f ca="1"/>
        <v>Amazon Mexico          CMX           MEX</v>
      </c>
      <c r="H17" t="str">
        <f ca="1"/>
        <v>Amazon</v>
      </c>
      <c r="I17" t="str">
        <f ca="1"/>
        <v>Office expenses</v>
      </c>
      <c r="J17">
        <f ca="1"/>
        <v>0</v>
      </c>
      <c r="K17">
        <f ca="1"/>
        <v>0</v>
      </c>
      <c r="L17" t="str">
        <f ca="1">VLOOKUP(B17,[1]Total!$B:$Q,16,0)</f>
        <v>603.81.004 Gastos de Oficina</v>
      </c>
      <c r="M17">
        <f t="shared" ca="1" si="1"/>
        <v>299.99</v>
      </c>
      <c r="N17" t="str">
        <f t="shared" ca="1" si="2"/>
        <v xml:space="preserve">Rogelio Gamez Amazon Mexico          CMX           MEX Amazon Office expenses 0 0 </v>
      </c>
    </row>
    <row r="18" spans="1:14">
      <c r="A18" t="str">
        <f ca="1"/>
        <v>TRX1338</v>
      </c>
      <c r="B18" t="str">
        <f ca="1"/>
        <v>#16</v>
      </c>
      <c r="C18">
        <f ca="1"/>
        <v>46065.416666666599</v>
      </c>
      <c r="D18">
        <f ca="1"/>
        <v>10000</v>
      </c>
      <c r="E18" t="str">
        <f ca="1"/>
        <v>MXN</v>
      </c>
      <c r="F18" t="str">
        <f ca="1"/>
        <v>Rogelio Gamez</v>
      </c>
      <c r="G18" t="str">
        <f ca="1"/>
        <v>PAYU   *GOOGLE ADS     MIGUEL HIDALG MEX</v>
      </c>
      <c r="H18" t="str">
        <f ca="1"/>
        <v>Google</v>
      </c>
      <c r="I18" t="str">
        <f ca="1"/>
        <v>Tech&amp;Product</v>
      </c>
      <c r="J18">
        <f ca="1"/>
        <v>0</v>
      </c>
      <c r="K18">
        <f ca="1"/>
        <v>0</v>
      </c>
      <c r="L18" t="str">
        <f ca="1">VLOOKUP(B18,[1]Total!$B:$Q,16,0)</f>
        <v>603.81.004 Gastos de Oficina</v>
      </c>
      <c r="M18">
        <f t="shared" ca="1" si="1"/>
        <v>10000</v>
      </c>
      <c r="N18" t="str">
        <f t="shared" ca="1" si="2"/>
        <v xml:space="preserve">Rogelio Gamez PAYU   *GOOGLE ADS     MIGUEL HIDALG MEX Google Tech&amp;Product 0 0 </v>
      </c>
    </row>
    <row r="19" spans="1:14">
      <c r="A19" t="str">
        <f ca="1"/>
        <v>TRX1265</v>
      </c>
      <c r="B19" t="str">
        <f ca="1"/>
        <v>#16</v>
      </c>
      <c r="C19">
        <f ca="1"/>
        <v>46065.417361111096</v>
      </c>
      <c r="D19">
        <f ca="1"/>
        <v>0.86</v>
      </c>
      <c r="E19" t="str">
        <f ca="1"/>
        <v>MXN</v>
      </c>
      <c r="F19" t="str">
        <f ca="1"/>
        <v>Rogelio Gamez</v>
      </c>
      <c r="G19" t="str">
        <f ca="1"/>
        <v>20260211T04:49:55/Amazon Mexico\AV BLVD MANUEL A CAMACHO\CMX\11510     MEXMEX</v>
      </c>
      <c r="H19" t="str">
        <f ca="1"/>
        <v>Amazon</v>
      </c>
      <c r="I19" t="str">
        <f ca="1"/>
        <v>Sales</v>
      </c>
      <c r="J19" t="str">
        <f ca="1"/>
        <v>Marketing</v>
      </c>
      <c r="K19">
        <f ca="1"/>
        <v>0</v>
      </c>
      <c r="L19" t="str">
        <f ca="1">VLOOKUP(B19,[1]Total!$B:$Q,16,0)</f>
        <v>603.81.004 Gastos de Oficina</v>
      </c>
      <c r="M19">
        <f t="shared" ca="1" si="1"/>
        <v>0.86</v>
      </c>
      <c r="N19" t="str">
        <f t="shared" ca="1" si="2"/>
        <v xml:space="preserve">Rogelio Gamez 20260211T04:49:55/Amazon Mexico\AV BLVD MANUEL A CAMACHO\CMX\11510     MEXMEX Amazon Sales Marketing 0 </v>
      </c>
    </row>
    <row r="20" spans="1:14">
      <c r="A20" t="str">
        <f ca="1"/>
        <v>TRX1303</v>
      </c>
      <c r="B20" t="str">
        <f ca="1"/>
        <v>#16</v>
      </c>
      <c r="C20">
        <f ca="1"/>
        <v>46072.417361111096</v>
      </c>
      <c r="D20">
        <f ca="1"/>
        <v>300</v>
      </c>
      <c r="E20" t="str">
        <f ca="1"/>
        <v>MXN</v>
      </c>
      <c r="F20" t="str">
        <f ca="1"/>
        <v>Rogelio Gamez</v>
      </c>
      <c r="G20" t="str">
        <f ca="1"/>
        <v>ABTS 12911 PRADO NORTE CIUDAD DE MEX MEX</v>
      </c>
      <c r="H20" t="str">
        <f ca="1"/>
        <v>Abts Prado Norte Ciudad De Mex Mex</v>
      </c>
      <c r="I20" t="str">
        <f ca="1"/>
        <v>Tech&amp;Product</v>
      </c>
      <c r="J20">
        <f ca="1"/>
        <v>0</v>
      </c>
      <c r="K20">
        <f ca="1"/>
        <v>0</v>
      </c>
      <c r="L20" t="str">
        <f ca="1">VLOOKUP(B20,[1]Total!$B:$Q,16,0)</f>
        <v>603.81.004 Gastos de Oficina</v>
      </c>
      <c r="M20">
        <f t="shared" ca="1" si="1"/>
        <v>300</v>
      </c>
      <c r="N20" t="str">
        <f t="shared" ca="1" si="2"/>
        <v xml:space="preserve">Rogelio Gamez ABTS 12911 PRADO NORTE CIUDAD DE MEX MEX Abts Prado Norte Ciudad De Mex Mex Tech&amp;Product 0 0 </v>
      </c>
    </row>
    <row r="21" spans="1:14">
      <c r="A21" t="str">
        <f ca="1"/>
        <v>TRX1313</v>
      </c>
      <c r="B21" t="str">
        <f ca="1"/>
        <v>#16</v>
      </c>
      <c r="C21">
        <f ca="1"/>
        <v>46074.416666666599</v>
      </c>
      <c r="D21">
        <f ca="1"/>
        <v>10000</v>
      </c>
      <c r="E21" t="str">
        <f ca="1"/>
        <v>MXN</v>
      </c>
      <c r="F21" t="str">
        <f ca="1"/>
        <v>Rogelio Gamez</v>
      </c>
      <c r="G21" t="str">
        <f ca="1"/>
        <v>PAYU   *GOOGLE ADS     MIGUEL HIDALG MEX</v>
      </c>
      <c r="H21" t="str">
        <f ca="1"/>
        <v>Google</v>
      </c>
      <c r="I21" t="str">
        <f ca="1"/>
        <v>Office expenses</v>
      </c>
      <c r="J21">
        <f ca="1"/>
        <v>0</v>
      </c>
      <c r="K21">
        <f ca="1"/>
        <v>0</v>
      </c>
      <c r="L21" t="str">
        <f ca="1">VLOOKUP(B21,[1]Total!$B:$Q,16,0)</f>
        <v>603.81.004 Gastos de Oficina</v>
      </c>
      <c r="M21">
        <f t="shared" ca="1" si="1"/>
        <v>10000</v>
      </c>
      <c r="N21" t="str">
        <f t="shared" ca="1" si="2"/>
        <v xml:space="preserve">Rogelio Gamez PAYU   *GOOGLE ADS     MIGUEL HIDALG MEX Google Office expenses 0 0 </v>
      </c>
    </row>
    <row r="22" spans="1:14">
      <c r="A22" t="str">
        <f ca="1"/>
        <v>TRX1077</v>
      </c>
      <c r="B22" t="str">
        <f ca="1"/>
        <v>#16</v>
      </c>
      <c r="C22">
        <f ca="1"/>
        <v>46075.417361111096</v>
      </c>
      <c r="D22">
        <f ca="1"/>
        <v>377.09</v>
      </c>
      <c r="E22" t="str">
        <f ca="1"/>
        <v>USD</v>
      </c>
      <c r="F22" t="str">
        <f ca="1"/>
        <v>Rogelio Gamez</v>
      </c>
      <c r="G22" t="str">
        <f ca="1"/>
        <v>Box_UK                 London        GBR</v>
      </c>
      <c r="H22" t="str">
        <f ca="1"/>
        <v>Box_Uk London</v>
      </c>
      <c r="I22" t="str">
        <f ca="1"/>
        <v>Tech&amp;Product</v>
      </c>
      <c r="J22">
        <f ca="1"/>
        <v>0</v>
      </c>
      <c r="K22">
        <f ca="1"/>
        <v>0</v>
      </c>
      <c r="L22" t="str">
        <f ca="1">VLOOKUP(B22,[1]Total!$B:$Q,16,0)</f>
        <v>603.81.004 Gastos de Oficina</v>
      </c>
      <c r="M22">
        <f t="shared" ca="1" si="1"/>
        <v>377.09</v>
      </c>
      <c r="N22" t="str">
        <f t="shared" ca="1" si="2"/>
        <v xml:space="preserve">Rogelio Gamez Box_UK                 London        GBR Box_Uk London Tech&amp;Product 0 0 </v>
      </c>
    </row>
    <row r="23" spans="1:14">
      <c r="A23" t="str">
        <f ca="1"/>
        <v>TRX1097</v>
      </c>
      <c r="B23" t="str">
        <f ca="1"/>
        <v>#16</v>
      </c>
      <c r="C23">
        <f ca="1"/>
        <v>46076.416666666599</v>
      </c>
      <c r="D23">
        <f ca="1"/>
        <v>320.52999999999997</v>
      </c>
      <c r="E23" t="str">
        <f ca="1"/>
        <v>EUR</v>
      </c>
      <c r="F23" t="str">
        <f ca="1"/>
        <v>Rogelio Gamez</v>
      </c>
      <c r="G23" t="str">
        <f ca="1"/>
        <v>WEGLOT                 PARIS         FRA</v>
      </c>
      <c r="H23" t="str">
        <f ca="1"/>
        <v>Weglot Paris Fra</v>
      </c>
      <c r="I23" t="str">
        <f ca="1"/>
        <v>Tech&amp;Product</v>
      </c>
      <c r="J23">
        <f ca="1"/>
        <v>0</v>
      </c>
      <c r="K23">
        <f ca="1"/>
        <v>0</v>
      </c>
      <c r="L23" t="str">
        <f ca="1">VLOOKUP(B23,[1]Total!$B:$Q,16,0)</f>
        <v>603.81.004 Gastos de Oficina</v>
      </c>
      <c r="M23">
        <f t="shared" ca="1" si="1"/>
        <v>320.52999999999997</v>
      </c>
      <c r="N23" t="str">
        <f t="shared" ca="1" si="2"/>
        <v xml:space="preserve">Rogelio Gamez WEGLOT                 PARIS         FRA Weglot Paris Fra Tech&amp;Product 0 0 </v>
      </c>
    </row>
    <row r="24" spans="1:14">
      <c r="A24" t="str">
        <f ca="1"/>
        <v>TRX1285</v>
      </c>
      <c r="B24" t="str">
        <f ca="1"/>
        <v>#66</v>
      </c>
      <c r="C24">
        <f ca="1"/>
        <v>46056.416666666599</v>
      </c>
      <c r="D24">
        <f ca="1"/>
        <v>262</v>
      </c>
      <c r="E24" t="str">
        <f ca="1"/>
        <v>MXN</v>
      </c>
      <c r="F24" t="str">
        <f ca="1"/>
        <v>Erik Castillo</v>
      </c>
      <c r="G24" t="str">
        <f ca="1"/>
        <v>HAMBURGUESAS DIANA     TIZAYUCA HGO  MEX</v>
      </c>
      <c r="H24" t="str">
        <f ca="1"/>
        <v>Hamburguesas Diana Tizayuca Hgo Mex</v>
      </c>
      <c r="I24" t="str">
        <f ca="1"/>
        <v>Transaction cost</v>
      </c>
      <c r="J24" t="str">
        <f ca="1"/>
        <v>Gasolina</v>
      </c>
      <c r="K24" t="str">
        <f ca="1"/>
        <v>A18529</v>
      </c>
      <c r="L24" t="str">
        <f ca="1">VLOOKUP(B24,[1]Total!$B:$Q,16,0)</f>
        <v>602.34.002 Gastos por visita tencica</v>
      </c>
      <c r="M24">
        <f t="shared" ca="1" si="1"/>
        <v>262</v>
      </c>
      <c r="N24" t="str">
        <f t="shared" ca="1" si="2"/>
        <v xml:space="preserve">Erik Castillo HAMBURGUESAS DIANA     TIZAYUCA HGO  MEX Hamburguesas Diana Tizayuca Hgo Mex Transaction cost Gasolina A18529 </v>
      </c>
    </row>
    <row r="25" spans="1:14">
      <c r="A25" t="str">
        <f ca="1"/>
        <v>TRX1275</v>
      </c>
      <c r="B25" t="str">
        <f ca="1"/>
        <v>#66</v>
      </c>
      <c r="C25">
        <f ca="1"/>
        <v>46057.416666666599</v>
      </c>
      <c r="D25">
        <f ca="1"/>
        <v>1214.6500000000001</v>
      </c>
      <c r="E25" t="str">
        <f ca="1"/>
        <v>MXN</v>
      </c>
      <c r="F25" t="str">
        <f ca="1"/>
        <v>Erik Castillo</v>
      </c>
      <c r="G25" t="str">
        <f ca="1"/>
        <v>ENERGETICOS ZAPATA 4   TIZAYUCA HGO  MEX</v>
      </c>
      <c r="H25" t="str">
        <f ca="1"/>
        <v>Energeticos Zapata 4 Tizayuca Hgo Mex</v>
      </c>
      <c r="I25" t="str">
        <f ca="1"/>
        <v>Transaction cost</v>
      </c>
      <c r="J25" t="str">
        <f ca="1"/>
        <v>Recarga de TAG</v>
      </c>
      <c r="K25" t="str">
        <f ca="1"/>
        <v>AAAU-581966</v>
      </c>
      <c r="L25" t="str">
        <f ca="1">VLOOKUP(B25,[1]Total!$B:$Q,16,0)</f>
        <v>602.34.002 Gastos por visita tencica</v>
      </c>
      <c r="M25">
        <f t="shared" ca="1" si="1"/>
        <v>1214.6500000000001</v>
      </c>
      <c r="N25" t="str">
        <f t="shared" ca="1" si="2"/>
        <v xml:space="preserve">Erik Castillo ENERGETICOS ZAPATA 4   TIZAYUCA HGO  MEX Energeticos Zapata 4 Tizayuca Hgo Mex Transaction cost Recarga de TAG AAAU-581966 </v>
      </c>
    </row>
    <row r="26" spans="1:14">
      <c r="A26" t="str">
        <f ca="1"/>
        <v>TRX1903</v>
      </c>
      <c r="B26" t="str">
        <f ca="1"/>
        <v>#66</v>
      </c>
      <c r="C26">
        <f ca="1"/>
        <v>46059.417361111096</v>
      </c>
      <c r="D26">
        <f ca="1"/>
        <v>107.5</v>
      </c>
      <c r="E26" t="str">
        <f ca="1"/>
        <v>MXN</v>
      </c>
      <c r="F26" t="str">
        <f ca="1"/>
        <v>Erik Castillo</v>
      </c>
      <c r="G26" t="str">
        <f ca="1"/>
        <v>OXXOSAN ANTONIO 17 MEX CUAUTITLAN EM MEX</v>
      </c>
      <c r="H26" t="str">
        <f ca="1"/>
        <v>Oxxosan Antonio 17 Mex Cuautitlan Em Mex</v>
      </c>
      <c r="I26" t="str">
        <f ca="1"/>
        <v>Transaction cost</v>
      </c>
      <c r="J26" t="str">
        <f ca="1"/>
        <v>Consumo con Personal Creaceric</v>
      </c>
      <c r="K26" t="str">
        <f ca="1"/>
        <v>DOMBNTAAQH 15621</v>
      </c>
      <c r="L26" t="str">
        <f ca="1">VLOOKUP(B26,[1]Total!$B:$Q,16,0)</f>
        <v>602.34.002 Gastos por visita tencica</v>
      </c>
      <c r="M26">
        <f t="shared" ca="1" si="1"/>
        <v>107.5</v>
      </c>
      <c r="N26" t="str">
        <f t="shared" ca="1" si="2"/>
        <v xml:space="preserve">Erik Castillo OXXOSAN ANTONIO 17 MEX CUAUTITLAN EM MEX Oxxosan Antonio 17 Mex Cuautitlan Em Mex Transaction cost Consumo con Personal Creaceric DOMBNTAAQH 15621 </v>
      </c>
    </row>
    <row r="27" spans="1:14">
      <c r="A27" t="str">
        <f ca="1"/>
        <v>TRX1082</v>
      </c>
      <c r="B27" t="str">
        <f ca="1"/>
        <v>#66</v>
      </c>
      <c r="C27">
        <f ca="1"/>
        <v>46060.416666666599</v>
      </c>
      <c r="D27">
        <f ca="1"/>
        <v>295</v>
      </c>
      <c r="E27" t="str">
        <f ca="1"/>
        <v>MXN</v>
      </c>
      <c r="F27" t="str">
        <f ca="1"/>
        <v>Erik Castillo</v>
      </c>
      <c r="G27" t="str">
        <f ca="1"/>
        <v>MERCADOPAGO *SELENEGH  Tizayuca      MEX</v>
      </c>
      <c r="H27" t="str">
        <f ca="1"/>
        <v>Mercadopago</v>
      </c>
      <c r="I27" t="str">
        <f ca="1"/>
        <v>Transaction cost</v>
      </c>
      <c r="J27" t="str">
        <f ca="1"/>
        <v>Gasolina entrega de auto rentado</v>
      </c>
      <c r="K27" t="str">
        <f ca="1"/>
        <v>A18601</v>
      </c>
      <c r="L27" t="str">
        <f ca="1">VLOOKUP(B27,[1]Total!$B:$Q,16,0)</f>
        <v>602.34.002 Gastos por visita tencica</v>
      </c>
      <c r="M27">
        <f t="shared" ca="1" si="1"/>
        <v>295</v>
      </c>
      <c r="N27" t="str">
        <f t="shared" ca="1" si="2"/>
        <v xml:space="preserve">Erik Castillo MERCADOPAGO *SELENEGH  Tizayuca      MEX Mercadopago Transaction cost Gasolina entrega de auto rentado A18601 </v>
      </c>
    </row>
    <row r="28" spans="1:14">
      <c r="A28" t="str">
        <f ca="1"/>
        <v>TRX1108</v>
      </c>
      <c r="B28" t="str">
        <f ca="1"/>
        <v>#66</v>
      </c>
      <c r="C28">
        <f ca="1"/>
        <v>46060.416666666599</v>
      </c>
      <c r="D28">
        <f ca="1"/>
        <v>100</v>
      </c>
      <c r="E28" t="str">
        <f ca="1"/>
        <v>MXN</v>
      </c>
      <c r="F28" t="str">
        <f ca="1"/>
        <v>Erik Castillo</v>
      </c>
      <c r="G28" t="str">
        <f ca="1"/>
        <v>OXXO EJERCITO          TIZAYUCA HGO  MEX</v>
      </c>
      <c r="H28" t="str">
        <f ca="1"/>
        <v>Oxxo</v>
      </c>
      <c r="I28" t="str">
        <f ca="1"/>
        <v>Transaction cost</v>
      </c>
      <c r="J28" t="str">
        <f ca="1"/>
        <v>Traslado</v>
      </c>
      <c r="K28" t="str">
        <f ca="1"/>
        <v>No me facturo</v>
      </c>
      <c r="L28" t="str">
        <f ca="1">VLOOKUP(B28,[1]Total!$B:$Q,16,0)</f>
        <v>602.34.002 Gastos por visita tencica</v>
      </c>
      <c r="M28">
        <f t="shared" ca="1" si="1"/>
        <v>100</v>
      </c>
      <c r="N28" t="str">
        <f t="shared" ca="1" si="2"/>
        <v xml:space="preserve">Erik Castillo OXXO EJERCITO          TIZAYUCA HGO  MEX Oxxo Transaction cost Traslado No me facturo </v>
      </c>
    </row>
    <row r="29" spans="1:14">
      <c r="A29" t="str">
        <f ca="1"/>
        <v>TRX1603</v>
      </c>
      <c r="B29" t="str">
        <f ca="1"/>
        <v>#66</v>
      </c>
      <c r="C29">
        <f ca="1"/>
        <v>46060.417361111096</v>
      </c>
      <c r="D29">
        <f ca="1"/>
        <v>375.5</v>
      </c>
      <c r="E29" t="str">
        <f ca="1"/>
        <v>MXN</v>
      </c>
      <c r="F29" t="str">
        <f ca="1"/>
        <v>Erik Castillo</v>
      </c>
      <c r="G29" t="str">
        <f ca="1"/>
        <v>BGA AURRERA TIZAYUCA   TIZAYUCA HGO  MEX</v>
      </c>
      <c r="H29" t="str">
        <f ca="1"/>
        <v>Bga Aurrera Tizayuca Tizayuca Hgo Mex</v>
      </c>
      <c r="I29" t="str">
        <f ca="1"/>
        <v>Transaction cost</v>
      </c>
      <c r="J29" t="str">
        <f ca="1"/>
        <v>Recarga de auto sin renta</v>
      </c>
      <c r="K29" t="str">
        <f ca="1"/>
        <v>AAAU-581966</v>
      </c>
      <c r="L29" t="str">
        <f ca="1">VLOOKUP(B29,[1]Total!$B:$Q,16,0)</f>
        <v>602.34.002 Gastos por visita tencica</v>
      </c>
      <c r="M29">
        <f t="shared" ca="1" si="1"/>
        <v>375.5</v>
      </c>
      <c r="N29" t="str">
        <f t="shared" ca="1" si="2"/>
        <v xml:space="preserve">Erik Castillo BGA AURRERA TIZAYUCA   TIZAYUCA HGO  MEX Bga Aurrera Tizayuca Tizayuca Hgo Mex Transaction cost Recarga de auto sin renta AAAU-581966 </v>
      </c>
    </row>
    <row r="30" spans="1:14">
      <c r="A30" t="str">
        <f ca="1"/>
        <v>TRX1660</v>
      </c>
      <c r="B30" t="str">
        <f ca="1"/>
        <v>#66</v>
      </c>
      <c r="C30">
        <f ca="1"/>
        <v>46063.416666666599</v>
      </c>
      <c r="D30">
        <f ca="1"/>
        <v>1386.72</v>
      </c>
      <c r="E30" t="str">
        <f ca="1"/>
        <v>MXN</v>
      </c>
      <c r="F30" t="str">
        <f ca="1"/>
        <v>Erik Castillo</v>
      </c>
      <c r="G30" t="str">
        <f ca="1"/>
        <v>ENERGETICOS ZAPATA 1   TIZAYUCA HGO  MEX</v>
      </c>
      <c r="H30" t="str">
        <f ca="1"/>
        <v>Energeticos Zapata 1 Tizayuca Hgo Mex</v>
      </c>
      <c r="I30" t="str">
        <f ca="1"/>
        <v>Transaction cost</v>
      </c>
      <c r="J30" t="str">
        <f ca="1"/>
        <v>Consumo</v>
      </c>
      <c r="K30" t="str">
        <f ca="1"/>
        <v>ya no alcance a facturar</v>
      </c>
      <c r="L30" t="str">
        <f ca="1">VLOOKUP(B30,[1]Total!$B:$Q,16,0)</f>
        <v>602.34.002 Gastos por visita tencica</v>
      </c>
      <c r="M30">
        <f t="shared" ca="1" si="1"/>
        <v>1386.72</v>
      </c>
      <c r="N30" t="str">
        <f t="shared" ca="1" si="2"/>
        <v xml:space="preserve">Erik Castillo ENERGETICOS ZAPATA 1   TIZAYUCA HGO  MEX Energeticos Zapata 1 Tizayuca Hgo Mex Transaction cost Consumo ya no alcance a facturar </v>
      </c>
    </row>
    <row r="31" spans="1:14">
      <c r="A31" t="str">
        <f ca="1"/>
        <v>TRX1877</v>
      </c>
      <c r="B31" t="str">
        <f ca="1"/>
        <v>#66</v>
      </c>
      <c r="C31">
        <f ca="1"/>
        <v>46063.416666666599</v>
      </c>
      <c r="D31">
        <f ca="1"/>
        <v>469</v>
      </c>
      <c r="E31" t="str">
        <f ca="1"/>
        <v>MXN</v>
      </c>
      <c r="F31" t="str">
        <f ca="1"/>
        <v>Erik Castillo</v>
      </c>
      <c r="G31" t="str">
        <f ca="1"/>
        <v>CASHI ECOMMERCE RC     CIUDAD DE MEX MEX</v>
      </c>
      <c r="H31" t="str">
        <f ca="1"/>
        <v>Cashi Ecommerce Rc Ciudad De Mex Mex</v>
      </c>
      <c r="I31" t="str">
        <f ca="1"/>
        <v>Transaction cost</v>
      </c>
      <c r="J31" t="str">
        <f ca="1"/>
        <v>Consumo</v>
      </c>
      <c r="K31" t="str">
        <f ca="1"/>
        <v>IBABK342054</v>
      </c>
      <c r="L31" t="str">
        <f ca="1">VLOOKUP(B31,[1]Total!$B:$Q,16,0)</f>
        <v>602.34.002 Gastos por visita tencica</v>
      </c>
      <c r="M31">
        <f t="shared" ca="1" si="1"/>
        <v>469</v>
      </c>
      <c r="N31" t="str">
        <f t="shared" ca="1" si="2"/>
        <v xml:space="preserve">Erik Castillo CASHI ECOMMERCE RC     CIUDAD DE MEX MEX Cashi Ecommerce Rc Ciudad De Mex Mex Transaction cost Consumo IBABK342054 </v>
      </c>
    </row>
    <row r="32" spans="1:14">
      <c r="A32" t="str">
        <f ca="1"/>
        <v>TRX1125</v>
      </c>
      <c r="B32" t="str">
        <f ca="1"/>
        <v>#66</v>
      </c>
      <c r="C32">
        <f ca="1"/>
        <v>46063.416666666599</v>
      </c>
      <c r="D32">
        <f ca="1"/>
        <v>96.5</v>
      </c>
      <c r="E32" t="str">
        <f ca="1"/>
        <v>MXN</v>
      </c>
      <c r="F32" t="str">
        <f ca="1"/>
        <v>Erik Castillo</v>
      </c>
      <c r="G32" t="str">
        <f ca="1"/>
        <v>OXXO G ZAPATA PAC      TIZAYUCA HGO  MEX</v>
      </c>
      <c r="H32" t="str">
        <f ca="1"/>
        <v>Oxxo</v>
      </c>
      <c r="I32" t="str">
        <f ca="1"/>
        <v>Transaction cost</v>
      </c>
      <c r="J32" t="str">
        <f ca="1"/>
        <v xml:space="preserve">Viaje a Veracruz ida y vuelta </v>
      </c>
      <c r="K32">
        <f ca="1"/>
        <v>151715038</v>
      </c>
      <c r="L32" t="str">
        <f ca="1">VLOOKUP(B32,[1]Total!$B:$Q,16,0)</f>
        <v>602.34.002 Gastos por visita tencica</v>
      </c>
      <c r="M32">
        <f t="shared" ca="1" si="1"/>
        <v>96.5</v>
      </c>
      <c r="N32" t="str">
        <f t="shared" ca="1" si="2"/>
        <v xml:space="preserve">Erik Castillo OXXO G ZAPATA PAC      TIZAYUCA HGO  MEX Oxxo Transaction cost Viaje a Veracruz ida y vuelta  151715038 </v>
      </c>
    </row>
    <row r="33" spans="1:14">
      <c r="A33" t="str">
        <f ca="1"/>
        <v>TRX1420</v>
      </c>
      <c r="B33" t="str">
        <f ca="1"/>
        <v>#66</v>
      </c>
      <c r="C33">
        <f ca="1"/>
        <v>46064.417361111096</v>
      </c>
      <c r="D33">
        <f ca="1"/>
        <v>33</v>
      </c>
      <c r="E33" t="str">
        <f ca="1"/>
        <v>MXN</v>
      </c>
      <c r="F33" t="str">
        <f ca="1"/>
        <v>Erik Castillo</v>
      </c>
      <c r="G33" t="str">
        <f ca="1"/>
        <v>OXXO G ZAPATA PAC      TIZAYUCA HGO  MEX</v>
      </c>
      <c r="H33" t="str">
        <f ca="1"/>
        <v>Oxxo</v>
      </c>
      <c r="I33" t="str">
        <f ca="1"/>
        <v>Transaction cost</v>
      </c>
      <c r="J33" t="str">
        <f ca="1"/>
        <v>Hotel Veracruz</v>
      </c>
      <c r="K33" t="str">
        <f ca="1"/>
        <v>FA9310</v>
      </c>
      <c r="L33" t="str">
        <f ca="1">VLOOKUP(B33,[1]Total!$B:$Q,16,0)</f>
        <v>602.34.002 Gastos por visita tencica</v>
      </c>
      <c r="M33">
        <f t="shared" ca="1" si="1"/>
        <v>33</v>
      </c>
      <c r="N33" t="str">
        <f t="shared" ca="1" si="2"/>
        <v xml:space="preserve">Erik Castillo OXXO G ZAPATA PAC      TIZAYUCA HGO  MEX Oxxo Transaction cost Hotel Veracruz FA9310 </v>
      </c>
    </row>
    <row r="34" spans="1:14">
      <c r="A34" t="str">
        <f ca="1"/>
        <v>TRX1580</v>
      </c>
      <c r="B34" t="str">
        <f ca="1"/>
        <v>#66</v>
      </c>
      <c r="C34">
        <f ca="1"/>
        <v>46064.417361111096</v>
      </c>
      <c r="D34">
        <f ca="1"/>
        <v>1014</v>
      </c>
      <c r="E34" t="str">
        <f ca="1"/>
        <v>MXN</v>
      </c>
      <c r="F34" t="str">
        <f ca="1"/>
        <v>Erik Castillo</v>
      </c>
      <c r="G34" t="str">
        <f ca="1"/>
        <v>OXXO G ZAPATA PAC      TIZAYUCA HGO  MEX</v>
      </c>
      <c r="H34" t="str">
        <f ca="1"/>
        <v>Oxxo</v>
      </c>
      <c r="I34" t="str">
        <f ca="1"/>
        <v>Transaction cost</v>
      </c>
      <c r="J34" t="str">
        <f ca="1"/>
        <v>Electrico Vehiculo</v>
      </c>
      <c r="K34" t="str">
        <f ca="1"/>
        <v>Folia A 24860</v>
      </c>
      <c r="L34" t="str">
        <f ca="1">VLOOKUP(B34,[1]Total!$B:$Q,16,0)</f>
        <v>602.34.002 Gastos por visita tencica</v>
      </c>
      <c r="M34">
        <f t="shared" ca="1" si="1"/>
        <v>1014</v>
      </c>
      <c r="N34" t="str">
        <f t="shared" ca="1" si="2"/>
        <v xml:space="preserve">Erik Castillo OXXO G ZAPATA PAC      TIZAYUCA HGO  MEX Oxxo Transaction cost Electrico Vehiculo Folia A 24860 </v>
      </c>
    </row>
    <row r="35" spans="1:14">
      <c r="A35" t="str">
        <f ca="1"/>
        <v>TRX1701</v>
      </c>
      <c r="B35" t="str">
        <f ca="1"/>
        <v>#66</v>
      </c>
      <c r="C35">
        <f ca="1"/>
        <v>46065.417361111096</v>
      </c>
      <c r="D35">
        <f ca="1"/>
        <v>350</v>
      </c>
      <c r="E35" t="str">
        <f ca="1"/>
        <v>MXN</v>
      </c>
      <c r="F35" t="str">
        <f ca="1"/>
        <v>Erik Castillo</v>
      </c>
      <c r="G35" t="str">
        <f ca="1"/>
        <v>HAMBURGUESAS DIANA     TIZAYUCA HGO  MEX</v>
      </c>
      <c r="H35" t="str">
        <f ca="1"/>
        <v>Hamburguesas Diana Tizayuca Hgo Mex</v>
      </c>
      <c r="I35" t="str">
        <f ca="1"/>
        <v>Transaction cost</v>
      </c>
      <c r="J35" t="str">
        <f ca="1"/>
        <v>Seguridad</v>
      </c>
      <c r="K35" t="str">
        <f ca="1"/>
        <v>544913E5-5BEB-49F1-A1A4-C7A64C00862C</v>
      </c>
      <c r="L35" t="str">
        <f ca="1">VLOOKUP(B35,[1]Total!$B:$Q,16,0)</f>
        <v>602.34.002 Gastos por visita tencica</v>
      </c>
      <c r="M35">
        <f t="shared" ca="1" si="1"/>
        <v>350</v>
      </c>
      <c r="N35" t="str">
        <f t="shared" ca="1" si="2"/>
        <v xml:space="preserve">Erik Castillo HAMBURGUESAS DIANA     TIZAYUCA HGO  MEX Hamburguesas Diana Tizayuca Hgo Mex Transaction cost Seguridad 544913E5-5BEB-49F1-A1A4-C7A64C00862C </v>
      </c>
    </row>
    <row r="36" spans="1:14">
      <c r="A36" t="str">
        <f ca="1"/>
        <v>TRX1647</v>
      </c>
      <c r="B36" t="str">
        <f ca="1"/>
        <v>#66</v>
      </c>
      <c r="C36">
        <f ca="1"/>
        <v>46066.417361111096</v>
      </c>
      <c r="D36">
        <f ca="1"/>
        <v>139.69999999999999</v>
      </c>
      <c r="E36" t="str">
        <f ca="1"/>
        <v>MXN</v>
      </c>
      <c r="F36" t="str">
        <f ca="1"/>
        <v>Erik Castillo</v>
      </c>
      <c r="G36" t="str">
        <f ca="1"/>
        <v>WWO 2269 MP            TIZAYUCA HGO  MEX</v>
      </c>
      <c r="H36" t="str">
        <f ca="1"/>
        <v>Wwo 2269 Mp Tizayuca Hgo Mex</v>
      </c>
      <c r="I36" t="str">
        <f ca="1"/>
        <v>Transaction cost</v>
      </c>
      <c r="J36" t="str">
        <f ca="1"/>
        <v>Gasolina</v>
      </c>
      <c r="K36" t="str">
        <f ca="1"/>
        <v>A18797</v>
      </c>
      <c r="L36" t="str">
        <f ca="1">VLOOKUP(B36,[1]Total!$B:$Q,16,0)</f>
        <v>602.34.002 Gastos por visita tencica</v>
      </c>
      <c r="M36">
        <f t="shared" ca="1" si="1"/>
        <v>139.69999999999999</v>
      </c>
      <c r="N36" t="str">
        <f t="shared" ca="1" si="2"/>
        <v xml:space="preserve">Erik Castillo WWO 2269 MP            TIZAYUCA HGO  MEX Wwo 2269 Mp Tizayuca Hgo Mex Transaction cost Gasolina A18797 </v>
      </c>
    </row>
    <row r="37" spans="1:14">
      <c r="A37" t="str">
        <f ca="1"/>
        <v>TRX1498</v>
      </c>
      <c r="B37" t="str">
        <f ca="1"/>
        <v>#66</v>
      </c>
      <c r="C37">
        <f ca="1"/>
        <v>46066.417361111096</v>
      </c>
      <c r="D37">
        <f ca="1"/>
        <v>407.98</v>
      </c>
      <c r="E37" t="str">
        <f ca="1"/>
        <v>MXN</v>
      </c>
      <c r="F37" t="str">
        <f ca="1"/>
        <v>Erik Castillo</v>
      </c>
      <c r="G37" t="str">
        <f ca="1"/>
        <v>FAR GUAD 2318          TIZAYUCA HGO  MEX</v>
      </c>
      <c r="H37" t="str">
        <f ca="1"/>
        <v>Far Guad 2318 Tizayuca Hgo Mex</v>
      </c>
      <c r="I37" t="str">
        <f ca="1"/>
        <v>Transaction cost</v>
      </c>
      <c r="J37" t="str">
        <f ca="1"/>
        <v>Recarga</v>
      </c>
      <c r="K37" t="str">
        <f ca="1"/>
        <v>7513083260122161507881</v>
      </c>
      <c r="L37" t="str">
        <f ca="1">VLOOKUP(B37,[1]Total!$B:$Q,16,0)</f>
        <v>602.34.002 Gastos por visita tencica</v>
      </c>
      <c r="M37">
        <f t="shared" ca="1" si="1"/>
        <v>407.98</v>
      </c>
      <c r="N37" t="str">
        <f t="shared" ca="1" si="2"/>
        <v xml:space="preserve">Erik Castillo FAR GUAD 2318          TIZAYUCA HGO  MEX Far Guad 2318 Tizayuca Hgo Mex Transaction cost Recarga 7513083260122161507881 </v>
      </c>
    </row>
    <row r="38" spans="1:14">
      <c r="A38" t="str">
        <f ca="1"/>
        <v>TRX1294</v>
      </c>
      <c r="B38" t="str">
        <f ca="1"/>
        <v>#66</v>
      </c>
      <c r="C38">
        <f ca="1"/>
        <v>46067.416666666599</v>
      </c>
      <c r="D38">
        <f ca="1"/>
        <v>1480.2</v>
      </c>
      <c r="E38" t="str">
        <f ca="1"/>
        <v>MXN</v>
      </c>
      <c r="F38" t="str">
        <f ca="1"/>
        <v>Erik Castillo</v>
      </c>
      <c r="G38" t="str">
        <f ca="1"/>
        <v>ENERGETICOS ZAPATA 3   TIZAYUCA HGO  MEX</v>
      </c>
      <c r="H38" t="str">
        <f ca="1"/>
        <v>Energeticos Zapata 3 Tizayuca Hgo Mex</v>
      </c>
      <c r="I38" t="str">
        <f ca="1"/>
        <v>Transaction cost</v>
      </c>
      <c r="J38" t="str">
        <f ca="1"/>
        <v>Consumo</v>
      </c>
      <c r="K38" t="str">
        <f ca="1"/>
        <v>7545056260122161139465</v>
      </c>
      <c r="L38" t="str">
        <f ca="1">VLOOKUP(B38,[1]Total!$B:$Q,16,0)</f>
        <v>602.34.002 Gastos por visita tencica</v>
      </c>
      <c r="M38">
        <f t="shared" ca="1" si="1"/>
        <v>1480.2</v>
      </c>
      <c r="N38" t="str">
        <f t="shared" ca="1" si="2"/>
        <v xml:space="preserve">Erik Castillo ENERGETICOS ZAPATA 3   TIZAYUCA HGO  MEX Energeticos Zapata 3 Tizayuca Hgo Mex Transaction cost Consumo 7545056260122161139465 </v>
      </c>
    </row>
    <row r="39" spans="1:14">
      <c r="A39" t="str">
        <f ca="1"/>
        <v>TRX1835</v>
      </c>
      <c r="B39" t="str">
        <f ca="1"/>
        <v>#66</v>
      </c>
      <c r="C39">
        <f ca="1"/>
        <v>46068.417361111096</v>
      </c>
      <c r="D39">
        <f ca="1"/>
        <v>149</v>
      </c>
      <c r="E39" t="str">
        <f ca="1"/>
        <v>MXN</v>
      </c>
      <c r="F39" t="str">
        <f ca="1"/>
        <v>Erik Castillo</v>
      </c>
      <c r="G39" t="str">
        <f ca="1"/>
        <v>OXXO G ZAPATA PAC      TIZAYUCA HGO  MEX</v>
      </c>
      <c r="H39" t="str">
        <f ca="1"/>
        <v>Oxxo</v>
      </c>
      <c r="I39" t="str">
        <f ca="1"/>
        <v>Transaction cost</v>
      </c>
      <c r="J39" t="str">
        <f ca="1"/>
        <v>Consumo</v>
      </c>
      <c r="K39" t="str">
        <f ca="1"/>
        <v>182BFE68-095E-4026-B953-EA81B419CDD5</v>
      </c>
      <c r="L39" t="str">
        <f ca="1">VLOOKUP(B39,[1]Total!$B:$Q,16,0)</f>
        <v>602.34.002 Gastos por visita tencica</v>
      </c>
      <c r="M39">
        <f t="shared" ca="1" si="1"/>
        <v>149</v>
      </c>
      <c r="N39" t="str">
        <f t="shared" ca="1" si="2"/>
        <v xml:space="preserve">Erik Castillo OXXO G ZAPATA PAC      TIZAYUCA HGO  MEX Oxxo Transaction cost Consumo 182BFE68-095E-4026-B953-EA81B419CDD5 </v>
      </c>
    </row>
    <row r="40" spans="1:14">
      <c r="A40" t="str">
        <f ca="1"/>
        <v>TRX1753</v>
      </c>
      <c r="B40" t="str">
        <f ca="1"/>
        <v>#66</v>
      </c>
      <c r="C40">
        <f ca="1"/>
        <v>46069.416666666599</v>
      </c>
      <c r="D40">
        <f ca="1"/>
        <v>245</v>
      </c>
      <c r="E40" t="str">
        <f ca="1"/>
        <v>MXN</v>
      </c>
      <c r="F40" t="str">
        <f ca="1"/>
        <v>Erik Castillo</v>
      </c>
      <c r="G40" t="str">
        <f ca="1"/>
        <v>OXXO FUENTES TIZAYUCA  TIZAYUCA HGO  MEX</v>
      </c>
      <c r="H40" t="str">
        <f ca="1"/>
        <v>Oxxo</v>
      </c>
      <c r="I40" t="str">
        <f ca="1"/>
        <v>Transaction cost</v>
      </c>
      <c r="J40" t="str">
        <f ca="1"/>
        <v>Consumo para traslados</v>
      </c>
      <c r="K40" t="str">
        <f ca="1"/>
        <v>ICAGL581003</v>
      </c>
      <c r="L40" t="str">
        <f ca="1">VLOOKUP(B40,[1]Total!$B:$Q,16,0)</f>
        <v>602.34.002 Gastos por visita tencica</v>
      </c>
      <c r="M40">
        <f t="shared" ca="1" si="1"/>
        <v>245</v>
      </c>
      <c r="N40" t="str">
        <f t="shared" ca="1" si="2"/>
        <v xml:space="preserve">Erik Castillo OXXO FUENTES TIZAYUCA  TIZAYUCA HGO  MEX Oxxo Transaction cost Consumo para traslados ICAGL581003 </v>
      </c>
    </row>
    <row r="41" spans="1:14">
      <c r="A41" t="str">
        <f ca="1"/>
        <v>TRX1050</v>
      </c>
      <c r="B41" t="str">
        <f ca="1"/>
        <v>#66</v>
      </c>
      <c r="C41">
        <f ca="1"/>
        <v>46070.416666666599</v>
      </c>
      <c r="D41">
        <f ca="1"/>
        <v>350</v>
      </c>
      <c r="E41" t="str">
        <f ca="1"/>
        <v>MXN</v>
      </c>
      <c r="F41" t="str">
        <f ca="1"/>
        <v>Erik Castillo</v>
      </c>
      <c r="G41" t="str">
        <f ca="1"/>
        <v>CLIP MX*REST TAQUERIA  TIZAYUCA      MEX</v>
      </c>
      <c r="H41" t="str">
        <f ca="1"/>
        <v>Clip Mx Rest Taqueria Tizayuca Mex</v>
      </c>
      <c r="I41" t="str">
        <f ca="1"/>
        <v>Transaction cost</v>
      </c>
      <c r="J41" t="str">
        <f ca="1"/>
        <v>Consulta de emergencia por caida</v>
      </c>
      <c r="K41" t="str">
        <f ca="1"/>
        <v>B4695</v>
      </c>
      <c r="L41" t="str">
        <f ca="1">VLOOKUP(B41,[1]Total!$B:$Q,16,0)</f>
        <v>602.34.002 Gastos por visita tencica</v>
      </c>
      <c r="M41">
        <f t="shared" ca="1" si="1"/>
        <v>350</v>
      </c>
      <c r="N41" t="str">
        <f t="shared" ca="1" si="2"/>
        <v xml:space="preserve">Erik Castillo CLIP MX*REST TAQUERIA  TIZAYUCA      MEX Clip Mx Rest Taqueria Tizayuca Mex Transaction cost Consulta de emergencia por caida B4695 </v>
      </c>
    </row>
    <row r="42" spans="1:14">
      <c r="A42" t="str">
        <f ca="1"/>
        <v>TRX1830</v>
      </c>
      <c r="B42" t="str">
        <f ca="1"/>
        <v>#66</v>
      </c>
      <c r="C42">
        <f ca="1"/>
        <v>46070.416666666599</v>
      </c>
      <c r="D42">
        <f ca="1"/>
        <v>348</v>
      </c>
      <c r="E42" t="str">
        <f ca="1"/>
        <v>MXN</v>
      </c>
      <c r="F42" t="str">
        <f ca="1"/>
        <v>Erik Castillo</v>
      </c>
      <c r="G42" t="str">
        <f ca="1"/>
        <v>BGA AURRERA TIZAYUCA   TIZAYUCA HGO  MEX</v>
      </c>
      <c r="H42" t="str">
        <f ca="1"/>
        <v>Bga Aurrera Tizayuca Tizayuca Hgo Mex</v>
      </c>
      <c r="I42" t="str">
        <f ca="1"/>
        <v>Transaction cost</v>
      </c>
      <c r="J42" t="str">
        <f ca="1"/>
        <v>Recargo por cambio de vuelo</v>
      </c>
      <c r="K42">
        <f ca="1"/>
        <v>151715038</v>
      </c>
      <c r="L42" t="str">
        <f ca="1">VLOOKUP(B42,[1]Total!$B:$Q,16,0)</f>
        <v>602.34.002 Gastos por visita tencica</v>
      </c>
      <c r="M42">
        <f t="shared" ca="1" si="1"/>
        <v>348</v>
      </c>
      <c r="N42" t="str">
        <f t="shared" ca="1" si="2"/>
        <v xml:space="preserve">Erik Castillo BGA AURRERA TIZAYUCA   TIZAYUCA HGO  MEX Bga Aurrera Tizayuca Tizayuca Hgo Mex Transaction cost Recargo por cambio de vuelo 151715038 </v>
      </c>
    </row>
    <row r="43" spans="1:14">
      <c r="A43" t="str">
        <f ca="1"/>
        <v>TRX1860</v>
      </c>
      <c r="B43" t="str">
        <f ca="1"/>
        <v>#66</v>
      </c>
      <c r="C43">
        <f ca="1"/>
        <v>46071.416666666599</v>
      </c>
      <c r="D43">
        <f ca="1"/>
        <v>210</v>
      </c>
      <c r="E43" t="str">
        <f ca="1"/>
        <v>MXN</v>
      </c>
      <c r="F43" t="str">
        <f ca="1"/>
        <v>Erik Castillo</v>
      </c>
      <c r="G43" t="str">
        <f ca="1"/>
        <v>MERCADOPAGO *SELENEGH  Tizayuca      MEX</v>
      </c>
      <c r="H43" t="str">
        <f ca="1"/>
        <v>Mercadopago</v>
      </c>
      <c r="I43" t="str">
        <f ca="1"/>
        <v>Transaction cost</v>
      </c>
      <c r="J43" t="str">
        <f ca="1"/>
        <v>Gasolina</v>
      </c>
      <c r="K43" t="str">
        <f ca="1"/>
        <v>A19044</v>
      </c>
      <c r="L43" t="str">
        <f ca="1">VLOOKUP(B43,[1]Total!$B:$Q,16,0)</f>
        <v>602.34.002 Gastos por visita tencica</v>
      </c>
      <c r="M43">
        <f t="shared" ca="1" si="1"/>
        <v>210</v>
      </c>
      <c r="N43" t="str">
        <f t="shared" ca="1" si="2"/>
        <v xml:space="preserve">Erik Castillo MERCADOPAGO *SELENEGH  Tizayuca      MEX Mercadopago Transaction cost Gasolina A19044 </v>
      </c>
    </row>
    <row r="44" spans="1:14">
      <c r="A44" t="str">
        <f ca="1"/>
        <v>TRX1985</v>
      </c>
      <c r="B44" t="str">
        <f ca="1"/>
        <v>#66</v>
      </c>
      <c r="C44">
        <f ca="1"/>
        <v>46072.416666666599</v>
      </c>
      <c r="D44">
        <f ca="1"/>
        <v>171</v>
      </c>
      <c r="E44" t="str">
        <f ca="1"/>
        <v>MXN</v>
      </c>
      <c r="F44" t="str">
        <f ca="1"/>
        <v>Erik Castillo</v>
      </c>
      <c r="G44" t="str">
        <f ca="1"/>
        <v>OPER NEDARO CTRO LECHE TIZAYUCA HGO  MEX</v>
      </c>
      <c r="H44" t="str">
        <f ca="1"/>
        <v>Oper Nedaro Ctro Leche Tizayuca Hgo Mex</v>
      </c>
      <c r="I44" t="str">
        <f ca="1"/>
        <v>Transaction cost</v>
      </c>
      <c r="J44" t="str">
        <f ca="1"/>
        <v>Recarga de TAG</v>
      </c>
      <c r="K44" t="str">
        <f ca="1"/>
        <v>BD6DD3C6-20F1-41D3-A763-01A934EA253C</v>
      </c>
      <c r="L44" t="str">
        <f ca="1">VLOOKUP(B44,[1]Total!$B:$Q,16,0)</f>
        <v>602.34.002 Gastos por visita tencica</v>
      </c>
      <c r="M44">
        <f t="shared" ca="1" si="1"/>
        <v>171</v>
      </c>
      <c r="N44" t="str">
        <f t="shared" ca="1" si="2"/>
        <v xml:space="preserve">Erik Castillo OPER NEDARO CTRO LECHE TIZAYUCA HGO  MEX Oper Nedaro Ctro Leche Tizayuca Hgo Mex Transaction cost Recarga de TAG BD6DD3C6-20F1-41D3-A763-01A934EA253C </v>
      </c>
    </row>
    <row r="45" spans="1:14">
      <c r="A45" t="str">
        <f ca="1"/>
        <v>TRX1563</v>
      </c>
      <c r="B45" t="str">
        <f ca="1"/>
        <v>#66</v>
      </c>
      <c r="C45">
        <f ca="1"/>
        <v>46073.416666666599</v>
      </c>
      <c r="D45">
        <f ca="1"/>
        <v>1428.96</v>
      </c>
      <c r="E45" t="str">
        <f ca="1"/>
        <v>MXN</v>
      </c>
      <c r="F45" t="str">
        <f ca="1"/>
        <v>Erik Castillo</v>
      </c>
      <c r="G45" t="str">
        <f ca="1"/>
        <v>ENERGETICOS ZAPATA 1   TIZAYUCA HGO  MEX</v>
      </c>
      <c r="H45" t="str">
        <f ca="1"/>
        <v>Energeticos Zapata 1 Tizayuca Hgo Mex</v>
      </c>
      <c r="I45" t="str">
        <f ca="1"/>
        <v>Transaction cost</v>
      </c>
      <c r="J45" t="str">
        <f ca="1"/>
        <v>Consumo</v>
      </c>
      <c r="K45" t="str">
        <f ca="1"/>
        <v>A - 17521</v>
      </c>
      <c r="L45" t="str">
        <f ca="1">VLOOKUP(B45,[1]Total!$B:$Q,16,0)</f>
        <v>602.34.002 Gastos por visita tencica</v>
      </c>
      <c r="M45">
        <f t="shared" ca="1" si="1"/>
        <v>1428.96</v>
      </c>
      <c r="N45" t="str">
        <f t="shared" ca="1" si="2"/>
        <v xml:space="preserve">Erik Castillo ENERGETICOS ZAPATA 1   TIZAYUCA HGO  MEX Energeticos Zapata 1 Tizayuca Hgo Mex Transaction cost Consumo A - 17521 </v>
      </c>
    </row>
    <row r="46" spans="1:14">
      <c r="A46" t="str">
        <f ca="1"/>
        <v>TRX1003</v>
      </c>
      <c r="B46" t="str">
        <f ca="1"/>
        <v>#66</v>
      </c>
      <c r="C46">
        <f ca="1"/>
        <v>46073.417361111096</v>
      </c>
      <c r="D46">
        <f ca="1"/>
        <v>111.5</v>
      </c>
      <c r="E46" t="str">
        <f ca="1"/>
        <v>MXN</v>
      </c>
      <c r="F46" t="str">
        <f ca="1"/>
        <v>Erik Castillo</v>
      </c>
      <c r="G46" t="str">
        <f ca="1"/>
        <v>OXXOSAN ANTONIO 17 MEX CUAUTITLAN EM MEX</v>
      </c>
      <c r="H46" t="str">
        <f ca="1"/>
        <v>Oxxosan Antonio 17 Mex Cuautitlan Em Mex</v>
      </c>
      <c r="I46" t="str">
        <f ca="1"/>
        <v>Transaction cost</v>
      </c>
      <c r="J46" t="str">
        <f ca="1"/>
        <v>Seguridad para vehiculo</v>
      </c>
      <c r="K46" t="str">
        <f ca="1"/>
        <v>IBABK342781</v>
      </c>
      <c r="L46" t="str">
        <f ca="1">VLOOKUP(B46,[1]Total!$B:$Q,16,0)</f>
        <v>602.34.002 Gastos por visita tencica</v>
      </c>
      <c r="M46">
        <f t="shared" ca="1" si="1"/>
        <v>111.5</v>
      </c>
      <c r="N46" t="str">
        <f t="shared" ca="1" si="2"/>
        <v xml:space="preserve">Erik Castillo OXXOSAN ANTONIO 17 MEX CUAUTITLAN EM MEX Oxxosan Antonio 17 Mex Cuautitlan Em Mex Transaction cost Seguridad para vehiculo IBABK342781 </v>
      </c>
    </row>
    <row r="47" spans="1:14">
      <c r="A47" t="str">
        <f ca="1"/>
        <v>TRX1268</v>
      </c>
      <c r="B47" t="str">
        <f ca="1"/>
        <v>#66</v>
      </c>
      <c r="C47">
        <f ca="1"/>
        <v>46073.417361111096</v>
      </c>
      <c r="D47">
        <f ca="1"/>
        <v>1014</v>
      </c>
      <c r="E47" t="str">
        <f ca="1"/>
        <v>MXN</v>
      </c>
      <c r="F47" t="str">
        <f ca="1"/>
        <v>Erik Castillo</v>
      </c>
      <c r="G47" t="str">
        <f ca="1"/>
        <v>OXXO G ZAPATA PAC      TIZAYUCA HGO  MEX</v>
      </c>
      <c r="H47" t="str">
        <f ca="1"/>
        <v>Oxxo</v>
      </c>
      <c r="I47" t="str">
        <f ca="1"/>
        <v>Transaction cost</v>
      </c>
      <c r="J47" t="str">
        <f ca="1"/>
        <v>Comida con cliente Creaceric</v>
      </c>
      <c r="K47" t="str">
        <f ca="1"/>
        <v>A8AB9CE6-B34D-4E86-9B88-655996A59DAD</v>
      </c>
      <c r="L47" t="str">
        <f ca="1">VLOOKUP(B47,[1]Total!$B:$Q,16,0)</f>
        <v>602.34.002 Gastos por visita tencica</v>
      </c>
      <c r="M47">
        <f t="shared" ca="1" si="1"/>
        <v>1014</v>
      </c>
      <c r="N47" t="str">
        <f t="shared" ca="1" si="2"/>
        <v xml:space="preserve">Erik Castillo OXXO G ZAPATA PAC      TIZAYUCA HGO  MEX Oxxo Transaction cost Comida con cliente Creaceric A8AB9CE6-B34D-4E86-9B88-655996A59DAD </v>
      </c>
    </row>
    <row r="48" spans="1:14">
      <c r="A48" t="str">
        <f ca="1"/>
        <v>TRX1033</v>
      </c>
      <c r="B48" t="str">
        <f ca="1"/>
        <v>#66</v>
      </c>
      <c r="C48">
        <f ca="1"/>
        <v>46074.417361111096</v>
      </c>
      <c r="D48">
        <f ca="1"/>
        <v>185</v>
      </c>
      <c r="E48" t="str">
        <f ca="1"/>
        <v>MXN</v>
      </c>
      <c r="F48" t="str">
        <f ca="1"/>
        <v>Erik Castillo</v>
      </c>
      <c r="G48" t="str">
        <f ca="1"/>
        <v>MISC PITS TOL ZIT      ALMOLOYA DE J MEX</v>
      </c>
      <c r="H48" t="str">
        <f ca="1"/>
        <v>Misc Pits Tol Zit Almoloya De J Mex</v>
      </c>
      <c r="I48" t="str">
        <f ca="1"/>
        <v>Transaction cost</v>
      </c>
      <c r="J48" t="str">
        <f ca="1"/>
        <v xml:space="preserve">Gasolina </v>
      </c>
      <c r="K48" t="str">
        <f ca="1"/>
        <v>A19227</v>
      </c>
      <c r="L48" t="str">
        <f ca="1">VLOOKUP(B48,[1]Total!$B:$Q,16,0)</f>
        <v>602.34.002 Gastos por visita tencica</v>
      </c>
      <c r="M48">
        <f t="shared" ca="1" si="1"/>
        <v>185</v>
      </c>
      <c r="N48" t="str">
        <f t="shared" ca="1" si="2"/>
        <v xml:space="preserve">Erik Castillo MISC PITS TOL ZIT      ALMOLOYA DE J MEX Misc Pits Tol Zit Almoloya De J Mex Transaction cost Gasolina  A19227 </v>
      </c>
    </row>
    <row r="49" spans="1:14">
      <c r="A49" t="str">
        <f ca="1"/>
        <v>TRX1067</v>
      </c>
      <c r="B49" t="str">
        <f ca="1"/>
        <v>#66</v>
      </c>
      <c r="C49">
        <f ca="1"/>
        <v>46075.416666666599</v>
      </c>
      <c r="D49">
        <f ca="1"/>
        <v>1700</v>
      </c>
      <c r="E49" t="str">
        <f ca="1"/>
        <v>MXN</v>
      </c>
      <c r="F49" t="str">
        <f ca="1"/>
        <v>Erik Castillo</v>
      </c>
      <c r="G49" t="str">
        <f ca="1"/>
        <v>AUTO SERVICIO REVASA   TIZAYUCA HGO  MEX</v>
      </c>
      <c r="H49" t="str">
        <f ca="1"/>
        <v>Auto Servicio Revasa Tizayuca Hgo Mex</v>
      </c>
      <c r="I49" t="str">
        <f ca="1"/>
        <v>Transaction cost</v>
      </c>
      <c r="J49" t="str">
        <f ca="1"/>
        <v>Consumo</v>
      </c>
      <c r="K49" t="str">
        <f ca="1"/>
        <v>D0BB9880-904C-4847-A411-2E8A12244B57</v>
      </c>
      <c r="L49" t="str">
        <f ca="1">VLOOKUP(B49,[1]Total!$B:$Q,16,0)</f>
        <v>602.34.002 Gastos por visita tencica</v>
      </c>
      <c r="M49">
        <f t="shared" ca="1" si="1"/>
        <v>1700</v>
      </c>
      <c r="N49" t="str">
        <f t="shared" ca="1" si="2"/>
        <v xml:space="preserve">Erik Castillo AUTO SERVICIO REVASA   TIZAYUCA HGO  MEX Auto Servicio Revasa Tizayuca Hgo Mex Transaction cost Consumo D0BB9880-904C-4847-A411-2E8A12244B57 </v>
      </c>
    </row>
    <row r="50" spans="1:14">
      <c r="A50" t="str">
        <f ca="1"/>
        <v>TRX1143</v>
      </c>
      <c r="B50" t="str">
        <f ca="1"/>
        <v>#66</v>
      </c>
      <c r="C50">
        <f ca="1"/>
        <v>46078.416666666599</v>
      </c>
      <c r="D50">
        <f ca="1"/>
        <v>659</v>
      </c>
      <c r="E50" t="str">
        <f ca="1"/>
        <v>MXN</v>
      </c>
      <c r="F50" t="str">
        <f ca="1"/>
        <v>Erik Castillo</v>
      </c>
      <c r="G50" t="str">
        <f ca="1"/>
        <v>KFC 549 LOPEZ PORTILLO COACALCO DE B MEX</v>
      </c>
      <c r="H50" t="str">
        <f ca="1"/>
        <v>Kentucky Fried Chicken</v>
      </c>
      <c r="I50" t="str">
        <f ca="1"/>
        <v>Transaction cost</v>
      </c>
      <c r="J50" t="str">
        <f ca="1"/>
        <v>Consumo VEOLIA</v>
      </c>
      <c r="K50" t="str">
        <f ca="1"/>
        <v>7531889260130044529712</v>
      </c>
      <c r="L50" t="str">
        <f ca="1">VLOOKUP(B50,[1]Total!$B:$Q,16,0)</f>
        <v>602.34.002 Gastos por visita tencica</v>
      </c>
      <c r="M50">
        <f t="shared" ca="1" si="1"/>
        <v>659</v>
      </c>
      <c r="N50" t="str">
        <f t="shared" ca="1" si="2"/>
        <v xml:space="preserve">Erik Castillo KFC 549 LOPEZ PORTILLO COACALCO DE B MEX Kentucky Fried Chicken Transaction cost Consumo VEOLIA 7531889260130044529712 </v>
      </c>
    </row>
    <row r="51" spans="1:14">
      <c r="A51" t="str">
        <f ca="1"/>
        <v>TRX1176</v>
      </c>
      <c r="B51" t="str">
        <f ca="1"/>
        <v>#66</v>
      </c>
      <c r="C51">
        <f ca="1"/>
        <v>46079.416666666599</v>
      </c>
      <c r="D51">
        <f ca="1"/>
        <v>1152.02</v>
      </c>
      <c r="E51" t="str">
        <f ca="1"/>
        <v>MXN</v>
      </c>
      <c r="F51" t="str">
        <f ca="1"/>
        <v>Erik Castillo</v>
      </c>
      <c r="G51" t="str">
        <f ca="1"/>
        <v>ENERGETICOS ZAPATA 4   TIZAYUCA HGO  MEX</v>
      </c>
      <c r="H51" t="str">
        <f ca="1"/>
        <v>Energeticos Zapata 4 Tizayuca Hgo Mex</v>
      </c>
      <c r="I51" t="str">
        <f ca="1"/>
        <v>Transaction cost</v>
      </c>
      <c r="J51" t="str">
        <f ca="1"/>
        <v>Consumo</v>
      </c>
      <c r="K51" t="str">
        <f ca="1"/>
        <v>EB80B5ED-1544-4E81-AD9D-621FBA21CE3B</v>
      </c>
      <c r="L51" t="str">
        <f ca="1">VLOOKUP(B51,[1]Total!$B:$Q,16,0)</f>
        <v>602.34.002 Gastos por visita tencica</v>
      </c>
      <c r="M51">
        <f t="shared" ca="1" si="1"/>
        <v>1152.02</v>
      </c>
      <c r="N51" t="str">
        <f t="shared" ca="1" si="2"/>
        <v xml:space="preserve">Erik Castillo ENERGETICOS ZAPATA 4   TIZAYUCA HGO  MEX Energeticos Zapata 4 Tizayuca Hgo Mex Transaction cost Consumo EB80B5ED-1544-4E81-AD9D-621FBA21CE3B </v>
      </c>
    </row>
    <row r="52" spans="1:14">
      <c r="A52" t="str">
        <f ca="1"/>
        <v>TRX1244</v>
      </c>
      <c r="B52" t="str">
        <f ca="1"/>
        <v>#66</v>
      </c>
      <c r="C52">
        <f ca="1"/>
        <v>46080.417361111096</v>
      </c>
      <c r="D52">
        <f ca="1"/>
        <v>1017</v>
      </c>
      <c r="E52" t="str">
        <f ca="1"/>
        <v>MXN</v>
      </c>
      <c r="F52" t="str">
        <f ca="1"/>
        <v>Erik Castillo</v>
      </c>
      <c r="G52" t="str">
        <f ca="1"/>
        <v>OXXO EJERCITO          TIZAYUCA HGO  MEX</v>
      </c>
      <c r="H52" t="str">
        <f ca="1"/>
        <v>Oxxo</v>
      </c>
      <c r="I52" t="str">
        <f ca="1"/>
        <v>Transaction cost</v>
      </c>
      <c r="J52" t="str">
        <f ca="1"/>
        <v>Consumo</v>
      </c>
      <c r="K52" t="str">
        <f ca="1"/>
        <v>DOMBNTAAQH 15785</v>
      </c>
      <c r="L52" t="str">
        <f ca="1">VLOOKUP(B52,[1]Total!$B:$Q,16,0)</f>
        <v>602.34.002 Gastos por visita tencica</v>
      </c>
      <c r="M52">
        <f t="shared" ca="1" si="1"/>
        <v>1017</v>
      </c>
      <c r="N52" t="str">
        <f t="shared" ca="1" si="2"/>
        <v xml:space="preserve">Erik Castillo OXXO EJERCITO          TIZAYUCA HGO  MEX Oxxo Transaction cost Consumo DOMBNTAAQH 15785 </v>
      </c>
    </row>
    <row r="53" spans="1:14">
      <c r="A53" t="str">
        <f ca="1"/>
        <v>TRX1286</v>
      </c>
      <c r="B53" t="str">
        <f ca="1"/>
        <v>#2</v>
      </c>
      <c r="C53">
        <f ca="1"/>
        <v>46056.416666666599</v>
      </c>
      <c r="D53">
        <f ca="1"/>
        <v>3642.61</v>
      </c>
      <c r="E53" t="str">
        <f ca="1"/>
        <v>USD</v>
      </c>
      <c r="F53" t="str">
        <f ca="1"/>
        <v>Cesar Gonzales</v>
      </c>
      <c r="G53" t="str">
        <f ca="1"/>
        <v>HASHICORP HCP          SAN FRANCISCO USA</v>
      </c>
      <c r="H53" t="str">
        <f ca="1"/>
        <v>Hashicorp</v>
      </c>
      <c r="I53" t="str">
        <f ca="1"/>
        <v>Tech&amp;Product</v>
      </c>
      <c r="J53">
        <f ca="1"/>
        <v>0</v>
      </c>
      <c r="K53" t="str">
        <f ca="1"/>
        <v>.</v>
      </c>
      <c r="L53" t="str">
        <f ca="1">VLOOKUP(B53,[1]Total!$B:$Q,16,0)</f>
        <v>603.38.002 Software y Sistemas</v>
      </c>
      <c r="M53">
        <f t="shared" ca="1" si="1"/>
        <v>3642.61</v>
      </c>
      <c r="N53" t="str">
        <f t="shared" ca="1" si="2"/>
        <v xml:space="preserve">Cesar Gonzales HASHICORP HCP          SAN FRANCISCO USA Hashicorp Tech&amp;Product 0 . </v>
      </c>
    </row>
    <row r="54" spans="1:14">
      <c r="A54" t="str">
        <f ca="1"/>
        <v>TRX1246</v>
      </c>
      <c r="B54" t="str">
        <f ca="1"/>
        <v>#2</v>
      </c>
      <c r="C54">
        <f ca="1"/>
        <v>46058.416666666599</v>
      </c>
      <c r="D54">
        <f ca="1"/>
        <v>15105.29</v>
      </c>
      <c r="E54" t="str">
        <f ca="1"/>
        <v>MXN</v>
      </c>
      <c r="F54" t="str">
        <f ca="1"/>
        <v>Cesar Gonzales</v>
      </c>
      <c r="G54" t="str">
        <f ca="1"/>
        <v>PAYU   *GOOGLE CLOUD   MIGUEL HIDALG MEX</v>
      </c>
      <c r="H54" t="str">
        <f ca="1"/>
        <v>Google Cloud</v>
      </c>
      <c r="I54" t="str">
        <f ca="1"/>
        <v>Tech&amp;Product</v>
      </c>
      <c r="J54">
        <f ca="1"/>
        <v>0</v>
      </c>
      <c r="K54" t="str">
        <f ca="1"/>
        <v>.</v>
      </c>
      <c r="L54" t="str">
        <f ca="1">VLOOKUP(B54,[1]Total!$B:$Q,16,0)</f>
        <v>603.38.002 Software y Sistemas</v>
      </c>
      <c r="M54">
        <f t="shared" ca="1" si="1"/>
        <v>15105.29</v>
      </c>
      <c r="N54" t="str">
        <f t="shared" ca="1" si="2"/>
        <v xml:space="preserve">Cesar Gonzales PAYU   *GOOGLE CLOUD   MIGUEL HIDALG MEX Google Cloud Tech&amp;Product 0 . </v>
      </c>
    </row>
    <row r="55" spans="1:14">
      <c r="A55" t="str">
        <f ca="1"/>
        <v>TRX1242</v>
      </c>
      <c r="B55" t="str">
        <f ca="1"/>
        <v>#2</v>
      </c>
      <c r="C55">
        <f ca="1"/>
        <v>46058.416666666599</v>
      </c>
      <c r="D55">
        <f ca="1"/>
        <v>957.38</v>
      </c>
      <c r="E55" t="str">
        <f ca="1"/>
        <v>MXN</v>
      </c>
      <c r="F55" t="str">
        <f ca="1"/>
        <v>Cesar Gonzales</v>
      </c>
      <c r="G55" t="str">
        <f ca="1"/>
        <v>PAYU   *GOOGLE CLOUD   MIGUEL HIDALG MEX</v>
      </c>
      <c r="H55" t="str">
        <f ca="1"/>
        <v>Google Cloud</v>
      </c>
      <c r="I55" t="str">
        <f ca="1"/>
        <v>Tech&amp;Product</v>
      </c>
      <c r="J55">
        <f ca="1"/>
        <v>0</v>
      </c>
      <c r="K55" t="str">
        <f ca="1"/>
        <v>.</v>
      </c>
      <c r="L55" t="str">
        <f ca="1">VLOOKUP(B55,[1]Total!$B:$Q,16,0)</f>
        <v>603.38.002 Software y Sistemas</v>
      </c>
      <c r="M55">
        <f t="shared" ca="1" si="1"/>
        <v>957.38</v>
      </c>
      <c r="N55" t="str">
        <f t="shared" ca="1" si="2"/>
        <v xml:space="preserve">Cesar Gonzales PAYU   *GOOGLE CLOUD   MIGUEL HIDALG MEX Google Cloud Tech&amp;Product 0 . </v>
      </c>
    </row>
    <row r="56" spans="1:14">
      <c r="A56" t="str">
        <f ca="1"/>
        <v>TRX1999</v>
      </c>
      <c r="B56" t="str">
        <f ca="1"/>
        <v>#2</v>
      </c>
      <c r="C56">
        <f ca="1"/>
        <v>46059.417361111096</v>
      </c>
      <c r="D56">
        <f ca="1"/>
        <v>10214.06</v>
      </c>
      <c r="E56" t="str">
        <f ca="1"/>
        <v>USD</v>
      </c>
      <c r="F56" t="str">
        <f ca="1"/>
        <v>Cesar Gonzales</v>
      </c>
      <c r="G56" t="str">
        <f ca="1"/>
        <v>GITHUB, INC.           SAN FRANCISCO USA</v>
      </c>
      <c r="H56" t="str">
        <f ca="1"/>
        <v>Github</v>
      </c>
      <c r="I56" t="str">
        <f ca="1"/>
        <v>Tech&amp;Product</v>
      </c>
      <c r="J56">
        <f ca="1"/>
        <v>0</v>
      </c>
      <c r="K56" t="str">
        <f ca="1"/>
        <v>.</v>
      </c>
      <c r="L56" t="str">
        <f ca="1">VLOOKUP(B56,[1]Total!$B:$Q,16,0)</f>
        <v>603.38.002 Software y Sistemas</v>
      </c>
      <c r="M56">
        <f t="shared" ca="1" si="1"/>
        <v>10214.06</v>
      </c>
      <c r="N56" t="str">
        <f t="shared" ca="1" si="2"/>
        <v xml:space="preserve">Cesar Gonzales GITHUB, INC.           SAN FRANCISCO USA Github Tech&amp;Product 0 . </v>
      </c>
    </row>
    <row r="57" spans="1:14">
      <c r="A57" t="str">
        <f ca="1"/>
        <v>TRX1875</v>
      </c>
      <c r="B57" t="str">
        <f ca="1"/>
        <v>#2</v>
      </c>
      <c r="C57">
        <f ca="1"/>
        <v>46063.416666666599</v>
      </c>
      <c r="D57">
        <f ca="1"/>
        <v>6524.63</v>
      </c>
      <c r="E57" t="str">
        <f ca="1"/>
        <v>USD</v>
      </c>
      <c r="F57" t="str">
        <f ca="1"/>
        <v>Cesar Gonzales</v>
      </c>
      <c r="G57" t="str">
        <f ca="1"/>
        <v>CURSOR, AI POWERED IDE NEW YORK      USA</v>
      </c>
      <c r="H57" t="str">
        <f ca="1"/>
        <v>Cursor Ai Powered Ide New York USA</v>
      </c>
      <c r="I57" t="str">
        <f ca="1"/>
        <v>Tech&amp;Product</v>
      </c>
      <c r="J57">
        <f ca="1"/>
        <v>0</v>
      </c>
      <c r="K57" t="str">
        <f ca="1"/>
        <v>.</v>
      </c>
      <c r="L57" t="str">
        <f ca="1">VLOOKUP(B57,[1]Total!$B:$Q,16,0)</f>
        <v>603.38.002 Software y Sistemas</v>
      </c>
      <c r="M57">
        <f t="shared" ca="1" si="1"/>
        <v>6524.63</v>
      </c>
      <c r="N57" t="str">
        <f t="shared" ca="1" si="2"/>
        <v xml:space="preserve">Cesar Gonzales CURSOR, AI POWERED IDE NEW YORK      USA Cursor Ai Powered Ide New York USA Tech&amp;Product 0 . </v>
      </c>
    </row>
    <row r="58" spans="1:14">
      <c r="A58" t="str">
        <f ca="1"/>
        <v>TRX1596</v>
      </c>
      <c r="B58" t="str">
        <f ca="1"/>
        <v>#2</v>
      </c>
      <c r="C58">
        <f ca="1"/>
        <v>46065.417361111096</v>
      </c>
      <c r="D58">
        <f ca="1"/>
        <v>906.2</v>
      </c>
      <c r="E58" t="str">
        <f ca="1"/>
        <v>USD</v>
      </c>
      <c r="F58" t="str">
        <f ca="1"/>
        <v>Cesar Gonzales</v>
      </c>
      <c r="G58" t="str">
        <f ca="1"/>
        <v>CURSOR USAGE  JAN      NEW YORK      USA</v>
      </c>
      <c r="H58" t="str">
        <f ca="1"/>
        <v>Cursor Usage Jan New York USA</v>
      </c>
      <c r="I58" t="str">
        <f ca="1"/>
        <v>Tech&amp;Product</v>
      </c>
      <c r="J58">
        <f ca="1"/>
        <v>0</v>
      </c>
      <c r="K58" t="str">
        <f ca="1"/>
        <v>.</v>
      </c>
      <c r="L58" t="str">
        <f ca="1">VLOOKUP(B58,[1]Total!$B:$Q,16,0)</f>
        <v>603.38.002 Software y Sistemas</v>
      </c>
      <c r="M58">
        <f t="shared" ca="1" si="1"/>
        <v>906.2</v>
      </c>
      <c r="N58" t="str">
        <f t="shared" ca="1" si="2"/>
        <v xml:space="preserve">Cesar Gonzales CURSOR USAGE  JAN      NEW YORK      USA Cursor Usage Jan New York USA Tech&amp;Product 0 . </v>
      </c>
    </row>
    <row r="59" spans="1:14">
      <c r="A59" t="str">
        <f ca="1"/>
        <v>TRX1641</v>
      </c>
      <c r="B59" t="str">
        <f ca="1"/>
        <v>#2</v>
      </c>
      <c r="C59">
        <f ca="1"/>
        <v>46065.417361111096</v>
      </c>
      <c r="D59">
        <f ca="1"/>
        <v>7115.29</v>
      </c>
      <c r="E59" t="str">
        <f ca="1"/>
        <v>USD</v>
      </c>
      <c r="F59" t="str">
        <f ca="1"/>
        <v>Cesar Gonzales</v>
      </c>
      <c r="G59" t="str">
        <f ca="1"/>
        <v>DATADOG, INC.          NEW YORK      USA</v>
      </c>
      <c r="H59" t="str">
        <f ca="1"/>
        <v>Datadog</v>
      </c>
      <c r="I59" t="str">
        <f ca="1"/>
        <v>Tech&amp;Product</v>
      </c>
      <c r="J59">
        <f ca="1"/>
        <v>0</v>
      </c>
      <c r="K59" t="str">
        <f ca="1"/>
        <v>.</v>
      </c>
      <c r="L59" t="str">
        <f ca="1">VLOOKUP(B59,[1]Total!$B:$Q,16,0)</f>
        <v>603.38.002 Software y Sistemas</v>
      </c>
      <c r="M59">
        <f t="shared" ca="1" si="1"/>
        <v>7115.29</v>
      </c>
      <c r="N59" t="str">
        <f t="shared" ca="1" si="2"/>
        <v xml:space="preserve">Cesar Gonzales DATADOG, INC.          NEW YORK      USA Datadog Tech&amp;Product 0 . </v>
      </c>
    </row>
    <row r="60" spans="1:14">
      <c r="A60" t="str">
        <f ca="1"/>
        <v>TRX1372</v>
      </c>
      <c r="B60" t="str">
        <f ca="1"/>
        <v>#2</v>
      </c>
      <c r="C60">
        <f ca="1"/>
        <v>46066.416666666599</v>
      </c>
      <c r="D60">
        <f ca="1"/>
        <v>5964.72</v>
      </c>
      <c r="E60" t="str">
        <f ca="1"/>
        <v>MXN</v>
      </c>
      <c r="F60" t="str">
        <f ca="1"/>
        <v>Cesar Gonzales</v>
      </c>
      <c r="G60" t="str">
        <f ca="1"/>
        <v>STR*ODOO TECHNOLOGIES  CIUDAD DE MEX MEX</v>
      </c>
      <c r="H60" t="str">
        <f ca="1"/>
        <v>Str Odoo Technologies Ciudad De Mex Mex</v>
      </c>
      <c r="I60" t="str">
        <f ca="1"/>
        <v>Tech&amp;Product</v>
      </c>
      <c r="J60">
        <f ca="1"/>
        <v>0</v>
      </c>
      <c r="K60" t="str">
        <f ca="1"/>
        <v>.</v>
      </c>
      <c r="L60" t="str">
        <f ca="1">VLOOKUP(B60,[1]Total!$B:$Q,16,0)</f>
        <v>603.38.002 Software y Sistemas</v>
      </c>
      <c r="M60">
        <f t="shared" ca="1" si="1"/>
        <v>5964.72</v>
      </c>
      <c r="N60" t="str">
        <f t="shared" ca="1" si="2"/>
        <v xml:space="preserve">Cesar Gonzales STR*ODOO TECHNOLOGIES  CIUDAD DE MEX MEX Str Odoo Technologies Ciudad De Mex Mex Tech&amp;Product 0 . </v>
      </c>
    </row>
    <row r="61" spans="1:14">
      <c r="A61" t="str">
        <f ca="1"/>
        <v>TRX1245</v>
      </c>
      <c r="B61" t="str">
        <f ca="1"/>
        <v>#2</v>
      </c>
      <c r="C61">
        <f ca="1"/>
        <v>46066.417361111096</v>
      </c>
      <c r="D61">
        <f ca="1"/>
        <v>1083.21</v>
      </c>
      <c r="E61" t="str">
        <f ca="1"/>
        <v>USD</v>
      </c>
      <c r="F61" t="str">
        <f ca="1"/>
        <v>Cesar Gonzales</v>
      </c>
      <c r="G61" t="str">
        <f ca="1"/>
        <v>AUGMENT CODE           PALO ALTO     USA</v>
      </c>
      <c r="H61" t="str">
        <f ca="1"/>
        <v>Augment Code Palo Alto USA</v>
      </c>
      <c r="I61" t="str">
        <f ca="1"/>
        <v>Tech&amp;Product</v>
      </c>
      <c r="J61">
        <f ca="1"/>
        <v>0</v>
      </c>
      <c r="K61" t="str">
        <f ca="1"/>
        <v>.</v>
      </c>
      <c r="L61" t="str">
        <f ca="1">VLOOKUP(B61,[1]Total!$B:$Q,16,0)</f>
        <v>603.38.002 Software y Sistemas</v>
      </c>
      <c r="M61">
        <f t="shared" ca="1" si="1"/>
        <v>1083.21</v>
      </c>
      <c r="N61" t="str">
        <f t="shared" ca="1" si="2"/>
        <v xml:space="preserve">Cesar Gonzales AUGMENT CODE           PALO ALTO     USA Augment Code Palo Alto USA Tech&amp;Product 0 . </v>
      </c>
    </row>
    <row r="62" spans="1:14">
      <c r="A62" t="str">
        <f ca="1"/>
        <v>TRX1378</v>
      </c>
      <c r="B62" t="str">
        <f ca="1"/>
        <v>#2</v>
      </c>
      <c r="C62">
        <f ca="1"/>
        <v>46069.416666666599</v>
      </c>
      <c r="D62">
        <f ca="1"/>
        <v>14399.42</v>
      </c>
      <c r="E62" t="str">
        <f ca="1"/>
        <v>USD</v>
      </c>
      <c r="F62" t="str">
        <f ca="1"/>
        <v>Cesar Gonzales</v>
      </c>
      <c r="G62" t="str">
        <f ca="1"/>
        <v>AUTH0.COM              SAN FRANCISCO USA</v>
      </c>
      <c r="H62" t="str">
        <f ca="1"/>
        <v>Auth0</v>
      </c>
      <c r="I62" t="str">
        <f ca="1"/>
        <v>Tech&amp;Product</v>
      </c>
      <c r="J62">
        <f ca="1"/>
        <v>0</v>
      </c>
      <c r="K62" t="str">
        <f ca="1"/>
        <v>.</v>
      </c>
      <c r="L62" t="str">
        <f ca="1">VLOOKUP(B62,[1]Total!$B:$Q,16,0)</f>
        <v>603.38.002 Software y Sistemas</v>
      </c>
      <c r="M62">
        <f t="shared" ca="1" si="1"/>
        <v>14399.42</v>
      </c>
      <c r="N62" t="str">
        <f t="shared" ca="1" si="2"/>
        <v xml:space="preserve">Cesar Gonzales AUTH0.COM              SAN FRANCISCO USA Auth0 Tech&amp;Product 0 . </v>
      </c>
    </row>
    <row r="63" spans="1:14">
      <c r="A63" t="str">
        <f ca="1"/>
        <v>TRX1821</v>
      </c>
      <c r="B63" t="str">
        <f ca="1"/>
        <v>#2</v>
      </c>
      <c r="C63">
        <f ca="1"/>
        <v>46073.417361111096</v>
      </c>
      <c r="D63">
        <f ca="1"/>
        <v>471.63</v>
      </c>
      <c r="E63" t="str">
        <f ca="1"/>
        <v>USD</v>
      </c>
      <c r="F63" t="str">
        <f ca="1"/>
        <v>Cesar Gonzales</v>
      </c>
      <c r="G63" t="str">
        <f ca="1"/>
        <v>CURSOR, AI POWERED IDE NEW YORK      USA</v>
      </c>
      <c r="H63" t="str">
        <f ca="1"/>
        <v>Cursor Ai Powered Ide New York USA</v>
      </c>
      <c r="I63" t="str">
        <f ca="1"/>
        <v>Tech&amp;Product</v>
      </c>
      <c r="J63">
        <f ca="1"/>
        <v>0</v>
      </c>
      <c r="K63" t="str">
        <f ca="1"/>
        <v>.</v>
      </c>
      <c r="L63" t="str">
        <f ca="1">VLOOKUP(B63,[1]Total!$B:$Q,16,0)</f>
        <v>603.38.002 Software y Sistemas</v>
      </c>
      <c r="M63">
        <f t="shared" ca="1" si="1"/>
        <v>471.63</v>
      </c>
      <c r="N63" t="str">
        <f t="shared" ca="1" si="2"/>
        <v xml:space="preserve">Cesar Gonzales CURSOR, AI POWERED IDE NEW YORK      USA Cursor Ai Powered Ide New York USA Tech&amp;Product 0 . </v>
      </c>
    </row>
    <row r="64" spans="1:14">
      <c r="A64" t="str">
        <f ca="1"/>
        <v>TRX1080</v>
      </c>
      <c r="B64" t="str">
        <f ca="1"/>
        <v>#2</v>
      </c>
      <c r="C64">
        <f ca="1"/>
        <v>46075.417361111096</v>
      </c>
      <c r="D64">
        <f ca="1"/>
        <v>2619.98</v>
      </c>
      <c r="E64" t="str">
        <f ca="1"/>
        <v>USD</v>
      </c>
      <c r="F64" t="str">
        <f ca="1"/>
        <v>Cesar Gonzales</v>
      </c>
      <c r="G64" t="str">
        <f ca="1"/>
        <v>ATLASSIAN              SAN FRANCISCO USA</v>
      </c>
      <c r="H64" t="str">
        <f ca="1"/>
        <v>Atlassian</v>
      </c>
      <c r="I64" t="str">
        <f ca="1"/>
        <v>Tech&amp;Product</v>
      </c>
      <c r="J64">
        <f ca="1"/>
        <v>0</v>
      </c>
      <c r="K64" t="str">
        <f ca="1"/>
        <v>.</v>
      </c>
      <c r="L64" t="str">
        <f ca="1">VLOOKUP(B64,[1]Total!$B:$Q,16,0)</f>
        <v>603.38.002 Software y Sistemas</v>
      </c>
      <c r="M64">
        <f t="shared" ca="1" si="1"/>
        <v>2619.98</v>
      </c>
      <c r="N64" t="str">
        <f t="shared" ca="1" si="2"/>
        <v xml:space="preserve">Cesar Gonzales ATLASSIAN              SAN FRANCISCO USA Atlassian Tech&amp;Product 0 . </v>
      </c>
    </row>
    <row r="65" spans="1:14">
      <c r="A65" t="str">
        <f ca="1"/>
        <v>TRX1119</v>
      </c>
      <c r="B65" t="str">
        <f ca="1"/>
        <v>#2</v>
      </c>
      <c r="C65">
        <f ca="1"/>
        <v>46077.416666666599</v>
      </c>
      <c r="D65">
        <f ca="1"/>
        <v>3853.97</v>
      </c>
      <c r="E65" t="str">
        <f ca="1"/>
        <v>USD</v>
      </c>
      <c r="F65" t="str">
        <f ca="1"/>
        <v>Cesar Gonzales</v>
      </c>
      <c r="G65" t="str">
        <f ca="1"/>
        <v>RETOOL                 SAN FRANCISCO USA</v>
      </c>
      <c r="H65" t="str">
        <f ca="1"/>
        <v>Retool</v>
      </c>
      <c r="I65" t="str">
        <f ca="1"/>
        <v>Tech&amp;Product</v>
      </c>
      <c r="J65">
        <f ca="1"/>
        <v>0</v>
      </c>
      <c r="K65" t="str">
        <f ca="1"/>
        <v>.</v>
      </c>
      <c r="L65" t="str">
        <f ca="1">VLOOKUP(B65,[1]Total!$B:$Q,16,0)</f>
        <v>603.38.002 Software y Sistemas</v>
      </c>
      <c r="M65">
        <f t="shared" ca="1" si="1"/>
        <v>3853.97</v>
      </c>
      <c r="N65" t="str">
        <f t="shared" ca="1" si="2"/>
        <v xml:space="preserve">Cesar Gonzales RETOOL                 SAN FRANCISCO USA Retool Tech&amp;Product 0 . </v>
      </c>
    </row>
    <row r="66" spans="1:14">
      <c r="A66" t="str">
        <f ca="1"/>
        <v>TRX1124</v>
      </c>
      <c r="B66" t="str">
        <f ca="1"/>
        <v>#2</v>
      </c>
      <c r="C66">
        <f ca="1"/>
        <v>46077.416666666599</v>
      </c>
      <c r="D66">
        <f ca="1"/>
        <v>8235.56</v>
      </c>
      <c r="E66" t="str">
        <f ca="1"/>
        <v>USD</v>
      </c>
      <c r="F66" t="str">
        <f ca="1"/>
        <v>Cesar Gonzales</v>
      </c>
      <c r="G66" t="str">
        <f ca="1"/>
        <v>METABASE INC           SPRING VALLEY USA</v>
      </c>
      <c r="H66" t="str">
        <f ca="1"/>
        <v>Metabase</v>
      </c>
      <c r="I66" t="str">
        <f ca="1"/>
        <v>Tech&amp;Product</v>
      </c>
      <c r="J66">
        <f ca="1"/>
        <v>0</v>
      </c>
      <c r="K66" t="str">
        <f ca="1"/>
        <v>.</v>
      </c>
      <c r="L66" t="str">
        <f ca="1">VLOOKUP(B66,[1]Total!$B:$Q,16,0)</f>
        <v>603.38.002 Software y Sistemas</v>
      </c>
      <c r="M66">
        <f t="shared" ca="1" si="1"/>
        <v>8235.56</v>
      </c>
      <c r="N66" t="str">
        <f t="shared" ca="1" si="2"/>
        <v xml:space="preserve">Cesar Gonzales METABASE INC           SPRING VALLEY USA Metabase Tech&amp;Product 0 . </v>
      </c>
    </row>
    <row r="67" spans="1:14">
      <c r="A67" t="str">
        <f ca="1"/>
        <v>TRX1127</v>
      </c>
      <c r="B67" t="str">
        <f ca="1"/>
        <v>#2</v>
      </c>
      <c r="C67">
        <f ca="1"/>
        <v>46077.416666666599</v>
      </c>
      <c r="D67">
        <f ca="1"/>
        <v>7106.33</v>
      </c>
      <c r="E67" t="str">
        <f ca="1"/>
        <v>USD</v>
      </c>
      <c r="F67" t="str">
        <f ca="1"/>
        <v>Cesar Gonzales</v>
      </c>
      <c r="G67" t="str">
        <f ca="1"/>
        <v>Microsoft-G142443073   msbill.info   USA</v>
      </c>
      <c r="H67" t="str">
        <f ca="1"/>
        <v>Microsoft</v>
      </c>
      <c r="I67" t="str">
        <f ca="1"/>
        <v>Tech&amp;Product</v>
      </c>
      <c r="J67">
        <f ca="1"/>
        <v>0</v>
      </c>
      <c r="K67" t="str">
        <f ca="1"/>
        <v>.</v>
      </c>
      <c r="L67" t="str">
        <f ca="1">VLOOKUP(B67,[1]Total!$B:$Q,16,0)</f>
        <v>603.38.002 Software y Sistemas</v>
      </c>
      <c r="M67">
        <f t="shared" ref="M67:M130" ca="1" si="3">D67</f>
        <v>7106.33</v>
      </c>
      <c r="N67" t="str">
        <f t="shared" ref="N67:N130" ca="1" si="4">CONCATENATE(F67," ",G67," ",H67," ",I67," ",J67," ",K67," ")</f>
        <v xml:space="preserve">Cesar Gonzales Microsoft-G142443073   msbill.info   USA Microsoft Tech&amp;Product 0 . </v>
      </c>
    </row>
    <row r="68" spans="1:14" hidden="1">
      <c r="A68" t="str">
        <f ca="1"/>
        <v>#N/A</v>
      </c>
      <c r="B68">
        <f ca="1"/>
        <v>0</v>
      </c>
      <c r="C68">
        <f ca="1"/>
        <v>0</v>
      </c>
      <c r="D68" t="str">
        <f ca="1"/>
        <v>#N/A</v>
      </c>
      <c r="E68" t="str">
        <f ca="1"/>
        <v>#N/A</v>
      </c>
      <c r="F68" t="str">
        <f ca="1"/>
        <v>#N/A</v>
      </c>
      <c r="G68" t="str">
        <f ca="1"/>
        <v>#N/A</v>
      </c>
      <c r="H68">
        <f ca="1"/>
        <v>0</v>
      </c>
      <c r="I68" t="str">
        <f ca="1"/>
        <v>G&amp;A expenses</v>
      </c>
      <c r="J68" t="str">
        <f ca="1"/>
        <v>Intern lunch w Nitisha.&amp; Karn</v>
      </c>
      <c r="K68" t="str">
        <f ca="1"/>
        <v>.</v>
      </c>
      <c r="L68" t="e">
        <f ca="1">VLOOKUP(B68,[1]Total!$B:$Q,16,0)</f>
        <v>#N/A</v>
      </c>
      <c r="M68" t="str">
        <f t="shared" ca="1" si="3"/>
        <v>#N/A</v>
      </c>
      <c r="N68" t="str">
        <f t="shared" ca="1" si="4"/>
        <v xml:space="preserve">#N/A #N/A 0 G&amp;A expenses Intern lunch w Nitisha.&amp; Karn . </v>
      </c>
    </row>
    <row r="69" spans="1:14">
      <c r="A69" t="str">
        <f ca="1"/>
        <v>TRX1239</v>
      </c>
      <c r="B69" t="str">
        <f ca="1"/>
        <v>#3</v>
      </c>
      <c r="C69">
        <f ca="1"/>
        <v>46058.416666666599</v>
      </c>
      <c r="D69">
        <f ca="1"/>
        <v>1130</v>
      </c>
      <c r="E69" t="str">
        <f ca="1"/>
        <v>MXN</v>
      </c>
      <c r="F69" t="str">
        <f ca="1"/>
        <v>Cesar Uriel Romo Trillo</v>
      </c>
      <c r="G69" t="str">
        <f ca="1"/>
        <v>HAMMER STRONG          CIUDAD DE MEX MEX</v>
      </c>
      <c r="H69" t="str">
        <f ca="1"/>
        <v>Hammer Strong Ciudad De Mex Mex</v>
      </c>
      <c r="I69" t="str">
        <f ca="1"/>
        <v>Sales</v>
      </c>
      <c r="J69" t="str">
        <f ca="1"/>
        <v>Compra de Pulidora y discos para obra Grajales Robles PO1129</v>
      </c>
      <c r="K69" t="str">
        <f ca="1"/>
        <v>TICKET</v>
      </c>
      <c r="L69" t="str">
        <f ca="1">VLOOKUP(B69,[1]Total!$B:$Q,16,0)</f>
        <v>603.81.006 Gastos Administativos de venta</v>
      </c>
      <c r="M69">
        <f t="shared" ca="1" si="3"/>
        <v>1130</v>
      </c>
      <c r="N69" t="str">
        <f t="shared" ca="1" si="4"/>
        <v xml:space="preserve">Cesar Uriel Romo Trillo HAMMER STRONG          CIUDAD DE MEX MEX Hammer Strong Ciudad De Mex Mex Sales Compra de Pulidora y discos para obra Grajales Robles PO1129 TICKET </v>
      </c>
    </row>
    <row r="70" spans="1:14">
      <c r="A70" t="str">
        <f ca="1"/>
        <v>TRX1151</v>
      </c>
      <c r="B70" t="str">
        <f ca="1"/>
        <v>#3</v>
      </c>
      <c r="C70">
        <f ca="1"/>
        <v>46059.417361111096</v>
      </c>
      <c r="D70">
        <f ca="1"/>
        <v>344.25</v>
      </c>
      <c r="E70" t="str">
        <f ca="1"/>
        <v>MXN</v>
      </c>
      <c r="F70" t="str">
        <f ca="1"/>
        <v>Cesar Uriel Romo Trillo</v>
      </c>
      <c r="G70" t="str">
        <f ca="1"/>
        <v>GAS JUVITA             MEXICO DF     MEX</v>
      </c>
      <c r="H70" t="str">
        <f ca="1"/>
        <v>Gas Juvita Mexico Df Mex</v>
      </c>
      <c r="I70" t="str">
        <f ca="1"/>
        <v>Sales</v>
      </c>
      <c r="J70" t="str">
        <f ca="1"/>
        <v>Gasolina visita desmontaje de Grua Grajales Robles PO1129</v>
      </c>
      <c r="K70" t="str">
        <f ca="1"/>
        <v>TICKET</v>
      </c>
      <c r="L70" t="str">
        <f ca="1">VLOOKUP(B70,[1]Total!$B:$Q,16,0)</f>
        <v>603.81.006 Gastos Administativos de venta</v>
      </c>
      <c r="M70">
        <f t="shared" ca="1" si="3"/>
        <v>344.25</v>
      </c>
      <c r="N70" t="str">
        <f t="shared" ca="1" si="4"/>
        <v xml:space="preserve">Cesar Uriel Romo Trillo GAS JUVITA             MEXICO DF     MEX Gas Juvita Mexico Df Mex Sales Gasolina visita desmontaje de Grua Grajales Robles PO1129 TICKET </v>
      </c>
    </row>
    <row r="71" spans="1:14">
      <c r="A71" t="str">
        <f ca="1"/>
        <v>TRX1538</v>
      </c>
      <c r="B71" t="str">
        <f ca="1"/>
        <v>#3</v>
      </c>
      <c r="C71">
        <f ca="1"/>
        <v>46060.417361111096</v>
      </c>
      <c r="D71">
        <f ca="1"/>
        <v>803.6</v>
      </c>
      <c r="E71" t="str">
        <f ca="1"/>
        <v>MXN</v>
      </c>
      <c r="F71" t="str">
        <f ca="1"/>
        <v>Cesar Uriel Romo Trillo</v>
      </c>
      <c r="G71" t="str">
        <f ca="1"/>
        <v>GASOLINERA COMB ERMITA CIUDAD DE MEX MEX</v>
      </c>
      <c r="H71" t="str">
        <f ca="1"/>
        <v>Gasolinera Comb Ermita Ciudad De Mex Mex</v>
      </c>
      <c r="I71" t="str">
        <f ca="1"/>
        <v>Sales</v>
      </c>
      <c r="J71" t="str">
        <f ca="1"/>
        <v>Gasolina para Malacate Grajales Robles PO 1129</v>
      </c>
      <c r="K71" t="str">
        <f ca="1"/>
        <v>TICKET</v>
      </c>
      <c r="L71" t="str">
        <f ca="1">VLOOKUP(B71,[1]Total!$B:$Q,16,0)</f>
        <v>603.81.006 Gastos Administativos de venta</v>
      </c>
      <c r="M71">
        <f t="shared" ca="1" si="3"/>
        <v>803.6</v>
      </c>
      <c r="N71" t="str">
        <f t="shared" ca="1" si="4"/>
        <v xml:space="preserve">Cesar Uriel Romo Trillo GASOLINERA COMB ERMITA CIUDAD DE MEX MEX Gasolinera Comb Ermita Ciudad De Mex Mex Sales Gasolina para Malacate Grajales Robles PO 1129 TICKET </v>
      </c>
    </row>
    <row r="72" spans="1:14">
      <c r="A72" t="str">
        <f ca="1"/>
        <v>TRX1068</v>
      </c>
      <c r="B72" t="str">
        <f ca="1"/>
        <v>#3</v>
      </c>
      <c r="C72">
        <f ca="1"/>
        <v>46065.417361111096</v>
      </c>
      <c r="D72">
        <f ca="1"/>
        <v>574</v>
      </c>
      <c r="E72" t="str">
        <f ca="1"/>
        <v>MXN</v>
      </c>
      <c r="F72" t="str">
        <f ca="1"/>
        <v>Cesar Uriel Romo Trillo</v>
      </c>
      <c r="G72" t="str">
        <f ca="1"/>
        <v>GASOLINERA COMB ERMITA CIUDAD DE MEX MEX</v>
      </c>
      <c r="H72" t="str">
        <f ca="1"/>
        <v>Gasolinera Comb Ermita Ciudad De Mex Mex</v>
      </c>
      <c r="I72" t="str">
        <f ca="1"/>
        <v>Sales</v>
      </c>
      <c r="J72" t="str">
        <f ca="1"/>
        <v>Gasolina visita equipo Elvic PO1129</v>
      </c>
      <c r="K72" t="str">
        <f ca="1"/>
        <v>TICKET</v>
      </c>
      <c r="L72" t="str">
        <f ca="1">VLOOKUP(B72,[1]Total!$B:$Q,16,0)</f>
        <v>603.81.006 Gastos Administativos de venta</v>
      </c>
      <c r="M72">
        <f t="shared" ca="1" si="3"/>
        <v>574</v>
      </c>
      <c r="N72" t="str">
        <f t="shared" ca="1" si="4"/>
        <v xml:space="preserve">Cesar Uriel Romo Trillo GASOLINERA COMB ERMITA CIUDAD DE MEX MEX Gasolinera Comb Ermita Ciudad De Mex Mex Sales Gasolina visita equipo Elvic PO1129 TICKET </v>
      </c>
    </row>
    <row r="73" spans="1:14">
      <c r="A73" t="str">
        <f ca="1"/>
        <v>TRX1608</v>
      </c>
      <c r="B73" t="str">
        <f ca="1"/>
        <v>#3</v>
      </c>
      <c r="C73">
        <f ca="1"/>
        <v>46065.417361111096</v>
      </c>
      <c r="D73">
        <f ca="1"/>
        <v>767</v>
      </c>
      <c r="E73" t="str">
        <f ca="1"/>
        <v>MXN</v>
      </c>
      <c r="F73" t="str">
        <f ca="1"/>
        <v>Cesar Uriel Romo Trillo</v>
      </c>
      <c r="G73" t="str">
        <f ca="1"/>
        <v>MAMA S PIZZA           CIUDAD DE MEX MEX</v>
      </c>
      <c r="H73" t="str">
        <f ca="1"/>
        <v>Mama S Pizza Ciudad De Mex Mex</v>
      </c>
      <c r="I73" t="str">
        <f ca="1"/>
        <v>Sales</v>
      </c>
      <c r="J73" t="str">
        <f ca="1"/>
        <v>Comida equipo Elvic  PO 1129</v>
      </c>
      <c r="K73" t="str">
        <f ca="1"/>
        <v>TICKET</v>
      </c>
      <c r="L73" t="str">
        <f ca="1">VLOOKUP(B73,[1]Total!$B:$Q,16,0)</f>
        <v>603.81.006 Gastos Administativos de venta</v>
      </c>
      <c r="M73">
        <f t="shared" ca="1" si="3"/>
        <v>767</v>
      </c>
      <c r="N73" t="str">
        <f t="shared" ca="1" si="4"/>
        <v xml:space="preserve">Cesar Uriel Romo Trillo MAMA S PIZZA           CIUDAD DE MEX MEX Mama S Pizza Ciudad De Mex Mex Sales Comida equipo Elvic  PO 1129 TICKET </v>
      </c>
    </row>
    <row r="74" spans="1:14">
      <c r="A74" t="str">
        <f ca="1"/>
        <v>TRX1618</v>
      </c>
      <c r="B74" t="str">
        <f ca="1"/>
        <v>#3</v>
      </c>
      <c r="C74">
        <f ca="1"/>
        <v>46071.417361111096</v>
      </c>
      <c r="D74">
        <f ca="1"/>
        <v>918.4</v>
      </c>
      <c r="E74" t="str">
        <f ca="1"/>
        <v>MXN</v>
      </c>
      <c r="F74" t="str">
        <f ca="1"/>
        <v>Cesar Uriel Romo Trillo</v>
      </c>
      <c r="G74" t="str">
        <f ca="1"/>
        <v>GASOLINERA COMB ERMITA CIUDAD DE MEX MEX</v>
      </c>
      <c r="H74" t="str">
        <f ca="1"/>
        <v>Gasolinera Comb Ermita Ciudad De Mex Mex</v>
      </c>
      <c r="I74" t="str">
        <f ca="1"/>
        <v>Sales</v>
      </c>
      <c r="J74" t="str">
        <f ca="1"/>
        <v>Gasolina Visita deal nuevo Grupo GSA</v>
      </c>
      <c r="K74" t="str">
        <f ca="1"/>
        <v>TICKET</v>
      </c>
      <c r="L74" t="str">
        <f ca="1">VLOOKUP(B74,[1]Total!$B:$Q,16,0)</f>
        <v>603.81.006 Gastos Administativos de venta</v>
      </c>
      <c r="M74">
        <f t="shared" ca="1" si="3"/>
        <v>918.4</v>
      </c>
      <c r="N74" t="str">
        <f t="shared" ca="1" si="4"/>
        <v xml:space="preserve">Cesar Uriel Romo Trillo GASOLINERA COMB ERMITA CIUDAD DE MEX MEX Gasolinera Comb Ermita Ciudad De Mex Mex Sales Gasolina Visita deal nuevo Grupo GSA TICKET </v>
      </c>
    </row>
    <row r="75" spans="1:14">
      <c r="A75" t="str">
        <f ca="1"/>
        <v>TRX1068</v>
      </c>
      <c r="B75" t="str">
        <f ca="1"/>
        <v>#3</v>
      </c>
      <c r="C75">
        <f ca="1"/>
        <v>46075.416666666599</v>
      </c>
      <c r="D75">
        <f ca="1"/>
        <v>344.4</v>
      </c>
      <c r="E75" t="str">
        <f ca="1"/>
        <v>MXN</v>
      </c>
      <c r="F75" t="str">
        <f ca="1"/>
        <v>Cesar Uriel Romo Trillo</v>
      </c>
      <c r="G75" t="str">
        <f ca="1"/>
        <v>COMBUSTIBLE ERMITA     CIUDAD DE MEX MEX</v>
      </c>
      <c r="H75" t="str">
        <f ca="1"/>
        <v>Combustible Ermita Ciudad De Mex Mex</v>
      </c>
      <c r="I75" t="str">
        <f ca="1"/>
        <v>Sales</v>
      </c>
      <c r="J75" t="str">
        <f ca="1"/>
        <v xml:space="preserve">Gasolina Visita Grajales Robles PO 1129, visita obra Parque Churubusco (nuevo deal), Visita Syvasa Calidad RFQ 3254 </v>
      </c>
      <c r="K75" t="str">
        <f ca="1"/>
        <v>TICKET</v>
      </c>
      <c r="L75" t="str">
        <f ca="1">VLOOKUP(B75,[1]Total!$B:$Q,16,0)</f>
        <v>603.81.006 Gastos Administativos de venta</v>
      </c>
      <c r="M75">
        <f t="shared" ca="1" si="3"/>
        <v>344.4</v>
      </c>
      <c r="N75" t="str">
        <f t="shared" ca="1" si="4"/>
        <v xml:space="preserve">Cesar Uriel Romo Trillo COMBUSTIBLE ERMITA     CIUDAD DE MEX MEX Combustible Ermita Ciudad De Mex Mex Sales Gasolina Visita Grajales Robles PO 1129, visita obra Parque Churubusco (nuevo deal), Visita Syvasa Calidad RFQ 3254  TICKET </v>
      </c>
    </row>
    <row r="76" spans="1:14">
      <c r="A76" t="str">
        <f ca="1"/>
        <v>TRX1098</v>
      </c>
      <c r="B76" t="str">
        <f ca="1"/>
        <v>#3</v>
      </c>
      <c r="C76">
        <f ca="1"/>
        <v>46076.416666666599</v>
      </c>
      <c r="D76">
        <f ca="1"/>
        <v>142.19</v>
      </c>
      <c r="E76" t="str">
        <f ca="1"/>
        <v>MXN</v>
      </c>
      <c r="F76" t="str">
        <f ca="1"/>
        <v>Cesar Uriel Romo Trillo</v>
      </c>
      <c r="G76" t="str">
        <f ca="1"/>
        <v>D LOCAL*REST DIDIFOOD  CIUDAD DE MEX MEX</v>
      </c>
      <c r="H76" t="str">
        <f ca="1"/>
        <v>D Local Rest Didifood Ciudad De Mex Mex</v>
      </c>
      <c r="I76" t="str">
        <f ca="1"/>
        <v>Sales</v>
      </c>
      <c r="J76" t="str">
        <f ca="1"/>
        <v>Compra de candado GRAJALES ROBLES PO 1129</v>
      </c>
      <c r="K76" t="str">
        <f ca="1"/>
        <v>TICKET</v>
      </c>
      <c r="L76" t="str">
        <f ca="1">VLOOKUP(B76,[1]Total!$B:$Q,16,0)</f>
        <v>603.81.006 Gastos Administativos de venta</v>
      </c>
      <c r="M76">
        <f t="shared" ca="1" si="3"/>
        <v>142.19</v>
      </c>
      <c r="N76" t="str">
        <f t="shared" ca="1" si="4"/>
        <v xml:space="preserve">Cesar Uriel Romo Trillo D LOCAL*REST DIDIFOOD  CIUDAD DE MEX MEX D Local Rest Didifood Ciudad De Mex Mex Sales Compra de candado GRAJALES ROBLES PO 1129 TICKET </v>
      </c>
    </row>
    <row r="77" spans="1:14">
      <c r="A77" t="str">
        <f ca="1"/>
        <v>TRX1288</v>
      </c>
      <c r="B77" t="str">
        <f ca="1"/>
        <v>#4</v>
      </c>
      <c r="C77">
        <f ca="1"/>
        <v>46056.416666666599</v>
      </c>
      <c r="D77">
        <f ca="1"/>
        <v>915.4</v>
      </c>
      <c r="E77" t="str">
        <f ca="1"/>
        <v>MXN</v>
      </c>
      <c r="F77" t="str">
        <f ca="1"/>
        <v>Daniel Autrique Echeveste</v>
      </c>
      <c r="G77" t="str">
        <f ca="1"/>
        <v>LPQ AICM T1 SALA 8 1   CIUDAD DE MEX MEX</v>
      </c>
      <c r="H77" t="str">
        <f ca="1"/>
        <v>L</v>
      </c>
      <c r="I77" t="str">
        <f ca="1"/>
        <v>Recruiting</v>
      </c>
      <c r="J77" t="str">
        <f ca="1"/>
        <v>LinkedIn</v>
      </c>
      <c r="K77" t="str">
        <f ca="1"/>
        <v>.</v>
      </c>
      <c r="L77" t="str">
        <f ca="1">VLOOKUP(B77,[1]Total!$B:$Q,16,0)</f>
        <v>603.81.002 Gastos corporativos ND</v>
      </c>
      <c r="M77">
        <f t="shared" ca="1" si="3"/>
        <v>915.4</v>
      </c>
      <c r="N77" t="str">
        <f t="shared" ca="1" si="4"/>
        <v xml:space="preserve">Daniel Autrique Echeveste LPQ AICM T1 SALA 8 1   CIUDAD DE MEX MEX L Recruiting LinkedIn . </v>
      </c>
    </row>
    <row r="78" spans="1:14">
      <c r="A78" t="str">
        <f ca="1"/>
        <v>TRX1279</v>
      </c>
      <c r="B78" t="str">
        <f ca="1"/>
        <v>#4</v>
      </c>
      <c r="C78">
        <f ca="1"/>
        <v>46056.416666666599</v>
      </c>
      <c r="D78">
        <f ca="1"/>
        <v>704.7</v>
      </c>
      <c r="E78" t="str">
        <f ca="1"/>
        <v>USD</v>
      </c>
      <c r="F78" t="str">
        <f ca="1"/>
        <v>Daniel Autrique Echeveste</v>
      </c>
      <c r="G78" t="str">
        <f ca="1"/>
        <v>CURB MOBILITY          ASTORIA       USA</v>
      </c>
      <c r="H78" t="str">
        <f ca="1"/>
        <v>Curb Mobility</v>
      </c>
      <c r="I78" t="str">
        <f ca="1"/>
        <v>Sales</v>
      </c>
      <c r="J78" t="str">
        <f ca="1"/>
        <v>Vuelo a chicago Radioflyer</v>
      </c>
      <c r="K78" t="str">
        <f ca="1"/>
        <v>.</v>
      </c>
      <c r="L78" t="str">
        <f ca="1">VLOOKUP(B78,[1]Total!$B:$Q,16,0)</f>
        <v>603.81.002 Gastos corporativos ND</v>
      </c>
      <c r="M78">
        <f t="shared" ca="1" si="3"/>
        <v>704.7</v>
      </c>
      <c r="N78" t="str">
        <f t="shared" ca="1" si="4"/>
        <v xml:space="preserve">Daniel Autrique Echeveste CURB MOBILITY          ASTORIA       USA Curb Mobility Sales Vuelo a chicago Radioflyer . </v>
      </c>
    </row>
    <row r="79" spans="1:14">
      <c r="A79" t="str">
        <f ca="1"/>
        <v>TRX1272</v>
      </c>
      <c r="B79" t="str">
        <f ca="1"/>
        <v>#4</v>
      </c>
      <c r="C79">
        <f ca="1"/>
        <v>46057.416666666599</v>
      </c>
      <c r="D79">
        <f ca="1"/>
        <v>1216.2</v>
      </c>
      <c r="E79" t="str">
        <f ca="1"/>
        <v>USD</v>
      </c>
      <c r="F79" t="str">
        <f ca="1"/>
        <v>Daniel Autrique Echeveste</v>
      </c>
      <c r="G79" t="str">
        <f ca="1"/>
        <v>TCOLV - Naughty Patt   LAS VEGAS     USA</v>
      </c>
      <c r="H79" t="str">
        <f ca="1"/>
        <v>Tcolv Naughty Patt Las Vegas USA</v>
      </c>
      <c r="I79" t="str">
        <f ca="1"/>
        <v>Sales</v>
      </c>
      <c r="J79">
        <f ca="1"/>
        <v>0</v>
      </c>
      <c r="K79" t="str">
        <f ca="1"/>
        <v>.</v>
      </c>
      <c r="L79" t="str">
        <f ca="1">VLOOKUP(B79,[1]Total!$B:$Q,16,0)</f>
        <v>603.81.002 Gastos corporativos ND</v>
      </c>
      <c r="M79">
        <f t="shared" ca="1" si="3"/>
        <v>1216.2</v>
      </c>
      <c r="N79" t="str">
        <f t="shared" ca="1" si="4"/>
        <v xml:space="preserve">Daniel Autrique Echeveste TCOLV - Naughty Patt   LAS VEGAS     USA Tcolv Naughty Patt Las Vegas USA Sales 0 . </v>
      </c>
    </row>
    <row r="80" spans="1:14">
      <c r="A80" t="str">
        <f ca="1"/>
        <v>TRX1271</v>
      </c>
      <c r="B80" t="str">
        <f ca="1"/>
        <v>#4</v>
      </c>
      <c r="C80">
        <f ca="1"/>
        <v>46057.416666666599</v>
      </c>
      <c r="D80">
        <f ca="1"/>
        <v>476.1</v>
      </c>
      <c r="E80" t="str">
        <f ca="1"/>
        <v>USD</v>
      </c>
      <c r="F80" t="str">
        <f ca="1"/>
        <v>Daniel Autrique Echeveste</v>
      </c>
      <c r="G80" t="str">
        <f ca="1"/>
        <v>ZTRIP TAXI             KANSAS CITY   USA</v>
      </c>
      <c r="H80" t="str">
        <f ca="1"/>
        <v>Ztrip Taxi Kansas City USA</v>
      </c>
      <c r="I80" t="str">
        <f ca="1"/>
        <v>Sales</v>
      </c>
      <c r="J80">
        <f ca="1"/>
        <v>0</v>
      </c>
      <c r="K80" t="str">
        <f ca="1"/>
        <v>.</v>
      </c>
      <c r="L80" t="str">
        <f ca="1">VLOOKUP(B80,[1]Total!$B:$Q,16,0)</f>
        <v>603.81.002 Gastos corporativos ND</v>
      </c>
      <c r="M80">
        <f t="shared" ca="1" si="3"/>
        <v>476.1</v>
      </c>
      <c r="N80" t="str">
        <f t="shared" ca="1" si="4"/>
        <v xml:space="preserve">Daniel Autrique Echeveste ZTRIP TAXI             KANSAS CITY   USA Ztrip Taxi Kansas City USA Sales 0 . </v>
      </c>
    </row>
    <row r="81" spans="1:14">
      <c r="A81" t="str">
        <f ca="1"/>
        <v>TRX1197</v>
      </c>
      <c r="B81" t="str">
        <f ca="1"/>
        <v>#4</v>
      </c>
      <c r="C81">
        <f ca="1"/>
        <v>46058.417361111096</v>
      </c>
      <c r="D81">
        <f ca="1"/>
        <v>11358</v>
      </c>
      <c r="E81" t="str">
        <f ca="1"/>
        <v>USD</v>
      </c>
      <c r="F81" t="str">
        <f ca="1"/>
        <v>Daniel Autrique Echeveste</v>
      </c>
      <c r="G81" t="str">
        <f ca="1"/>
        <v>WOLFGANG PUCK CUT      LAS VEGAS     USA</v>
      </c>
      <c r="H81" t="str">
        <f ca="1"/>
        <v>Wolfgang Puck</v>
      </c>
      <c r="I81" t="str">
        <f ca="1"/>
        <v>G&amp;A expenses</v>
      </c>
      <c r="J81">
        <f ca="1"/>
        <v>0</v>
      </c>
      <c r="K81" t="str">
        <f ca="1"/>
        <v>.</v>
      </c>
      <c r="L81" t="str">
        <f ca="1">VLOOKUP(B81,[1]Total!$B:$Q,16,0)</f>
        <v>603.81.002 Gastos corporativos ND</v>
      </c>
      <c r="M81">
        <f t="shared" ca="1" si="3"/>
        <v>11358</v>
      </c>
      <c r="N81" t="str">
        <f t="shared" ca="1" si="4"/>
        <v xml:space="preserve">Daniel Autrique Echeveste WOLFGANG PUCK CUT      LAS VEGAS     USA Wolfgang Puck G&amp;A expenses 0 . </v>
      </c>
    </row>
    <row r="82" spans="1:14">
      <c r="A82" t="str">
        <f ca="1"/>
        <v>TRX1193</v>
      </c>
      <c r="B82" t="str">
        <f ca="1"/>
        <v>#4</v>
      </c>
      <c r="C82">
        <f ca="1"/>
        <v>46058.418055555499</v>
      </c>
      <c r="D82">
        <f ca="1"/>
        <v>181.58</v>
      </c>
      <c r="E82" t="str">
        <f ca="1"/>
        <v>USD</v>
      </c>
      <c r="F82" t="str">
        <f ca="1"/>
        <v>Daniel Autrique Echeveste</v>
      </c>
      <c r="G82" t="str">
        <f ca="1"/>
        <v>Viasat, Inc.           8669453258    USA</v>
      </c>
      <c r="H82" t="str">
        <f ca="1"/>
        <v>Viasat</v>
      </c>
      <c r="I82" t="str">
        <f ca="1"/>
        <v>Sales</v>
      </c>
      <c r="J82">
        <f ca="1"/>
        <v>0</v>
      </c>
      <c r="K82" t="str">
        <f ca="1"/>
        <v>.</v>
      </c>
      <c r="L82" t="str">
        <f ca="1">VLOOKUP(B82,[1]Total!$B:$Q,16,0)</f>
        <v>603.81.002 Gastos corporativos ND</v>
      </c>
      <c r="M82">
        <f t="shared" ca="1" si="3"/>
        <v>181.58</v>
      </c>
      <c r="N82" t="str">
        <f t="shared" ca="1" si="4"/>
        <v xml:space="preserve">Daniel Autrique Echeveste Viasat, Inc.           8669453258    USA Viasat Sales 0 . </v>
      </c>
    </row>
    <row r="83" spans="1:14">
      <c r="A83" t="str">
        <f ca="1"/>
        <v>TRX1576</v>
      </c>
      <c r="B83" t="str">
        <f ca="1"/>
        <v>#4</v>
      </c>
      <c r="C83">
        <f ca="1"/>
        <v>46059.417361111096</v>
      </c>
      <c r="D83">
        <f ca="1"/>
        <v>13052.62</v>
      </c>
      <c r="E83" t="str">
        <f ca="1"/>
        <v>MXN</v>
      </c>
      <c r="F83" t="str">
        <f ca="1"/>
        <v>Daniel Autrique Echeveste</v>
      </c>
      <c r="G83" t="str">
        <f ca="1"/>
        <v>COSMOPOL-FRONT DESK    LAS VEGAS     USA</v>
      </c>
      <c r="H83" t="str">
        <f ca="1"/>
        <v>Cosmopol Front Desk Las Vegas USA</v>
      </c>
      <c r="I83" t="str">
        <f ca="1"/>
        <v>Sales</v>
      </c>
      <c r="J83">
        <f ca="1"/>
        <v>0</v>
      </c>
      <c r="K83" t="str">
        <f ca="1"/>
        <v>.</v>
      </c>
      <c r="L83" t="str">
        <f ca="1">VLOOKUP(B83,[1]Total!$B:$Q,16,0)</f>
        <v>603.81.002 Gastos corporativos ND</v>
      </c>
      <c r="M83">
        <f t="shared" ca="1" si="3"/>
        <v>13052.62</v>
      </c>
      <c r="N83" t="str">
        <f t="shared" ca="1" si="4"/>
        <v xml:space="preserve">Daniel Autrique Echeveste COSMOPOL-FRONT DESK    LAS VEGAS     USA Cosmopol Front Desk Las Vegas USA Sales 0 . </v>
      </c>
    </row>
    <row r="84" spans="1:14">
      <c r="A84" t="str">
        <f ca="1"/>
        <v>TRX1408</v>
      </c>
      <c r="B84" t="str">
        <f ca="1"/>
        <v>#4</v>
      </c>
      <c r="C84">
        <f ca="1"/>
        <v>46060.417361111096</v>
      </c>
      <c r="D84">
        <f ca="1"/>
        <v>2196.88</v>
      </c>
      <c r="E84" t="str">
        <f ca="1"/>
        <v>USD</v>
      </c>
      <c r="F84" t="str">
        <f ca="1"/>
        <v>Daniel Autrique Echeveste</v>
      </c>
      <c r="G84" t="str">
        <f ca="1"/>
        <v>20260203T00:00:00/COSMOPOL-FRONT DESK\3708 LAS VEGAS BLVD S\LAS VEGAS\89109     NV USA</v>
      </c>
      <c r="H84" t="str">
        <f ca="1"/>
        <v>T :00/Cosmopol Front Desk\3708 Las Vegas Blvd S\Las Vegas\ Nv USA</v>
      </c>
      <c r="I84" t="str">
        <f ca="1"/>
        <v>Sales</v>
      </c>
      <c r="J84">
        <f ca="1"/>
        <v>0</v>
      </c>
      <c r="K84" t="str">
        <f ca="1"/>
        <v>.</v>
      </c>
      <c r="L84" t="str">
        <f ca="1">VLOOKUP(B84,[1]Total!$B:$Q,16,0)</f>
        <v>603.81.002 Gastos corporativos ND</v>
      </c>
      <c r="M84">
        <f t="shared" ca="1" si="3"/>
        <v>2196.88</v>
      </c>
      <c r="N84" t="str">
        <f t="shared" ca="1" si="4"/>
        <v xml:space="preserve">Daniel Autrique Echeveste 20260203T00:00:00/COSMOPOL-FRONT DESK\3708 LAS VEGAS BLVD S\LAS VEGAS\89109     NV USA T :00/Cosmopol Front Desk\3708 Las Vegas Blvd S\Las Vegas\ Nv USA Sales 0 . </v>
      </c>
    </row>
    <row r="85" spans="1:14">
      <c r="A85" t="str">
        <f ca="1"/>
        <v>TRX1758</v>
      </c>
      <c r="B85" t="str">
        <f ca="1"/>
        <v>#4</v>
      </c>
      <c r="C85">
        <f ca="1"/>
        <v>46061.416666666599</v>
      </c>
      <c r="D85">
        <f ca="1"/>
        <v>100</v>
      </c>
      <c r="E85" t="str">
        <f ca="1"/>
        <v>MXN</v>
      </c>
      <c r="F85" t="str">
        <f ca="1"/>
        <v>Daniel Autrique Echeveste</v>
      </c>
      <c r="G85" t="str">
        <f ca="1"/>
        <v>MEXPAGO*MUEVECIUDAD    CIUDAD DE MEX MEX</v>
      </c>
      <c r="H85" t="str">
        <f ca="1"/>
        <v>Mexpago Mueveciudad Ciudad De Mex Mex</v>
      </c>
      <c r="I85" t="str">
        <f ca="1"/>
        <v>Sales</v>
      </c>
      <c r="J85">
        <f ca="1"/>
        <v>0</v>
      </c>
      <c r="K85" t="str">
        <f ca="1"/>
        <v>.</v>
      </c>
      <c r="L85" t="str">
        <f ca="1">VLOOKUP(B85,[1]Total!$B:$Q,16,0)</f>
        <v>603.81.002 Gastos corporativos ND</v>
      </c>
      <c r="M85">
        <f t="shared" ca="1" si="3"/>
        <v>100</v>
      </c>
      <c r="N85" t="str">
        <f t="shared" ca="1" si="4"/>
        <v xml:space="preserve">Daniel Autrique Echeveste MEXPAGO*MUEVECIUDAD    CIUDAD DE MEX MEX Mexpago Mueveciudad Ciudad De Mex Mex Sales 0 . </v>
      </c>
    </row>
    <row r="86" spans="1:14">
      <c r="A86" t="str">
        <f ca="1"/>
        <v>TRX1501</v>
      </c>
      <c r="B86" t="str">
        <f ca="1"/>
        <v>#4</v>
      </c>
      <c r="C86">
        <f ca="1"/>
        <v>46064.416666666599</v>
      </c>
      <c r="D86">
        <f ca="1"/>
        <v>870.55</v>
      </c>
      <c r="E86" t="str">
        <f ca="1"/>
        <v>MXN</v>
      </c>
      <c r="F86" t="str">
        <f ca="1"/>
        <v>Daniel Autrique Echeveste</v>
      </c>
      <c r="G86" t="str">
        <f ca="1"/>
        <v>REST ENO VIRREYES      CIUDAD DE MEX MEX</v>
      </c>
      <c r="H86" t="str">
        <f ca="1"/>
        <v>Rest Eno Virreyes Ciudad De Mex Mex</v>
      </c>
      <c r="I86">
        <f ca="1"/>
        <v>0</v>
      </c>
      <c r="J86">
        <f ca="1"/>
        <v>0</v>
      </c>
      <c r="K86" t="str">
        <f ca="1"/>
        <v>.</v>
      </c>
      <c r="L86" t="str">
        <f ca="1">VLOOKUP(B86,[1]Total!$B:$Q,16,0)</f>
        <v>603.81.002 Gastos corporativos ND</v>
      </c>
      <c r="M86">
        <f t="shared" ca="1" si="3"/>
        <v>870.55</v>
      </c>
      <c r="N86" t="str">
        <f t="shared" ca="1" si="4"/>
        <v xml:space="preserve">Daniel Autrique Echeveste REST ENO VIRREYES      CIUDAD DE MEX MEX Rest Eno Virreyes Ciudad De Mex Mex 0 0 . </v>
      </c>
    </row>
    <row r="87" spans="1:14">
      <c r="A87" t="str">
        <f ca="1"/>
        <v>TRX1629</v>
      </c>
      <c r="B87" t="str">
        <f ca="1"/>
        <v>#4</v>
      </c>
      <c r="C87">
        <f ca="1"/>
        <v>46067.416666666599</v>
      </c>
      <c r="D87">
        <f ca="1"/>
        <v>5662.6</v>
      </c>
      <c r="E87" t="str">
        <f ca="1"/>
        <v>MXN</v>
      </c>
      <c r="F87" t="str">
        <f ca="1"/>
        <v>Daniel Autrique Echeveste</v>
      </c>
      <c r="G87" t="str">
        <f ca="1"/>
        <v>REST ZERU LOMAS        CIUDAD DE MEX MEX</v>
      </c>
      <c r="H87" t="str">
        <f ca="1"/>
        <v>Rest Zeru Lomas Ciudad De Mex Mex</v>
      </c>
      <c r="I87">
        <f ca="1"/>
        <v>0</v>
      </c>
      <c r="J87">
        <f ca="1"/>
        <v>0</v>
      </c>
      <c r="K87" t="str">
        <f ca="1"/>
        <v>.</v>
      </c>
      <c r="L87" t="str">
        <f ca="1">VLOOKUP(B87,[1]Total!$B:$Q,16,0)</f>
        <v>603.81.002 Gastos corporativos ND</v>
      </c>
      <c r="M87">
        <f t="shared" ca="1" si="3"/>
        <v>5662.6</v>
      </c>
      <c r="N87" t="str">
        <f t="shared" ca="1" si="4"/>
        <v xml:space="preserve">Daniel Autrique Echeveste REST ZERU LOMAS        CIUDAD DE MEX MEX Rest Zeru Lomas Ciudad De Mex Mex 0 0 . </v>
      </c>
    </row>
    <row r="88" spans="1:14">
      <c r="A88" t="str">
        <f ca="1"/>
        <v>TRX1043</v>
      </c>
      <c r="B88" t="str">
        <f ca="1"/>
        <v>#4</v>
      </c>
      <c r="C88">
        <f ca="1"/>
        <v>46071.417361111096</v>
      </c>
      <c r="D88">
        <f ca="1"/>
        <v>1213.99</v>
      </c>
      <c r="E88" t="str">
        <f ca="1"/>
        <v>MXN</v>
      </c>
      <c r="F88" t="str">
        <f ca="1"/>
        <v>Daniel Autrique Echeveste</v>
      </c>
      <c r="G88" t="str">
        <f ca="1"/>
        <v>GASOL VALERO LOMALINDA CIUDAD DE MEX MEX</v>
      </c>
      <c r="H88" t="str">
        <f ca="1"/>
        <v>Gasol Valero Lomalinda Ciudad De Mex Mex</v>
      </c>
      <c r="I88">
        <f ca="1"/>
        <v>0</v>
      </c>
      <c r="J88">
        <f ca="1"/>
        <v>0</v>
      </c>
      <c r="K88" t="str">
        <f ca="1"/>
        <v>.</v>
      </c>
      <c r="L88" t="str">
        <f ca="1">VLOOKUP(B88,[1]Total!$B:$Q,16,0)</f>
        <v>603.81.002 Gastos corporativos ND</v>
      </c>
      <c r="M88">
        <f t="shared" ca="1" si="3"/>
        <v>1213.99</v>
      </c>
      <c r="N88" t="str">
        <f t="shared" ca="1" si="4"/>
        <v xml:space="preserve">Daniel Autrique Echeveste GASOL VALERO LOMALINDA CIUDAD DE MEX MEX Gasol Valero Lomalinda Ciudad De Mex Mex 0 0 . </v>
      </c>
    </row>
    <row r="89" spans="1:14">
      <c r="A89" t="str">
        <f ca="1"/>
        <v>TRX1219</v>
      </c>
      <c r="B89" t="str">
        <f ca="1"/>
        <v>#5</v>
      </c>
      <c r="C89">
        <f ca="1"/>
        <v>46058.417361111096</v>
      </c>
      <c r="D89">
        <f ca="1"/>
        <v>70</v>
      </c>
      <c r="E89" t="str">
        <f ca="1"/>
        <v>MXN</v>
      </c>
      <c r="F89" t="str">
        <f ca="1"/>
        <v>Fernanda Sanchez Ruiz</v>
      </c>
      <c r="G89" t="str">
        <f ca="1"/>
        <v>DLO*UBER RIDE          CIUDAD DE MEX MEX</v>
      </c>
      <c r="H89" t="str">
        <f ca="1"/>
        <v>Uber</v>
      </c>
      <c r="I89" t="str">
        <f ca="1"/>
        <v>Office expenses</v>
      </c>
      <c r="J89" t="str">
        <f ca="1"/>
        <v>Snacks para la oficina</v>
      </c>
      <c r="K89" t="str">
        <f ca="1"/>
        <v>.</v>
      </c>
      <c r="L89" t="str">
        <f ca="1">VLOOKUP(B89,[1]Total!$B:$Q,16,0)</f>
        <v>603.81.004 Gastos de Oficina</v>
      </c>
      <c r="M89">
        <f t="shared" ca="1" si="3"/>
        <v>70</v>
      </c>
      <c r="N89" t="str">
        <f t="shared" ca="1" si="4"/>
        <v xml:space="preserve">Fernanda Sanchez Ruiz DLO*UBER RIDE          CIUDAD DE MEX MEX Uber Office expenses Snacks para la oficina . </v>
      </c>
    </row>
    <row r="90" spans="1:14">
      <c r="A90" t="str">
        <f ca="1"/>
        <v>TRX1206</v>
      </c>
      <c r="B90" t="str">
        <f ca="1"/>
        <v>#5</v>
      </c>
      <c r="C90">
        <f ca="1"/>
        <v>46058.417361111096</v>
      </c>
      <c r="D90">
        <f ca="1"/>
        <v>1186.28</v>
      </c>
      <c r="E90" t="str">
        <f ca="1"/>
        <v>MXN</v>
      </c>
      <c r="F90" t="str">
        <f ca="1"/>
        <v>Fernanda Sanchez Ruiz</v>
      </c>
      <c r="G90" t="str">
        <f ca="1"/>
        <v>SAMS VENTA EN LINEA    MEXICO DF     MEX</v>
      </c>
      <c r="H90" t="str">
        <f ca="1"/>
        <v>Sam's Club</v>
      </c>
      <c r="I90" t="str">
        <f ca="1"/>
        <v>Office expenses</v>
      </c>
      <c r="J90">
        <f ca="1"/>
        <v>0</v>
      </c>
      <c r="K90" t="str">
        <f ca="1"/>
        <v>.</v>
      </c>
      <c r="L90" t="str">
        <f ca="1">VLOOKUP(B90,[1]Total!$B:$Q,16,0)</f>
        <v>603.81.004 Gastos de Oficina</v>
      </c>
      <c r="M90">
        <f t="shared" ca="1" si="3"/>
        <v>1186.28</v>
      </c>
      <c r="N90" t="str">
        <f t="shared" ca="1" si="4"/>
        <v xml:space="preserve">Fernanda Sanchez Ruiz SAMS VENTA EN LINEA    MEXICO DF     MEX Sam's Club Office expenses 0 . </v>
      </c>
    </row>
    <row r="91" spans="1:14">
      <c r="A91" t="str">
        <f ca="1"/>
        <v>TRX1628</v>
      </c>
      <c r="B91" t="str">
        <f ca="1"/>
        <v>#5</v>
      </c>
      <c r="C91">
        <f ca="1"/>
        <v>46065.417361111096</v>
      </c>
      <c r="D91">
        <f ca="1"/>
        <v>1690.58</v>
      </c>
      <c r="E91" t="str">
        <f ca="1"/>
        <v>MXN</v>
      </c>
      <c r="F91" t="str">
        <f ca="1"/>
        <v>Fernanda Sanchez Ruiz</v>
      </c>
      <c r="G91" t="str">
        <f ca="1"/>
        <v>SAMS VENTA EN LINEA    MEXICO DF     MEX</v>
      </c>
      <c r="H91" t="str">
        <f ca="1"/>
        <v>Sam's Club</v>
      </c>
      <c r="I91" t="str">
        <f ca="1"/>
        <v>Office expenses</v>
      </c>
      <c r="J91" t="str">
        <f ca="1"/>
        <v>Snacks para la oficina</v>
      </c>
      <c r="K91" t="str">
        <f ca="1"/>
        <v>.</v>
      </c>
      <c r="L91" t="str">
        <f ca="1">VLOOKUP(B91,[1]Total!$B:$Q,16,0)</f>
        <v>603.81.004 Gastos de Oficina</v>
      </c>
      <c r="M91">
        <f t="shared" ca="1" si="3"/>
        <v>1690.58</v>
      </c>
      <c r="N91" t="str">
        <f t="shared" ca="1" si="4"/>
        <v xml:space="preserve">Fernanda Sanchez Ruiz SAMS VENTA EN LINEA    MEXICO DF     MEX Sam's Club Office expenses Snacks para la oficina . </v>
      </c>
    </row>
    <row r="92" spans="1:14">
      <c r="A92" t="str">
        <f ca="1"/>
        <v>TRX1890</v>
      </c>
      <c r="B92" t="str">
        <f ca="1"/>
        <v>#5</v>
      </c>
      <c r="C92">
        <f ca="1"/>
        <v>46067.416666666599</v>
      </c>
      <c r="D92">
        <f ca="1"/>
        <v>317.52</v>
      </c>
      <c r="E92" t="str">
        <f ca="1"/>
        <v>MXN</v>
      </c>
      <c r="F92" t="str">
        <f ca="1"/>
        <v>Fernanda Sanchez Ruiz</v>
      </c>
      <c r="G92" t="str">
        <f ca="1"/>
        <v>UBER * EATS PENDING    CMX           MEX</v>
      </c>
      <c r="H92" t="str">
        <f ca="1"/>
        <v>Uber Eats</v>
      </c>
      <c r="I92" t="str">
        <f ca="1"/>
        <v>Office expenses</v>
      </c>
      <c r="J92" t="str">
        <f ca="1"/>
        <v>Snacks para la oficina</v>
      </c>
      <c r="K92" t="str">
        <f ca="1"/>
        <v>.</v>
      </c>
      <c r="L92" t="str">
        <f ca="1">VLOOKUP(B92,[1]Total!$B:$Q,16,0)</f>
        <v>603.81.004 Gastos de Oficina</v>
      </c>
      <c r="M92">
        <f t="shared" ca="1" si="3"/>
        <v>317.52</v>
      </c>
      <c r="N92" t="str">
        <f t="shared" ca="1" si="4"/>
        <v xml:space="preserve">Fernanda Sanchez Ruiz UBER * EATS PENDING    CMX           MEX Uber Eats Office expenses Snacks para la oficina . </v>
      </c>
    </row>
    <row r="93" spans="1:14">
      <c r="A93" t="str">
        <f ca="1"/>
        <v>TRX1251</v>
      </c>
      <c r="B93" t="str">
        <f ca="1"/>
        <v>#5</v>
      </c>
      <c r="C93">
        <f ca="1"/>
        <v>46067.416666666599</v>
      </c>
      <c r="D93">
        <f ca="1"/>
        <v>939.38</v>
      </c>
      <c r="E93" t="str">
        <f ca="1"/>
        <v>MXN</v>
      </c>
      <c r="F93" t="str">
        <f ca="1"/>
        <v>Fernanda Sanchez Ruiz</v>
      </c>
      <c r="G93" t="str">
        <f ca="1"/>
        <v>UBER * EATS PENDING    CMX           MEX</v>
      </c>
      <c r="H93" t="str">
        <f ca="1"/>
        <v>Uber Eats</v>
      </c>
      <c r="I93" t="str">
        <f ca="1"/>
        <v>Office expenses</v>
      </c>
      <c r="J93" t="str">
        <f ca="1"/>
        <v xml:space="preserve">Botiquin </v>
      </c>
      <c r="K93" t="str">
        <f ca="1"/>
        <v>.</v>
      </c>
      <c r="L93" t="str">
        <f ca="1">VLOOKUP(B93,[1]Total!$B:$Q,16,0)</f>
        <v>603.81.004 Gastos de Oficina</v>
      </c>
      <c r="M93">
        <f t="shared" ca="1" si="3"/>
        <v>939.38</v>
      </c>
      <c r="N93" t="str">
        <f t="shared" ca="1" si="4"/>
        <v xml:space="preserve">Fernanda Sanchez Ruiz UBER * EATS PENDING    CMX           MEX Uber Eats Office expenses Botiquin  . </v>
      </c>
    </row>
    <row r="94" spans="1:14">
      <c r="A94" t="str">
        <f ca="1"/>
        <v>TRX1643</v>
      </c>
      <c r="B94" t="str">
        <f ca="1"/>
        <v>#5</v>
      </c>
      <c r="C94">
        <f ca="1"/>
        <v>46067.416666666599</v>
      </c>
      <c r="D94">
        <f ca="1"/>
        <v>20</v>
      </c>
      <c r="E94" t="str">
        <f ca="1"/>
        <v>MXN</v>
      </c>
      <c r="F94" t="str">
        <f ca="1"/>
        <v>Fernanda Sanchez Ruiz</v>
      </c>
      <c r="G94" t="str">
        <f ca="1"/>
        <v>UBER *EATS HELP.UBER.C CMX           MEX</v>
      </c>
      <c r="H94" t="str">
        <f ca="1"/>
        <v>Uber Eats</v>
      </c>
      <c r="I94" t="str">
        <f ca="1"/>
        <v>Office expenses</v>
      </c>
      <c r="J94" t="str">
        <f ca="1"/>
        <v>Refill de botiquin</v>
      </c>
      <c r="K94" t="str">
        <f ca="1"/>
        <v>.</v>
      </c>
      <c r="L94" t="str">
        <f ca="1">VLOOKUP(B94,[1]Total!$B:$Q,16,0)</f>
        <v>603.81.004 Gastos de Oficina</v>
      </c>
      <c r="M94">
        <f t="shared" ca="1" si="3"/>
        <v>20</v>
      </c>
      <c r="N94" t="str">
        <f t="shared" ca="1" si="4"/>
        <v xml:space="preserve">Fernanda Sanchez Ruiz UBER *EATS HELP.UBER.C CMX           MEX Uber Eats Office expenses Refill de botiquin . </v>
      </c>
    </row>
    <row r="95" spans="1:14">
      <c r="A95" t="str">
        <f ca="1"/>
        <v>TRX1775</v>
      </c>
      <c r="B95" t="str">
        <f ca="1"/>
        <v>#5</v>
      </c>
      <c r="C95">
        <f ca="1"/>
        <v>46067.416666666599</v>
      </c>
      <c r="D95">
        <f ca="1"/>
        <v>3142.4</v>
      </c>
      <c r="E95" t="str">
        <f ca="1"/>
        <v>MXN</v>
      </c>
      <c r="F95" t="str">
        <f ca="1"/>
        <v>Fernanda Sanchez Ruiz</v>
      </c>
      <c r="G95" t="str">
        <f ca="1"/>
        <v>UBER * EATS PENDING    CMX           MEX</v>
      </c>
      <c r="H95" t="str">
        <f ca="1"/>
        <v>Uber Eats</v>
      </c>
      <c r="I95">
        <f ca="1"/>
        <v>0</v>
      </c>
      <c r="J95">
        <f ca="1"/>
        <v>0</v>
      </c>
      <c r="K95" t="str">
        <f ca="1"/>
        <v>.</v>
      </c>
      <c r="L95" t="str">
        <f ca="1">VLOOKUP(B95,[1]Total!$B:$Q,16,0)</f>
        <v>603.81.004 Gastos de Oficina</v>
      </c>
      <c r="M95">
        <f t="shared" ca="1" si="3"/>
        <v>3142.4</v>
      </c>
      <c r="N95" t="str">
        <f t="shared" ca="1" si="4"/>
        <v xml:space="preserve">Fernanda Sanchez Ruiz UBER * EATS PENDING    CMX           MEX Uber Eats 0 0 . </v>
      </c>
    </row>
    <row r="96" spans="1:14">
      <c r="A96" t="str">
        <f ca="1"/>
        <v>TRX1734</v>
      </c>
      <c r="B96" t="str">
        <f ca="1"/>
        <v>#5</v>
      </c>
      <c r="C96">
        <f ca="1"/>
        <v>46067.416666666599</v>
      </c>
      <c r="D96">
        <f ca="1"/>
        <v>40</v>
      </c>
      <c r="E96" t="str">
        <f ca="1"/>
        <v>MXN</v>
      </c>
      <c r="F96" t="str">
        <f ca="1"/>
        <v>Fernanda Sanchez Ruiz</v>
      </c>
      <c r="G96" t="str">
        <f ca="1"/>
        <v>UBER *EATS HELP.UBER.C CMX           MEX</v>
      </c>
      <c r="H96" t="str">
        <f ca="1"/>
        <v>Uber Eats</v>
      </c>
      <c r="I96">
        <f ca="1"/>
        <v>0</v>
      </c>
      <c r="J96">
        <f ca="1"/>
        <v>0</v>
      </c>
      <c r="K96" t="str">
        <f ca="1"/>
        <v>.</v>
      </c>
      <c r="L96" t="str">
        <f ca="1">VLOOKUP(B96,[1]Total!$B:$Q,16,0)</f>
        <v>603.81.004 Gastos de Oficina</v>
      </c>
      <c r="M96">
        <f t="shared" ca="1" si="3"/>
        <v>40</v>
      </c>
      <c r="N96" t="str">
        <f t="shared" ca="1" si="4"/>
        <v xml:space="preserve">Fernanda Sanchez Ruiz UBER *EATS HELP.UBER.C CMX           MEX Uber Eats 0 0 . </v>
      </c>
    </row>
    <row r="97" spans="1:14">
      <c r="A97" t="str">
        <f ca="1"/>
        <v>TRX1953</v>
      </c>
      <c r="B97" t="str">
        <f ca="1"/>
        <v>#5</v>
      </c>
      <c r="C97">
        <f ca="1"/>
        <v>46071.416666666599</v>
      </c>
      <c r="D97">
        <f ca="1"/>
        <v>1707.95</v>
      </c>
      <c r="E97" t="str">
        <f ca="1"/>
        <v>MXN</v>
      </c>
      <c r="F97" t="str">
        <f ca="1"/>
        <v>Fernanda Sanchez Ruiz</v>
      </c>
      <c r="G97" t="str">
        <f ca="1"/>
        <v>SAMS VENTA EN LINEA    MEXICO DF     MEX</v>
      </c>
      <c r="H97" t="str">
        <f ca="1"/>
        <v>Sam's Club</v>
      </c>
      <c r="I97">
        <f ca="1"/>
        <v>0</v>
      </c>
      <c r="J97">
        <f ca="1"/>
        <v>0</v>
      </c>
      <c r="K97" t="str">
        <f ca="1"/>
        <v>.</v>
      </c>
      <c r="L97" t="str">
        <f ca="1">VLOOKUP(B97,[1]Total!$B:$Q,16,0)</f>
        <v>603.81.004 Gastos de Oficina</v>
      </c>
      <c r="M97">
        <f t="shared" ca="1" si="3"/>
        <v>1707.95</v>
      </c>
      <c r="N97" t="str">
        <f t="shared" ca="1" si="4"/>
        <v xml:space="preserve">Fernanda Sanchez Ruiz SAMS VENTA EN LINEA    MEXICO DF     MEX Sam's Club 0 0 . </v>
      </c>
    </row>
    <row r="98" spans="1:14">
      <c r="A98" t="str">
        <f ca="1"/>
        <v>TRX1925</v>
      </c>
      <c r="B98" t="str">
        <f ca="1"/>
        <v>#5</v>
      </c>
      <c r="C98">
        <f ca="1"/>
        <v>46072.416666666599</v>
      </c>
      <c r="D98">
        <f ca="1"/>
        <v>99.94</v>
      </c>
      <c r="E98" t="str">
        <f ca="1"/>
        <v>MXN</v>
      </c>
      <c r="F98" t="str">
        <f ca="1"/>
        <v>Fernanda Sanchez Ruiz</v>
      </c>
      <c r="G98" t="str">
        <f ca="1"/>
        <v>UBER * PENDING         CMX           MEX</v>
      </c>
      <c r="H98" t="str">
        <f ca="1"/>
        <v>Uber</v>
      </c>
      <c r="I98">
        <f ca="1"/>
        <v>0</v>
      </c>
      <c r="J98">
        <f ca="1"/>
        <v>0</v>
      </c>
      <c r="K98" t="str">
        <f ca="1"/>
        <v>.</v>
      </c>
      <c r="L98" t="str">
        <f ca="1">VLOOKUP(B98,[1]Total!$B:$Q,16,0)</f>
        <v>603.81.004 Gastos de Oficina</v>
      </c>
      <c r="M98">
        <f t="shared" ca="1" si="3"/>
        <v>99.94</v>
      </c>
      <c r="N98" t="str">
        <f t="shared" ca="1" si="4"/>
        <v xml:space="preserve">Fernanda Sanchez Ruiz UBER * PENDING         CMX           MEX Uber 0 0 . </v>
      </c>
    </row>
    <row r="99" spans="1:14">
      <c r="A99" t="str">
        <f ca="1"/>
        <v>TRX1228</v>
      </c>
      <c r="B99" t="str">
        <f ca="1"/>
        <v>#5</v>
      </c>
      <c r="C99">
        <f ca="1"/>
        <v>46073.416666666599</v>
      </c>
      <c r="D99">
        <f ca="1"/>
        <v>38.68</v>
      </c>
      <c r="E99" t="str">
        <f ca="1"/>
        <v>MXN</v>
      </c>
      <c r="F99" t="str">
        <f ca="1"/>
        <v>Fernanda Sanchez Ruiz</v>
      </c>
      <c r="G99" t="str">
        <f ca="1"/>
        <v>UBER * PENDING         CMX           MEX</v>
      </c>
      <c r="H99" t="str">
        <f ca="1"/>
        <v>Uber</v>
      </c>
      <c r="I99">
        <f ca="1"/>
        <v>0</v>
      </c>
      <c r="J99">
        <f ca="1"/>
        <v>0</v>
      </c>
      <c r="K99" t="str">
        <f ca="1"/>
        <v>.</v>
      </c>
      <c r="L99" t="str">
        <f ca="1">VLOOKUP(B99,[1]Total!$B:$Q,16,0)</f>
        <v>603.81.004 Gastos de Oficina</v>
      </c>
      <c r="M99">
        <f t="shared" ca="1" si="3"/>
        <v>38.68</v>
      </c>
      <c r="N99" t="str">
        <f t="shared" ca="1" si="4"/>
        <v xml:space="preserve">Fernanda Sanchez Ruiz UBER * PENDING         CMX           MEX Uber 0 0 . </v>
      </c>
    </row>
    <row r="100" spans="1:14">
      <c r="A100" t="str">
        <f ca="1"/>
        <v>TRX1222</v>
      </c>
      <c r="B100" t="str">
        <f ca="1"/>
        <v>#5</v>
      </c>
      <c r="C100">
        <f ca="1"/>
        <v>46073.416666666599</v>
      </c>
      <c r="D100">
        <f ca="1"/>
        <v>29.96</v>
      </c>
      <c r="E100" t="str">
        <f ca="1"/>
        <v>MXN</v>
      </c>
      <c r="F100" t="str">
        <f ca="1"/>
        <v>Fernanda Sanchez Ruiz</v>
      </c>
      <c r="G100" t="str">
        <f ca="1"/>
        <v>UBER * PENDING         CMX           MEX</v>
      </c>
      <c r="H100" t="str">
        <f ca="1"/>
        <v>Uber</v>
      </c>
      <c r="I100">
        <f ca="1"/>
        <v>0</v>
      </c>
      <c r="J100">
        <f ca="1"/>
        <v>0</v>
      </c>
      <c r="K100" t="str">
        <f ca="1"/>
        <v>.</v>
      </c>
      <c r="L100" t="str">
        <f ca="1">VLOOKUP(B100,[1]Total!$B:$Q,16,0)</f>
        <v>603.81.004 Gastos de Oficina</v>
      </c>
      <c r="M100">
        <f t="shared" ca="1" si="3"/>
        <v>29.96</v>
      </c>
      <c r="N100" t="str">
        <f t="shared" ca="1" si="4"/>
        <v xml:space="preserve">Fernanda Sanchez Ruiz UBER * PENDING         CMX           MEX Uber 0 0 . </v>
      </c>
    </row>
    <row r="101" spans="1:14">
      <c r="A101" t="str">
        <f ca="1"/>
        <v>TRX1222</v>
      </c>
      <c r="B101" t="str">
        <f ca="1"/>
        <v>#6</v>
      </c>
      <c r="C101">
        <f ca="1"/>
        <v>46058.417361111096</v>
      </c>
      <c r="D101">
        <f ca="1"/>
        <v>1149</v>
      </c>
      <c r="E101" t="str">
        <f ca="1"/>
        <v>MXN</v>
      </c>
      <c r="F101" t="str">
        <f ca="1"/>
        <v>Fernando Sanchez Toledano</v>
      </c>
      <c r="G101" t="str">
        <f ca="1"/>
        <v>AVIS WEB MXN           MERIDA YUC    MEX</v>
      </c>
      <c r="H101" t="str">
        <f ca="1"/>
        <v>Avis</v>
      </c>
      <c r="I101" t="str">
        <f ca="1"/>
        <v>Transaction cost</v>
      </c>
      <c r="J101" t="str">
        <f ca="1"/>
        <v>Transaction cost</v>
      </c>
      <c r="K101" t="str">
        <f ca="1"/>
        <v>Gasolina recolección Fer Marcelo</v>
      </c>
      <c r="L101" t="str">
        <f ca="1">VLOOKUP(B101,[1]Total!$B:$Q,16,0)</f>
        <v>602.16.000 Transporte</v>
      </c>
      <c r="M101">
        <f t="shared" ca="1" si="3"/>
        <v>1149</v>
      </c>
      <c r="N101" t="str">
        <f t="shared" ca="1" si="4"/>
        <v xml:space="preserve">Fernando Sanchez Toledano AVIS WEB MXN           MERIDA YUC    MEX Avis Transaction cost Transaction cost Gasolina recolección Fer Marcelo </v>
      </c>
    </row>
    <row r="102" spans="1:14">
      <c r="A102" t="str">
        <f ca="1"/>
        <v>TRX1202</v>
      </c>
      <c r="B102" t="str">
        <f ca="1"/>
        <v>#6</v>
      </c>
      <c r="C102">
        <f ca="1"/>
        <v>46058.417361111096</v>
      </c>
      <c r="D102">
        <f ca="1"/>
        <v>91</v>
      </c>
      <c r="E102" t="str">
        <f ca="1"/>
        <v>MXN</v>
      </c>
      <c r="F102" t="str">
        <f ca="1"/>
        <v>Fernando Sanchez Toledano</v>
      </c>
      <c r="G102" t="str">
        <f ca="1"/>
        <v>DLO*DIDI RIDES         MEXICO        MEX</v>
      </c>
      <c r="H102" t="str">
        <f ca="1"/>
        <v>Didi Chuxing</v>
      </c>
      <c r="I102" t="str">
        <f ca="1"/>
        <v>Transaction cost</v>
      </c>
      <c r="J102" t="str">
        <f ca="1"/>
        <v>Transaction cost</v>
      </c>
      <c r="K102" t="str">
        <f ca="1"/>
        <v xml:space="preserve">Comida visita fer Marcelo </v>
      </c>
      <c r="L102" t="str">
        <f ca="1">VLOOKUP(B102,[1]Total!$B:$Q,16,0)</f>
        <v>602.16.000 Transporte</v>
      </c>
      <c r="M102">
        <f t="shared" ca="1" si="3"/>
        <v>91</v>
      </c>
      <c r="N102" t="str">
        <f t="shared" ca="1" si="4"/>
        <v xml:space="preserve">Fernando Sanchez Toledano DLO*DIDI RIDES         MEXICO        MEX Didi Chuxing Transaction cost Transaction cost Comida visita fer Marcelo  </v>
      </c>
    </row>
    <row r="103" spans="1:14">
      <c r="A103" t="str">
        <f ca="1"/>
        <v>TRX1176</v>
      </c>
      <c r="B103" t="str">
        <f ca="1"/>
        <v>#6</v>
      </c>
      <c r="C103">
        <f ca="1"/>
        <v>46059.416666666599</v>
      </c>
      <c r="D103">
        <f ca="1"/>
        <v>791.04</v>
      </c>
      <c r="E103" t="str">
        <f ca="1"/>
        <v>MXN</v>
      </c>
      <c r="F103" t="str">
        <f ca="1"/>
        <v>Fernando Sanchez Toledano</v>
      </c>
      <c r="G103" t="str">
        <f ca="1"/>
        <v>GAS COGA LOM CHA MIT 2 CIUDAD DE MEX MEX</v>
      </c>
      <c r="H103" t="str">
        <f ca="1"/>
        <v>Gas Coga Lom Cha Mit 2 Ciudad De Mex Mex</v>
      </c>
      <c r="I103" t="str">
        <f ca="1"/>
        <v>Transaction cost</v>
      </c>
      <c r="J103" t="str">
        <f ca="1"/>
        <v>Transaction cost</v>
      </c>
      <c r="K103" t="str">
        <f ca="1"/>
        <v>Recarga de tag</v>
      </c>
      <c r="L103" t="str">
        <f ca="1">VLOOKUP(B103,[1]Total!$B:$Q,16,0)</f>
        <v>602.16.000 Transporte</v>
      </c>
      <c r="M103">
        <f t="shared" ca="1" si="3"/>
        <v>791.04</v>
      </c>
      <c r="N103" t="str">
        <f t="shared" ca="1" si="4"/>
        <v xml:space="preserve">Fernando Sanchez Toledano GAS COGA LOM CHA MIT 2 CIUDAD DE MEX MEX Gas Coga Lom Cha Mit 2 Ciudad De Mex Mex Transaction cost Transaction cost Recarga de tag </v>
      </c>
    </row>
    <row r="104" spans="1:14">
      <c r="A104" t="str">
        <f ca="1"/>
        <v>TRX1155</v>
      </c>
      <c r="B104" t="str">
        <f ca="1"/>
        <v>#6</v>
      </c>
      <c r="C104">
        <f ca="1"/>
        <v>46059.417361111096</v>
      </c>
      <c r="D104">
        <f ca="1"/>
        <v>193</v>
      </c>
      <c r="E104" t="str">
        <f ca="1"/>
        <v>MXN</v>
      </c>
      <c r="F104" t="str">
        <f ca="1"/>
        <v>Fernando Sanchez Toledano</v>
      </c>
      <c r="G104" t="str">
        <f ca="1"/>
        <v>OXXO SAN IGNACIO QRF   POLOTITLAN EM MEX</v>
      </c>
      <c r="H104" t="str">
        <f ca="1"/>
        <v>Oxxo</v>
      </c>
      <c r="I104" t="str">
        <f ca="1"/>
        <v>Transaction cost</v>
      </c>
      <c r="J104" t="str">
        <f ca="1"/>
        <v>Transaction cost</v>
      </c>
      <c r="K104" t="str">
        <f ca="1"/>
        <v xml:space="preserve">Gasolina, entrega en Deacero </v>
      </c>
      <c r="L104" t="str">
        <f ca="1">VLOOKUP(B104,[1]Total!$B:$Q,16,0)</f>
        <v>602.16.000 Transporte</v>
      </c>
      <c r="M104">
        <f t="shared" ca="1" si="3"/>
        <v>193</v>
      </c>
      <c r="N104" t="str">
        <f t="shared" ca="1" si="4"/>
        <v xml:space="preserve">Fernando Sanchez Toledano OXXO SAN IGNACIO QRF   POLOTITLAN EM MEX Oxxo Transaction cost Transaction cost Gasolina, entrega en Deacero  </v>
      </c>
    </row>
    <row r="105" spans="1:14">
      <c r="A105" t="str">
        <f ca="1"/>
        <v>TRX1149</v>
      </c>
      <c r="B105" t="str">
        <f ca="1"/>
        <v>#6</v>
      </c>
      <c r="C105">
        <f ca="1"/>
        <v>46059.417361111096</v>
      </c>
      <c r="D105">
        <f ca="1"/>
        <v>1000</v>
      </c>
      <c r="E105" t="str">
        <f ca="1"/>
        <v>MXN</v>
      </c>
      <c r="F105" t="str">
        <f ca="1"/>
        <v>Fernando Sanchez Toledano</v>
      </c>
      <c r="G105" t="str">
        <f ca="1"/>
        <v>CASHI ECOMMERCE RC     CIUDAD DE MEX MEX</v>
      </c>
      <c r="H105" t="str">
        <f ca="1"/>
        <v>Cashi Ecommerce Rc Ciudad De Mex Mex</v>
      </c>
      <c r="I105" t="str">
        <f ca="1"/>
        <v>Transaction cost</v>
      </c>
      <c r="J105" t="str">
        <f ca="1"/>
        <v>Transaction cost</v>
      </c>
      <c r="K105" t="str">
        <f ca="1"/>
        <v xml:space="preserve">Comida, entrega en Deacero </v>
      </c>
      <c r="L105" t="str">
        <f ca="1">VLOOKUP(B105,[1]Total!$B:$Q,16,0)</f>
        <v>602.16.000 Transporte</v>
      </c>
      <c r="M105">
        <f t="shared" ca="1" si="3"/>
        <v>1000</v>
      </c>
      <c r="N105" t="str">
        <f t="shared" ca="1" si="4"/>
        <v xml:space="preserve">Fernando Sanchez Toledano CASHI ECOMMERCE RC     CIUDAD DE MEX MEX Cashi Ecommerce Rc Ciudad De Mex Mex Transaction cost Transaction cost Comida, entrega en Deacero  </v>
      </c>
    </row>
    <row r="106" spans="1:14">
      <c r="A106" t="str">
        <f ca="1"/>
        <v>TRX1732</v>
      </c>
      <c r="B106" t="str">
        <f ca="1"/>
        <v>#6</v>
      </c>
      <c r="C106">
        <f ca="1"/>
        <v>46059.417361111096</v>
      </c>
      <c r="D106">
        <f ca="1"/>
        <v>186</v>
      </c>
      <c r="E106" t="str">
        <f ca="1"/>
        <v>MXN</v>
      </c>
      <c r="F106" t="str">
        <f ca="1"/>
        <v>Fernando Sanchez Toledano</v>
      </c>
      <c r="G106" t="str">
        <f ca="1"/>
        <v>OXXOMICROPARQUE QRF    QUERETARO QRO MEX</v>
      </c>
      <c r="H106" t="str">
        <f ca="1"/>
        <v>Oxxomicroparque Qrf Queretaro Qro Mex</v>
      </c>
      <c r="I106" t="str">
        <f ca="1"/>
        <v>Transaction cost</v>
      </c>
      <c r="J106" t="str">
        <f ca="1"/>
        <v>Transaction cost</v>
      </c>
      <c r="K106" t="str">
        <f ca="1"/>
        <v xml:space="preserve">Comida, entrega en Deacero </v>
      </c>
      <c r="L106" t="str">
        <f ca="1">VLOOKUP(B106,[1]Total!$B:$Q,16,0)</f>
        <v>602.16.000 Transporte</v>
      </c>
      <c r="M106">
        <f t="shared" ca="1" si="3"/>
        <v>186</v>
      </c>
      <c r="N106" t="str">
        <f t="shared" ca="1" si="4"/>
        <v xml:space="preserve">Fernando Sanchez Toledano OXXOMICROPARQUE QRF    QUERETARO QRO MEX Oxxomicroparque Qrf Queretaro Qro Mex Transaction cost Transaction cost Comida, entrega en Deacero  </v>
      </c>
    </row>
    <row r="107" spans="1:14">
      <c r="A107" t="str">
        <f ca="1"/>
        <v>TRX1815</v>
      </c>
      <c r="B107" t="str">
        <f ca="1"/>
        <v>#6</v>
      </c>
      <c r="C107">
        <f ca="1"/>
        <v>46059.417361111096</v>
      </c>
      <c r="D107">
        <f ca="1"/>
        <v>1545.3</v>
      </c>
      <c r="E107" t="str">
        <f ca="1"/>
        <v>MXN</v>
      </c>
      <c r="F107" t="str">
        <f ca="1"/>
        <v>Fernando Sanchez Toledano</v>
      </c>
      <c r="G107" t="str">
        <f ca="1"/>
        <v>GAS SERVI BOUL         TEOLOYUCAN EM MEX</v>
      </c>
      <c r="H107" t="str">
        <f ca="1"/>
        <v>Gas Servi Boul Teoloyucan Em Mex</v>
      </c>
      <c r="I107" t="str">
        <f ca="1"/>
        <v>Transaction cost</v>
      </c>
      <c r="J107" t="str">
        <f ca="1"/>
        <v>Transaction cost</v>
      </c>
      <c r="K107" t="str">
        <f ca="1"/>
        <v xml:space="preserve">Gasolina, entrega en SALJAMEX </v>
      </c>
      <c r="L107" t="str">
        <f ca="1">VLOOKUP(B107,[1]Total!$B:$Q,16,0)</f>
        <v>602.16.000 Transporte</v>
      </c>
      <c r="M107">
        <f t="shared" ca="1" si="3"/>
        <v>1545.3</v>
      </c>
      <c r="N107" t="str">
        <f t="shared" ca="1" si="4"/>
        <v xml:space="preserve">Fernando Sanchez Toledano GAS SERVI BOUL         TEOLOYUCAN EM MEX Gas Servi Boul Teoloyucan Em Mex Transaction cost Transaction cost Gasolina, entrega en SALJAMEX  </v>
      </c>
    </row>
    <row r="108" spans="1:14">
      <c r="A108" t="str">
        <f ca="1"/>
        <v>TRX1939</v>
      </c>
      <c r="B108" t="str">
        <f ca="1"/>
        <v>#6</v>
      </c>
      <c r="C108">
        <f ca="1"/>
        <v>46059.417361111096</v>
      </c>
      <c r="D108">
        <f ca="1"/>
        <v>1912.76</v>
      </c>
      <c r="E108" t="str">
        <f ca="1"/>
        <v>MXN</v>
      </c>
      <c r="F108" t="str">
        <f ca="1"/>
        <v>Fernando Sanchez Toledano</v>
      </c>
      <c r="G108" t="str">
        <f ca="1"/>
        <v>GASOL LOS APASEO       APASEO EL ALT MEX</v>
      </c>
      <c r="H108" t="str">
        <f ca="1"/>
        <v>Gasol Los Apaseo Apaseo El Alt Mex</v>
      </c>
      <c r="I108" t="str">
        <f ca="1"/>
        <v>Transaction cost</v>
      </c>
      <c r="J108" t="str">
        <f ca="1"/>
        <v>Transaction cost</v>
      </c>
      <c r="K108">
        <f ca="1"/>
        <v>0</v>
      </c>
      <c r="L108" t="str">
        <f ca="1">VLOOKUP(B108,[1]Total!$B:$Q,16,0)</f>
        <v>602.16.000 Transporte</v>
      </c>
      <c r="M108">
        <f t="shared" ca="1" si="3"/>
        <v>1912.76</v>
      </c>
      <c r="N108" t="str">
        <f t="shared" ca="1" si="4"/>
        <v xml:space="preserve">Fernando Sanchez Toledano GASOL LOS APASEO       APASEO EL ALT MEX Gasol Los Apaseo Apaseo El Alt Mex Transaction cost Transaction cost 0 </v>
      </c>
    </row>
    <row r="109" spans="1:14">
      <c r="A109" t="str">
        <f ca="1"/>
        <v>TRX1504</v>
      </c>
      <c r="B109" t="str">
        <f ca="1"/>
        <v>#6</v>
      </c>
      <c r="C109">
        <f ca="1"/>
        <v>46060.416666666599</v>
      </c>
      <c r="D109">
        <f ca="1"/>
        <v>2216.15</v>
      </c>
      <c r="E109" t="str">
        <f ca="1"/>
        <v>MXN</v>
      </c>
      <c r="F109" t="str">
        <f ca="1"/>
        <v>Fernando Sanchez Toledano</v>
      </c>
      <c r="G109" t="str">
        <f ca="1"/>
        <v>AVIS MXN               MERIDA YUC    MEX</v>
      </c>
      <c r="H109" t="str">
        <f ca="1"/>
        <v>Avis Rent A Car</v>
      </c>
      <c r="I109" t="str">
        <f ca="1"/>
        <v>Transaction cost</v>
      </c>
      <c r="J109" t="str">
        <f ca="1"/>
        <v>Transaction cost</v>
      </c>
      <c r="K109" t="str">
        <f ca="1"/>
        <v xml:space="preserve">Recolección Fer Marcelo </v>
      </c>
      <c r="L109" t="str">
        <f ca="1">VLOOKUP(B109,[1]Total!$B:$Q,16,0)</f>
        <v>602.16.000 Transporte</v>
      </c>
      <c r="M109">
        <f t="shared" ca="1" si="3"/>
        <v>2216.15</v>
      </c>
      <c r="N109" t="str">
        <f t="shared" ca="1" si="4"/>
        <v xml:space="preserve">Fernando Sanchez Toledano AVIS MXN               MERIDA YUC    MEX Avis Rent A Car Transaction cost Transaction cost Recolección Fer Marcelo  </v>
      </c>
    </row>
    <row r="110" spans="1:14">
      <c r="A110" t="str">
        <f ca="1"/>
        <v>TRX1380</v>
      </c>
      <c r="B110" t="str">
        <f ca="1"/>
        <v>#6</v>
      </c>
      <c r="C110">
        <f ca="1"/>
        <v>46060.416666666599</v>
      </c>
      <c r="D110">
        <f ca="1"/>
        <v>248</v>
      </c>
      <c r="E110" t="str">
        <f ca="1"/>
        <v>MXN</v>
      </c>
      <c r="F110" t="str">
        <f ca="1"/>
        <v>Fernando Sanchez Toledano</v>
      </c>
      <c r="G110" t="str">
        <f ca="1"/>
        <v>KFC 1100 PIN TLACOPA   TOLUCA EM     MEX</v>
      </c>
      <c r="H110" t="str">
        <f ca="1"/>
        <v>Kentucky Fried Chicken</v>
      </c>
      <c r="I110" t="str">
        <f ca="1"/>
        <v>Transaction cost</v>
      </c>
      <c r="J110" t="str">
        <f ca="1"/>
        <v>Transaction cost</v>
      </c>
      <c r="K110" t="str">
        <f ca="1"/>
        <v>Gasolina recolección Fer Marcelo</v>
      </c>
      <c r="L110" t="str">
        <f ca="1">VLOOKUP(B110,[1]Total!$B:$Q,16,0)</f>
        <v>602.16.000 Transporte</v>
      </c>
      <c r="M110">
        <f t="shared" ca="1" si="3"/>
        <v>248</v>
      </c>
      <c r="N110" t="str">
        <f t="shared" ca="1" si="4"/>
        <v xml:space="preserve">Fernando Sanchez Toledano KFC 1100 PIN TLACOPA   TOLUCA EM     MEX Kentucky Fried Chicken Transaction cost Transaction cost Gasolina recolección Fer Marcelo </v>
      </c>
    </row>
    <row r="111" spans="1:14">
      <c r="A111" t="str">
        <f ca="1"/>
        <v>TRX1533</v>
      </c>
      <c r="B111" t="str">
        <f ca="1"/>
        <v>#6</v>
      </c>
      <c r="C111">
        <f ca="1"/>
        <v>46070.416666666599</v>
      </c>
      <c r="D111">
        <f ca="1"/>
        <v>38.53</v>
      </c>
      <c r="E111" t="str">
        <f ca="1"/>
        <v>MXN</v>
      </c>
      <c r="F111" t="str">
        <f ca="1"/>
        <v>Fernando Sanchez Toledano</v>
      </c>
      <c r="G111" t="str">
        <f ca="1"/>
        <v>DLO DIDI RIDES MX      CIUDAD DE MEX MEX</v>
      </c>
      <c r="H111" t="str">
        <f ca="1"/>
        <v>Didi Chuxing</v>
      </c>
      <c r="I111" t="str">
        <f ca="1"/>
        <v>Transaction cost</v>
      </c>
      <c r="J111" t="str">
        <f ca="1"/>
        <v>Transaction cost</v>
      </c>
      <c r="K111" t="str">
        <f ca="1"/>
        <v>Parquímetro</v>
      </c>
      <c r="L111" t="str">
        <f ca="1">VLOOKUP(B111,[1]Total!$B:$Q,16,0)</f>
        <v>602.16.000 Transporte</v>
      </c>
      <c r="M111">
        <f t="shared" ca="1" si="3"/>
        <v>38.53</v>
      </c>
      <c r="N111" t="str">
        <f t="shared" ca="1" si="4"/>
        <v xml:space="preserve">Fernando Sanchez Toledano DLO DIDI RIDES MX      CIUDAD DE MEX MEX Didi Chuxing Transaction cost Transaction cost Parquímetro </v>
      </c>
    </row>
    <row r="112" spans="1:14">
      <c r="A112" t="str">
        <f ca="1"/>
        <v>TRX1493</v>
      </c>
      <c r="B112" t="str">
        <f ca="1"/>
        <v>#6</v>
      </c>
      <c r="C112">
        <f ca="1"/>
        <v>46070.416666666599</v>
      </c>
      <c r="D112">
        <f ca="1"/>
        <v>132</v>
      </c>
      <c r="E112" t="str">
        <f ca="1"/>
        <v>MXN</v>
      </c>
      <c r="F112" t="str">
        <f ca="1"/>
        <v>Fernando Sanchez Toledano</v>
      </c>
      <c r="G112" t="str">
        <f ca="1"/>
        <v>DLO DIDI RIDES MX      CIUDAD DE MEX MEX</v>
      </c>
      <c r="H112" t="str">
        <f ca="1"/>
        <v>Didi Chuxing</v>
      </c>
      <c r="I112" t="str">
        <f ca="1"/>
        <v>Transaction cost</v>
      </c>
      <c r="J112" t="str">
        <f ca="1"/>
        <v>Transaction cost</v>
      </c>
      <c r="K112" t="str">
        <f ca="1"/>
        <v>Recarga de tag</v>
      </c>
      <c r="L112" t="str">
        <f ca="1">VLOOKUP(B112,[1]Total!$B:$Q,16,0)</f>
        <v>602.16.000 Transporte</v>
      </c>
      <c r="M112">
        <f t="shared" ca="1" si="3"/>
        <v>132</v>
      </c>
      <c r="N112" t="str">
        <f t="shared" ca="1" si="4"/>
        <v xml:space="preserve">Fernando Sanchez Toledano DLO DIDI RIDES MX      CIUDAD DE MEX MEX Didi Chuxing Transaction cost Transaction cost Recarga de tag </v>
      </c>
    </row>
    <row r="113" spans="1:14">
      <c r="A113" t="str">
        <f ca="1"/>
        <v>TRX1351</v>
      </c>
      <c r="B113" t="str">
        <f ca="1"/>
        <v>#6</v>
      </c>
      <c r="C113">
        <f ca="1"/>
        <v>46071.416666666599</v>
      </c>
      <c r="D113">
        <f ca="1"/>
        <v>76</v>
      </c>
      <c r="E113" t="str">
        <f ca="1"/>
        <v>MXN</v>
      </c>
      <c r="F113" t="str">
        <f ca="1"/>
        <v>Fernando Sanchez Toledano</v>
      </c>
      <c r="G113" t="str">
        <f ca="1"/>
        <v>DLO DIDI RIDES MX      CIUDAD DE MEX MEX</v>
      </c>
      <c r="H113" t="str">
        <f ca="1"/>
        <v>Didi Chuxing</v>
      </c>
      <c r="I113" t="str">
        <f ca="1"/>
        <v>Transaction cost</v>
      </c>
      <c r="J113" t="str">
        <f ca="1"/>
        <v>Transaction cost</v>
      </c>
      <c r="K113" t="str">
        <f ca="1"/>
        <v xml:space="preserve">Gasolina, entrega en Deacero </v>
      </c>
      <c r="L113" t="str">
        <f ca="1">VLOOKUP(B113,[1]Total!$B:$Q,16,0)</f>
        <v>602.16.000 Transporte</v>
      </c>
      <c r="M113">
        <f t="shared" ca="1" si="3"/>
        <v>76</v>
      </c>
      <c r="N113" t="str">
        <f t="shared" ca="1" si="4"/>
        <v xml:space="preserve">Fernando Sanchez Toledano DLO DIDI RIDES MX      CIUDAD DE MEX MEX Didi Chuxing Transaction cost Transaction cost Gasolina, entrega en Deacero  </v>
      </c>
    </row>
    <row r="114" spans="1:14">
      <c r="A114" t="str">
        <f ca="1"/>
        <v>TRX1066</v>
      </c>
      <c r="B114" t="str">
        <f ca="1"/>
        <v>#6</v>
      </c>
      <c r="C114">
        <f ca="1"/>
        <v>46071.416666666599</v>
      </c>
      <c r="D114">
        <f ca="1"/>
        <v>196</v>
      </c>
      <c r="E114" t="str">
        <f ca="1"/>
        <v>MXN</v>
      </c>
      <c r="F114" t="str">
        <f ca="1"/>
        <v>Fernando Sanchez Toledano</v>
      </c>
      <c r="G114" t="str">
        <f ca="1"/>
        <v>OXXO JAJALPA TLC       OCOYOACAC EM  MEX</v>
      </c>
      <c r="H114" t="str">
        <f ca="1"/>
        <v>Oxxo</v>
      </c>
      <c r="I114" t="str">
        <f ca="1"/>
        <v>Transaction cost</v>
      </c>
      <c r="J114" t="str">
        <f ca="1"/>
        <v>Transaction cost</v>
      </c>
      <c r="K114" t="str">
        <f ca="1"/>
        <v>Aceite camioneta</v>
      </c>
      <c r="L114" t="str">
        <f ca="1">VLOOKUP(B114,[1]Total!$B:$Q,16,0)</f>
        <v>602.16.000 Transporte</v>
      </c>
      <c r="M114">
        <f t="shared" ca="1" si="3"/>
        <v>196</v>
      </c>
      <c r="N114" t="str">
        <f t="shared" ca="1" si="4"/>
        <v xml:space="preserve">Fernando Sanchez Toledano OXXO JAJALPA TLC       OCOYOACAC EM  MEX Oxxo Transaction cost Transaction cost Aceite camioneta </v>
      </c>
    </row>
    <row r="115" spans="1:14">
      <c r="A115" t="str">
        <f ca="1"/>
        <v>TRX1690</v>
      </c>
      <c r="B115" t="str">
        <f ca="1"/>
        <v>#6</v>
      </c>
      <c r="C115">
        <f ca="1"/>
        <v>46071.416666666599</v>
      </c>
      <c r="D115">
        <f ca="1"/>
        <v>1000</v>
      </c>
      <c r="E115" t="str">
        <f ca="1"/>
        <v>MXN</v>
      </c>
      <c r="F115" t="str">
        <f ca="1"/>
        <v>Fernando Sanchez Toledano</v>
      </c>
      <c r="G115" t="str">
        <f ca="1"/>
        <v>CASHI ECOMMERCE RC     CIUDAD DE MEX MEX</v>
      </c>
      <c r="H115" t="str">
        <f ca="1"/>
        <v>Cashi Ecommerce Rc Ciudad De Mex Mex</v>
      </c>
      <c r="I115" t="str">
        <f ca="1"/>
        <v>Transaction cost</v>
      </c>
      <c r="J115" t="str">
        <f ca="1"/>
        <v>Transaction cost</v>
      </c>
      <c r="K115" t="str">
        <f ca="1"/>
        <v>Comida entrega en deacero</v>
      </c>
      <c r="L115" t="str">
        <f ca="1">VLOOKUP(B115,[1]Total!$B:$Q,16,0)</f>
        <v>602.16.000 Transporte</v>
      </c>
      <c r="M115">
        <f t="shared" ca="1" si="3"/>
        <v>1000</v>
      </c>
      <c r="N115" t="str">
        <f t="shared" ca="1" si="4"/>
        <v xml:space="preserve">Fernando Sanchez Toledano CASHI ECOMMERCE RC     CIUDAD DE MEX MEX Cashi Ecommerce Rc Ciudad De Mex Mex Transaction cost Transaction cost Comida entrega en deacero </v>
      </c>
    </row>
    <row r="116" spans="1:14">
      <c r="A116" t="str">
        <f ca="1"/>
        <v>TRX1102</v>
      </c>
      <c r="B116" t="str">
        <f ca="1"/>
        <v>#6</v>
      </c>
      <c r="C116">
        <f ca="1"/>
        <v>46071.416666666599</v>
      </c>
      <c r="D116">
        <f ca="1"/>
        <v>1233.8599999999999</v>
      </c>
      <c r="E116" t="str">
        <f ca="1"/>
        <v>MXN</v>
      </c>
      <c r="F116" t="str">
        <f ca="1"/>
        <v>Fernando Sanchez Toledano</v>
      </c>
      <c r="G116" t="str">
        <f ca="1"/>
        <v>AVIS WEB MXN           MERIDA YUC    MEX</v>
      </c>
      <c r="H116" t="str">
        <f ca="1"/>
        <v>Avis</v>
      </c>
      <c r="I116" t="str">
        <f ca="1"/>
        <v>Transaction cost</v>
      </c>
      <c r="J116" t="str">
        <f ca="1"/>
        <v>Transaction cost</v>
      </c>
      <c r="K116" t="str">
        <f ca="1"/>
        <v>Comida entrega en Deacero</v>
      </c>
      <c r="L116" t="str">
        <f ca="1">VLOOKUP(B116,[1]Total!$B:$Q,16,0)</f>
        <v>602.16.000 Transporte</v>
      </c>
      <c r="M116">
        <f t="shared" ca="1" si="3"/>
        <v>1233.8599999999999</v>
      </c>
      <c r="N116" t="str">
        <f t="shared" ca="1" si="4"/>
        <v xml:space="preserve">Fernando Sanchez Toledano AVIS WEB MXN           MERIDA YUC    MEX Avis Transaction cost Transaction cost Comida entrega en Deacero </v>
      </c>
    </row>
    <row r="117" spans="1:14">
      <c r="A117" t="str">
        <f ca="1"/>
        <v>TRX1139</v>
      </c>
      <c r="B117" t="str">
        <f ca="1"/>
        <v>#6</v>
      </c>
      <c r="C117">
        <f ca="1"/>
        <v>46071.417361111096</v>
      </c>
      <c r="D117">
        <f ca="1"/>
        <v>283</v>
      </c>
      <c r="E117" t="str">
        <f ca="1"/>
        <v>MXN</v>
      </c>
      <c r="F117" t="str">
        <f ca="1"/>
        <v>Fernando Sanchez Toledano</v>
      </c>
      <c r="G117" t="str">
        <f ca="1"/>
        <v>BK ALFREDO DEL MAZO    TOLUCA EM     MEX</v>
      </c>
      <c r="H117" t="str">
        <f ca="1"/>
        <v>Bk Alfredo Del Mazo Toluca Em Mex</v>
      </c>
      <c r="I117" t="str">
        <f ca="1"/>
        <v>Transaction cost</v>
      </c>
      <c r="J117" t="str">
        <f ca="1"/>
        <v>Transaction cost</v>
      </c>
      <c r="K117" t="str">
        <f ca="1"/>
        <v>Gasolina recolección en wonderdesk</v>
      </c>
      <c r="L117" t="str">
        <f ca="1">VLOOKUP(B117,[1]Total!$B:$Q,16,0)</f>
        <v>602.16.000 Transporte</v>
      </c>
      <c r="M117">
        <f t="shared" ca="1" si="3"/>
        <v>283</v>
      </c>
      <c r="N117" t="str">
        <f t="shared" ca="1" si="4"/>
        <v xml:space="preserve">Fernando Sanchez Toledano BK ALFREDO DEL MAZO    TOLUCA EM     MEX Bk Alfredo Del Mazo Toluca Em Mex Transaction cost Transaction cost Gasolina recolección en wonderdesk </v>
      </c>
    </row>
    <row r="118" spans="1:14">
      <c r="A118" t="str">
        <f ca="1"/>
        <v>TRX1843</v>
      </c>
      <c r="B118" t="str">
        <f ca="1"/>
        <v>#6</v>
      </c>
      <c r="C118">
        <f ca="1"/>
        <v>46072.416666666599</v>
      </c>
      <c r="D118">
        <f ca="1"/>
        <v>410.25</v>
      </c>
      <c r="E118" t="str">
        <f ca="1"/>
        <v>MXN</v>
      </c>
      <c r="F118" t="str">
        <f ca="1"/>
        <v>Fernando Sanchez Toledano</v>
      </c>
      <c r="G118" t="str">
        <f ca="1"/>
        <v>GAS COGA LOM CHA MIT 2 CIUDAD DE MEX MEX</v>
      </c>
      <c r="H118" t="str">
        <f ca="1"/>
        <v>Gas Coga Lom Cha Mit 2 Ciudad De Mex Mex</v>
      </c>
      <c r="I118" t="str">
        <f ca="1"/>
        <v>Transaction cost</v>
      </c>
      <c r="J118" t="str">
        <f ca="1"/>
        <v>Transaction cost</v>
      </c>
      <c r="K118" t="str">
        <f ca="1"/>
        <v>Comoda, recolección en Fer Marcelo</v>
      </c>
      <c r="L118" t="str">
        <f ca="1">VLOOKUP(B118,[1]Total!$B:$Q,16,0)</f>
        <v>602.16.000 Transporte</v>
      </c>
      <c r="M118">
        <f t="shared" ca="1" si="3"/>
        <v>410.25</v>
      </c>
      <c r="N118" t="str">
        <f t="shared" ca="1" si="4"/>
        <v xml:space="preserve">Fernando Sanchez Toledano GAS COGA LOM CHA MIT 2 CIUDAD DE MEX MEX Gas Coga Lom Cha Mit 2 Ciudad De Mex Mex Transaction cost Transaction cost Comoda, recolección en Fer Marcelo </v>
      </c>
    </row>
    <row r="119" spans="1:14">
      <c r="A119" t="str">
        <f ca="1"/>
        <v>TRX1234</v>
      </c>
      <c r="B119" t="str">
        <f ca="1"/>
        <v>#6</v>
      </c>
      <c r="C119">
        <f ca="1"/>
        <v>46072.416666666599</v>
      </c>
      <c r="D119">
        <f ca="1"/>
        <v>145</v>
      </c>
      <c r="E119" t="str">
        <f ca="1"/>
        <v>MXN</v>
      </c>
      <c r="F119" t="str">
        <f ca="1"/>
        <v>Fernando Sanchez Toledano</v>
      </c>
      <c r="G119" t="str">
        <f ca="1"/>
        <v>DLO DIDI RIDES MX      CIUDAD DE MEX MEX</v>
      </c>
      <c r="H119" t="str">
        <f ca="1"/>
        <v>Didi Chuxing</v>
      </c>
      <c r="I119" t="str">
        <f ca="1"/>
        <v>Transaction cost</v>
      </c>
      <c r="J119" t="str">
        <f ca="1"/>
        <v>Transaction cost</v>
      </c>
      <c r="K119" t="str">
        <f ca="1"/>
        <v>Recarga de tag</v>
      </c>
      <c r="L119" t="str">
        <f ca="1">VLOOKUP(B119,[1]Total!$B:$Q,16,0)</f>
        <v>602.16.000 Transporte</v>
      </c>
      <c r="M119">
        <f t="shared" ca="1" si="3"/>
        <v>145</v>
      </c>
      <c r="N119" t="str">
        <f t="shared" ca="1" si="4"/>
        <v xml:space="preserve">Fernando Sanchez Toledano DLO DIDI RIDES MX      CIUDAD DE MEX MEX Didi Chuxing Transaction cost Transaction cost Recarga de tag </v>
      </c>
    </row>
    <row r="120" spans="1:14">
      <c r="A120" t="str">
        <f ca="1"/>
        <v>TRX1712</v>
      </c>
      <c r="B120" t="str">
        <f ca="1"/>
        <v>#6</v>
      </c>
      <c r="C120">
        <f ca="1"/>
        <v>46072.416666666599</v>
      </c>
      <c r="D120">
        <f ca="1"/>
        <v>190</v>
      </c>
      <c r="E120" t="str">
        <f ca="1"/>
        <v>MXN</v>
      </c>
      <c r="F120" t="str">
        <f ca="1"/>
        <v>Fernando Sanchez Toledano</v>
      </c>
      <c r="G120" t="str">
        <f ca="1"/>
        <v>OXXOMICROPARQUE QRF    QUERETARO QRO MEX</v>
      </c>
      <c r="H120" t="str">
        <f ca="1"/>
        <v>Oxxomicroparque Qrf Queretaro Qro Mex</v>
      </c>
      <c r="I120" t="str">
        <f ca="1"/>
        <v>Transaction cost</v>
      </c>
      <c r="J120" t="str">
        <f ca="1"/>
        <v>Transaction cost</v>
      </c>
      <c r="K120" t="str">
        <f ca="1"/>
        <v xml:space="preserve">Gasolina entrega en Deacero, PROSI </v>
      </c>
      <c r="L120" t="str">
        <f ca="1">VLOOKUP(B120,[1]Total!$B:$Q,16,0)</f>
        <v>602.16.000 Transporte</v>
      </c>
      <c r="M120">
        <f t="shared" ca="1" si="3"/>
        <v>190</v>
      </c>
      <c r="N120" t="str">
        <f t="shared" ca="1" si="4"/>
        <v xml:space="preserve">Fernando Sanchez Toledano OXXOMICROPARQUE QRF    QUERETARO QRO MEX Oxxomicroparque Qrf Queretaro Qro Mex Transaction cost Transaction cost Gasolina entrega en Deacero, PROSI  </v>
      </c>
    </row>
    <row r="121" spans="1:14">
      <c r="A121" t="str">
        <f ca="1"/>
        <v>TRX1764</v>
      </c>
      <c r="B121" t="str">
        <f ca="1"/>
        <v>#6</v>
      </c>
      <c r="C121">
        <f ca="1"/>
        <v>46072.416666666599</v>
      </c>
      <c r="D121">
        <f ca="1"/>
        <v>500</v>
      </c>
      <c r="E121" t="str">
        <f ca="1"/>
        <v>MXN</v>
      </c>
      <c r="F121" t="str">
        <f ca="1"/>
        <v>Fernando Sanchez Toledano</v>
      </c>
      <c r="G121" t="str">
        <f ca="1"/>
        <v>CASHI ECOMMERCE RC     CIUDAD DE MEX MEX</v>
      </c>
      <c r="H121" t="str">
        <f ca="1"/>
        <v>Cashi Ecommerce Rc Ciudad De Mex Mex</v>
      </c>
      <c r="I121" t="str">
        <f ca="1"/>
        <v>Transaction cost</v>
      </c>
      <c r="J121" t="str">
        <f ca="1"/>
        <v>Transaction cost</v>
      </c>
      <c r="K121" t="str">
        <f ca="1"/>
        <v>Comida entrega en Deacero</v>
      </c>
      <c r="L121" t="str">
        <f ca="1">VLOOKUP(B121,[1]Total!$B:$Q,16,0)</f>
        <v>602.16.000 Transporte</v>
      </c>
      <c r="M121">
        <f t="shared" ca="1" si="3"/>
        <v>500</v>
      </c>
      <c r="N121" t="str">
        <f t="shared" ca="1" si="4"/>
        <v xml:space="preserve">Fernando Sanchez Toledano CASHI ECOMMERCE RC     CIUDAD DE MEX MEX Cashi Ecommerce Rc Ciudad De Mex Mex Transaction cost Transaction cost Comida entrega en Deacero </v>
      </c>
    </row>
    <row r="122" spans="1:14">
      <c r="A122" t="str">
        <f ca="1"/>
        <v>TRX1610</v>
      </c>
      <c r="B122" t="str">
        <f ca="1"/>
        <v>#6</v>
      </c>
      <c r="C122">
        <f ca="1"/>
        <v>46072.417361111096</v>
      </c>
      <c r="D122">
        <f ca="1"/>
        <v>2139.5100000000002</v>
      </c>
      <c r="E122" t="str">
        <f ca="1"/>
        <v>MXN</v>
      </c>
      <c r="F122" t="str">
        <f ca="1"/>
        <v>Fernando Sanchez Toledano</v>
      </c>
      <c r="G122" t="str">
        <f ca="1"/>
        <v>AVIS MXN               MERIDA YUC    MEX</v>
      </c>
      <c r="H122" t="str">
        <f ca="1"/>
        <v>Avis Rent A Car</v>
      </c>
      <c r="I122" t="str">
        <f ca="1"/>
        <v>Transaction cost</v>
      </c>
      <c r="J122" t="str">
        <f ca="1"/>
        <v>Transaction cost</v>
      </c>
      <c r="K122">
        <f ca="1"/>
        <v>0</v>
      </c>
      <c r="L122" t="str">
        <f ca="1">VLOOKUP(B122,[1]Total!$B:$Q,16,0)</f>
        <v>602.16.000 Transporte</v>
      </c>
      <c r="M122">
        <f t="shared" ca="1" si="3"/>
        <v>2139.5100000000002</v>
      </c>
      <c r="N122" t="str">
        <f t="shared" ca="1" si="4"/>
        <v xml:space="preserve">Fernando Sanchez Toledano AVIS MXN               MERIDA YUC    MEX Avis Rent A Car Transaction cost Transaction cost 0 </v>
      </c>
    </row>
    <row r="123" spans="1:14">
      <c r="A123" t="str">
        <f ca="1"/>
        <v>TRX1314</v>
      </c>
      <c r="B123" t="str">
        <f ca="1"/>
        <v>#6</v>
      </c>
      <c r="C123">
        <f ca="1"/>
        <v>46072.417361111096</v>
      </c>
      <c r="D123">
        <f ca="1"/>
        <v>1485.35</v>
      </c>
      <c r="E123" t="str">
        <f ca="1"/>
        <v>MXN</v>
      </c>
      <c r="F123" t="str">
        <f ca="1"/>
        <v>Fernando Sanchez Toledano</v>
      </c>
      <c r="G123" t="str">
        <f ca="1"/>
        <v>SERVI FER TECAMAC      TECAMAC EM    MEX</v>
      </c>
      <c r="H123" t="str">
        <f ca="1"/>
        <v>Servi Fer Tecamac Tecamac Em Mex</v>
      </c>
      <c r="I123" t="str">
        <f ca="1"/>
        <v>Transaction cost</v>
      </c>
      <c r="J123" t="str">
        <f ca="1"/>
        <v>Transaction cost</v>
      </c>
      <c r="K123">
        <f ca="1"/>
        <v>0</v>
      </c>
      <c r="L123" t="str">
        <f ca="1">VLOOKUP(B123,[1]Total!$B:$Q,16,0)</f>
        <v>602.16.000 Transporte</v>
      </c>
      <c r="M123">
        <f t="shared" ca="1" si="3"/>
        <v>1485.35</v>
      </c>
      <c r="N123" t="str">
        <f t="shared" ca="1" si="4"/>
        <v xml:space="preserve">Fernando Sanchez Toledano SERVI FER TECAMAC      TECAMAC EM    MEX Servi Fer Tecamac Tecamac Em Mex Transaction cost Transaction cost 0 </v>
      </c>
    </row>
    <row r="124" spans="1:14">
      <c r="A124" t="str">
        <f ca="1"/>
        <v>TRX1083</v>
      </c>
      <c r="B124" t="str">
        <f ca="1"/>
        <v>#6</v>
      </c>
      <c r="C124">
        <f ca="1"/>
        <v>46075.417361111096</v>
      </c>
      <c r="D124">
        <f ca="1"/>
        <v>1479</v>
      </c>
      <c r="E124" t="str">
        <f ca="1"/>
        <v>MXN</v>
      </c>
      <c r="F124" t="str">
        <f ca="1"/>
        <v>Fernando Sanchez Toledano</v>
      </c>
      <c r="G124" t="str">
        <f ca="1"/>
        <v>SERVICIO HERRADURA     HUIXQUILUCAN  MEX</v>
      </c>
      <c r="H124" t="str">
        <f ca="1"/>
        <v>Servicio Herradura Huixquilucan Mex</v>
      </c>
      <c r="I124" t="str">
        <f ca="1"/>
        <v>Transaction cost</v>
      </c>
      <c r="J124" t="str">
        <f ca="1"/>
        <v>Transaction cost</v>
      </c>
      <c r="K124">
        <f ca="1"/>
        <v>0</v>
      </c>
      <c r="L124" t="str">
        <f ca="1">VLOOKUP(B124,[1]Total!$B:$Q,16,0)</f>
        <v>602.16.000 Transporte</v>
      </c>
      <c r="M124">
        <f t="shared" ca="1" si="3"/>
        <v>1479</v>
      </c>
      <c r="N124" t="str">
        <f t="shared" ca="1" si="4"/>
        <v xml:space="preserve">Fernando Sanchez Toledano SERVICIO HERRADURA     HUIXQUILUCAN  MEX Servicio Herradura Huixquilucan Mex Transaction cost Transaction cost 0 </v>
      </c>
    </row>
    <row r="125" spans="1:14">
      <c r="A125" t="str">
        <f ca="1"/>
        <v>TRX1291</v>
      </c>
      <c r="B125" t="str">
        <f ca="1"/>
        <v>#7</v>
      </c>
      <c r="C125">
        <f ca="1"/>
        <v>46056.416666666599</v>
      </c>
      <c r="D125">
        <f ca="1"/>
        <v>341.6</v>
      </c>
      <c r="E125" t="str">
        <f ca="1"/>
        <v>MXN</v>
      </c>
      <c r="F125" t="str">
        <f ca="1"/>
        <v>Isaac Mendoza Ruiz</v>
      </c>
      <c r="G125" t="str">
        <f ca="1"/>
        <v>UBER * EATS PENDING    CMX           MEX</v>
      </c>
      <c r="H125" t="str">
        <f ca="1"/>
        <v>Uber Eats</v>
      </c>
      <c r="I125" t="str">
        <f ca="1"/>
        <v>Office expenses</v>
      </c>
      <c r="J125" t="str">
        <f ca="1"/>
        <v>MTY ATP + Maken</v>
      </c>
      <c r="K125" t="str">
        <f ca="1"/>
        <v>.</v>
      </c>
      <c r="L125" t="str">
        <f ca="1">VLOOKUP(B125,[1]Total!$B:$Q,16,0)</f>
        <v>603.81.004 Gastos de Oficina</v>
      </c>
      <c r="M125">
        <f t="shared" ca="1" si="3"/>
        <v>341.6</v>
      </c>
      <c r="N125" t="str">
        <f t="shared" ca="1" si="4"/>
        <v xml:space="preserve">Isaac Mendoza Ruiz UBER * EATS PENDING    CMX           MEX Uber Eats Office expenses MTY ATP + Maken . </v>
      </c>
    </row>
    <row r="126" spans="1:14">
      <c r="A126" t="str">
        <f ca="1"/>
        <v>TRX1156</v>
      </c>
      <c r="B126" t="str">
        <f ca="1"/>
        <v>#7</v>
      </c>
      <c r="C126">
        <f ca="1"/>
        <v>46059.417361111096</v>
      </c>
      <c r="D126">
        <f ca="1"/>
        <v>120</v>
      </c>
      <c r="E126" t="str">
        <f ca="1"/>
        <v>MXN</v>
      </c>
      <c r="F126" t="str">
        <f ca="1"/>
        <v>Isaac Mendoza Ruiz</v>
      </c>
      <c r="G126" t="str">
        <f ca="1"/>
        <v>EL SAZON DE MAMA       CIUDAD DE MEX MEX</v>
      </c>
      <c r="H126" t="str">
        <f ca="1"/>
        <v>El Sazon De Mama Ciudad De Mex Mex</v>
      </c>
      <c r="I126" t="str">
        <f ca="1"/>
        <v>Office expenses</v>
      </c>
      <c r="J126" t="str">
        <f ca="1"/>
        <v>MTY ATP + Maken</v>
      </c>
      <c r="K126" t="str">
        <f ca="1"/>
        <v>.</v>
      </c>
      <c r="L126" t="str">
        <f ca="1">VLOOKUP(B126,[1]Total!$B:$Q,16,0)</f>
        <v>603.81.004 Gastos de Oficina</v>
      </c>
      <c r="M126">
        <f t="shared" ca="1" si="3"/>
        <v>120</v>
      </c>
      <c r="N126" t="str">
        <f t="shared" ca="1" si="4"/>
        <v xml:space="preserve">Isaac Mendoza Ruiz EL SAZON DE MAMA       CIUDAD DE MEX MEX El Sazon De Mama Ciudad De Mex Mex Office expenses MTY ATP + Maken . </v>
      </c>
    </row>
    <row r="127" spans="1:14">
      <c r="A127" t="str">
        <f ca="1"/>
        <v>TRX1160</v>
      </c>
      <c r="B127" t="str">
        <f ca="1"/>
        <v>#7</v>
      </c>
      <c r="C127">
        <f ca="1"/>
        <v>46060.416666666599</v>
      </c>
      <c r="D127">
        <f ca="1"/>
        <v>276.69</v>
      </c>
      <c r="E127" t="str">
        <f ca="1"/>
        <v>MXN</v>
      </c>
      <c r="F127" t="str">
        <f ca="1"/>
        <v>Isaac Mendoza Ruiz</v>
      </c>
      <c r="G127" t="str">
        <f ca="1"/>
        <v>UBER * PENDING         CMX           MEX</v>
      </c>
      <c r="H127" t="str">
        <f ca="1"/>
        <v>Uber</v>
      </c>
      <c r="I127" t="str">
        <f ca="1"/>
        <v>Office expenses</v>
      </c>
      <c r="J127" t="str">
        <f ca="1"/>
        <v>Viaje Puebla - Industrias Norm</v>
      </c>
      <c r="K127" t="str">
        <f ca="1"/>
        <v>.</v>
      </c>
      <c r="L127" t="str">
        <f ca="1">VLOOKUP(B127,[1]Total!$B:$Q,16,0)</f>
        <v>603.81.004 Gastos de Oficina</v>
      </c>
      <c r="M127">
        <f t="shared" ca="1" si="3"/>
        <v>276.69</v>
      </c>
      <c r="N127" t="str">
        <f t="shared" ca="1" si="4"/>
        <v xml:space="preserve">Isaac Mendoza Ruiz UBER * PENDING         CMX           MEX Uber Office expenses Viaje Puebla - Industrias Norm . </v>
      </c>
    </row>
    <row r="128" spans="1:14">
      <c r="A128" t="str">
        <f ca="1"/>
        <v>TRX1059</v>
      </c>
      <c r="B128" t="str">
        <f ca="1"/>
        <v>#7</v>
      </c>
      <c r="C128">
        <f ca="1"/>
        <v>46064.416666666599</v>
      </c>
      <c r="D128">
        <f ca="1"/>
        <v>334.12</v>
      </c>
      <c r="E128" t="str">
        <f ca="1"/>
        <v>MXN</v>
      </c>
      <c r="F128" t="str">
        <f ca="1"/>
        <v>Isaac Mendoza Ruiz</v>
      </c>
      <c r="G128" t="str">
        <f ca="1"/>
        <v>UBER * PENDING         CMX           MEX</v>
      </c>
      <c r="H128" t="str">
        <f ca="1"/>
        <v>Uber</v>
      </c>
      <c r="I128" t="str">
        <f ca="1"/>
        <v>Office expenses</v>
      </c>
      <c r="J128" t="str">
        <f ca="1"/>
        <v>MTY ATP + Maken</v>
      </c>
      <c r="K128" t="str">
        <f ca="1"/>
        <v>.</v>
      </c>
      <c r="L128" t="str">
        <f ca="1">VLOOKUP(B128,[1]Total!$B:$Q,16,0)</f>
        <v>603.81.004 Gastos de Oficina</v>
      </c>
      <c r="M128">
        <f t="shared" ca="1" si="3"/>
        <v>334.12</v>
      </c>
      <c r="N128" t="str">
        <f t="shared" ca="1" si="4"/>
        <v xml:space="preserve">Isaac Mendoza Ruiz UBER * PENDING         CMX           MEX Uber Office expenses MTY ATP + Maken . </v>
      </c>
    </row>
    <row r="129" spans="1:14">
      <c r="A129" t="str">
        <f ca="1"/>
        <v>TRX1154</v>
      </c>
      <c r="B129" t="str">
        <f ca="1"/>
        <v>#7</v>
      </c>
      <c r="C129">
        <f ca="1"/>
        <v>46064.416666666599</v>
      </c>
      <c r="D129">
        <f ca="1"/>
        <v>65.790000000000006</v>
      </c>
      <c r="E129" t="str">
        <f ca="1"/>
        <v>MXN</v>
      </c>
      <c r="F129" t="str">
        <f ca="1"/>
        <v>Isaac Mendoza Ruiz</v>
      </c>
      <c r="G129" t="str">
        <f ca="1"/>
        <v>UBER *TRIP HELP.UBER.C CMX           MEX</v>
      </c>
      <c r="H129" t="str">
        <f ca="1"/>
        <v>Uber</v>
      </c>
      <c r="I129" t="str">
        <f ca="1"/>
        <v>Office expenses</v>
      </c>
      <c r="J129" t="str">
        <f ca="1"/>
        <v>MTY ATP + Maken</v>
      </c>
      <c r="K129" t="str">
        <f ca="1"/>
        <v>.</v>
      </c>
      <c r="L129" t="str">
        <f ca="1">VLOOKUP(B129,[1]Total!$B:$Q,16,0)</f>
        <v>603.81.004 Gastos de Oficina</v>
      </c>
      <c r="M129">
        <f t="shared" ca="1" si="3"/>
        <v>65.790000000000006</v>
      </c>
      <c r="N129" t="str">
        <f t="shared" ca="1" si="4"/>
        <v xml:space="preserve">Isaac Mendoza Ruiz UBER *TRIP HELP.UBER.C CMX           MEX Uber Office expenses MTY ATP + Maken . </v>
      </c>
    </row>
    <row r="130" spans="1:14">
      <c r="A130" t="str">
        <f ca="1"/>
        <v>TRX1113</v>
      </c>
      <c r="B130" t="str">
        <f ca="1"/>
        <v>#7</v>
      </c>
      <c r="C130">
        <f ca="1"/>
        <v>46077.416666666599</v>
      </c>
      <c r="D130">
        <f ca="1"/>
        <v>69.98</v>
      </c>
      <c r="E130" t="str">
        <f ca="1"/>
        <v>MXN</v>
      </c>
      <c r="F130" t="str">
        <f ca="1"/>
        <v>Isaac Mendoza Ruiz</v>
      </c>
      <c r="G130" t="str">
        <f ca="1"/>
        <v>DLO*Uber               CDMX          MEX</v>
      </c>
      <c r="H130" t="str">
        <f ca="1"/>
        <v>Uber</v>
      </c>
      <c r="I130" t="str">
        <f ca="1"/>
        <v>Office expenses</v>
      </c>
      <c r="J130" t="str">
        <f ca="1"/>
        <v>MTY ATP + Maken</v>
      </c>
      <c r="K130" t="str">
        <f ca="1"/>
        <v>.</v>
      </c>
      <c r="L130" t="str">
        <f ca="1">VLOOKUP(B130,[1]Total!$B:$Q,16,0)</f>
        <v>603.81.004 Gastos de Oficina</v>
      </c>
      <c r="M130">
        <f t="shared" ca="1" si="3"/>
        <v>69.98</v>
      </c>
      <c r="N130" t="str">
        <f t="shared" ca="1" si="4"/>
        <v xml:space="preserve">Isaac Mendoza Ruiz DLO*Uber               CDMX          MEX Uber Office expenses MTY ATP + Maken . </v>
      </c>
    </row>
    <row r="131" spans="1:14">
      <c r="A131" t="str">
        <f ca="1"/>
        <v>TRX1129</v>
      </c>
      <c r="B131" t="str">
        <f ca="1"/>
        <v>#7</v>
      </c>
      <c r="C131">
        <f ca="1"/>
        <v>46078.416666666599</v>
      </c>
      <c r="D131">
        <f ca="1"/>
        <v>79.95</v>
      </c>
      <c r="E131" t="str">
        <f ca="1"/>
        <v>MXN</v>
      </c>
      <c r="F131" t="str">
        <f ca="1"/>
        <v>Isaac Mendoza Ruiz</v>
      </c>
      <c r="G131" t="str">
        <f ca="1"/>
        <v>UBER * PENDING         CMX           MEX</v>
      </c>
      <c r="H131" t="str">
        <f ca="1"/>
        <v>Uber</v>
      </c>
      <c r="I131" t="str">
        <f ca="1"/>
        <v>Office expenses</v>
      </c>
      <c r="J131" t="str">
        <f ca="1"/>
        <v>Viaje Puebla - Industrias Norm</v>
      </c>
      <c r="K131" t="str">
        <f ca="1"/>
        <v>.</v>
      </c>
      <c r="L131" t="str">
        <f ca="1">VLOOKUP(B131,[1]Total!$B:$Q,16,0)</f>
        <v>603.81.004 Gastos de Oficina</v>
      </c>
      <c r="M131">
        <f t="shared" ref="M131:M194" ca="1" si="5">D131</f>
        <v>79.95</v>
      </c>
      <c r="N131" t="str">
        <f t="shared" ref="N131:N194" ca="1" si="6">CONCATENATE(F131," ",G131," ",H131," ",I131," ",J131," ",K131," ")</f>
        <v xml:space="preserve">Isaac Mendoza Ruiz UBER * PENDING         CMX           MEX Uber Office expenses Viaje Puebla - Industrias Norm . </v>
      </c>
    </row>
    <row r="132" spans="1:14">
      <c r="A132" t="str">
        <f ca="1"/>
        <v>TRX1251</v>
      </c>
      <c r="B132" t="str">
        <f ca="1"/>
        <v>#8</v>
      </c>
      <c r="C132">
        <f ca="1"/>
        <v>46058.416666666599</v>
      </c>
      <c r="D132">
        <f ca="1"/>
        <v>489.95</v>
      </c>
      <c r="E132" t="str">
        <f ca="1"/>
        <v>MXN</v>
      </c>
      <c r="F132" t="str">
        <f ca="1"/>
        <v>Jose Ignacio Martinez Flemate</v>
      </c>
      <c r="G132" t="str">
        <f ca="1"/>
        <v>UBER *TRIP HELP.UBER.C CMX           MEX</v>
      </c>
      <c r="H132" t="str">
        <f ca="1"/>
        <v>Uber</v>
      </c>
      <c r="I132" t="str">
        <f ca="1"/>
        <v>Transaction cost</v>
      </c>
      <c r="J132" t="str">
        <f ca="1"/>
        <v>UBER PARA DEJAR HERRAMIENTA DE INSTALACION PO2023 - SAFE IN THE BOX</v>
      </c>
      <c r="K132" t="str">
        <f ca="1"/>
        <v>.</v>
      </c>
      <c r="L132" t="str">
        <f ca="1">VLOOKUP(B132,[1]Total!$B:$Q,16,0)</f>
        <v>173.01.002 Gastos por inspecciones de calidad</v>
      </c>
      <c r="M132">
        <f t="shared" ca="1" si="5"/>
        <v>489.95</v>
      </c>
      <c r="N132" t="str">
        <f t="shared" ca="1" si="6"/>
        <v xml:space="preserve">Jose Ignacio Martinez Flemate UBER *TRIP HELP.UBER.C CMX           MEX Uber Transaction cost UBER PARA DEJAR HERRAMIENTA DE INSTALACION PO2023 - SAFE IN THE BOX . </v>
      </c>
    </row>
    <row r="133" spans="1:14">
      <c r="A133" t="str">
        <f ca="1"/>
        <v>TRX1201</v>
      </c>
      <c r="B133" t="str">
        <f ca="1"/>
        <v>#8</v>
      </c>
      <c r="C133">
        <f ca="1"/>
        <v>46058.417361111096</v>
      </c>
      <c r="D133">
        <f ca="1"/>
        <v>744.75</v>
      </c>
      <c r="E133" t="str">
        <f ca="1"/>
        <v>MXN</v>
      </c>
      <c r="F133" t="str">
        <f ca="1"/>
        <v>Jose Ignacio Martinez Flemate</v>
      </c>
      <c r="G133" t="str">
        <f ca="1"/>
        <v>FAR GUAD 1052          TECAMAC EM    MEX</v>
      </c>
      <c r="H133" t="str">
        <f ca="1"/>
        <v>Far Guad 1052 Tecamac Em Mex</v>
      </c>
      <c r="I133" t="str">
        <f ca="1"/>
        <v>Transaction cost</v>
      </c>
      <c r="J133" t="str">
        <f ca="1"/>
        <v>PAGO A CUENTA DE UN GASTO DE GASOLINA QUE NO PASO CON LA JEEVES PO2165 - ENSAMBLE UF/CEB MECANICO</v>
      </c>
      <c r="K133" t="str">
        <f ca="1"/>
        <v>.</v>
      </c>
      <c r="L133" t="str">
        <f ca="1">VLOOKUP(B133,[1]Total!$B:$Q,16,0)</f>
        <v>173.01.002 Gastos por inspecciones de calidad</v>
      </c>
      <c r="M133">
        <f t="shared" ca="1" si="5"/>
        <v>744.75</v>
      </c>
      <c r="N133" t="str">
        <f t="shared" ca="1" si="6"/>
        <v xml:space="preserve">Jose Ignacio Martinez Flemate FAR GUAD 1052          TECAMAC EM    MEX Far Guad 1052 Tecamac Em Mex Transaction cost PAGO A CUENTA DE UN GASTO DE GASOLINA QUE NO PASO CON LA JEEVES PO2165 - ENSAMBLE UF/CEB MECANICO . </v>
      </c>
    </row>
    <row r="134" spans="1:14">
      <c r="A134" t="str">
        <f ca="1"/>
        <v>TRX1198</v>
      </c>
      <c r="B134" t="str">
        <f ca="1"/>
        <v>#8</v>
      </c>
      <c r="C134">
        <f ca="1"/>
        <v>46058.417361111096</v>
      </c>
      <c r="D134">
        <f ca="1"/>
        <v>91</v>
      </c>
      <c r="E134" t="str">
        <f ca="1"/>
        <v>MXN</v>
      </c>
      <c r="F134" t="str">
        <f ca="1"/>
        <v>Jose Ignacio Martinez Flemate</v>
      </c>
      <c r="G134" t="str">
        <f ca="1"/>
        <v>OXXOSAN ANTONIO 17 MEX CUAUTITLAN EM MEX</v>
      </c>
      <c r="H134" t="str">
        <f ca="1"/>
        <v>Oxxosan Antonio 17 Mex Cuautitlan Em Mex</v>
      </c>
      <c r="I134" t="str">
        <f ca="1"/>
        <v>Transaction cost</v>
      </c>
      <c r="J134" t="str">
        <f ca="1"/>
        <v>COMIDA   PO2165 - ENSAMBLE UF/CEB MECANICO</v>
      </c>
      <c r="K134" t="str">
        <f ca="1"/>
        <v>.</v>
      </c>
      <c r="L134" t="str">
        <f ca="1">VLOOKUP(B134,[1]Total!$B:$Q,16,0)</f>
        <v>173.01.002 Gastos por inspecciones de calidad</v>
      </c>
      <c r="M134">
        <f t="shared" ca="1" si="5"/>
        <v>91</v>
      </c>
      <c r="N134" t="str">
        <f t="shared" ca="1" si="6"/>
        <v xml:space="preserve">Jose Ignacio Martinez Flemate OXXOSAN ANTONIO 17 MEX CUAUTITLAN EM MEX Oxxosan Antonio 17 Mex Cuautitlan Em Mex Transaction cost COMIDA   PO2165 - ENSAMBLE UF/CEB MECANICO . </v>
      </c>
    </row>
    <row r="135" spans="1:14">
      <c r="A135" t="str">
        <f ca="1"/>
        <v>TRX1676</v>
      </c>
      <c r="B135" t="str">
        <f ca="1"/>
        <v>#8</v>
      </c>
      <c r="C135">
        <f ca="1"/>
        <v>46060.417361111096</v>
      </c>
      <c r="D135">
        <f ca="1"/>
        <v>60.5</v>
      </c>
      <c r="E135" t="str">
        <f ca="1"/>
        <v>MXN</v>
      </c>
      <c r="F135" t="str">
        <f ca="1"/>
        <v>Jose Ignacio Martinez Flemate</v>
      </c>
      <c r="G135" t="str">
        <f ca="1"/>
        <v>OXXOSAN ANTONIO 17 MEX CUAUTITLAN EM MEX</v>
      </c>
      <c r="H135" t="str">
        <f ca="1"/>
        <v>Oxxosan Antonio 17 Mex Cuautitlan Em Mex</v>
      </c>
      <c r="I135" t="str">
        <f ca="1"/>
        <v>Transaction cost</v>
      </c>
      <c r="J135" t="str">
        <f ca="1"/>
        <v>COMIDA   PO2165 - ENSAMBLE UF/CEB MECANICO</v>
      </c>
      <c r="K135" t="str">
        <f ca="1"/>
        <v>.</v>
      </c>
      <c r="L135" t="str">
        <f ca="1">VLOOKUP(B135,[1]Total!$B:$Q,16,0)</f>
        <v>173.01.002 Gastos por inspecciones de calidad</v>
      </c>
      <c r="M135">
        <f t="shared" ca="1" si="5"/>
        <v>60.5</v>
      </c>
      <c r="N135" t="str">
        <f t="shared" ca="1" si="6"/>
        <v xml:space="preserve">Jose Ignacio Martinez Flemate OXXOSAN ANTONIO 17 MEX CUAUTITLAN EM MEX Oxxosan Antonio 17 Mex Cuautitlan Em Mex Transaction cost COMIDA   PO2165 - ENSAMBLE UF/CEB MECANICO . </v>
      </c>
    </row>
    <row r="136" spans="1:14">
      <c r="A136" t="str">
        <f ca="1"/>
        <v>TRX1340</v>
      </c>
      <c r="B136" t="str">
        <f ca="1"/>
        <v>#8</v>
      </c>
      <c r="C136">
        <f ca="1"/>
        <v>46061.416666666599</v>
      </c>
      <c r="D136">
        <f ca="1"/>
        <v>320</v>
      </c>
      <c r="E136" t="str">
        <f ca="1"/>
        <v>MXN</v>
      </c>
      <c r="F136" t="str">
        <f ca="1"/>
        <v>Jose Ignacio Martinez Flemate</v>
      </c>
      <c r="G136" t="str">
        <f ca="1"/>
        <v>MERCADOPAGO *DOSGARDE  Tultitln      MEX</v>
      </c>
      <c r="H136" t="str">
        <f ca="1"/>
        <v>Mercadopago</v>
      </c>
      <c r="I136" t="str">
        <f ca="1"/>
        <v>Transaction cost</v>
      </c>
      <c r="J136" t="str">
        <f ca="1"/>
        <v>CASETAS VISITA VISITA A ESCATO PO2165 - ENSAMBLE UF/CEB MECANICO</v>
      </c>
      <c r="K136" t="str">
        <f ca="1"/>
        <v>.</v>
      </c>
      <c r="L136" t="str">
        <f ca="1">VLOOKUP(B136,[1]Total!$B:$Q,16,0)</f>
        <v>173.01.002 Gastos por inspecciones de calidad</v>
      </c>
      <c r="M136">
        <f t="shared" ca="1" si="5"/>
        <v>320</v>
      </c>
      <c r="N136" t="str">
        <f t="shared" ca="1" si="6"/>
        <v xml:space="preserve">Jose Ignacio Martinez Flemate MERCADOPAGO *DOSGARDE  Tultitln      MEX Mercadopago Transaction cost CASETAS VISITA VISITA A ESCATO PO2165 - ENSAMBLE UF/CEB MECANICO . </v>
      </c>
    </row>
    <row r="137" spans="1:14">
      <c r="A137" t="str">
        <f ca="1"/>
        <v>TRX2021</v>
      </c>
      <c r="B137" t="str">
        <f ca="1"/>
        <v>#8</v>
      </c>
      <c r="C137">
        <f ca="1"/>
        <v>46063.416666666599</v>
      </c>
      <c r="D137">
        <f ca="1"/>
        <v>802.27</v>
      </c>
      <c r="E137" t="str">
        <f ca="1"/>
        <v>MXN</v>
      </c>
      <c r="F137" t="str">
        <f ca="1"/>
        <v>Jose Ignacio Martinez Flemate</v>
      </c>
      <c r="G137" t="str">
        <f ca="1"/>
        <v>SERV ALISAS            LERMA EM      MEX</v>
      </c>
      <c r="H137" t="str">
        <f ca="1"/>
        <v>Serv Alisas Lerma Em Mex</v>
      </c>
      <c r="I137" t="str">
        <f ca="1"/>
        <v>Transaction cost</v>
      </c>
      <c r="J137" t="str">
        <f ca="1"/>
        <v>GASOLINA VISITA A CAMI PO2165 - ENSAMBLE UF/CEB MECANICO</v>
      </c>
      <c r="K137" t="str">
        <f ca="1"/>
        <v>.</v>
      </c>
      <c r="L137" t="str">
        <f ca="1">VLOOKUP(B137,[1]Total!$B:$Q,16,0)</f>
        <v>173.01.002 Gastos por inspecciones de calidad</v>
      </c>
      <c r="M137">
        <f t="shared" ca="1" si="5"/>
        <v>802.27</v>
      </c>
      <c r="N137" t="str">
        <f t="shared" ca="1" si="6"/>
        <v xml:space="preserve">Jose Ignacio Martinez Flemate SERV ALISAS            LERMA EM      MEX Serv Alisas Lerma Em Mex Transaction cost GASOLINA VISITA A CAMI PO2165 - ENSAMBLE UF/CEB MECANICO . </v>
      </c>
    </row>
    <row r="138" spans="1:14">
      <c r="A138" t="str">
        <f ca="1"/>
        <v>TRX1336</v>
      </c>
      <c r="B138" t="str">
        <f ca="1"/>
        <v>#8</v>
      </c>
      <c r="C138">
        <f ca="1"/>
        <v>46065.416666666599</v>
      </c>
      <c r="D138">
        <f ca="1"/>
        <v>947</v>
      </c>
      <c r="E138" t="str">
        <f ca="1"/>
        <v>MXN</v>
      </c>
      <c r="F138" t="str">
        <f ca="1"/>
        <v>Jose Ignacio Martinez Flemate</v>
      </c>
      <c r="G138" t="str">
        <f ca="1"/>
        <v>OFFICE MAX TECAMAC     TECAMAC       MEX</v>
      </c>
      <c r="H138" t="str">
        <f ca="1"/>
        <v>Office Depot</v>
      </c>
      <c r="I138" t="str">
        <f ca="1"/>
        <v>Transaction cost</v>
      </c>
      <c r="J138" t="str">
        <f ca="1"/>
        <v>PAPELERIA PARA DOSSIER DE CALIDAD PO2165 - ENSAMBLE UF/CEB MECANICO</v>
      </c>
      <c r="K138" t="str">
        <f ca="1"/>
        <v>.</v>
      </c>
      <c r="L138" t="str">
        <f ca="1">VLOOKUP(B138,[1]Total!$B:$Q,16,0)</f>
        <v>173.01.002 Gastos por inspecciones de calidad</v>
      </c>
      <c r="M138">
        <f t="shared" ca="1" si="5"/>
        <v>947</v>
      </c>
      <c r="N138" t="str">
        <f t="shared" ca="1" si="6"/>
        <v xml:space="preserve">Jose Ignacio Martinez Flemate OFFICE MAX TECAMAC     TECAMAC       MEX Office Depot Transaction cost PAPELERIA PARA DOSSIER DE CALIDAD PO2165 - ENSAMBLE UF/CEB MECANICO . </v>
      </c>
    </row>
    <row r="139" spans="1:14">
      <c r="A139" t="str">
        <f ca="1"/>
        <v>TRX1714</v>
      </c>
      <c r="B139" t="str">
        <f ca="1"/>
        <v>#8</v>
      </c>
      <c r="C139">
        <f ca="1"/>
        <v>46065.417361111096</v>
      </c>
      <c r="D139">
        <f ca="1"/>
        <v>145</v>
      </c>
      <c r="E139" t="str">
        <f ca="1"/>
        <v>MXN</v>
      </c>
      <c r="F139" t="str">
        <f ca="1"/>
        <v>Jose Ignacio Martinez Flemate</v>
      </c>
      <c r="G139" t="str">
        <f ca="1"/>
        <v>HOME DEPOT TECAMAC     TECAMAC EM    MEX</v>
      </c>
      <c r="H139" t="str">
        <f ca="1"/>
        <v>The Home Depot</v>
      </c>
      <c r="I139" t="str">
        <f ca="1"/>
        <v>Transaction cost</v>
      </c>
      <c r="J139" t="str">
        <f ca="1"/>
        <v>PLUMONES PARA MARCAJE DE ESTRUCTURA PO2165 - ENSAMBLE UF/CEB MECANICO</v>
      </c>
      <c r="K139" t="str">
        <f ca="1"/>
        <v>.</v>
      </c>
      <c r="L139" t="str">
        <f ca="1">VLOOKUP(B139,[1]Total!$B:$Q,16,0)</f>
        <v>173.01.002 Gastos por inspecciones de calidad</v>
      </c>
      <c r="M139">
        <f t="shared" ca="1" si="5"/>
        <v>145</v>
      </c>
      <c r="N139" t="str">
        <f t="shared" ca="1" si="6"/>
        <v xml:space="preserve">Jose Ignacio Martinez Flemate HOME DEPOT TECAMAC     TECAMAC EM    MEX The Home Depot Transaction cost PLUMONES PARA MARCAJE DE ESTRUCTURA PO2165 - ENSAMBLE UF/CEB MECANICO . </v>
      </c>
    </row>
    <row r="140" spans="1:14">
      <c r="A140" t="str">
        <f ca="1"/>
        <v>TRX1943</v>
      </c>
      <c r="B140" t="str">
        <f ca="1"/>
        <v>#8</v>
      </c>
      <c r="C140">
        <f ca="1"/>
        <v>46065.417361111096</v>
      </c>
      <c r="D140">
        <f ca="1"/>
        <v>114</v>
      </c>
      <c r="E140" t="str">
        <f ca="1"/>
        <v>MXN</v>
      </c>
      <c r="F140" t="str">
        <f ca="1"/>
        <v>Jose Ignacio Martinez Flemate</v>
      </c>
      <c r="G140" t="str">
        <f ca="1"/>
        <v>OXXOSAN ANTONIO 17 MEX CUAUTITLAN EM MEX</v>
      </c>
      <c r="H140" t="str">
        <f ca="1"/>
        <v>Oxxosan Antonio 17 Mex Cuautitlan Em Mex</v>
      </c>
      <c r="I140" t="str">
        <f ca="1"/>
        <v>Transaction cost</v>
      </c>
      <c r="J140" t="str">
        <f ca="1"/>
        <v>COMIDA   PO2165 - ENSAMBLE UF/CEB MECANICO</v>
      </c>
      <c r="K140" t="str">
        <f ca="1"/>
        <v>.</v>
      </c>
      <c r="L140" t="str">
        <f ca="1">VLOOKUP(B140,[1]Total!$B:$Q,16,0)</f>
        <v>173.01.002 Gastos por inspecciones de calidad</v>
      </c>
      <c r="M140">
        <f t="shared" ca="1" si="5"/>
        <v>114</v>
      </c>
      <c r="N140" t="str">
        <f t="shared" ca="1" si="6"/>
        <v xml:space="preserve">Jose Ignacio Martinez Flemate OXXOSAN ANTONIO 17 MEX CUAUTITLAN EM MEX Oxxosan Antonio 17 Mex Cuautitlan Em Mex Transaction cost COMIDA   PO2165 - ENSAMBLE UF/CEB MECANICO . </v>
      </c>
    </row>
    <row r="141" spans="1:14">
      <c r="A141" t="str">
        <f ca="1"/>
        <v>TRX1930</v>
      </c>
      <c r="B141" t="str">
        <f ca="1"/>
        <v>#8</v>
      </c>
      <c r="C141">
        <f ca="1"/>
        <v>46067.416666666599</v>
      </c>
      <c r="D141">
        <f ca="1"/>
        <v>2010</v>
      </c>
      <c r="E141" t="str">
        <f ca="1"/>
        <v>MXN</v>
      </c>
      <c r="F141" t="str">
        <f ca="1"/>
        <v>Jose Ignacio Martinez Flemate</v>
      </c>
      <c r="G141" t="str">
        <f ca="1"/>
        <v>MERCADOPAGO *PASE      Ciudad de Mex MEX</v>
      </c>
      <c r="H141" t="str">
        <f ca="1"/>
        <v>Mercadopago</v>
      </c>
      <c r="I141" t="str">
        <f ca="1"/>
        <v>Transaction cost</v>
      </c>
      <c r="J141" t="str">
        <f ca="1"/>
        <v>CASETAS VISITA VISITA A ESCATO PO2165 - ENSAMBLE UF/CEB MECANICO</v>
      </c>
      <c r="K141" t="str">
        <f ca="1"/>
        <v>.</v>
      </c>
      <c r="L141" t="str">
        <f ca="1">VLOOKUP(B141,[1]Total!$B:$Q,16,0)</f>
        <v>173.01.002 Gastos por inspecciones de calidad</v>
      </c>
      <c r="M141">
        <f t="shared" ca="1" si="5"/>
        <v>2010</v>
      </c>
      <c r="N141" t="str">
        <f t="shared" ca="1" si="6"/>
        <v xml:space="preserve">Jose Ignacio Martinez Flemate MERCADOPAGO *PASE      Ciudad de Mex MEX Mercadopago Transaction cost CASETAS VISITA VISITA A ESCATO PO2165 - ENSAMBLE UF/CEB MECANICO . </v>
      </c>
    </row>
    <row r="142" spans="1:14">
      <c r="A142" t="str">
        <f ca="1"/>
        <v>TRX1799</v>
      </c>
      <c r="B142" t="str">
        <f ca="1"/>
        <v>#8</v>
      </c>
      <c r="C142">
        <f ca="1"/>
        <v>46067.416666666599</v>
      </c>
      <c r="D142">
        <f ca="1"/>
        <v>709.41</v>
      </c>
      <c r="E142" t="str">
        <f ca="1"/>
        <v>MXN</v>
      </c>
      <c r="F142" t="str">
        <f ca="1"/>
        <v>Jose Ignacio Martinez Flemate</v>
      </c>
      <c r="G142" t="str">
        <f ca="1"/>
        <v>GASOL LUNAGAS TECAMAC3 TECAMAC EM    MEX</v>
      </c>
      <c r="H142" t="str">
        <f ca="1"/>
        <v>Gasol Lunagas Tecamac3 Tecamac Em Mex</v>
      </c>
      <c r="I142" t="str">
        <f ca="1"/>
        <v>Transaction cost</v>
      </c>
      <c r="J142" t="str">
        <f ca="1"/>
        <v>GASOLINA VISITA A CAMI PO2165 - ENSAMBLE UF/CEB MECANICO</v>
      </c>
      <c r="K142" t="str">
        <f ca="1"/>
        <v>.</v>
      </c>
      <c r="L142" t="str">
        <f ca="1">VLOOKUP(B142,[1]Total!$B:$Q,16,0)</f>
        <v>173.01.002 Gastos por inspecciones de calidad</v>
      </c>
      <c r="M142">
        <f t="shared" ca="1" si="5"/>
        <v>709.41</v>
      </c>
      <c r="N142" t="str">
        <f t="shared" ca="1" si="6"/>
        <v xml:space="preserve">Jose Ignacio Martinez Flemate GASOL LUNAGAS TECAMAC3 TECAMAC EM    MEX Gasol Lunagas Tecamac3 Tecamac Em Mex Transaction cost GASOLINA VISITA A CAMI PO2165 - ENSAMBLE UF/CEB MECANICO . </v>
      </c>
    </row>
    <row r="143" spans="1:14">
      <c r="A143" t="str">
        <f ca="1"/>
        <v>TRX1405</v>
      </c>
      <c r="B143" t="str">
        <f ca="1"/>
        <v>#8</v>
      </c>
      <c r="C143">
        <f ca="1"/>
        <v>46068.416666666599</v>
      </c>
      <c r="D143">
        <f ca="1"/>
        <v>20</v>
      </c>
      <c r="E143" t="str">
        <f ca="1"/>
        <v>MXN</v>
      </c>
      <c r="F143" t="str">
        <f ca="1"/>
        <v>Jose Ignacio Martinez Flemate</v>
      </c>
      <c r="G143" t="str">
        <f ca="1"/>
        <v>UBER *TRIP HELP.UBER.C CMX           MEX</v>
      </c>
      <c r="H143" t="str">
        <f ca="1"/>
        <v>Uber</v>
      </c>
      <c r="I143" t="str">
        <f ca="1"/>
        <v>Transaction cost</v>
      </c>
      <c r="J143" t="str">
        <f ca="1"/>
        <v xml:space="preserve">UBER PARA DEJAR HERRAMIENTA DE INSTALACION PO2023 - SAFE IN THE BOX </v>
      </c>
      <c r="K143" t="str">
        <f ca="1"/>
        <v>.</v>
      </c>
      <c r="L143" t="str">
        <f ca="1">VLOOKUP(B143,[1]Total!$B:$Q,16,0)</f>
        <v>173.01.002 Gastos por inspecciones de calidad</v>
      </c>
      <c r="M143">
        <f t="shared" ca="1" si="5"/>
        <v>20</v>
      </c>
      <c r="N143" t="str">
        <f t="shared" ca="1" si="6"/>
        <v xml:space="preserve">Jose Ignacio Martinez Flemate UBER *TRIP HELP.UBER.C CMX           MEX Uber Transaction cost UBER PARA DEJAR HERRAMIENTA DE INSTALACION PO2023 - SAFE IN THE BOX  . </v>
      </c>
    </row>
    <row r="144" spans="1:14">
      <c r="A144" t="str">
        <f ca="1"/>
        <v>TRX2025</v>
      </c>
      <c r="B144" t="str">
        <f ca="1"/>
        <v>#8</v>
      </c>
      <c r="C144">
        <f ca="1"/>
        <v>46068.416666666599</v>
      </c>
      <c r="D144">
        <f ca="1"/>
        <v>499.99</v>
      </c>
      <c r="E144" t="str">
        <f ca="1"/>
        <v>MXN</v>
      </c>
      <c r="F144" t="str">
        <f ca="1"/>
        <v>Jose Ignacio Martinez Flemate</v>
      </c>
      <c r="G144" t="str">
        <f ca="1"/>
        <v>UBER * PENDING         CMX           MEX</v>
      </c>
      <c r="H144" t="str">
        <f ca="1"/>
        <v>Uber</v>
      </c>
      <c r="I144" t="str">
        <f ca="1"/>
        <v>Transaction cost</v>
      </c>
      <c r="J144" t="str">
        <f ca="1"/>
        <v>UBER VISITA A PROVEEDOR (NO CIRCULA) PO2165 - ENSAMBLE UF/CEB MECANICO</v>
      </c>
      <c r="K144" t="str">
        <f ca="1"/>
        <v>.</v>
      </c>
      <c r="L144" t="str">
        <f ca="1">VLOOKUP(B144,[1]Total!$B:$Q,16,0)</f>
        <v>173.01.002 Gastos por inspecciones de calidad</v>
      </c>
      <c r="M144">
        <f t="shared" ca="1" si="5"/>
        <v>499.99</v>
      </c>
      <c r="N144" t="str">
        <f t="shared" ca="1" si="6"/>
        <v xml:space="preserve">Jose Ignacio Martinez Flemate UBER * PENDING         CMX           MEX Uber Transaction cost UBER VISITA A PROVEEDOR (NO CIRCULA) PO2165 - ENSAMBLE UF/CEB MECANICO . </v>
      </c>
    </row>
    <row r="145" spans="1:14">
      <c r="A145" t="str">
        <f ca="1"/>
        <v>TRX1045</v>
      </c>
      <c r="B145" t="str">
        <f ca="1"/>
        <v>#8</v>
      </c>
      <c r="C145">
        <f ca="1"/>
        <v>46068.416666666599</v>
      </c>
      <c r="D145">
        <f ca="1"/>
        <v>309.98</v>
      </c>
      <c r="E145" t="str">
        <f ca="1"/>
        <v>MXN</v>
      </c>
      <c r="F145" t="str">
        <f ca="1"/>
        <v>Jose Ignacio Martinez Flemate</v>
      </c>
      <c r="G145" t="str">
        <f ca="1"/>
        <v>UBER * PENDING         CMX           MEX</v>
      </c>
      <c r="H145" t="str">
        <f ca="1"/>
        <v>Uber</v>
      </c>
      <c r="I145" t="str">
        <f ca="1"/>
        <v>Transaction cost</v>
      </c>
      <c r="J145" t="str">
        <f ca="1"/>
        <v>UBER VISITA A PROVEEDOR (NO CIRCULA) PO2165 - ENSAMBLE UF/CEB MECANICO</v>
      </c>
      <c r="K145" t="str">
        <f ca="1"/>
        <v>.</v>
      </c>
      <c r="L145" t="str">
        <f ca="1">VLOOKUP(B145,[1]Total!$B:$Q,16,0)</f>
        <v>173.01.002 Gastos por inspecciones de calidad</v>
      </c>
      <c r="M145">
        <f t="shared" ca="1" si="5"/>
        <v>309.98</v>
      </c>
      <c r="N145" t="str">
        <f t="shared" ca="1" si="6"/>
        <v xml:space="preserve">Jose Ignacio Martinez Flemate UBER * PENDING         CMX           MEX Uber Transaction cost UBER VISITA A PROVEEDOR (NO CIRCULA) PO2165 - ENSAMBLE UF/CEB MECANICO . </v>
      </c>
    </row>
    <row r="146" spans="1:14">
      <c r="A146" t="str">
        <f ca="1"/>
        <v>TRX1800</v>
      </c>
      <c r="B146" t="str">
        <f ca="1"/>
        <v>#8</v>
      </c>
      <c r="C146">
        <f ca="1"/>
        <v>46071.416666666599</v>
      </c>
      <c r="D146">
        <f ca="1"/>
        <v>102.5</v>
      </c>
      <c r="E146" t="str">
        <f ca="1"/>
        <v>MXN</v>
      </c>
      <c r="F146" t="str">
        <f ca="1"/>
        <v>Jose Ignacio Martinez Flemate</v>
      </c>
      <c r="G146" t="str">
        <f ca="1"/>
        <v>OXXOSAN ANTONIO 17 MEX CUAUTITLAN EM MEX</v>
      </c>
      <c r="H146" t="str">
        <f ca="1"/>
        <v>Oxxosan Antonio 17 Mex Cuautitlan Em Mex</v>
      </c>
      <c r="I146" t="str">
        <f ca="1"/>
        <v>Transaction cost</v>
      </c>
      <c r="J146" t="str">
        <f ca="1"/>
        <v>COMIDA   PO2165 - ENSAMBLE UF/CEB MECANICO</v>
      </c>
      <c r="K146" t="str">
        <f ca="1"/>
        <v>.</v>
      </c>
      <c r="L146" t="str">
        <f ca="1">VLOOKUP(B146,[1]Total!$B:$Q,16,0)</f>
        <v>173.01.002 Gastos por inspecciones de calidad</v>
      </c>
      <c r="M146">
        <f t="shared" ca="1" si="5"/>
        <v>102.5</v>
      </c>
      <c r="N146" t="str">
        <f t="shared" ca="1" si="6"/>
        <v xml:space="preserve">Jose Ignacio Martinez Flemate OXXOSAN ANTONIO 17 MEX CUAUTITLAN EM MEX Oxxosan Antonio 17 Mex Cuautitlan Em Mex Transaction cost COMIDA   PO2165 - ENSAMBLE UF/CEB MECANICO . </v>
      </c>
    </row>
    <row r="147" spans="1:14">
      <c r="A147" t="str">
        <f ca="1"/>
        <v>TRX1508</v>
      </c>
      <c r="B147" t="str">
        <f ca="1"/>
        <v>#8</v>
      </c>
      <c r="C147">
        <f ca="1"/>
        <v>46072.417361111096</v>
      </c>
      <c r="D147">
        <f ca="1"/>
        <v>23.5</v>
      </c>
      <c r="E147" t="str">
        <f ca="1"/>
        <v>MXN</v>
      </c>
      <c r="F147" t="str">
        <f ca="1"/>
        <v>Jose Ignacio Martinez Flemate</v>
      </c>
      <c r="G147" t="str">
        <f ca="1"/>
        <v>OXXOSAN ANTONIO 17 MEX CUAUTITLAN EM MEX</v>
      </c>
      <c r="H147" t="str">
        <f ca="1"/>
        <v>Oxxosan Antonio 17 Mex Cuautitlan Em Mex</v>
      </c>
      <c r="I147" t="str">
        <f ca="1"/>
        <v>Transaction cost</v>
      </c>
      <c r="J147" t="str">
        <f ca="1"/>
        <v>COMIDA   PO2165 - ENSAMBLE UF/CEB MECANICO</v>
      </c>
      <c r="K147" t="str">
        <f ca="1"/>
        <v>.</v>
      </c>
      <c r="L147" t="str">
        <f ca="1">VLOOKUP(B147,[1]Total!$B:$Q,16,0)</f>
        <v>173.01.002 Gastos por inspecciones de calidad</v>
      </c>
      <c r="M147">
        <f t="shared" ca="1" si="5"/>
        <v>23.5</v>
      </c>
      <c r="N147" t="str">
        <f t="shared" ca="1" si="6"/>
        <v xml:space="preserve">Jose Ignacio Martinez Flemate OXXOSAN ANTONIO 17 MEX CUAUTITLAN EM MEX Oxxosan Antonio 17 Mex Cuautitlan Em Mex Transaction cost COMIDA   PO2165 - ENSAMBLE UF/CEB MECANICO . </v>
      </c>
    </row>
    <row r="148" spans="1:14">
      <c r="A148" t="str">
        <f ca="1"/>
        <v>TRX1931</v>
      </c>
      <c r="B148" t="str">
        <f ca="1"/>
        <v>#8</v>
      </c>
      <c r="C148">
        <f ca="1"/>
        <v>46073.416666666599</v>
      </c>
      <c r="D148">
        <f ca="1"/>
        <v>129</v>
      </c>
      <c r="E148" t="str">
        <f ca="1"/>
        <v>MXN</v>
      </c>
      <c r="F148" t="str">
        <f ca="1"/>
        <v>Jose Ignacio Martinez Flemate</v>
      </c>
      <c r="G148" t="str">
        <f ca="1"/>
        <v>CLIP MX*TDA LAMINAS Y  CUAUTITLAN    MEX</v>
      </c>
      <c r="H148" t="str">
        <f ca="1"/>
        <v>Clip Mx Tda Laminas Y Cuautitlan Mex</v>
      </c>
      <c r="I148" t="str">
        <f ca="1"/>
        <v>Transaction cost</v>
      </c>
      <c r="J148" t="str">
        <f ca="1"/>
        <v>INSUMOS PARA PRUEBA DE ADHEDRENCIA  PO2165 - ENSAMBLE UF/CEB MECANICO</v>
      </c>
      <c r="K148" t="str">
        <f ca="1"/>
        <v>.</v>
      </c>
      <c r="L148" t="str">
        <f ca="1">VLOOKUP(B148,[1]Total!$B:$Q,16,0)</f>
        <v>173.01.002 Gastos por inspecciones de calidad</v>
      </c>
      <c r="M148">
        <f t="shared" ca="1" si="5"/>
        <v>129</v>
      </c>
      <c r="N148" t="str">
        <f t="shared" ca="1" si="6"/>
        <v xml:space="preserve">Jose Ignacio Martinez Flemate CLIP MX*TDA LAMINAS Y  CUAUTITLAN    MEX Clip Mx Tda Laminas Y Cuautitlan Mex Transaction cost INSUMOS PARA PRUEBA DE ADHEDRENCIA  PO2165 - ENSAMBLE UF/CEB MECANICO . </v>
      </c>
    </row>
    <row r="149" spans="1:14">
      <c r="A149" t="str">
        <f ca="1"/>
        <v>TRX1513</v>
      </c>
      <c r="B149" t="str">
        <f ca="1"/>
        <v>#8</v>
      </c>
      <c r="C149">
        <f ca="1"/>
        <v>46073.416666666599</v>
      </c>
      <c r="D149">
        <f ca="1"/>
        <v>1376</v>
      </c>
      <c r="E149" t="str">
        <f ca="1"/>
        <v>MXN</v>
      </c>
      <c r="F149" t="str">
        <f ca="1"/>
        <v>Jose Ignacio Martinez Flemate</v>
      </c>
      <c r="G149" t="str">
        <f ca="1"/>
        <v>HOME DEPOT             CUAUTITLAN IZ MEX</v>
      </c>
      <c r="H149" t="str">
        <f ca="1"/>
        <v>The Home Depot</v>
      </c>
      <c r="I149" t="str">
        <f ca="1"/>
        <v>Transaction cost</v>
      </c>
      <c r="J149" t="str">
        <f ca="1"/>
        <v>EPP E INSUMOS PARA PRUEBA DE ESPESORES DE PINTURA PO2165 - ENSAMBLE UF/CEB MECANICO</v>
      </c>
      <c r="K149" t="str">
        <f ca="1"/>
        <v>.</v>
      </c>
      <c r="L149" t="str">
        <f ca="1">VLOOKUP(B149,[1]Total!$B:$Q,16,0)</f>
        <v>173.01.002 Gastos por inspecciones de calidad</v>
      </c>
      <c r="M149">
        <f t="shared" ca="1" si="5"/>
        <v>1376</v>
      </c>
      <c r="N149" t="str">
        <f t="shared" ca="1" si="6"/>
        <v xml:space="preserve">Jose Ignacio Martinez Flemate HOME DEPOT             CUAUTITLAN IZ MEX The Home Depot Transaction cost EPP E INSUMOS PARA PRUEBA DE ESPESORES DE PINTURA PO2165 - ENSAMBLE UF/CEB MECANICO . </v>
      </c>
    </row>
    <row r="150" spans="1:14">
      <c r="A150" t="str">
        <f ca="1"/>
        <v>TRX1826</v>
      </c>
      <c r="B150" t="str">
        <f ca="1"/>
        <v>#8</v>
      </c>
      <c r="C150">
        <f ca="1"/>
        <v>46073.417361111096</v>
      </c>
      <c r="D150">
        <f ca="1"/>
        <v>48.5</v>
      </c>
      <c r="E150" t="str">
        <f ca="1"/>
        <v>MXN</v>
      </c>
      <c r="F150" t="str">
        <f ca="1"/>
        <v>Jose Ignacio Martinez Flemate</v>
      </c>
      <c r="G150" t="str">
        <f ca="1"/>
        <v>OXXOSAN ANTONIO 17 MEX CUAUTITLAN EM MEX</v>
      </c>
      <c r="H150" t="str">
        <f ca="1"/>
        <v>Oxxosan Antonio 17 Mex Cuautitlan Em Mex</v>
      </c>
      <c r="I150" t="str">
        <f ca="1"/>
        <v>Transaction cost</v>
      </c>
      <c r="J150" t="str">
        <f ca="1"/>
        <v>COMIDA   PO2165 - ENSAMBLE UF/CEB MECANICO</v>
      </c>
      <c r="K150" t="str">
        <f ca="1"/>
        <v>.</v>
      </c>
      <c r="L150" t="str">
        <f ca="1">VLOOKUP(B150,[1]Total!$B:$Q,16,0)</f>
        <v>173.01.002 Gastos por inspecciones de calidad</v>
      </c>
      <c r="M150">
        <f t="shared" ca="1" si="5"/>
        <v>48.5</v>
      </c>
      <c r="N150" t="str">
        <f t="shared" ca="1" si="6"/>
        <v xml:space="preserve">Jose Ignacio Martinez Flemate OXXOSAN ANTONIO 17 MEX CUAUTITLAN EM MEX Oxxosan Antonio 17 Mex Cuautitlan Em Mex Transaction cost COMIDA   PO2165 - ENSAMBLE UF/CEB MECANICO . </v>
      </c>
    </row>
    <row r="151" spans="1:14">
      <c r="A151" t="str">
        <f ca="1"/>
        <v>TRX2030</v>
      </c>
      <c r="B151" t="str">
        <f ca="1"/>
        <v>#8</v>
      </c>
      <c r="C151">
        <f ca="1"/>
        <v>46073.417361111096</v>
      </c>
      <c r="D151">
        <f ca="1"/>
        <v>1946</v>
      </c>
      <c r="E151" t="str">
        <f ca="1"/>
        <v>MXN</v>
      </c>
      <c r="F151" t="str">
        <f ca="1"/>
        <v>Jose Ignacio Martinez Flemate</v>
      </c>
      <c r="G151" t="str">
        <f ca="1"/>
        <v>REST 2 LA JEFA         CUAUTITLAN EM MEX</v>
      </c>
      <c r="H151" t="str">
        <f ca="1"/>
        <v>Rest 2 La Jefa Cuautitlan Em Mex</v>
      </c>
      <c r="I151" t="str">
        <f ca="1"/>
        <v>Transaction cost</v>
      </c>
      <c r="J151" t="str">
        <f ca="1"/>
        <v>COMIDA - CENA VISITA A CAMI / VISITA DE CALIDAD VEOLIA PO2165 - ENSAMBLE UF/CEB MECANICO</v>
      </c>
      <c r="K151" t="str">
        <f ca="1"/>
        <v>.</v>
      </c>
      <c r="L151" t="str">
        <f ca="1">VLOOKUP(B151,[1]Total!$B:$Q,16,0)</f>
        <v>173.01.002 Gastos por inspecciones de calidad</v>
      </c>
      <c r="M151">
        <f t="shared" ca="1" si="5"/>
        <v>1946</v>
      </c>
      <c r="N151" t="str">
        <f t="shared" ca="1" si="6"/>
        <v xml:space="preserve">Jose Ignacio Martinez Flemate REST 2 LA JEFA         CUAUTITLAN EM MEX Rest 2 La Jefa Cuautitlan Em Mex Transaction cost COMIDA - CENA VISITA A CAMI / VISITA DE CALIDAD VEOLIA PO2165 - ENSAMBLE UF/CEB MECANICO . </v>
      </c>
    </row>
    <row r="152" spans="1:14">
      <c r="A152" t="str">
        <f ca="1"/>
        <v>TRX1117</v>
      </c>
      <c r="B152" t="str">
        <f ca="1"/>
        <v>#8</v>
      </c>
      <c r="C152">
        <f ca="1"/>
        <v>46074.416666666599</v>
      </c>
      <c r="D152">
        <f ca="1"/>
        <v>781.02</v>
      </c>
      <c r="E152" t="str">
        <f ca="1"/>
        <v>MXN</v>
      </c>
      <c r="F152" t="str">
        <f ca="1"/>
        <v>Jose Ignacio Martinez Flemate</v>
      </c>
      <c r="G152" t="str">
        <f ca="1"/>
        <v>EST DE SERV EUL GUZ    TECAMAC EM    MEX</v>
      </c>
      <c r="H152" t="str">
        <f ca="1"/>
        <v>Est De Serv Eul Guz Tecamac Em Mex</v>
      </c>
      <c r="I152" t="str">
        <f ca="1"/>
        <v>Transaction cost</v>
      </c>
      <c r="J152" t="str">
        <f ca="1"/>
        <v>GASOLINA VISITA A CAMI PO2165 - ENSAMBLE UF/CEB MECANICO</v>
      </c>
      <c r="K152" t="str">
        <f ca="1"/>
        <v>.</v>
      </c>
      <c r="L152" t="str">
        <f ca="1">VLOOKUP(B152,[1]Total!$B:$Q,16,0)</f>
        <v>173.01.002 Gastos por inspecciones de calidad</v>
      </c>
      <c r="M152">
        <f t="shared" ca="1" si="5"/>
        <v>781.02</v>
      </c>
      <c r="N152" t="str">
        <f t="shared" ca="1" si="6"/>
        <v xml:space="preserve">Jose Ignacio Martinez Flemate EST DE SERV EUL GUZ    TECAMAC EM    MEX Est De Serv Eul Guz Tecamac Em Mex Transaction cost GASOLINA VISITA A CAMI PO2165 - ENSAMBLE UF/CEB MECANICO . </v>
      </c>
    </row>
    <row r="153" spans="1:14">
      <c r="A153" t="str">
        <f ca="1"/>
        <v>TRX1127</v>
      </c>
      <c r="B153" t="str">
        <f ca="1"/>
        <v>#8</v>
      </c>
      <c r="C153">
        <f ca="1"/>
        <v>46074.416666666599</v>
      </c>
      <c r="D153">
        <f ca="1"/>
        <v>1510</v>
      </c>
      <c r="E153" t="str">
        <f ca="1"/>
        <v>MXN</v>
      </c>
      <c r="F153" t="str">
        <f ca="1"/>
        <v>Jose Ignacio Martinez Flemate</v>
      </c>
      <c r="G153" t="str">
        <f ca="1"/>
        <v>MERCADOPAGO *PASE      MIGUEL HIDALG MEX</v>
      </c>
      <c r="H153" t="str">
        <f ca="1"/>
        <v>Mercadopago</v>
      </c>
      <c r="I153" t="str">
        <f ca="1"/>
        <v>Transaction cost</v>
      </c>
      <c r="J153" t="str">
        <f ca="1"/>
        <v>CASETAS VISITA VISITA A ESCATO PO2165 - ENSAMBLE UF/CEB MECANICO</v>
      </c>
      <c r="K153" t="str">
        <f ca="1"/>
        <v>.</v>
      </c>
      <c r="L153" t="str">
        <f ca="1">VLOOKUP(B153,[1]Total!$B:$Q,16,0)</f>
        <v>173.01.002 Gastos por inspecciones de calidad</v>
      </c>
      <c r="M153">
        <f t="shared" ca="1" si="5"/>
        <v>1510</v>
      </c>
      <c r="N153" t="str">
        <f t="shared" ca="1" si="6"/>
        <v xml:space="preserve">Jose Ignacio Martinez Flemate MERCADOPAGO *PASE      MIGUEL HIDALG MEX Mercadopago Transaction cost CASETAS VISITA VISITA A ESCATO PO2165 - ENSAMBLE UF/CEB MECANICO . </v>
      </c>
    </row>
    <row r="154" spans="1:14">
      <c r="A154" t="str">
        <f ca="1"/>
        <v>TRX1085</v>
      </c>
      <c r="B154" t="str">
        <f ca="1"/>
        <v>#8</v>
      </c>
      <c r="C154">
        <f ca="1"/>
        <v>46074.416666666599</v>
      </c>
      <c r="D154">
        <f ca="1"/>
        <v>115</v>
      </c>
      <c r="E154" t="str">
        <f ca="1"/>
        <v>MXN</v>
      </c>
      <c r="F154" t="str">
        <f ca="1"/>
        <v>Jose Ignacio Martinez Flemate</v>
      </c>
      <c r="G154" t="str">
        <f ca="1"/>
        <v>MERCADOPAGO *COMLOSOL  Tecamac       MEX</v>
      </c>
      <c r="H154" t="str">
        <f ca="1"/>
        <v>Mercadopago</v>
      </c>
      <c r="I154" t="str">
        <f ca="1"/>
        <v>Transaction cost</v>
      </c>
      <c r="J154" t="str">
        <f ca="1"/>
        <v>CENA   PO2165 - ENSAMBLE UF/CEB MECANICO</v>
      </c>
      <c r="K154" t="str">
        <f ca="1"/>
        <v>.</v>
      </c>
      <c r="L154" t="str">
        <f ca="1">VLOOKUP(B154,[1]Total!$B:$Q,16,0)</f>
        <v>173.01.002 Gastos por inspecciones de calidad</v>
      </c>
      <c r="M154">
        <f t="shared" ca="1" si="5"/>
        <v>115</v>
      </c>
      <c r="N154" t="str">
        <f t="shared" ca="1" si="6"/>
        <v xml:space="preserve">Jose Ignacio Martinez Flemate MERCADOPAGO *COMLOSOL  Tecamac       MEX Mercadopago Transaction cost CENA   PO2165 - ENSAMBLE UF/CEB MECANICO . </v>
      </c>
    </row>
    <row r="155" spans="1:14">
      <c r="A155" t="str">
        <f ca="1"/>
        <v>TRX1075</v>
      </c>
      <c r="B155" t="str">
        <f ca="1"/>
        <v>#8</v>
      </c>
      <c r="C155">
        <f ca="1"/>
        <v>46075.417361111096</v>
      </c>
      <c r="D155">
        <f ca="1"/>
        <v>55</v>
      </c>
      <c r="E155" t="str">
        <f ca="1"/>
        <v>MXN</v>
      </c>
      <c r="F155" t="str">
        <f ca="1"/>
        <v>Jose Ignacio Martinez Flemate</v>
      </c>
      <c r="G155" t="str">
        <f ca="1"/>
        <v>DLO*Uber               CDMX          MEX</v>
      </c>
      <c r="H155" t="str">
        <f ca="1"/>
        <v>Uber</v>
      </c>
      <c r="I155" t="str">
        <f ca="1"/>
        <v>Transaction cost</v>
      </c>
      <c r="J155" t="str">
        <f ca="1"/>
        <v>CASETAS POR VISITA A CAMI (NO CIRCULA) PO2165 - ENSAMBLE UF/CEB MECANICO</v>
      </c>
      <c r="K155" t="str">
        <f ca="1"/>
        <v>.</v>
      </c>
      <c r="L155" t="str">
        <f ca="1">VLOOKUP(B155,[1]Total!$B:$Q,16,0)</f>
        <v>173.01.002 Gastos por inspecciones de calidad</v>
      </c>
      <c r="M155">
        <f t="shared" ca="1" si="5"/>
        <v>55</v>
      </c>
      <c r="N155" t="str">
        <f t="shared" ca="1" si="6"/>
        <v xml:space="preserve">Jose Ignacio Martinez Flemate DLO*Uber               CDMX          MEX Uber Transaction cost CASETAS POR VISITA A CAMI (NO CIRCULA) PO2165 - ENSAMBLE UF/CEB MECANICO . </v>
      </c>
    </row>
    <row r="156" spans="1:14">
      <c r="A156" t="str">
        <f ca="1"/>
        <v>TRX1078</v>
      </c>
      <c r="B156" t="str">
        <f ca="1"/>
        <v>#8</v>
      </c>
      <c r="C156">
        <f ca="1"/>
        <v>46075.417361111096</v>
      </c>
      <c r="D156">
        <f ca="1"/>
        <v>182</v>
      </c>
      <c r="E156" t="str">
        <f ca="1"/>
        <v>MXN</v>
      </c>
      <c r="F156" t="str">
        <f ca="1"/>
        <v>Jose Ignacio Martinez Flemate</v>
      </c>
      <c r="G156" t="str">
        <f ca="1"/>
        <v>DLO*Uber               CDMX          MEX</v>
      </c>
      <c r="H156" t="str">
        <f ca="1"/>
        <v>Uber</v>
      </c>
      <c r="I156" t="str">
        <f ca="1"/>
        <v>Transaction cost</v>
      </c>
      <c r="J156" t="str">
        <f ca="1"/>
        <v>CASETAS POR VISITA A CAMI (NO CIRCULA) PO2165 - ENSAMBLE UF/CEB MECANICO</v>
      </c>
      <c r="K156" t="str">
        <f ca="1"/>
        <v>.</v>
      </c>
      <c r="L156" t="str">
        <f ca="1">VLOOKUP(B156,[1]Total!$B:$Q,16,0)</f>
        <v>173.01.002 Gastos por inspecciones de calidad</v>
      </c>
      <c r="M156">
        <f t="shared" ca="1" si="5"/>
        <v>182</v>
      </c>
      <c r="N156" t="str">
        <f t="shared" ca="1" si="6"/>
        <v xml:space="preserve">Jose Ignacio Martinez Flemate DLO*Uber               CDMX          MEX Uber Transaction cost CASETAS POR VISITA A CAMI (NO CIRCULA) PO2165 - ENSAMBLE UF/CEB MECANICO . </v>
      </c>
    </row>
    <row r="157" spans="1:14">
      <c r="A157" t="str">
        <f ca="1"/>
        <v>TRX1244</v>
      </c>
      <c r="B157" t="str">
        <f ca="1"/>
        <v>#9</v>
      </c>
      <c r="C157">
        <f ca="1"/>
        <v>46058.416666666599</v>
      </c>
      <c r="D157">
        <f ca="1"/>
        <v>700</v>
      </c>
      <c r="E157" t="str">
        <f ca="1"/>
        <v>MXN</v>
      </c>
      <c r="F157" t="str">
        <f ca="1"/>
        <v>Jose Maria Garcia Hernandez</v>
      </c>
      <c r="G157" t="str">
        <f ca="1"/>
        <v>GASOLINERIA ES 06254   HUIXQUILUCAN  MEX</v>
      </c>
      <c r="H157" t="str">
        <f ca="1"/>
        <v>Gasolineria Es Huixquilucan Mex</v>
      </c>
      <c r="I157" t="str">
        <f ca="1"/>
        <v>Sales</v>
      </c>
      <c r="J157" t="str">
        <f ca="1"/>
        <v xml:space="preserve">Vuelo Mty Grupo GI </v>
      </c>
      <c r="K157" t="str">
        <f ca="1"/>
        <v>.</v>
      </c>
      <c r="L157" t="str">
        <f ca="1">VLOOKUP(B157,[1]Total!$B:$Q,16,0)</f>
        <v>603.81.006 Gastos Administativos de venta</v>
      </c>
      <c r="M157">
        <f t="shared" ca="1" si="5"/>
        <v>700</v>
      </c>
      <c r="N157" t="str">
        <f t="shared" ca="1" si="6"/>
        <v xml:space="preserve">Jose Maria Garcia Hernandez GASOLINERIA ES 06254   HUIXQUILUCAN  MEX Gasolineria Es Huixquilucan Mex Sales Vuelo Mty Grupo GI  . </v>
      </c>
    </row>
    <row r="158" spans="1:14">
      <c r="A158" t="str">
        <f ca="1"/>
        <v>TRX1237</v>
      </c>
      <c r="B158" t="str">
        <f ca="1"/>
        <v>#9</v>
      </c>
      <c r="C158">
        <f ca="1"/>
        <v>46058.416666666599</v>
      </c>
      <c r="D158">
        <f ca="1"/>
        <v>210</v>
      </c>
      <c r="E158" t="str">
        <f ca="1"/>
        <v>MXN</v>
      </c>
      <c r="F158" t="str">
        <f ca="1"/>
        <v>Jose Maria Garcia Hernandez</v>
      </c>
      <c r="G158" t="str">
        <f ca="1"/>
        <v>MERCADOPAGO *PASE      MIGUEL HIDALG MEX</v>
      </c>
      <c r="H158" t="str">
        <f ca="1"/>
        <v>Mercadopago</v>
      </c>
      <c r="I158" t="str">
        <f ca="1"/>
        <v>Sales</v>
      </c>
      <c r="J158" t="str">
        <f ca="1"/>
        <v>Comida 2KDC</v>
      </c>
      <c r="K158" t="str">
        <f ca="1"/>
        <v>.</v>
      </c>
      <c r="L158" t="str">
        <f ca="1">VLOOKUP(B158,[1]Total!$B:$Q,16,0)</f>
        <v>603.81.006 Gastos Administativos de venta</v>
      </c>
      <c r="M158">
        <f t="shared" ca="1" si="5"/>
        <v>210</v>
      </c>
      <c r="N158" t="str">
        <f t="shared" ca="1" si="6"/>
        <v xml:space="preserve">Jose Maria Garcia Hernandez MERCADOPAGO *PASE      MIGUEL HIDALG MEX Mercadopago Sales Comida 2KDC . </v>
      </c>
    </row>
    <row r="159" spans="1:14">
      <c r="A159" t="str">
        <f ca="1"/>
        <v>TRX1346</v>
      </c>
      <c r="B159" t="str">
        <f ca="1"/>
        <v>#9</v>
      </c>
      <c r="C159">
        <f ca="1"/>
        <v>46060.416666666599</v>
      </c>
      <c r="D159">
        <f ca="1"/>
        <v>510</v>
      </c>
      <c r="E159" t="str">
        <f ca="1"/>
        <v>MXN</v>
      </c>
      <c r="F159" t="str">
        <f ca="1"/>
        <v>Jose Maria Garcia Hernandez</v>
      </c>
      <c r="G159" t="str">
        <f ca="1"/>
        <v>MERCADOPAGO *PASE      MIGUEL HIDALG MEX</v>
      </c>
      <c r="H159" t="str">
        <f ca="1"/>
        <v>Mercadopago</v>
      </c>
      <c r="I159" t="str">
        <f ca="1"/>
        <v>Sales</v>
      </c>
      <c r="J159" t="str">
        <f ca="1"/>
        <v xml:space="preserve">TAG </v>
      </c>
      <c r="K159" t="str">
        <f ca="1"/>
        <v>.</v>
      </c>
      <c r="L159" t="str">
        <f ca="1">VLOOKUP(B159,[1]Total!$B:$Q,16,0)</f>
        <v>603.81.006 Gastos Administativos de venta</v>
      </c>
      <c r="M159">
        <f t="shared" ca="1" si="5"/>
        <v>510</v>
      </c>
      <c r="N159" t="str">
        <f t="shared" ca="1" si="6"/>
        <v xml:space="preserve">Jose Maria Garcia Hernandez MERCADOPAGO *PASE      MIGUEL HIDALG MEX Mercadopago Sales TAG  . </v>
      </c>
    </row>
    <row r="160" spans="1:14">
      <c r="A160" t="str">
        <f ca="1"/>
        <v>TRX1435</v>
      </c>
      <c r="B160" t="str">
        <f ca="1"/>
        <v>#9</v>
      </c>
      <c r="C160">
        <f ca="1"/>
        <v>46063.416666666599</v>
      </c>
      <c r="D160">
        <f ca="1"/>
        <v>810</v>
      </c>
      <c r="E160" t="str">
        <f ca="1"/>
        <v>MXN</v>
      </c>
      <c r="F160" t="str">
        <f ca="1"/>
        <v>Jose Maria Garcia Hernandez</v>
      </c>
      <c r="G160" t="str">
        <f ca="1"/>
        <v>MERCADOPAGO *PASE      MIGUEL HIDALG MEX</v>
      </c>
      <c r="H160" t="str">
        <f ca="1"/>
        <v>Mercadopago</v>
      </c>
      <c r="I160" t="str">
        <f ca="1"/>
        <v>Sales</v>
      </c>
      <c r="J160" t="str">
        <f ca="1"/>
        <v>TAXI MTY</v>
      </c>
      <c r="K160" t="str">
        <f ca="1"/>
        <v>.</v>
      </c>
      <c r="L160" t="str">
        <f ca="1">VLOOKUP(B160,[1]Total!$B:$Q,16,0)</f>
        <v>603.81.006 Gastos Administativos de venta</v>
      </c>
      <c r="M160">
        <f t="shared" ca="1" si="5"/>
        <v>810</v>
      </c>
      <c r="N160" t="str">
        <f t="shared" ca="1" si="6"/>
        <v xml:space="preserve">Jose Maria Garcia Hernandez MERCADOPAGO *PASE      MIGUEL HIDALG MEX Mercadopago Sales TAXI MTY . </v>
      </c>
    </row>
    <row r="161" spans="1:14">
      <c r="A161" t="str">
        <f ca="1"/>
        <v>TRX1018</v>
      </c>
      <c r="B161" t="str">
        <f ca="1"/>
        <v>#9</v>
      </c>
      <c r="C161">
        <f ca="1"/>
        <v>46067.416666666599</v>
      </c>
      <c r="D161">
        <f ca="1"/>
        <v>3777</v>
      </c>
      <c r="E161" t="str">
        <f ca="1"/>
        <v>MXN</v>
      </c>
      <c r="F161" t="str">
        <f ca="1"/>
        <v>Jose Maria Garcia Hernandez</v>
      </c>
      <c r="G161" t="str">
        <f ca="1"/>
        <v>FISHERS HOUSE SATELITE NAUCALPAN DE  MEX</v>
      </c>
      <c r="H161" t="str">
        <f ca="1"/>
        <v>Fishers House Satelite Naucalpan De Mex</v>
      </c>
      <c r="I161" t="str">
        <f ca="1"/>
        <v>Sales</v>
      </c>
      <c r="J161" t="str">
        <f ca="1"/>
        <v>Desayuno con Fabian de grupo GI</v>
      </c>
      <c r="K161" t="str">
        <f ca="1"/>
        <v>.</v>
      </c>
      <c r="L161" t="str">
        <f ca="1">VLOOKUP(B161,[1]Total!$B:$Q,16,0)</f>
        <v>603.81.006 Gastos Administativos de venta</v>
      </c>
      <c r="M161">
        <f t="shared" ca="1" si="5"/>
        <v>3777</v>
      </c>
      <c r="N161" t="str">
        <f t="shared" ca="1" si="6"/>
        <v xml:space="preserve">Jose Maria Garcia Hernandez FISHERS HOUSE SATELITE NAUCALPAN DE  MEX Fishers House Satelite Naucalpan De Mex Sales Desayuno con Fabian de grupo GI . </v>
      </c>
    </row>
    <row r="162" spans="1:14">
      <c r="A162" t="str">
        <f ca="1"/>
        <v>TRX1166</v>
      </c>
      <c r="B162" t="str">
        <f ca="1"/>
        <v>#9</v>
      </c>
      <c r="C162">
        <f ca="1"/>
        <v>46072.417361111096</v>
      </c>
      <c r="D162">
        <f ca="1"/>
        <v>500</v>
      </c>
      <c r="E162" t="str">
        <f ca="1"/>
        <v>MXN</v>
      </c>
      <c r="F162" t="str">
        <f ca="1"/>
        <v>Jose Maria Garcia Hernandez</v>
      </c>
      <c r="G162" t="str">
        <f ca="1"/>
        <v>GASOL VALERO LOMALINDA CIUDAD DE MEX MEX</v>
      </c>
      <c r="H162" t="str">
        <f ca="1"/>
        <v>Gasol Valero Lomalinda Ciudad De Mex Mex</v>
      </c>
      <c r="I162" t="str">
        <f ca="1"/>
        <v>Sales</v>
      </c>
      <c r="J162" t="str">
        <f ca="1"/>
        <v xml:space="preserve">Hotel mty </v>
      </c>
      <c r="K162" t="str">
        <f ca="1"/>
        <v>.</v>
      </c>
      <c r="L162" t="str">
        <f ca="1">VLOOKUP(B162,[1]Total!$B:$Q,16,0)</f>
        <v>603.81.006 Gastos Administativos de venta</v>
      </c>
      <c r="M162">
        <f t="shared" ca="1" si="5"/>
        <v>500</v>
      </c>
      <c r="N162" t="str">
        <f t="shared" ca="1" si="6"/>
        <v xml:space="preserve">Jose Maria Garcia Hernandez GASOL VALERO LOMALINDA CIUDAD DE MEX MEX Gasol Valero Lomalinda Ciudad De Mex Mex Sales Hotel mty  . </v>
      </c>
    </row>
    <row r="163" spans="1:14">
      <c r="A163" t="str">
        <f ca="1"/>
        <v>TRX1070</v>
      </c>
      <c r="B163" t="str">
        <f ca="1"/>
        <v>#9</v>
      </c>
      <c r="C163">
        <f ca="1"/>
        <v>46072.417361111096</v>
      </c>
      <c r="D163">
        <f ca="1"/>
        <v>1432.9</v>
      </c>
      <c r="E163" t="str">
        <f ca="1"/>
        <v>MXN</v>
      </c>
      <c r="F163" t="str">
        <f ca="1"/>
        <v>Jose Maria Garcia Hernandez</v>
      </c>
      <c r="G163" t="str">
        <f ca="1"/>
        <v>REST SLIDERS           CIUDAD DE MEX MEX</v>
      </c>
      <c r="H163" t="str">
        <f ca="1"/>
        <v>Rest Sliders Ciudad De Mex Mex</v>
      </c>
      <c r="I163" t="str">
        <f ca="1"/>
        <v>Sales</v>
      </c>
      <c r="J163" t="str">
        <f ca="1"/>
        <v>Uber</v>
      </c>
      <c r="K163" t="str">
        <f ca="1"/>
        <v>.</v>
      </c>
      <c r="L163" t="str">
        <f ca="1">VLOOKUP(B163,[1]Total!$B:$Q,16,0)</f>
        <v>603.81.006 Gastos Administativos de venta</v>
      </c>
      <c r="M163">
        <f t="shared" ca="1" si="5"/>
        <v>1432.9</v>
      </c>
      <c r="N163" t="str">
        <f t="shared" ca="1" si="6"/>
        <v xml:space="preserve">Jose Maria Garcia Hernandez REST SLIDERS           CIUDAD DE MEX MEX Rest Sliders Ciudad De Mex Mex Sales Uber . </v>
      </c>
    </row>
    <row r="164" spans="1:14">
      <c r="A164" t="str">
        <f ca="1"/>
        <v>TRX1413</v>
      </c>
      <c r="B164" t="str">
        <f ca="1"/>
        <v>#9</v>
      </c>
      <c r="C164">
        <f ca="1"/>
        <v>46074.416666666599</v>
      </c>
      <c r="D164">
        <f ca="1"/>
        <v>1555.95</v>
      </c>
      <c r="E164" t="str">
        <f ca="1"/>
        <v>MXN</v>
      </c>
      <c r="F164" t="str">
        <f ca="1"/>
        <v>Jose Maria Garcia Hernandez</v>
      </c>
      <c r="G164" t="str">
        <f ca="1"/>
        <v>LE PAIN QUOTIDIEN      CIUDAD DE MEX MEX</v>
      </c>
      <c r="H164" t="str">
        <f ca="1"/>
        <v>Le Pain Quotidien</v>
      </c>
      <c r="I164" t="str">
        <f ca="1"/>
        <v>Sales</v>
      </c>
      <c r="J164" t="str">
        <f ca="1"/>
        <v>Comida Mty viatico</v>
      </c>
      <c r="K164" t="str">
        <f ca="1"/>
        <v>.</v>
      </c>
      <c r="L164" t="str">
        <f ca="1">VLOOKUP(B164,[1]Total!$B:$Q,16,0)</f>
        <v>603.81.006 Gastos Administativos de venta</v>
      </c>
      <c r="M164">
        <f t="shared" ca="1" si="5"/>
        <v>1555.95</v>
      </c>
      <c r="N164" t="str">
        <f t="shared" ca="1" si="6"/>
        <v xml:space="preserve">Jose Maria Garcia Hernandez LE PAIN QUOTIDIEN      CIUDAD DE MEX MEX Le Pain Quotidien Sales Comida Mty viatico . </v>
      </c>
    </row>
    <row r="165" spans="1:14">
      <c r="A165" t="str">
        <f ca="1"/>
        <v>TRX1132</v>
      </c>
      <c r="B165" t="str">
        <f ca="1"/>
        <v>#9</v>
      </c>
      <c r="C165">
        <f ca="1"/>
        <v>46078.416666666599</v>
      </c>
      <c r="D165">
        <f ca="1"/>
        <v>500</v>
      </c>
      <c r="E165" t="str">
        <f ca="1"/>
        <v>MXN</v>
      </c>
      <c r="F165" t="str">
        <f ca="1"/>
        <v>Jose Maria Garcia Hernandez</v>
      </c>
      <c r="G165" t="str">
        <f ca="1"/>
        <v>GASOL VEVEGA           HUIXQUILUCAN  MEX</v>
      </c>
      <c r="H165" t="str">
        <f ca="1"/>
        <v>Gasol Vevega Huixquilucan Mex</v>
      </c>
      <c r="I165" t="str">
        <f ca="1"/>
        <v>Sales</v>
      </c>
      <c r="J165" t="str">
        <f ca="1"/>
        <v>uber</v>
      </c>
      <c r="K165" t="str">
        <f ca="1"/>
        <v>.</v>
      </c>
      <c r="L165" t="str">
        <f ca="1">VLOOKUP(B165,[1]Total!$B:$Q,16,0)</f>
        <v>603.81.006 Gastos Administativos de venta</v>
      </c>
      <c r="M165">
        <f t="shared" ca="1" si="5"/>
        <v>500</v>
      </c>
      <c r="N165" t="str">
        <f t="shared" ca="1" si="6"/>
        <v xml:space="preserve">Jose Maria Garcia Hernandez GASOL VEVEGA           HUIXQUILUCAN  MEX Gasol Vevega Huixquilucan Mex Sales uber . </v>
      </c>
    </row>
    <row r="166" spans="1:14">
      <c r="A166" t="str">
        <f ca="1"/>
        <v>TRX1627</v>
      </c>
      <c r="B166" t="str">
        <f ca="1"/>
        <v>#13</v>
      </c>
      <c r="C166">
        <f ca="1"/>
        <v>46060.416666666599</v>
      </c>
      <c r="D166">
        <f ca="1"/>
        <v>99.93</v>
      </c>
      <c r="E166" t="str">
        <f ca="1"/>
        <v>MXN</v>
      </c>
      <c r="F166" t="str">
        <f ca="1"/>
        <v>Miguel De Lascurain</v>
      </c>
      <c r="G166" t="str">
        <f ca="1"/>
        <v>UBER *TRIP HELP.UBER.C CMX           MEX</v>
      </c>
      <c r="H166" t="str">
        <f ca="1"/>
        <v>Uber</v>
      </c>
      <c r="I166" t="str">
        <f ca="1"/>
        <v>Sales</v>
      </c>
      <c r="J166" t="str">
        <f ca="1"/>
        <v>Update de casetas: ida hacia comida Onest</v>
      </c>
      <c r="K166" t="str">
        <f ca="1"/>
        <v>NA</v>
      </c>
      <c r="L166" t="str">
        <f ca="1">VLOOKUP(B166,[1]Total!$B:$Q,16,0)</f>
        <v>603.81.006 Gastos Administativos de venta</v>
      </c>
      <c r="M166">
        <f t="shared" ca="1" si="5"/>
        <v>99.93</v>
      </c>
      <c r="N166" t="str">
        <f t="shared" ca="1" si="6"/>
        <v xml:space="preserve">Miguel De Lascurain UBER *TRIP HELP.UBER.C CMX           MEX Uber Sales Update de casetas: ida hacia comida Onest NA </v>
      </c>
    </row>
    <row r="167" spans="1:14">
      <c r="A167" t="str">
        <f ca="1"/>
        <v>TRX1801</v>
      </c>
      <c r="B167" t="str">
        <f ca="1"/>
        <v>#13</v>
      </c>
      <c r="C167">
        <f ca="1"/>
        <v>46060.416666666599</v>
      </c>
      <c r="D167">
        <f ca="1"/>
        <v>60.13</v>
      </c>
      <c r="E167" t="str">
        <f ca="1"/>
        <v>MXN</v>
      </c>
      <c r="F167" t="str">
        <f ca="1"/>
        <v>Miguel De Lascurain</v>
      </c>
      <c r="G167" t="str">
        <f ca="1"/>
        <v>UBER *TRIP HELP.UBER.C CMX           MEX</v>
      </c>
      <c r="H167" t="str">
        <f ca="1"/>
        <v>Uber</v>
      </c>
      <c r="I167" t="str">
        <f ca="1"/>
        <v>Sales</v>
      </c>
      <c r="J167" t="str">
        <f ca="1"/>
        <v>Update de casetas: regreso desde comida Onest</v>
      </c>
      <c r="K167" t="str">
        <f ca="1"/>
        <v>NA</v>
      </c>
      <c r="L167" t="str">
        <f ca="1">VLOOKUP(B167,[1]Total!$B:$Q,16,0)</f>
        <v>603.81.006 Gastos Administativos de venta</v>
      </c>
      <c r="M167">
        <f t="shared" ca="1" si="5"/>
        <v>60.13</v>
      </c>
      <c r="N167" t="str">
        <f t="shared" ca="1" si="6"/>
        <v xml:space="preserve">Miguel De Lascurain UBER *TRIP HELP.UBER.C CMX           MEX Uber Sales Update de casetas: regreso desde comida Onest NA </v>
      </c>
    </row>
    <row r="168" spans="1:14">
      <c r="A168" t="str">
        <f ca="1"/>
        <v>TRX1290</v>
      </c>
      <c r="B168" t="str">
        <f ca="1"/>
        <v>#13</v>
      </c>
      <c r="C168">
        <f ca="1"/>
        <v>46066.417361111096</v>
      </c>
      <c r="D168">
        <f ca="1"/>
        <v>1298.3499999999999</v>
      </c>
      <c r="E168" t="str">
        <f ca="1"/>
        <v>MXN</v>
      </c>
      <c r="F168" t="str">
        <f ca="1"/>
        <v>Miguel De Lascurain</v>
      </c>
      <c r="G168" t="str">
        <f ca="1"/>
        <v>REST MACA Y LOLO SA DE CIUDAD DE MEX MEX</v>
      </c>
      <c r="H168" t="str">
        <f ca="1"/>
        <v>Rest Maca Y Lolo Sa De Ciudad De Mex Mex</v>
      </c>
      <c r="I168" t="str">
        <f ca="1"/>
        <v>Sales</v>
      </c>
      <c r="J168" t="str">
        <f ca="1"/>
        <v>Comida Cliente. Asistentes:
- Mariela Martínez (Gaya)
- Kenia Durán (Gaya)
- Miguel de Lascurain (Prima)
- Alfonso Bello (Prima)</v>
      </c>
      <c r="K168" t="str">
        <f ca="1"/>
        <v>8787B2CF-A15D-4633-8ACA-5D36673EEA82103181561770853649271</v>
      </c>
      <c r="L168" t="str">
        <f ca="1">VLOOKUP(B168,[1]Total!$B:$Q,16,0)</f>
        <v>603.81.006 Gastos Administativos de venta</v>
      </c>
      <c r="M168">
        <f t="shared" ca="1" si="5"/>
        <v>1298.3499999999999</v>
      </c>
      <c r="N168" t="str">
        <f t="shared" ca="1" si="6"/>
        <v xml:space="preserve">Miguel De Lascurain REST MACA Y LOLO SA DE CIUDAD DE MEX MEX Rest Maca Y Lolo Sa De Ciudad De Mex Mex Sales Comida Cliente. Asistentes:
- Mariela Martínez (Gaya)
- Kenia Durán (Gaya)
- Miguel de Lascurain (Prima)
- Alfonso Bello (Prima) 8787B2CF-A15D-4633-8ACA-5D36673EEA82103181561770853649271 </v>
      </c>
    </row>
    <row r="169" spans="1:14">
      <c r="A169" t="str">
        <f ca="1"/>
        <v>TRX1187</v>
      </c>
      <c r="B169" t="str">
        <f ca="1"/>
        <v>#13</v>
      </c>
      <c r="C169">
        <f ca="1"/>
        <v>46067.417361111096</v>
      </c>
      <c r="D169">
        <f ca="1"/>
        <v>1834.25</v>
      </c>
      <c r="E169" t="str">
        <f ca="1"/>
        <v>MXN</v>
      </c>
      <c r="F169" t="str">
        <f ca="1"/>
        <v>Miguel De Lascurain</v>
      </c>
      <c r="G169" t="str">
        <f ca="1"/>
        <v>REST ESTIATORIO NOSTOS CIUDAD DE MEX MEX</v>
      </c>
      <c r="H169" t="str">
        <f ca="1"/>
        <v>Rest Estiatorio Nostos Ciudad De Mex Mex</v>
      </c>
      <c r="I169" t="str">
        <f ca="1"/>
        <v>Sales</v>
      </c>
      <c r="J169" t="str">
        <f ca="1"/>
        <v>Comida Cliente. Asistentes:
- Mariano García (Plexo)
- Miguel de Lascurain (Prima)</v>
      </c>
      <c r="K169" t="str">
        <f ca="1"/>
        <v>18D35FF7-B120-4B07-8A58-A31600016077103297401771006817878</v>
      </c>
      <c r="L169" t="str">
        <f ca="1">VLOOKUP(B169,[1]Total!$B:$Q,16,0)</f>
        <v>603.81.006 Gastos Administativos de venta</v>
      </c>
      <c r="M169">
        <f t="shared" ca="1" si="5"/>
        <v>1834.25</v>
      </c>
      <c r="N169" t="str">
        <f t="shared" ca="1" si="6"/>
        <v xml:space="preserve">Miguel De Lascurain REST ESTIATORIO NOSTOS CIUDAD DE MEX MEX Rest Estiatorio Nostos Ciudad De Mex Mex Sales Comida Cliente. Asistentes:
- Mariano García (Plexo)
- Miguel de Lascurain (Prima) 18D35FF7-B120-4B07-8A58-A31600016077103297401771006817878 </v>
      </c>
    </row>
    <row r="170" spans="1:14">
      <c r="A170" t="str">
        <f ca="1"/>
        <v>TRX1558</v>
      </c>
      <c r="B170" t="str">
        <f ca="1"/>
        <v>#13</v>
      </c>
      <c r="C170">
        <f ca="1"/>
        <v>46071.417361111096</v>
      </c>
      <c r="D170">
        <f ca="1"/>
        <v>3966</v>
      </c>
      <c r="E170" t="str">
        <f ca="1"/>
        <v>MXN</v>
      </c>
      <c r="F170" t="str">
        <f ca="1"/>
        <v>Miguel De Lascurain</v>
      </c>
      <c r="G170" t="str">
        <f ca="1"/>
        <v>REST CARMELA Y SAL     CIUDAD DE MEX MEX</v>
      </c>
      <c r="H170" t="str">
        <f ca="1"/>
        <v>Rest Carmela Y Sal Ciudad De Mex Mex</v>
      </c>
      <c r="I170" t="str">
        <f ca="1"/>
        <v>Office expenses</v>
      </c>
      <c r="J170" t="str">
        <f ca="1"/>
        <v>Comida trimestral Engineering. Asistentes:
- Eduardo González
- Daniel Rojas
- Jorge Peña
- Tonancy Isidoro
- Ernesto Anaya
- Miguel de Lascurain</v>
      </c>
      <c r="K170" t="str">
        <f ca="1"/>
        <v>84520D68-07C5-4274-B4CE-85FC8AA3612A103599061771628471541</v>
      </c>
      <c r="L170" t="str">
        <f ca="1">VLOOKUP(B170,[1]Total!$B:$Q,16,0)</f>
        <v>603.81.006 Gastos Administativos de venta</v>
      </c>
      <c r="M170">
        <f t="shared" ca="1" si="5"/>
        <v>3966</v>
      </c>
      <c r="N170" t="str">
        <f t="shared" ca="1" si="6"/>
        <v xml:space="preserve">Miguel De Lascurain REST CARMELA Y SAL     CIUDAD DE MEX MEX Rest Carmela Y Sal Ciudad De Mex Mex Office expenses Comida trimestral Engineering. Asistentes:
- Eduardo González
- Daniel Rojas
- Jorge Peña
- Tonancy Isidoro
- Ernesto Anaya
- Miguel de Lascurain 84520D68-07C5-4274-B4CE-85FC8AA3612A103599061771628471541 </v>
      </c>
    </row>
    <row r="171" spans="1:14" hidden="1">
      <c r="A171" t="str">
        <f ca="1"/>
        <v>#N/A</v>
      </c>
      <c r="B171">
        <f ca="1"/>
        <v>0</v>
      </c>
      <c r="C171">
        <f ca="1"/>
        <v>0</v>
      </c>
      <c r="D171" t="str">
        <f ca="1"/>
        <v>#N/A</v>
      </c>
      <c r="E171" t="str">
        <f ca="1"/>
        <v>#N/A</v>
      </c>
      <c r="F171" t="str">
        <f ca="1"/>
        <v>#N/A</v>
      </c>
      <c r="G171" t="str">
        <f ca="1"/>
        <v>#N/A</v>
      </c>
      <c r="H171">
        <f ca="1"/>
        <v>0</v>
      </c>
      <c r="I171">
        <f ca="1"/>
        <v>0</v>
      </c>
      <c r="J171">
        <f ca="1"/>
        <v>0</v>
      </c>
      <c r="K171">
        <f ca="1"/>
        <v>0</v>
      </c>
      <c r="L171" t="e">
        <f ca="1">VLOOKUP(B171,[1]Total!$B:$Q,16,0)</f>
        <v>#N/A</v>
      </c>
      <c r="M171" t="str">
        <f t="shared" ca="1" si="5"/>
        <v>#N/A</v>
      </c>
      <c r="N171" t="str">
        <f t="shared" ca="1" si="6"/>
        <v xml:space="preserve">#N/A #N/A 0 0 0 0 </v>
      </c>
    </row>
    <row r="172" spans="1:14" hidden="1">
      <c r="A172" t="str">
        <f ca="1"/>
        <v>#N/A</v>
      </c>
      <c r="B172">
        <f ca="1"/>
        <v>0</v>
      </c>
      <c r="C172">
        <f ca="1"/>
        <v>0</v>
      </c>
      <c r="D172" t="str">
        <f ca="1"/>
        <v>#N/A</v>
      </c>
      <c r="E172" t="str">
        <f ca="1"/>
        <v>#N/A</v>
      </c>
      <c r="F172" t="str">
        <f ca="1"/>
        <v>#N/A</v>
      </c>
      <c r="G172" t="str">
        <f ca="1"/>
        <v>#N/A</v>
      </c>
      <c r="H172">
        <f ca="1"/>
        <v>0</v>
      </c>
      <c r="I172" t="str">
        <f ca="1"/>
        <v/>
      </c>
      <c r="J172">
        <f ca="1"/>
        <v>0</v>
      </c>
      <c r="K172" t="str">
        <f ca="1"/>
        <v>.</v>
      </c>
      <c r="L172" t="e">
        <f ca="1">VLOOKUP(B172,[1]Total!$B:$Q,16,0)</f>
        <v>#N/A</v>
      </c>
      <c r="M172" t="str">
        <f t="shared" ca="1" si="5"/>
        <v>#N/A</v>
      </c>
      <c r="N172" t="str">
        <f t="shared" ca="1" si="6"/>
        <v xml:space="preserve">#N/A #N/A 0  0 . </v>
      </c>
    </row>
    <row r="173" spans="1:14" hidden="1">
      <c r="A173" t="str">
        <f ca="1"/>
        <v>#N/A</v>
      </c>
      <c r="B173">
        <f ca="1"/>
        <v>0</v>
      </c>
      <c r="C173">
        <f ca="1"/>
        <v>0</v>
      </c>
      <c r="D173" t="str">
        <f ca="1"/>
        <v>#N/A</v>
      </c>
      <c r="E173" t="str">
        <f ca="1"/>
        <v>#N/A</v>
      </c>
      <c r="F173" t="str">
        <f ca="1"/>
        <v>#N/A</v>
      </c>
      <c r="G173" t="str">
        <f ca="1"/>
        <v>#N/A</v>
      </c>
      <c r="H173">
        <f ca="1"/>
        <v>0</v>
      </c>
      <c r="I173" t="str">
        <f ca="1"/>
        <v>Transaction cost</v>
      </c>
      <c r="J173" t="str">
        <f ca="1"/>
        <v>RFQ-820 Radio Flyer Compra de muestras</v>
      </c>
      <c r="K173">
        <f ca="1"/>
        <v>0</v>
      </c>
      <c r="L173" t="e">
        <f ca="1">VLOOKUP(B173,[1]Total!$B:$Q,16,0)</f>
        <v>#N/A</v>
      </c>
      <c r="M173" t="str">
        <f t="shared" ca="1" si="5"/>
        <v>#N/A</v>
      </c>
      <c r="N173" t="str">
        <f t="shared" ca="1" si="6"/>
        <v xml:space="preserve">#N/A #N/A 0 Transaction cost RFQ-820 Radio Flyer Compra de muestras 0 </v>
      </c>
    </row>
    <row r="174" spans="1:14">
      <c r="A174" t="str">
        <f ca="1"/>
        <v>TRX1248</v>
      </c>
      <c r="B174" t="str">
        <f ca="1"/>
        <v>#14</v>
      </c>
      <c r="C174">
        <f ca="1"/>
        <v>46058.416666666599</v>
      </c>
      <c r="D174">
        <f ca="1"/>
        <v>10</v>
      </c>
      <c r="E174" t="str">
        <f ca="1"/>
        <v>MXN</v>
      </c>
      <c r="F174" t="str">
        <f ca="1"/>
        <v>Patricio Servitje Azcarraga</v>
      </c>
      <c r="G174" t="str">
        <f ca="1"/>
        <v>UBER *TRIP HELP.UBER.C CMX           MEX</v>
      </c>
      <c r="H174" t="str">
        <f ca="1"/>
        <v>Uber</v>
      </c>
      <c r="I174" t="str">
        <f ca="1"/>
        <v/>
      </c>
      <c r="J174">
        <f ca="1"/>
        <v>0</v>
      </c>
      <c r="K174" t="str">
        <f ca="1"/>
        <v>.</v>
      </c>
      <c r="L174" t="str">
        <f ca="1">VLOOKUP(B174,[1]Total!$B:$Q,16,0)</f>
        <v>603.81.002 Gastos corporativos ND</v>
      </c>
      <c r="M174">
        <f t="shared" ca="1" si="5"/>
        <v>10</v>
      </c>
      <c r="N174" t="str">
        <f t="shared" ca="1" si="6"/>
        <v xml:space="preserve">Patricio Servitje Azcarraga UBER *TRIP HELP.UBER.C CMX           MEX Uber  0 . </v>
      </c>
    </row>
    <row r="175" spans="1:14">
      <c r="A175" t="str">
        <f ca="1"/>
        <v>TRX1201</v>
      </c>
      <c r="B175" t="str">
        <f ca="1"/>
        <v>#14</v>
      </c>
      <c r="C175">
        <f ca="1"/>
        <v>46059.417361111096</v>
      </c>
      <c r="D175">
        <f ca="1"/>
        <v>2939.4</v>
      </c>
      <c r="E175" t="str">
        <f ca="1"/>
        <v>MXN</v>
      </c>
      <c r="F175" t="str">
        <f ca="1"/>
        <v>Patricio Servitje Azcarraga</v>
      </c>
      <c r="G175" t="str">
        <f ca="1"/>
        <v>CLIP MX*REST SAKS POLA MIGUEL HIDALG MEX</v>
      </c>
      <c r="H175" t="str">
        <f ca="1"/>
        <v>Clip Mx Rest Saks Pola Miguel Hidalg Mex</v>
      </c>
      <c r="I175">
        <f ca="1"/>
        <v>0</v>
      </c>
      <c r="J175">
        <f ca="1"/>
        <v>0</v>
      </c>
      <c r="K175" t="str">
        <f ca="1"/>
        <v>.</v>
      </c>
      <c r="L175" t="str">
        <f ca="1">VLOOKUP(B175,[1]Total!$B:$Q,16,0)</f>
        <v>603.81.002 Gastos corporativos ND</v>
      </c>
      <c r="M175">
        <f t="shared" ca="1" si="5"/>
        <v>2939.4</v>
      </c>
      <c r="N175" t="str">
        <f t="shared" ca="1" si="6"/>
        <v xml:space="preserve">Patricio Servitje Azcarraga CLIP MX*REST SAKS POLA MIGUEL HIDALG MEX Clip Mx Rest Saks Pola Miguel Hidalg Mex 0 0 . </v>
      </c>
    </row>
    <row r="176" spans="1:14" hidden="1">
      <c r="A176" t="str">
        <f ca="1"/>
        <v>#N/A</v>
      </c>
      <c r="B176">
        <f ca="1"/>
        <v>0</v>
      </c>
      <c r="C176">
        <f ca="1"/>
        <v>0</v>
      </c>
      <c r="D176" t="str">
        <f ca="1"/>
        <v>#N/A</v>
      </c>
      <c r="E176" t="str">
        <f ca="1"/>
        <v>#N/A</v>
      </c>
      <c r="F176" t="str">
        <f ca="1"/>
        <v>#N/A</v>
      </c>
      <c r="G176" t="str">
        <f ca="1"/>
        <v>#N/A</v>
      </c>
      <c r="H176">
        <f ca="1"/>
        <v>0</v>
      </c>
      <c r="I176" t="str">
        <f ca="1"/>
        <v/>
      </c>
      <c r="J176">
        <f ca="1"/>
        <v>0</v>
      </c>
      <c r="K176" t="str">
        <f ca="1"/>
        <v>.</v>
      </c>
      <c r="L176" t="e">
        <f ca="1">VLOOKUP(B176,[1]Total!$B:$Q,16,0)</f>
        <v>#N/A</v>
      </c>
      <c r="M176" t="str">
        <f t="shared" ca="1" si="5"/>
        <v>#N/A</v>
      </c>
      <c r="N176" t="str">
        <f t="shared" ca="1" si="6"/>
        <v xml:space="preserve">#N/A #N/A 0  0 . </v>
      </c>
    </row>
    <row r="177" spans="1:14" hidden="1">
      <c r="A177" t="str">
        <f ca="1"/>
        <v>#N/A</v>
      </c>
      <c r="B177">
        <f ca="1"/>
        <v>0</v>
      </c>
      <c r="C177">
        <f ca="1"/>
        <v>0</v>
      </c>
      <c r="D177" t="str">
        <f ca="1"/>
        <v>#N/A</v>
      </c>
      <c r="E177" t="str">
        <f ca="1"/>
        <v>#N/A</v>
      </c>
      <c r="F177" t="str">
        <f ca="1"/>
        <v>#N/A</v>
      </c>
      <c r="G177" t="str">
        <f ca="1"/>
        <v>#N/A</v>
      </c>
      <c r="H177">
        <f ca="1"/>
        <v>0</v>
      </c>
      <c r="I177" t="str">
        <f ca="1"/>
        <v>G&amp;A expenses</v>
      </c>
      <c r="J177" t="str">
        <f ca="1"/>
        <v>RFQ HOTELERIA - Aeropuerto T1 (agua)</v>
      </c>
      <c r="K177" t="str">
        <f ca="1"/>
        <v>Solicitada</v>
      </c>
      <c r="L177" t="e">
        <f ca="1">VLOOKUP(B177,[1]Total!$B:$Q,16,0)</f>
        <v>#N/A</v>
      </c>
      <c r="M177" t="str">
        <f t="shared" ca="1" si="5"/>
        <v>#N/A</v>
      </c>
      <c r="N177" t="str">
        <f t="shared" ca="1" si="6"/>
        <v xml:space="preserve">#N/A #N/A 0 G&amp;A expenses RFQ HOTELERIA - Aeropuerto T1 (agua) Solicitada </v>
      </c>
    </row>
    <row r="178" spans="1:14" hidden="1">
      <c r="A178" t="str">
        <f ca="1"/>
        <v>#N/A</v>
      </c>
      <c r="B178">
        <f ca="1"/>
        <v>0</v>
      </c>
      <c r="C178">
        <f ca="1"/>
        <v>0</v>
      </c>
      <c r="D178" t="str">
        <f ca="1"/>
        <v>#N/A</v>
      </c>
      <c r="E178" t="str">
        <f ca="1"/>
        <v>#N/A</v>
      </c>
      <c r="F178" t="str">
        <f ca="1"/>
        <v>#N/A</v>
      </c>
      <c r="G178" t="str">
        <f ca="1"/>
        <v>#N/A</v>
      </c>
      <c r="H178">
        <f ca="1"/>
        <v>0</v>
      </c>
      <c r="I178" t="str">
        <f ca="1"/>
        <v>Transaction cost</v>
      </c>
      <c r="J178" t="str">
        <f ca="1"/>
        <v>PO-620, Seguimiento a fabricación</v>
      </c>
      <c r="K178" t="str">
        <f ca="1"/>
        <v>CLI45903536</v>
      </c>
      <c r="L178" t="e">
        <f ca="1">VLOOKUP(B178,[1]Total!$B:$Q,16,0)</f>
        <v>#N/A</v>
      </c>
      <c r="M178" t="str">
        <f t="shared" ca="1" si="5"/>
        <v>#N/A</v>
      </c>
      <c r="N178" t="str">
        <f t="shared" ca="1" si="6"/>
        <v xml:space="preserve">#N/A #N/A 0 Transaction cost PO-620, Seguimiento a fabricación CLI45903536 </v>
      </c>
    </row>
    <row r="179" spans="1:14">
      <c r="A179" t="str">
        <f ca="1"/>
        <v>TRX1259</v>
      </c>
      <c r="B179" t="str">
        <f ca="1"/>
        <v>#19</v>
      </c>
      <c r="C179">
        <f ca="1"/>
        <v>46058.416666666599</v>
      </c>
      <c r="D179">
        <f ca="1"/>
        <v>99.96</v>
      </c>
      <c r="E179" t="str">
        <f ca="1"/>
        <v>MXN</v>
      </c>
      <c r="F179" t="str">
        <f ca="1"/>
        <v>Daniel Alejandro Castillo Rivera</v>
      </c>
      <c r="G179" t="str">
        <f ca="1"/>
        <v>UBER * PENDING         CMX           MEX</v>
      </c>
      <c r="H179" t="str">
        <f ca="1"/>
        <v>Uber</v>
      </c>
      <c r="I179" t="str">
        <f ca="1"/>
        <v>Transaction cost</v>
      </c>
      <c r="J179" t="str">
        <f ca="1"/>
        <v>PO2023 SIB 99 min</v>
      </c>
      <c r="K179" t="str">
        <f ca="1"/>
        <v>-</v>
      </c>
      <c r="L179" t="str">
        <f ca="1">VLOOKUP(B179,[1]Total!$B:$Q,16,0)</f>
        <v>602.34.002 Gastos por visita tencica</v>
      </c>
      <c r="M179">
        <f t="shared" ca="1" si="5"/>
        <v>99.96</v>
      </c>
      <c r="N179" t="str">
        <f t="shared" ca="1" si="6"/>
        <v xml:space="preserve">Daniel Alejandro Castillo Rivera UBER * PENDING         CMX           MEX Uber Transaction cost PO2023 SIB 99 min - </v>
      </c>
    </row>
    <row r="180" spans="1:14">
      <c r="A180" t="str">
        <f ca="1"/>
        <v>TRX1255</v>
      </c>
      <c r="B180" t="str">
        <f ca="1"/>
        <v>#19</v>
      </c>
      <c r="C180">
        <f ca="1"/>
        <v>46058.416666666599</v>
      </c>
      <c r="D180">
        <f ca="1"/>
        <v>90.25</v>
      </c>
      <c r="E180" t="str">
        <f ca="1"/>
        <v>MXN</v>
      </c>
      <c r="F180" t="str">
        <f ca="1"/>
        <v>Daniel Alejandro Castillo Rivera</v>
      </c>
      <c r="G180" t="str">
        <f ca="1"/>
        <v>UBER *TRIP HELP.UBER.C CMX           MEX</v>
      </c>
      <c r="H180" t="str">
        <f ca="1"/>
        <v>Uber</v>
      </c>
      <c r="I180" t="str">
        <f ca="1"/>
        <v>Transaction cost</v>
      </c>
      <c r="J180" t="str">
        <f ca="1"/>
        <v>PO2023 SIB 99 min</v>
      </c>
      <c r="K180" t="str">
        <f ca="1"/>
        <v>-</v>
      </c>
      <c r="L180" t="str">
        <f ca="1">VLOOKUP(B180,[1]Total!$B:$Q,16,0)</f>
        <v>602.34.002 Gastos por visita tencica</v>
      </c>
      <c r="M180">
        <f t="shared" ca="1" si="5"/>
        <v>90.25</v>
      </c>
      <c r="N180" t="str">
        <f t="shared" ca="1" si="6"/>
        <v xml:space="preserve">Daniel Alejandro Castillo Rivera UBER *TRIP HELP.UBER.C CMX           MEX Uber Transaction cost PO2023 SIB 99 min - </v>
      </c>
    </row>
    <row r="181" spans="1:14">
      <c r="A181" t="str">
        <f ca="1"/>
        <v>TRX1214</v>
      </c>
      <c r="B181" t="str">
        <f ca="1"/>
        <v>#19</v>
      </c>
      <c r="C181">
        <f ca="1"/>
        <v>46058.417361111096</v>
      </c>
      <c r="D181">
        <f ca="1"/>
        <v>213</v>
      </c>
      <c r="E181" t="str">
        <f ca="1"/>
        <v>MXN</v>
      </c>
      <c r="F181" t="str">
        <f ca="1"/>
        <v>Daniel Alejandro Castillo Rivera</v>
      </c>
      <c r="G181" t="str">
        <f ca="1"/>
        <v>POPEYES EULER          CIUDAD DE MEX MEX</v>
      </c>
      <c r="H181" t="str">
        <f ca="1"/>
        <v>Popeyes</v>
      </c>
      <c r="I181" t="str">
        <f ca="1"/>
        <v>Transaction cost</v>
      </c>
      <c r="J181" t="str">
        <f ca="1"/>
        <v>PO2023 SIB 99 min</v>
      </c>
      <c r="K181" t="str">
        <f ca="1"/>
        <v>-</v>
      </c>
      <c r="L181" t="str">
        <f ca="1">VLOOKUP(B181,[1]Total!$B:$Q,16,0)</f>
        <v>602.34.002 Gastos por visita tencica</v>
      </c>
      <c r="M181">
        <f t="shared" ca="1" si="5"/>
        <v>213</v>
      </c>
      <c r="N181" t="str">
        <f t="shared" ca="1" si="6"/>
        <v xml:space="preserve">Daniel Alejandro Castillo Rivera POPEYES EULER          CIUDAD DE MEX MEX Popeyes Transaction cost PO2023 SIB 99 min - </v>
      </c>
    </row>
    <row r="182" spans="1:14">
      <c r="A182" t="str">
        <f ca="1"/>
        <v>TRX1248</v>
      </c>
      <c r="B182" t="str">
        <f ca="1"/>
        <v>#19</v>
      </c>
      <c r="C182">
        <f ca="1"/>
        <v>46064.416666666599</v>
      </c>
      <c r="D182">
        <f ca="1"/>
        <v>329.97</v>
      </c>
      <c r="E182" t="str">
        <f ca="1"/>
        <v>MXN</v>
      </c>
      <c r="F182" t="str">
        <f ca="1"/>
        <v>Daniel Alejandro Castillo Rivera</v>
      </c>
      <c r="G182" t="str">
        <f ca="1"/>
        <v>UBER * PENDING         CMX           MEX</v>
      </c>
      <c r="H182" t="str">
        <f ca="1"/>
        <v>Uber</v>
      </c>
      <c r="I182" t="str">
        <f ca="1"/>
        <v>Transaction cost</v>
      </c>
      <c r="J182" t="str">
        <f ca="1"/>
        <v>PO1953  ARTEVALLEDEBRAVO</v>
      </c>
      <c r="K182" t="str">
        <f ca="1"/>
        <v>-</v>
      </c>
      <c r="L182" t="str">
        <f ca="1">VLOOKUP(B182,[1]Total!$B:$Q,16,0)</f>
        <v>602.34.002 Gastos por visita tencica</v>
      </c>
      <c r="M182">
        <f t="shared" ca="1" si="5"/>
        <v>329.97</v>
      </c>
      <c r="N182" t="str">
        <f t="shared" ca="1" si="6"/>
        <v xml:space="preserve">Daniel Alejandro Castillo Rivera UBER * PENDING         CMX           MEX Uber Transaction cost PO1953  ARTEVALLEDEBRAVO - </v>
      </c>
    </row>
    <row r="183" spans="1:14">
      <c r="A183" t="str">
        <f ca="1"/>
        <v>TRX1279</v>
      </c>
      <c r="B183" t="str">
        <f ca="1"/>
        <v>#19</v>
      </c>
      <c r="C183">
        <f ca="1"/>
        <v>46065.416666666599</v>
      </c>
      <c r="D183">
        <f ca="1"/>
        <v>259.94</v>
      </c>
      <c r="E183" t="str">
        <f ca="1"/>
        <v>MXN</v>
      </c>
      <c r="F183" t="str">
        <f ca="1"/>
        <v>Daniel Alejandro Castillo Rivera</v>
      </c>
      <c r="G183" t="str">
        <f ca="1"/>
        <v>UBER * PENDING         CMX           MEX</v>
      </c>
      <c r="H183" t="str">
        <f ca="1"/>
        <v>Uber</v>
      </c>
      <c r="I183" t="str">
        <f ca="1"/>
        <v>Transaction cost</v>
      </c>
      <c r="J183" t="str">
        <f ca="1"/>
        <v>PO1953  ARTEVALLEDEBRAVO</v>
      </c>
      <c r="K183" t="str">
        <f ca="1"/>
        <v>-</v>
      </c>
      <c r="L183" t="str">
        <f ca="1">VLOOKUP(B183,[1]Total!$B:$Q,16,0)</f>
        <v>602.34.002 Gastos por visita tencica</v>
      </c>
      <c r="M183">
        <f t="shared" ca="1" si="5"/>
        <v>259.94</v>
      </c>
      <c r="N183" t="str">
        <f t="shared" ca="1" si="6"/>
        <v xml:space="preserve">Daniel Alejandro Castillo Rivera UBER * PENDING         CMX           MEX Uber Transaction cost PO1953  ARTEVALLEDEBRAVO - </v>
      </c>
    </row>
    <row r="184" spans="1:14">
      <c r="A184" t="str">
        <f ca="1"/>
        <v>TRX1471</v>
      </c>
      <c r="B184" t="str">
        <f ca="1"/>
        <v>#19</v>
      </c>
      <c r="C184">
        <f ca="1"/>
        <v>46065.416666666599</v>
      </c>
      <c r="D184">
        <f ca="1"/>
        <v>458.24</v>
      </c>
      <c r="E184" t="str">
        <f ca="1"/>
        <v>MXN</v>
      </c>
      <c r="F184" t="str">
        <f ca="1"/>
        <v>Daniel Alejandro Castillo Rivera</v>
      </c>
      <c r="G184" t="str">
        <f ca="1"/>
        <v>UBER * EATS PENDING    CMX           MEX</v>
      </c>
      <c r="H184" t="str">
        <f ca="1"/>
        <v>Uber Eats</v>
      </c>
      <c r="I184" t="str">
        <f ca="1"/>
        <v>Transaction cost</v>
      </c>
      <c r="J184" t="str">
        <f ca="1"/>
        <v>PO1953  ARTEVALLEDEBRAVO</v>
      </c>
      <c r="K184" t="str">
        <f ca="1"/>
        <v>-</v>
      </c>
      <c r="L184" t="str">
        <f ca="1">VLOOKUP(B184,[1]Total!$B:$Q,16,0)</f>
        <v>602.34.002 Gastos por visita tencica</v>
      </c>
      <c r="M184">
        <f t="shared" ca="1" si="5"/>
        <v>458.24</v>
      </c>
      <c r="N184" t="str">
        <f t="shared" ca="1" si="6"/>
        <v xml:space="preserve">Daniel Alejandro Castillo Rivera UBER * EATS PENDING    CMX           MEX Uber Eats Transaction cost PO1953  ARTEVALLEDEBRAVO - </v>
      </c>
    </row>
    <row r="185" spans="1:14">
      <c r="A185" t="str">
        <f ca="1"/>
        <v>TRX1016</v>
      </c>
      <c r="B185" t="str">
        <f ca="1"/>
        <v>#19</v>
      </c>
      <c r="C185">
        <f ca="1"/>
        <v>46065.417361111096</v>
      </c>
      <c r="D185">
        <f ca="1"/>
        <v>85</v>
      </c>
      <c r="E185" t="str">
        <f ca="1"/>
        <v>MXN</v>
      </c>
      <c r="F185" t="str">
        <f ca="1"/>
        <v>Daniel Alejandro Castillo Rivera</v>
      </c>
      <c r="G185" t="str">
        <f ca="1"/>
        <v>CLIP MX*REST TAQUITOS  GUSTAVO A MAD MEX</v>
      </c>
      <c r="H185" t="str">
        <f ca="1"/>
        <v>Clip Mx Rest Taquitos Gustavo A Mad Mex</v>
      </c>
      <c r="I185" t="str">
        <f ca="1"/>
        <v>Transaction cost</v>
      </c>
      <c r="J185" t="str">
        <f ca="1"/>
        <v>PO1953  ARTEVALLEDEBRAVO</v>
      </c>
      <c r="K185" t="str">
        <f ca="1"/>
        <v>-</v>
      </c>
      <c r="L185" t="str">
        <f ca="1">VLOOKUP(B185,[1]Total!$B:$Q,16,0)</f>
        <v>602.34.002 Gastos por visita tencica</v>
      </c>
      <c r="M185">
        <f t="shared" ca="1" si="5"/>
        <v>85</v>
      </c>
      <c r="N185" t="str">
        <f t="shared" ca="1" si="6"/>
        <v xml:space="preserve">Daniel Alejandro Castillo Rivera CLIP MX*REST TAQUITOS  GUSTAVO A MAD MEX Clip Mx Rest Taquitos Gustavo A Mad Mex Transaction cost PO1953  ARTEVALLEDEBRAVO - </v>
      </c>
    </row>
    <row r="186" spans="1:14">
      <c r="A186" t="str">
        <f ca="1"/>
        <v>TRX1354</v>
      </c>
      <c r="B186" t="str">
        <f ca="1"/>
        <v>#19</v>
      </c>
      <c r="C186">
        <f ca="1"/>
        <v>46071.416666666599</v>
      </c>
      <c r="D186">
        <f ca="1"/>
        <v>209.64</v>
      </c>
      <c r="E186" t="str">
        <f ca="1"/>
        <v>MXN</v>
      </c>
      <c r="F186" t="str">
        <f ca="1"/>
        <v>Daniel Alejandro Castillo Rivera</v>
      </c>
      <c r="G186" t="str">
        <f ca="1"/>
        <v>UBER * PENDING         CMX           MEX</v>
      </c>
      <c r="H186" t="str">
        <f ca="1"/>
        <v>Uber</v>
      </c>
      <c r="I186" t="str">
        <f ca="1"/>
        <v>Transaction cost</v>
      </c>
      <c r="J186" t="str">
        <f ca="1"/>
        <v>PO1953  ARTEVALLEDEBRAVO</v>
      </c>
      <c r="K186" t="str">
        <f ca="1"/>
        <v>-</v>
      </c>
      <c r="L186" t="str">
        <f ca="1">VLOOKUP(B186,[1]Total!$B:$Q,16,0)</f>
        <v>602.34.002 Gastos por visita tencica</v>
      </c>
      <c r="M186">
        <f t="shared" ca="1" si="5"/>
        <v>209.64</v>
      </c>
      <c r="N186" t="str">
        <f t="shared" ca="1" si="6"/>
        <v xml:space="preserve">Daniel Alejandro Castillo Rivera UBER * PENDING         CMX           MEX Uber Transaction cost PO1953  ARTEVALLEDEBRAVO - </v>
      </c>
    </row>
    <row r="187" spans="1:14">
      <c r="A187" t="str">
        <f ca="1"/>
        <v>TRX1900</v>
      </c>
      <c r="B187" t="str">
        <f ca="1"/>
        <v>#19</v>
      </c>
      <c r="C187">
        <f ca="1"/>
        <v>46071.416666666599</v>
      </c>
      <c r="D187">
        <f ca="1"/>
        <v>299.95</v>
      </c>
      <c r="E187" t="str">
        <f ca="1"/>
        <v>MXN</v>
      </c>
      <c r="F187" t="str">
        <f ca="1"/>
        <v>Daniel Alejandro Castillo Rivera</v>
      </c>
      <c r="G187" t="str">
        <f ca="1"/>
        <v>DLO*UBER RIDE          CIUDAD DE MEX MEX</v>
      </c>
      <c r="H187" t="str">
        <f ca="1"/>
        <v>Uber</v>
      </c>
      <c r="I187" t="str">
        <f ca="1"/>
        <v>Transaction cost</v>
      </c>
      <c r="J187" t="str">
        <f ca="1"/>
        <v>PO1953  ARTEVALLEDEBRAVO</v>
      </c>
      <c r="K187" t="str">
        <f ca="1"/>
        <v>-</v>
      </c>
      <c r="L187" t="str">
        <f ca="1">VLOOKUP(B187,[1]Total!$B:$Q,16,0)</f>
        <v>602.34.002 Gastos por visita tencica</v>
      </c>
      <c r="M187">
        <f t="shared" ca="1" si="5"/>
        <v>299.95</v>
      </c>
      <c r="N187" t="str">
        <f t="shared" ca="1" si="6"/>
        <v xml:space="preserve">Daniel Alejandro Castillo Rivera DLO*UBER RIDE          CIUDAD DE MEX MEX Uber Transaction cost PO1953  ARTEVALLEDEBRAVO - </v>
      </c>
    </row>
    <row r="188" spans="1:14">
      <c r="A188" t="str">
        <f ca="1"/>
        <v>TRX1567</v>
      </c>
      <c r="B188" t="str">
        <f ca="1"/>
        <v>#19</v>
      </c>
      <c r="C188">
        <f ca="1"/>
        <v>46071.416666666599</v>
      </c>
      <c r="D188">
        <f ca="1"/>
        <v>65.5</v>
      </c>
      <c r="E188" t="str">
        <f ca="1"/>
        <v>MXN</v>
      </c>
      <c r="F188" t="str">
        <f ca="1"/>
        <v>Daniel Alejandro Castillo Rivera</v>
      </c>
      <c r="G188" t="str">
        <f ca="1"/>
        <v>OXXO PONIENTE 116      MEXICO DF     MEX</v>
      </c>
      <c r="H188" t="str">
        <f ca="1"/>
        <v>Oxxo</v>
      </c>
      <c r="I188" t="str">
        <f ca="1"/>
        <v>Transaction cost</v>
      </c>
      <c r="J188" t="str">
        <f ca="1"/>
        <v>PO1953  ARTEVALLEDEBRAVO</v>
      </c>
      <c r="K188" t="str">
        <f ca="1"/>
        <v>-</v>
      </c>
      <c r="L188" t="str">
        <f ca="1">VLOOKUP(B188,[1]Total!$B:$Q,16,0)</f>
        <v>602.34.002 Gastos por visita tencica</v>
      </c>
      <c r="M188">
        <f t="shared" ca="1" si="5"/>
        <v>65.5</v>
      </c>
      <c r="N188" t="str">
        <f t="shared" ca="1" si="6"/>
        <v xml:space="preserve">Daniel Alejandro Castillo Rivera OXXO PONIENTE 116      MEXICO DF     MEX Oxxo Transaction cost PO1953  ARTEVALLEDEBRAVO - </v>
      </c>
    </row>
    <row r="189" spans="1:14">
      <c r="A189" t="str">
        <f ca="1"/>
        <v>TRX1784</v>
      </c>
      <c r="B189" t="str">
        <f ca="1"/>
        <v>#19</v>
      </c>
      <c r="C189">
        <f ca="1"/>
        <v>46071.417361111096</v>
      </c>
      <c r="D189">
        <f ca="1"/>
        <v>258</v>
      </c>
      <c r="E189" t="str">
        <f ca="1"/>
        <v>MXN</v>
      </c>
      <c r="F189" t="str">
        <f ca="1"/>
        <v>Daniel Alejandro Castillo Rivera</v>
      </c>
      <c r="G189" t="str">
        <f ca="1"/>
        <v>KFC 577 TIZAYUCA CON S TIZAYUCA HGO  MEX</v>
      </c>
      <c r="H189" t="str">
        <f ca="1"/>
        <v>Kentucky Fried Chicken</v>
      </c>
      <c r="I189" t="str">
        <f ca="1"/>
        <v>Transaction cost</v>
      </c>
      <c r="J189" t="str">
        <f ca="1"/>
        <v>PO1953  ARTEVALLEDEBRAVO</v>
      </c>
      <c r="K189" t="str">
        <f ca="1"/>
        <v>-</v>
      </c>
      <c r="L189" t="str">
        <f ca="1">VLOOKUP(B189,[1]Total!$B:$Q,16,0)</f>
        <v>602.34.002 Gastos por visita tencica</v>
      </c>
      <c r="M189">
        <f t="shared" ca="1" si="5"/>
        <v>258</v>
      </c>
      <c r="N189" t="str">
        <f t="shared" ca="1" si="6"/>
        <v xml:space="preserve">Daniel Alejandro Castillo Rivera KFC 577 TIZAYUCA CON S TIZAYUCA HGO  MEX Kentucky Fried Chicken Transaction cost PO1953  ARTEVALLEDEBRAVO - </v>
      </c>
    </row>
    <row r="190" spans="1:14">
      <c r="A190" t="str">
        <f ca="1"/>
        <v>TRX1966</v>
      </c>
      <c r="B190" t="str">
        <f ca="1"/>
        <v>#19</v>
      </c>
      <c r="C190">
        <f ca="1"/>
        <v>46072.416666666599</v>
      </c>
      <c r="D190">
        <f ca="1"/>
        <v>629.97</v>
      </c>
      <c r="E190" t="str">
        <f ca="1"/>
        <v>MXN</v>
      </c>
      <c r="F190" t="str">
        <f ca="1"/>
        <v>Daniel Alejandro Castillo Rivera</v>
      </c>
      <c r="G190" t="str">
        <f ca="1"/>
        <v>UBER * PENDING         CMX           MEX</v>
      </c>
      <c r="H190" t="str">
        <f ca="1"/>
        <v>Uber</v>
      </c>
      <c r="I190" t="str">
        <f ca="1"/>
        <v>Transaction cost</v>
      </c>
      <c r="J190" t="str">
        <f ca="1"/>
        <v>PO2165 veolia UFCEB</v>
      </c>
      <c r="K190" t="str">
        <f ca="1"/>
        <v>-</v>
      </c>
      <c r="L190" t="str">
        <f ca="1">VLOOKUP(B190,[1]Total!$B:$Q,16,0)</f>
        <v>602.34.002 Gastos por visita tencica</v>
      </c>
      <c r="M190">
        <f t="shared" ca="1" si="5"/>
        <v>629.97</v>
      </c>
      <c r="N190" t="str">
        <f t="shared" ca="1" si="6"/>
        <v xml:space="preserve">Daniel Alejandro Castillo Rivera UBER * PENDING         CMX           MEX Uber Transaction cost PO2165 veolia UFCEB - </v>
      </c>
    </row>
    <row r="191" spans="1:14">
      <c r="A191" t="str">
        <f ca="1"/>
        <v>TRX1064</v>
      </c>
      <c r="B191" t="str">
        <f ca="1"/>
        <v>#19</v>
      </c>
      <c r="C191">
        <f ca="1"/>
        <v>46073.416666666599</v>
      </c>
      <c r="D191">
        <f ca="1"/>
        <v>224.11</v>
      </c>
      <c r="E191" t="str">
        <f ca="1"/>
        <v>MXN</v>
      </c>
      <c r="F191" t="str">
        <f ca="1"/>
        <v>Daniel Alejandro Castillo Rivera</v>
      </c>
      <c r="G191" t="str">
        <f ca="1"/>
        <v>UBER * PENDING         CMX           MEX</v>
      </c>
      <c r="H191" t="str">
        <f ca="1"/>
        <v>Uber</v>
      </c>
      <c r="I191" t="str">
        <f ca="1"/>
        <v>Transaction cost</v>
      </c>
      <c r="J191" t="str">
        <f ca="1"/>
        <v>PO2165 veolia UFCEB</v>
      </c>
      <c r="K191" t="str">
        <f ca="1"/>
        <v>-</v>
      </c>
      <c r="L191" t="str">
        <f ca="1">VLOOKUP(B191,[1]Total!$B:$Q,16,0)</f>
        <v>602.34.002 Gastos por visita tencica</v>
      </c>
      <c r="M191">
        <f t="shared" ca="1" si="5"/>
        <v>224.11</v>
      </c>
      <c r="N191" t="str">
        <f t="shared" ca="1" si="6"/>
        <v xml:space="preserve">Daniel Alejandro Castillo Rivera UBER * PENDING         CMX           MEX Uber Transaction cost PO2165 veolia UFCEB - </v>
      </c>
    </row>
    <row r="192" spans="1:14">
      <c r="A192" t="str">
        <f ca="1"/>
        <v>TRX1038</v>
      </c>
      <c r="B192" t="str">
        <f ca="1"/>
        <v>#19</v>
      </c>
      <c r="C192">
        <f ca="1"/>
        <v>46073.416666666599</v>
      </c>
      <c r="D192">
        <f ca="1"/>
        <v>209</v>
      </c>
      <c r="E192" t="str">
        <f ca="1"/>
        <v>MXN</v>
      </c>
      <c r="F192" t="str">
        <f ca="1"/>
        <v>Daniel Alejandro Castillo Rivera</v>
      </c>
      <c r="G192" t="str">
        <f ca="1"/>
        <v>MERCADOPAGO *DOSGARDE  Tultitln      MEX</v>
      </c>
      <c r="H192" t="str">
        <f ca="1"/>
        <v>Mercadopago</v>
      </c>
      <c r="I192" t="str">
        <f ca="1"/>
        <v>Transaction cost</v>
      </c>
      <c r="J192" t="str">
        <f ca="1"/>
        <v>PO2165 veolia UFCEB</v>
      </c>
      <c r="K192" t="str">
        <f ca="1"/>
        <v>-</v>
      </c>
      <c r="L192" t="str">
        <f ca="1">VLOOKUP(B192,[1]Total!$B:$Q,16,0)</f>
        <v>602.34.002 Gastos por visita tencica</v>
      </c>
      <c r="M192">
        <f t="shared" ca="1" si="5"/>
        <v>209</v>
      </c>
      <c r="N192" t="str">
        <f t="shared" ca="1" si="6"/>
        <v xml:space="preserve">Daniel Alejandro Castillo Rivera MERCADOPAGO *DOSGARDE  Tultitln      MEX Mercadopago Transaction cost PO2165 veolia UFCEB - </v>
      </c>
    </row>
    <row r="193" spans="1:14">
      <c r="A193" t="str">
        <f ca="1"/>
        <v>TRX1946</v>
      </c>
      <c r="B193" t="str">
        <f ca="1"/>
        <v>#19</v>
      </c>
      <c r="C193">
        <f ca="1"/>
        <v>46073.417361111096</v>
      </c>
      <c r="D193">
        <f ca="1"/>
        <v>89</v>
      </c>
      <c r="E193" t="str">
        <f ca="1"/>
        <v>MXN</v>
      </c>
      <c r="F193" t="str">
        <f ca="1"/>
        <v>Daniel Alejandro Castillo Rivera</v>
      </c>
      <c r="G193" t="str">
        <f ca="1"/>
        <v>OXXOSAN ANTONIO 17 MEX CUAUTITLAN EM MEX</v>
      </c>
      <c r="H193" t="str">
        <f ca="1"/>
        <v>Oxxosan Antonio 17 Mex Cuautitlan Em Mex</v>
      </c>
      <c r="I193" t="str">
        <f ca="1"/>
        <v>Transaction cost</v>
      </c>
      <c r="J193" t="str">
        <f ca="1"/>
        <v>PO2165 veolia UFCEB</v>
      </c>
      <c r="K193" t="str">
        <f ca="1"/>
        <v>-</v>
      </c>
      <c r="L193" t="str">
        <f ca="1">VLOOKUP(B193,[1]Total!$B:$Q,16,0)</f>
        <v>602.34.002 Gastos por visita tencica</v>
      </c>
      <c r="M193">
        <f t="shared" ca="1" si="5"/>
        <v>89</v>
      </c>
      <c r="N193" t="str">
        <f t="shared" ca="1" si="6"/>
        <v xml:space="preserve">Daniel Alejandro Castillo Rivera OXXOSAN ANTONIO 17 MEX CUAUTITLAN EM MEX Oxxosan Antonio 17 Mex Cuautitlan Em Mex Transaction cost PO2165 veolia UFCEB - </v>
      </c>
    </row>
    <row r="194" spans="1:14">
      <c r="A194" t="str">
        <f ca="1"/>
        <v>TRX1169</v>
      </c>
      <c r="B194" t="str">
        <f ca="1"/>
        <v>#19</v>
      </c>
      <c r="C194">
        <f ca="1"/>
        <v>46074.416666666599</v>
      </c>
      <c r="D194">
        <f ca="1"/>
        <v>280.16000000000003</v>
      </c>
      <c r="E194" t="str">
        <f ca="1"/>
        <v>MXN</v>
      </c>
      <c r="F194" t="str">
        <f ca="1"/>
        <v>Daniel Alejandro Castillo Rivera</v>
      </c>
      <c r="G194" t="str">
        <f ca="1"/>
        <v>UBER *TRIP HELP.UBER.C CMX           MEX</v>
      </c>
      <c r="H194" t="str">
        <f ca="1"/>
        <v>Uber</v>
      </c>
      <c r="I194" t="str">
        <f ca="1"/>
        <v>Transaction cost</v>
      </c>
      <c r="J194" t="str">
        <f ca="1"/>
        <v>calibracion rugosimetro CC calidad</v>
      </c>
      <c r="K194" t="str">
        <f ca="1"/>
        <v>-</v>
      </c>
      <c r="L194" t="str">
        <f ca="1">VLOOKUP(B194,[1]Total!$B:$Q,16,0)</f>
        <v>602.34.002 Gastos por visita tencica</v>
      </c>
      <c r="M194">
        <f t="shared" ca="1" si="5"/>
        <v>280.16000000000003</v>
      </c>
      <c r="N194" t="str">
        <f t="shared" ca="1" si="6"/>
        <v xml:space="preserve">Daniel Alejandro Castillo Rivera UBER *TRIP HELP.UBER.C CMX           MEX Uber Transaction cost calibracion rugosimetro CC calidad - </v>
      </c>
    </row>
    <row r="195" spans="1:14">
      <c r="A195" t="str">
        <f ca="1"/>
        <v>TRX1227</v>
      </c>
      <c r="B195" t="str">
        <f ca="1"/>
        <v>#19</v>
      </c>
      <c r="C195">
        <f ca="1"/>
        <v>46074.416666666599</v>
      </c>
      <c r="D195">
        <f ca="1"/>
        <v>280.52999999999997</v>
      </c>
      <c r="E195" t="str">
        <f ca="1"/>
        <v>MXN</v>
      </c>
      <c r="F195" t="str">
        <f ca="1"/>
        <v>Daniel Alejandro Castillo Rivera</v>
      </c>
      <c r="G195" t="str">
        <f ca="1"/>
        <v>UBER * PENDING         CMX           MEX</v>
      </c>
      <c r="H195" t="str">
        <f ca="1"/>
        <v>Uber</v>
      </c>
      <c r="I195" t="str">
        <f ca="1"/>
        <v>Transaction cost</v>
      </c>
      <c r="J195" t="str">
        <f ca="1"/>
        <v>calibracion rugosimetro CC calidad</v>
      </c>
      <c r="K195" t="str">
        <f ca="1"/>
        <v>-</v>
      </c>
      <c r="L195" t="str">
        <f ca="1">VLOOKUP(B195,[1]Total!$B:$Q,16,0)</f>
        <v>602.34.002 Gastos por visita tencica</v>
      </c>
      <c r="M195">
        <f t="shared" ref="M195:M258" ca="1" si="7">D195</f>
        <v>280.52999999999997</v>
      </c>
      <c r="N195" t="str">
        <f t="shared" ref="N195:N258" ca="1" si="8">CONCATENATE(F195," ",G195," ",H195," ",I195," ",J195," ",K195," ")</f>
        <v xml:space="preserve">Daniel Alejandro Castillo Rivera UBER * PENDING         CMX           MEX Uber Transaction cost calibracion rugosimetro CC calidad - </v>
      </c>
    </row>
    <row r="196" spans="1:14">
      <c r="A196" t="str">
        <f ca="1"/>
        <v>TRX1144</v>
      </c>
      <c r="B196" t="str">
        <f ca="1"/>
        <v>#19</v>
      </c>
      <c r="C196">
        <f ca="1"/>
        <v>46074.416666666599</v>
      </c>
      <c r="D196">
        <f ca="1"/>
        <v>259.94</v>
      </c>
      <c r="E196" t="str">
        <f ca="1"/>
        <v>MXN</v>
      </c>
      <c r="F196" t="str">
        <f ca="1"/>
        <v>Daniel Alejandro Castillo Rivera</v>
      </c>
      <c r="G196" t="str">
        <f ca="1"/>
        <v>UBER * PENDING         CMX           MEX</v>
      </c>
      <c r="H196" t="str">
        <f ca="1"/>
        <v>Uber</v>
      </c>
      <c r="I196" t="str">
        <f ca="1"/>
        <v>Transaction cost</v>
      </c>
      <c r="J196" t="str">
        <f ca="1"/>
        <v>PO1953  ARTEVALLEDEBRAVO</v>
      </c>
      <c r="K196" t="str">
        <f ca="1"/>
        <v>-</v>
      </c>
      <c r="L196" t="str">
        <f ca="1">VLOOKUP(B196,[1]Total!$B:$Q,16,0)</f>
        <v>602.34.002 Gastos por visita tencica</v>
      </c>
      <c r="M196">
        <f t="shared" ca="1" si="7"/>
        <v>259.94</v>
      </c>
      <c r="N196" t="str">
        <f t="shared" ca="1" si="8"/>
        <v xml:space="preserve">Daniel Alejandro Castillo Rivera UBER * PENDING         CMX           MEX Uber Transaction cost PO1953  ARTEVALLEDEBRAVO - </v>
      </c>
    </row>
    <row r="197" spans="1:14">
      <c r="A197" t="str">
        <f ca="1"/>
        <v>TRX1069</v>
      </c>
      <c r="B197" t="str">
        <f ca="1"/>
        <v>#19</v>
      </c>
      <c r="C197">
        <f ca="1"/>
        <v>46075.416666666599</v>
      </c>
      <c r="D197">
        <f ca="1"/>
        <v>76.5</v>
      </c>
      <c r="E197" t="str">
        <f ca="1"/>
        <v>MXN</v>
      </c>
      <c r="F197" t="str">
        <f ca="1"/>
        <v>Daniel Alejandro Castillo Rivera</v>
      </c>
      <c r="G197" t="str">
        <f ca="1"/>
        <v>OXXO PONIENTE 116      MEXICO DF     MEX</v>
      </c>
      <c r="H197" t="str">
        <f ca="1"/>
        <v>Oxxo</v>
      </c>
      <c r="I197" t="str">
        <f ca="1"/>
        <v>Transaction cost</v>
      </c>
      <c r="J197" t="str">
        <f ca="1"/>
        <v>PO1953  ARTEVALLEDEBRAVO</v>
      </c>
      <c r="K197" t="str">
        <f ca="1"/>
        <v>-</v>
      </c>
      <c r="L197" t="str">
        <f ca="1">VLOOKUP(B197,[1]Total!$B:$Q,16,0)</f>
        <v>602.34.002 Gastos por visita tencica</v>
      </c>
      <c r="M197">
        <f t="shared" ca="1" si="7"/>
        <v>76.5</v>
      </c>
      <c r="N197" t="str">
        <f t="shared" ca="1" si="8"/>
        <v xml:space="preserve">Daniel Alejandro Castillo Rivera OXXO PONIENTE 116      MEXICO DF     MEX Oxxo Transaction cost PO1953  ARTEVALLEDEBRAVO - </v>
      </c>
    </row>
    <row r="198" spans="1:14">
      <c r="A198" t="str">
        <f ca="1"/>
        <v>TRX1073</v>
      </c>
      <c r="B198" t="str">
        <f ca="1"/>
        <v>#19</v>
      </c>
      <c r="C198">
        <f ca="1"/>
        <v>46075.417361111096</v>
      </c>
      <c r="D198">
        <f ca="1"/>
        <v>319.95</v>
      </c>
      <c r="E198" t="str">
        <f ca="1"/>
        <v>MXN</v>
      </c>
      <c r="F198" t="str">
        <f ca="1"/>
        <v>Daniel Alejandro Castillo Rivera</v>
      </c>
      <c r="G198" t="str">
        <f ca="1"/>
        <v>DLO*Uber               CDMX          MEX</v>
      </c>
      <c r="H198" t="str">
        <f ca="1"/>
        <v>Uber</v>
      </c>
      <c r="I198" t="str">
        <f ca="1"/>
        <v>Transaction cost</v>
      </c>
      <c r="J198" t="str">
        <f ca="1"/>
        <v>PO1953  ARTEVALLEDEBRAVO</v>
      </c>
      <c r="K198" t="str">
        <f ca="1"/>
        <v>-</v>
      </c>
      <c r="L198" t="str">
        <f ca="1">VLOOKUP(B198,[1]Total!$B:$Q,16,0)</f>
        <v>602.34.002 Gastos por visita tencica</v>
      </c>
      <c r="M198">
        <f t="shared" ca="1" si="7"/>
        <v>319.95</v>
      </c>
      <c r="N198" t="str">
        <f t="shared" ca="1" si="8"/>
        <v xml:space="preserve">Daniel Alejandro Castillo Rivera DLO*Uber               CDMX          MEX Uber Transaction cost PO1953  ARTEVALLEDEBRAVO - </v>
      </c>
    </row>
    <row r="199" spans="1:14">
      <c r="A199" t="str">
        <f ca="1"/>
        <v>TRX1085</v>
      </c>
      <c r="B199" t="str">
        <f ca="1"/>
        <v>#19</v>
      </c>
      <c r="C199">
        <f ca="1"/>
        <v>46075.417361111096</v>
      </c>
      <c r="D199">
        <f ca="1"/>
        <v>416.9</v>
      </c>
      <c r="E199" t="str">
        <f ca="1"/>
        <v>MXN</v>
      </c>
      <c r="F199" t="str">
        <f ca="1"/>
        <v>Daniel Alejandro Castillo Rivera</v>
      </c>
      <c r="G199" t="str">
        <f ca="1"/>
        <v>SUSHIROLL              HUIXQUILUCAN  MEX</v>
      </c>
      <c r="H199" t="str">
        <f ca="1"/>
        <v>Sushiroll Huixquilucan Mex</v>
      </c>
      <c r="I199" t="str">
        <f ca="1"/>
        <v>Transaction cost</v>
      </c>
      <c r="J199" t="str">
        <f ca="1"/>
        <v>PO1953  ARTEVALLEDEBRAVO</v>
      </c>
      <c r="K199" t="str">
        <f ca="1"/>
        <v>-</v>
      </c>
      <c r="L199" t="str">
        <f ca="1">VLOOKUP(B199,[1]Total!$B:$Q,16,0)</f>
        <v>602.34.002 Gastos por visita tencica</v>
      </c>
      <c r="M199">
        <f t="shared" ca="1" si="7"/>
        <v>416.9</v>
      </c>
      <c r="N199" t="str">
        <f t="shared" ca="1" si="8"/>
        <v xml:space="preserve">Daniel Alejandro Castillo Rivera SUSHIROLL              HUIXQUILUCAN  MEX Sushiroll Huixquilucan Mex Transaction cost PO1953  ARTEVALLEDEBRAVO - </v>
      </c>
    </row>
    <row r="200" spans="1:14">
      <c r="A200" t="str">
        <f ca="1"/>
        <v>TRX1152</v>
      </c>
      <c r="B200" t="str">
        <f ca="1"/>
        <v>#19</v>
      </c>
      <c r="C200">
        <f ca="1"/>
        <v>46078.416666666599</v>
      </c>
      <c r="D200">
        <f ca="1"/>
        <v>266</v>
      </c>
      <c r="E200" t="str">
        <f ca="1"/>
        <v>MXN</v>
      </c>
      <c r="F200" t="str">
        <f ca="1"/>
        <v>Daniel Alejandro Castillo Rivera</v>
      </c>
      <c r="G200" t="str">
        <f ca="1"/>
        <v>DLO*UBER RIDE          CIUDAD DE MEX MEX</v>
      </c>
      <c r="H200" t="str">
        <f ca="1"/>
        <v>Uber</v>
      </c>
      <c r="I200" t="str">
        <f ca="1"/>
        <v>Transaction cost</v>
      </c>
      <c r="J200" t="str">
        <f ca="1"/>
        <v>PO2165 veolia UFCEB</v>
      </c>
      <c r="K200" t="str">
        <f ca="1"/>
        <v>-</v>
      </c>
      <c r="L200" t="str">
        <f ca="1">VLOOKUP(B200,[1]Total!$B:$Q,16,0)</f>
        <v>602.34.002 Gastos por visita tencica</v>
      </c>
      <c r="M200">
        <f t="shared" ca="1" si="7"/>
        <v>266</v>
      </c>
      <c r="N200" t="str">
        <f t="shared" ca="1" si="8"/>
        <v xml:space="preserve">Daniel Alejandro Castillo Rivera DLO*UBER RIDE          CIUDAD DE MEX MEX Uber Transaction cost PO2165 veolia UFCEB - </v>
      </c>
    </row>
    <row r="201" spans="1:14">
      <c r="A201" t="str">
        <f ca="1"/>
        <v>TRX1190</v>
      </c>
      <c r="B201" t="str">
        <f ca="1"/>
        <v>#19</v>
      </c>
      <c r="C201">
        <f ca="1"/>
        <v>46079.416666666599</v>
      </c>
      <c r="D201">
        <f ca="1"/>
        <v>852.17</v>
      </c>
      <c r="E201" t="str">
        <f ca="1"/>
        <v>MXN</v>
      </c>
      <c r="F201" t="str">
        <f ca="1"/>
        <v>Daniel Alejandro Castillo Rivera</v>
      </c>
      <c r="G201" t="str">
        <f ca="1"/>
        <v>DHL MONTE ATHOS        CIUDAD DE MEX MEX</v>
      </c>
      <c r="H201" t="str">
        <f ca="1"/>
        <v>DHL</v>
      </c>
      <c r="I201" t="str">
        <f ca="1"/>
        <v>Transaction cost</v>
      </c>
      <c r="J201" t="str">
        <f ca="1"/>
        <v>PO4573 escaleras y barandales</v>
      </c>
      <c r="K201" t="str">
        <f ca="1"/>
        <v>F4445FC1-D14F-4669-BB6B-F5BD1EBC1D19</v>
      </c>
      <c r="L201" t="str">
        <f ca="1">VLOOKUP(B201,[1]Total!$B:$Q,16,0)</f>
        <v>602.34.002 Gastos por visita tencica</v>
      </c>
      <c r="M201">
        <f t="shared" ca="1" si="7"/>
        <v>852.17</v>
      </c>
      <c r="N201" t="str">
        <f t="shared" ca="1" si="8"/>
        <v xml:space="preserve">Daniel Alejandro Castillo Rivera DHL MONTE ATHOS        CIUDAD DE MEX MEX DHL Transaction cost PO4573 escaleras y barandales F4445FC1-D14F-4669-BB6B-F5BD1EBC1D19 </v>
      </c>
    </row>
    <row r="202" spans="1:14">
      <c r="A202" t="str">
        <f ca="1"/>
        <v>TRX1251</v>
      </c>
      <c r="B202" t="str">
        <f ca="1"/>
        <v>#19</v>
      </c>
      <c r="C202">
        <f ca="1"/>
        <v>46080.417361111096</v>
      </c>
      <c r="D202">
        <f ca="1"/>
        <v>288.18</v>
      </c>
      <c r="E202" t="str">
        <f ca="1"/>
        <v>USD</v>
      </c>
      <c r="F202" t="str">
        <f ca="1"/>
        <v>Daniel Alejandro Castillo Rivera</v>
      </c>
      <c r="G202" t="str">
        <f ca="1"/>
        <v>3DEXPERIENCE DASSAULT  WALTHAM       USA</v>
      </c>
      <c r="H202" t="str">
        <f ca="1"/>
        <v>3dexperience Dassault Waltham USA</v>
      </c>
      <c r="I202" t="str">
        <f ca="1"/>
        <v>Tech&amp;Product</v>
      </c>
      <c r="J202" t="str">
        <f ca="1"/>
        <v>licencia solid works</v>
      </c>
      <c r="K202" t="str">
        <f ca="1"/>
        <v>-</v>
      </c>
      <c r="L202" t="str">
        <f ca="1">VLOOKUP(B202,[1]Total!$B:$Q,16,0)</f>
        <v>602.34.002 Gastos por visita tencica</v>
      </c>
      <c r="M202">
        <f t="shared" ca="1" si="7"/>
        <v>288.18</v>
      </c>
      <c r="N202" t="str">
        <f t="shared" ca="1" si="8"/>
        <v xml:space="preserve">Daniel Alejandro Castillo Rivera 3DEXPERIENCE DASSAULT  WALTHAM       USA 3dexperience Dassault Waltham USA Tech&amp;Product licencia solid works - </v>
      </c>
    </row>
    <row r="203" spans="1:14">
      <c r="A203" t="str">
        <f ca="1"/>
        <v>TRX1257</v>
      </c>
      <c r="B203" t="str">
        <f ca="1"/>
        <v>#19</v>
      </c>
      <c r="C203">
        <f ca="1"/>
        <v>46081.416666666599</v>
      </c>
      <c r="D203">
        <f ca="1"/>
        <v>160</v>
      </c>
      <c r="E203" t="str">
        <f ca="1"/>
        <v>MXN</v>
      </c>
      <c r="F203" t="str">
        <f ca="1"/>
        <v>Daniel Alejandro Castillo Rivera</v>
      </c>
      <c r="G203" t="str">
        <f ca="1"/>
        <v>MERCADOPAGO *TAMALESY  Tizayuca      MEX</v>
      </c>
      <c r="H203" t="str">
        <f ca="1"/>
        <v>Mercadopago</v>
      </c>
      <c r="I203" t="str">
        <f ca="1"/>
        <v>Transaction cost</v>
      </c>
      <c r="J203" t="str">
        <f ca="1"/>
        <v>PO1953  ARTEVALLEDEBRAVO</v>
      </c>
      <c r="K203" t="str">
        <f ca="1"/>
        <v>-</v>
      </c>
      <c r="L203" t="str">
        <f ca="1">VLOOKUP(B203,[1]Total!$B:$Q,16,0)</f>
        <v>602.34.002 Gastos por visita tencica</v>
      </c>
      <c r="M203">
        <f t="shared" ca="1" si="7"/>
        <v>160</v>
      </c>
      <c r="N203" t="str">
        <f t="shared" ca="1" si="8"/>
        <v xml:space="preserve">Daniel Alejandro Castillo Rivera MERCADOPAGO *TAMALESY  Tizayuca      MEX Mercadopago Transaction cost PO1953  ARTEVALLEDEBRAVO - </v>
      </c>
    </row>
    <row r="204" spans="1:14">
      <c r="A204" t="str">
        <f ca="1"/>
        <v>TRX1258</v>
      </c>
      <c r="B204" t="str">
        <f ca="1"/>
        <v>#19</v>
      </c>
      <c r="C204">
        <f ca="1"/>
        <v>46081.416666666599</v>
      </c>
      <c r="D204">
        <f ca="1"/>
        <v>279.95</v>
      </c>
      <c r="E204" t="str">
        <f ca="1"/>
        <v>MXN</v>
      </c>
      <c r="F204" t="str">
        <f ca="1"/>
        <v>Daniel Alejandro Castillo Rivera</v>
      </c>
      <c r="G204" t="str">
        <f ca="1"/>
        <v>DLO*UBER RIDES         CIUDAD DE MEX MEX</v>
      </c>
      <c r="H204" t="str">
        <f ca="1"/>
        <v>Uber</v>
      </c>
      <c r="I204" t="str">
        <f ca="1"/>
        <v>Transaction cost</v>
      </c>
      <c r="J204" t="str">
        <f ca="1"/>
        <v>PO1953  ARTEVALLEDEBRAVO</v>
      </c>
      <c r="K204" t="str">
        <f ca="1"/>
        <v>-</v>
      </c>
      <c r="L204" t="str">
        <f ca="1">VLOOKUP(B204,[1]Total!$B:$Q,16,0)</f>
        <v>602.34.002 Gastos por visita tencica</v>
      </c>
      <c r="M204">
        <f t="shared" ca="1" si="7"/>
        <v>279.95</v>
      </c>
      <c r="N204" t="str">
        <f t="shared" ca="1" si="8"/>
        <v xml:space="preserve">Daniel Alejandro Castillo Rivera DLO*UBER RIDES         CIUDAD DE MEX MEX Uber Transaction cost PO1953  ARTEVALLEDEBRAVO - </v>
      </c>
    </row>
    <row r="205" spans="1:14">
      <c r="A205" t="str">
        <f ca="1"/>
        <v>TRX1271</v>
      </c>
      <c r="B205" t="str">
        <f ca="1"/>
        <v>#19</v>
      </c>
      <c r="C205">
        <f ca="1"/>
        <v>46081.416666666599</v>
      </c>
      <c r="D205">
        <f ca="1"/>
        <v>299.95</v>
      </c>
      <c r="E205" t="str">
        <f ca="1"/>
        <v>MXN</v>
      </c>
      <c r="F205" t="str">
        <f ca="1"/>
        <v>Daniel Alejandro Castillo Rivera</v>
      </c>
      <c r="G205" t="str">
        <f ca="1"/>
        <v>DLO*Uber               CDMX          MEX</v>
      </c>
      <c r="H205" t="str">
        <f ca="1"/>
        <v>Uber</v>
      </c>
      <c r="I205" t="str">
        <f ca="1"/>
        <v>Transaction cost</v>
      </c>
      <c r="J205" t="str">
        <f ca="1"/>
        <v>PO1953  ARTEVALLEDEBRAVO</v>
      </c>
      <c r="K205" t="str">
        <f ca="1"/>
        <v>-</v>
      </c>
      <c r="L205" t="str">
        <f ca="1">VLOOKUP(B205,[1]Total!$B:$Q,16,0)</f>
        <v>602.34.002 Gastos por visita tencica</v>
      </c>
      <c r="M205">
        <f t="shared" ca="1" si="7"/>
        <v>299.95</v>
      </c>
      <c r="N205" t="str">
        <f t="shared" ca="1" si="8"/>
        <v xml:space="preserve">Daniel Alejandro Castillo Rivera DLO*Uber               CDMX          MEX Uber Transaction cost PO1953  ARTEVALLEDEBRAVO - </v>
      </c>
    </row>
    <row r="206" spans="1:14">
      <c r="A206" t="str">
        <f ca="1"/>
        <v>TRX1285</v>
      </c>
      <c r="B206" t="str">
        <f ca="1"/>
        <v>#19</v>
      </c>
      <c r="C206">
        <f ca="1"/>
        <v>46081.417361111096</v>
      </c>
      <c r="D206">
        <f ca="1"/>
        <v>340</v>
      </c>
      <c r="E206" t="str">
        <f ca="1"/>
        <v>MXN</v>
      </c>
      <c r="F206" t="str">
        <f ca="1"/>
        <v>Daniel Alejandro Castillo Rivera</v>
      </c>
      <c r="G206" t="str">
        <f ca="1"/>
        <v>CARL S JR              CIUDAD DE MEX MEX</v>
      </c>
      <c r="H206" t="str">
        <f ca="1"/>
        <v>Carls Jr.</v>
      </c>
      <c r="I206" t="str">
        <f ca="1"/>
        <v>Transaction cost</v>
      </c>
      <c r="J206" t="str">
        <f ca="1"/>
        <v>PO1953  ARTEVALLEDEBRAVO</v>
      </c>
      <c r="K206" t="str">
        <f ca="1"/>
        <v>-</v>
      </c>
      <c r="L206" t="str">
        <f ca="1">VLOOKUP(B206,[1]Total!$B:$Q,16,0)</f>
        <v>602.34.002 Gastos por visita tencica</v>
      </c>
      <c r="M206">
        <f t="shared" ca="1" si="7"/>
        <v>340</v>
      </c>
      <c r="N206" t="str">
        <f t="shared" ca="1" si="8"/>
        <v xml:space="preserve">Daniel Alejandro Castillo Rivera CARL S JR              CIUDAD DE MEX MEX Carls Jr. Transaction cost PO1953  ARTEVALLEDEBRAVO - </v>
      </c>
    </row>
    <row r="207" spans="1:14">
      <c r="A207" t="str">
        <f ca="1"/>
        <v>TRX1918</v>
      </c>
      <c r="B207" t="str">
        <f ca="1"/>
        <v>#21</v>
      </c>
      <c r="C207">
        <f ca="1"/>
        <v>46064.416666666599</v>
      </c>
      <c r="D207">
        <f ca="1"/>
        <v>500</v>
      </c>
      <c r="E207" t="str">
        <f ca="1"/>
        <v>MXN</v>
      </c>
      <c r="F207" t="str">
        <f ca="1"/>
        <v>Jesus Gonzalez Grana</v>
      </c>
      <c r="G207" t="str">
        <f ca="1"/>
        <v>GPDC CONSULADO         CIUDAD DE MEX MEX</v>
      </c>
      <c r="H207" t="str">
        <f ca="1"/>
        <v>Gpdc Consulado Ciudad De Mex Mex</v>
      </c>
      <c r="I207" t="str">
        <f ca="1"/>
        <v>Transaction cost</v>
      </c>
      <c r="J207" t="str">
        <f ca="1"/>
        <v>PO2165. Visita taller CAMI para reunión con cliente Veolia</v>
      </c>
      <c r="K207" t="str">
        <f ca="1"/>
        <v>29410d37-4441-4fae-aab8-a4977cabda94</v>
      </c>
      <c r="L207" t="str">
        <f ca="1">VLOOKUP(B207,[1]Total!$B:$Q,16,0)</f>
        <v>602.16.000 Transporte</v>
      </c>
      <c r="M207">
        <f t="shared" ca="1" si="7"/>
        <v>500</v>
      </c>
      <c r="N207" t="str">
        <f t="shared" ca="1" si="8"/>
        <v xml:space="preserve">Jesus Gonzalez Grana GPDC CONSULADO         CIUDAD DE MEX MEX Gpdc Consulado Ciudad De Mex Mex Transaction cost PO2165. Visita taller CAMI para reunión con cliente Veolia 29410d37-4441-4fae-aab8-a4977cabda94 </v>
      </c>
    </row>
    <row r="208" spans="1:14">
      <c r="A208" t="str">
        <f ca="1"/>
        <v>TRX1191</v>
      </c>
      <c r="B208" t="str">
        <f ca="1"/>
        <v>#21</v>
      </c>
      <c r="C208">
        <f ca="1"/>
        <v>46079.416666666599</v>
      </c>
      <c r="D208">
        <f ca="1"/>
        <v>2635.2</v>
      </c>
      <c r="E208" t="str">
        <f ca="1"/>
        <v>MXN</v>
      </c>
      <c r="F208" t="str">
        <f ca="1"/>
        <v>Jesus Gonzalez Grana</v>
      </c>
      <c r="G208" t="str">
        <f ca="1"/>
        <v>DHL EXPRESS CE         CIUDAD DE MEX MEX</v>
      </c>
      <c r="H208" t="str">
        <f ca="1"/>
        <v>DHL</v>
      </c>
      <c r="I208" t="str">
        <f ca="1"/>
        <v>G&amp;A expenses</v>
      </c>
      <c r="J208" t="str">
        <f ca="1"/>
        <v>PO1777 Envío de equipo de seguridad</v>
      </c>
      <c r="K208" t="str">
        <f ca="1"/>
        <v>04448AE5-5603-4B71-8558-13ED476D9B9D</v>
      </c>
      <c r="L208" t="str">
        <f ca="1">VLOOKUP(B208,[1]Total!$B:$Q,16,0)</f>
        <v>602.16.000 Transporte</v>
      </c>
      <c r="M208">
        <f t="shared" ca="1" si="7"/>
        <v>2635.2</v>
      </c>
      <c r="N208" t="str">
        <f t="shared" ca="1" si="8"/>
        <v xml:space="preserve">Jesus Gonzalez Grana DHL EXPRESS CE         CIUDAD DE MEX MEX DHL G&amp;A expenses PO1777 Envío de equipo de seguridad 04448AE5-5603-4B71-8558-13ED476D9B9D </v>
      </c>
    </row>
    <row r="209" spans="1:14">
      <c r="A209" t="str">
        <f ca="1"/>
        <v>TRX1192</v>
      </c>
      <c r="B209" t="str">
        <f ca="1"/>
        <v>#21</v>
      </c>
      <c r="C209">
        <f ca="1"/>
        <v>46079.416666666599</v>
      </c>
      <c r="D209">
        <f ca="1"/>
        <v>2640.43</v>
      </c>
      <c r="E209" t="str">
        <f ca="1"/>
        <v>MXN</v>
      </c>
      <c r="F209" t="str">
        <f ca="1"/>
        <v>Jesus Gonzalez Grana</v>
      </c>
      <c r="G209" t="str">
        <f ca="1"/>
        <v>DHL EXPRESS CE         CIUDAD DE MEX MEX</v>
      </c>
      <c r="H209" t="str">
        <f ca="1"/>
        <v>DHL</v>
      </c>
      <c r="I209" t="str">
        <f ca="1"/>
        <v>G&amp;A expenses</v>
      </c>
      <c r="J209" t="str">
        <f ca="1"/>
        <v>PO1865. Muestras IMESA</v>
      </c>
      <c r="K209" t="str">
        <f ca="1"/>
        <v>3DE869E6-DCD7-4ABC-AFD2-38BDA403C7EF</v>
      </c>
      <c r="L209" t="str">
        <f ca="1">VLOOKUP(B209,[1]Total!$B:$Q,16,0)</f>
        <v>602.16.000 Transporte</v>
      </c>
      <c r="M209">
        <f t="shared" ca="1" si="7"/>
        <v>2640.43</v>
      </c>
      <c r="N209" t="str">
        <f t="shared" ca="1" si="8"/>
        <v xml:space="preserve">Jesus Gonzalez Grana DHL EXPRESS CE         CIUDAD DE MEX MEX DHL G&amp;A expenses PO1865. Muestras IMESA 3DE869E6-DCD7-4ABC-AFD2-38BDA403C7EF </v>
      </c>
    </row>
    <row r="210" spans="1:14">
      <c r="A210" t="str">
        <f ca="1"/>
        <v>TRX1193</v>
      </c>
      <c r="B210" t="str">
        <f ca="1"/>
        <v>#21</v>
      </c>
      <c r="C210">
        <f ca="1"/>
        <v>46079.416666666599</v>
      </c>
      <c r="D210">
        <f ca="1"/>
        <v>22006.77</v>
      </c>
      <c r="E210" t="str">
        <f ca="1"/>
        <v>MXN</v>
      </c>
      <c r="F210" t="str">
        <f ca="1"/>
        <v>Jesus Gonzalez Grana</v>
      </c>
      <c r="G210" t="str">
        <f ca="1"/>
        <v>DHL EXPRESS CE         CIUDAD DE MEX MEX</v>
      </c>
      <c r="H210" t="str">
        <f ca="1"/>
        <v>DHL</v>
      </c>
      <c r="I210" t="str">
        <f ca="1"/>
        <v>G&amp;A expenses</v>
      </c>
      <c r="J210" t="str">
        <f ca="1"/>
        <v>PO950=$16171.76+IVA. PO1866=$4988.60+IVA</v>
      </c>
      <c r="K210" t="str">
        <f ca="1"/>
        <v>1F7A25D2-961F-4068-9F9F-4BEB89155F08</v>
      </c>
      <c r="L210" t="str">
        <f ca="1">VLOOKUP(B210,[1]Total!$B:$Q,16,0)</f>
        <v>602.16.000 Transporte</v>
      </c>
      <c r="M210">
        <f t="shared" ca="1" si="7"/>
        <v>22006.77</v>
      </c>
      <c r="N210" t="str">
        <f t="shared" ca="1" si="8"/>
        <v xml:space="preserve">Jesus Gonzalez Grana DHL EXPRESS CE         CIUDAD DE MEX MEX DHL G&amp;A expenses PO950=$16171.76+IVA. PO1866=$4988.60+IVA 1F7A25D2-961F-4068-9F9F-4BEB89155F08 </v>
      </c>
    </row>
    <row r="211" spans="1:14">
      <c r="A211" t="str">
        <f ca="1"/>
        <v>TRX1273</v>
      </c>
      <c r="B211" t="str">
        <f ca="1"/>
        <v>#21</v>
      </c>
      <c r="C211">
        <f ca="1"/>
        <v>46081.416666666599</v>
      </c>
      <c r="D211">
        <f ca="1"/>
        <v>9016.51</v>
      </c>
      <c r="E211" t="str">
        <f ca="1"/>
        <v>MXN</v>
      </c>
      <c r="F211" t="str">
        <f ca="1"/>
        <v>Jesus Gonzalez Grana</v>
      </c>
      <c r="G211" t="str">
        <f ca="1"/>
        <v>DHL EXPRESS CIB        CIUDAD DE MEX MEX</v>
      </c>
      <c r="H211" t="str">
        <f ca="1"/>
        <v>DHL</v>
      </c>
      <c r="I211" t="str">
        <f ca="1"/>
        <v>G&amp;A expenses</v>
      </c>
      <c r="J211" t="str">
        <f ca="1"/>
        <v>PO1774. Importación material TORQ para IMESA</v>
      </c>
      <c r="K211" t="str">
        <f ca="1"/>
        <v>https://drive.google.com/drive/folders/1tBRPEiGyYMUgsvzRDRDhDGIf_ZAKNFA1?usp=sharing</v>
      </c>
      <c r="L211" t="str">
        <f ca="1">VLOOKUP(B211,[1]Total!$B:$Q,16,0)</f>
        <v>602.16.000 Transporte</v>
      </c>
      <c r="M211">
        <f t="shared" ca="1" si="7"/>
        <v>9016.51</v>
      </c>
      <c r="N211" t="str">
        <f t="shared" ca="1" si="8"/>
        <v xml:space="preserve">Jesus Gonzalez Grana DHL EXPRESS CIB        CIUDAD DE MEX MEX DHL G&amp;A expenses PO1774. Importación material TORQ para IMESA https://drive.google.com/drive/folders/1tBRPEiGyYMUgsvzRDRDhDGIf_ZAKNFA1?usp=sharing </v>
      </c>
    </row>
    <row r="212" spans="1:14" hidden="1">
      <c r="A212" t="str">
        <f ca="1"/>
        <v>#N/A</v>
      </c>
      <c r="B212">
        <f ca="1"/>
        <v>0</v>
      </c>
      <c r="C212">
        <f ca="1"/>
        <v>0</v>
      </c>
      <c r="D212" t="str">
        <f ca="1"/>
        <v>#N/A</v>
      </c>
      <c r="E212" t="str">
        <f ca="1"/>
        <v>#N/A</v>
      </c>
      <c r="F212" t="str">
        <f ca="1"/>
        <v>#N/A</v>
      </c>
      <c r="G212" t="str">
        <f ca="1"/>
        <v>#N/A</v>
      </c>
      <c r="H212">
        <f ca="1"/>
        <v>0</v>
      </c>
      <c r="I212" t="str">
        <f ca="1"/>
        <v>Transaction cost</v>
      </c>
      <c r="J212" t="str">
        <f ca="1"/>
        <v>Gas Operaciones AGO 2025</v>
      </c>
      <c r="K212" t="str">
        <f ca="1"/>
        <v>CLI53213103</v>
      </c>
      <c r="L212" t="e">
        <f ca="1">VLOOKUP(B212,[1]Total!$B:$Q,16,0)</f>
        <v>#N/A</v>
      </c>
      <c r="M212" t="str">
        <f t="shared" ca="1" si="7"/>
        <v>#N/A</v>
      </c>
      <c r="N212" t="str">
        <f t="shared" ca="1" si="8"/>
        <v xml:space="preserve">#N/A #N/A 0 Transaction cost Gas Operaciones AGO 2025 CLI53213103 </v>
      </c>
    </row>
    <row r="213" spans="1:14" hidden="1">
      <c r="A213" t="str">
        <f ca="1"/>
        <v>#N/A</v>
      </c>
      <c r="B213">
        <f ca="1"/>
        <v>0</v>
      </c>
      <c r="C213">
        <f ca="1"/>
        <v>0</v>
      </c>
      <c r="D213" t="str">
        <f ca="1"/>
        <v>#N/A</v>
      </c>
      <c r="E213" t="str">
        <f ca="1"/>
        <v>#N/A</v>
      </c>
      <c r="F213" t="str">
        <f ca="1"/>
        <v>#N/A</v>
      </c>
      <c r="G213" t="str">
        <f ca="1"/>
        <v>#N/A</v>
      </c>
      <c r="H213">
        <f ca="1"/>
        <v>0</v>
      </c>
      <c r="I213" t="str">
        <f ca="1"/>
        <v/>
      </c>
      <c r="J213" t="str">
        <f ca="1"/>
        <v>ERROR EN UBER</v>
      </c>
      <c r="K213" t="str">
        <f ca="1"/>
        <v>ERROR EN UBER</v>
      </c>
      <c r="L213" t="e">
        <f ca="1">VLOOKUP(B213,[1]Total!$B:$Q,16,0)</f>
        <v>#N/A</v>
      </c>
      <c r="M213" t="str">
        <f t="shared" ca="1" si="7"/>
        <v>#N/A</v>
      </c>
      <c r="N213" t="str">
        <f t="shared" ca="1" si="8"/>
        <v xml:space="preserve">#N/A #N/A 0  ERROR EN UBER ERROR EN UBER </v>
      </c>
    </row>
    <row r="214" spans="1:14" hidden="1">
      <c r="A214" t="str">
        <f ca="1"/>
        <v>#N/A</v>
      </c>
      <c r="B214">
        <f ca="1"/>
        <v>0</v>
      </c>
      <c r="C214">
        <f ca="1"/>
        <v>0</v>
      </c>
      <c r="D214" t="str">
        <f ca="1"/>
        <v>#N/A</v>
      </c>
      <c r="E214" t="str">
        <f ca="1"/>
        <v>#N/A</v>
      </c>
      <c r="F214" t="str">
        <f ca="1"/>
        <v>#N/A</v>
      </c>
      <c r="G214" t="str">
        <f ca="1"/>
        <v>#N/A</v>
      </c>
      <c r="H214">
        <f ca="1"/>
        <v>0</v>
      </c>
      <c r="I214" t="str">
        <f ca="1"/>
        <v>G&amp;A expenses</v>
      </c>
      <c r="J214">
        <f ca="1"/>
        <v>0</v>
      </c>
      <c r="K214" t="str">
        <f ca="1"/>
        <v>.</v>
      </c>
      <c r="L214" t="e">
        <f ca="1">VLOOKUP(B214,[1]Total!$B:$Q,16,0)</f>
        <v>#N/A</v>
      </c>
      <c r="M214" t="str">
        <f t="shared" ca="1" si="7"/>
        <v>#N/A</v>
      </c>
      <c r="N214" t="str">
        <f t="shared" ca="1" si="8"/>
        <v xml:space="preserve">#N/A #N/A 0 G&amp;A expenses 0 . </v>
      </c>
    </row>
    <row r="215" spans="1:14">
      <c r="A215" t="str">
        <f ca="1"/>
        <v>TRX1631</v>
      </c>
      <c r="B215" t="str">
        <f ca="1"/>
        <v>#24</v>
      </c>
      <c r="C215">
        <f ca="1"/>
        <v>46061.417361111096</v>
      </c>
      <c r="D215">
        <f ca="1"/>
        <v>3579.95</v>
      </c>
      <c r="E215" t="str">
        <f ca="1"/>
        <v>MXN</v>
      </c>
      <c r="F215" t="str">
        <f ca="1"/>
        <v>Andres Camacho Herrera</v>
      </c>
      <c r="G215" t="str">
        <f ca="1"/>
        <v>BPK*EQUIOPERREST       LEON DE LOS A MEX</v>
      </c>
      <c r="H215" t="str">
        <f ca="1"/>
        <v>Bpk Equioperrest Leon De Los A Mex</v>
      </c>
      <c r="I215" t="str">
        <f ca="1"/>
        <v>Sales</v>
      </c>
      <c r="J215" t="str">
        <f ca="1"/>
        <v>Comida con Textor - empresa de estructura metálica y construcción</v>
      </c>
      <c r="K215" t="str">
        <f ca="1"/>
        <v>3da3fe42-5df5-4c62-9568-3b846ae33dc9</v>
      </c>
      <c r="L215" t="s">
        <v>2020</v>
      </c>
      <c r="M215">
        <f t="shared" ca="1" si="7"/>
        <v>3579.95</v>
      </c>
      <c r="N215" t="str">
        <f t="shared" ca="1" si="8"/>
        <v xml:space="preserve">Andres Camacho Herrera BPK*EQUIOPERREST       LEON DE LOS A MEX Bpk Equioperrest Leon De Los A Mex Sales Comida con Textor - empresa de estructura metálica y construcción 3da3fe42-5df5-4c62-9568-3b846ae33dc9 </v>
      </c>
    </row>
    <row r="216" spans="1:14" hidden="1">
      <c r="A216" t="str">
        <f ca="1"/>
        <v>#N/A</v>
      </c>
      <c r="B216">
        <f ca="1"/>
        <v>0</v>
      </c>
      <c r="C216">
        <f ca="1"/>
        <v>0</v>
      </c>
      <c r="D216" t="str">
        <f ca="1"/>
        <v>#N/A</v>
      </c>
      <c r="E216" t="str">
        <f ca="1"/>
        <v>#N/A</v>
      </c>
      <c r="F216" t="str">
        <f ca="1"/>
        <v>#N/A</v>
      </c>
      <c r="G216" t="str">
        <f ca="1"/>
        <v>#N/A</v>
      </c>
      <c r="H216">
        <f ca="1"/>
        <v>0</v>
      </c>
      <c r="I216" t="str">
        <f ca="1"/>
        <v>Sales</v>
      </c>
      <c r="J216">
        <f ca="1"/>
        <v>0</v>
      </c>
      <c r="K216" t="str">
        <f ca="1"/>
        <v>.</v>
      </c>
      <c r="L216" t="e">
        <f ca="1">VLOOKUP(B216,[1]Total!$B:$Q,16,0)</f>
        <v>#N/A</v>
      </c>
      <c r="M216" t="str">
        <f t="shared" ca="1" si="7"/>
        <v>#N/A</v>
      </c>
      <c r="N216" t="str">
        <f t="shared" ca="1" si="8"/>
        <v xml:space="preserve">#N/A #N/A 0 Sales 0 . </v>
      </c>
    </row>
    <row r="217" spans="1:14">
      <c r="A217" t="str">
        <f ca="1"/>
        <v>TRX1298</v>
      </c>
      <c r="B217" t="str">
        <f ca="1"/>
        <v>#26</v>
      </c>
      <c r="C217">
        <f ca="1"/>
        <v>46055.416666666599</v>
      </c>
      <c r="D217">
        <f ca="1"/>
        <v>796.6</v>
      </c>
      <c r="E217" t="str">
        <f ca="1"/>
        <v>MXN</v>
      </c>
      <c r="F217" t="str">
        <f ca="1"/>
        <v>Karen Alexandra Ballesteros Contreras</v>
      </c>
      <c r="G217" t="str">
        <f ca="1"/>
        <v>MERPAGO*MERCADOLIBRE   Ciudad de Mex MEX</v>
      </c>
      <c r="H217" t="str">
        <f ca="1"/>
        <v>Merpago Mercadolibre Ciudad De Mex Mex</v>
      </c>
      <c r="I217" t="str">
        <f ca="1"/>
        <v>Recruiting</v>
      </c>
      <c r="J217" t="str">
        <f ca="1"/>
        <v>PO1801 UBER HACIA GRAJALES PARA INSPECCION POR TEMBLOR</v>
      </c>
      <c r="K217">
        <f ca="1"/>
        <v>0</v>
      </c>
      <c r="L217" t="str">
        <f ca="1">VLOOKUP(B217,[1]Total!$B:$Q,16,0)</f>
        <v>603.81.006 Gastos Administativos de venta</v>
      </c>
      <c r="M217">
        <f t="shared" ca="1" si="7"/>
        <v>796.6</v>
      </c>
      <c r="N217" t="str">
        <f t="shared" ca="1" si="8"/>
        <v xml:space="preserve">Karen Alexandra Ballesteros Contreras MERPAGO*MERCADOLIBRE   Ciudad de Mex MEX Merpago Mercadolibre Ciudad De Mex Mex Recruiting PO1801 UBER HACIA GRAJALES PARA INSPECCION POR TEMBLOR 0 </v>
      </c>
    </row>
    <row r="218" spans="1:14">
      <c r="A218" t="str">
        <f ca="1"/>
        <v>TRX1292</v>
      </c>
      <c r="B218" t="str">
        <f ca="1"/>
        <v>#26</v>
      </c>
      <c r="C218">
        <f ca="1"/>
        <v>46056.416666666599</v>
      </c>
      <c r="D218">
        <f ca="1"/>
        <v>537.21</v>
      </c>
      <c r="E218" t="str">
        <f ca="1"/>
        <v>MXN</v>
      </c>
      <c r="F218" t="str">
        <f ca="1"/>
        <v>Karen Alexandra Ballesteros Contreras</v>
      </c>
      <c r="G218" t="str">
        <f ca="1"/>
        <v>MERPAGO*MERCADOLIBRE   Ciudad de Mex MEX</v>
      </c>
      <c r="H218" t="str">
        <f ca="1"/>
        <v>Merpago Mercadolibre Ciudad De Mex Mex</v>
      </c>
      <c r="I218" t="str">
        <f ca="1"/>
        <v>Recruiting</v>
      </c>
      <c r="J218" t="str">
        <f ca="1"/>
        <v>PO1801 UBER HACIA GRAJALES PARA INSPECCION POR TEMBLOR</v>
      </c>
      <c r="K218" t="str">
        <f ca="1"/>
        <v>F15393AB-5CDF-535D-83AC-35BC3BCBA044</v>
      </c>
      <c r="L218" t="str">
        <f ca="1">VLOOKUP(B218,[1]Total!$B:$Q,16,0)</f>
        <v>603.81.006 Gastos Administativos de venta</v>
      </c>
      <c r="M218">
        <f t="shared" ca="1" si="7"/>
        <v>537.21</v>
      </c>
      <c r="N218" t="str">
        <f t="shared" ca="1" si="8"/>
        <v xml:space="preserve">Karen Alexandra Ballesteros Contreras MERPAGO*MERCADOLIBRE   Ciudad de Mex MEX Merpago Mercadolibre Ciudad De Mex Mex Recruiting PO1801 UBER HACIA GRAJALES PARA INSPECCION POR TEMBLOR F15393AB-5CDF-535D-83AC-35BC3BCBA044 </v>
      </c>
    </row>
    <row r="219" spans="1:14">
      <c r="A219" t="str">
        <f ca="1"/>
        <v>TRX1262</v>
      </c>
      <c r="B219" t="str">
        <f ca="1"/>
        <v>#26</v>
      </c>
      <c r="C219">
        <f ca="1"/>
        <v>46057.416666666599</v>
      </c>
      <c r="D219">
        <f ca="1"/>
        <v>126</v>
      </c>
      <c r="E219" t="str">
        <f ca="1"/>
        <v>MXN</v>
      </c>
      <c r="F219" t="str">
        <f ca="1"/>
        <v>Karen Alexandra Ballesteros Contreras</v>
      </c>
      <c r="G219" t="str">
        <f ca="1"/>
        <v>Didi Mexico            CAUHTEMOC     MEX</v>
      </c>
      <c r="H219" t="str">
        <f ca="1"/>
        <v>Didi Mexico Cauhtemoc Mex</v>
      </c>
      <c r="I219" t="str">
        <f ca="1"/>
        <v>Recruiting</v>
      </c>
      <c r="J219" t="str">
        <f ca="1"/>
        <v>PEAJE</v>
      </c>
      <c r="K219">
        <f ca="1"/>
        <v>0</v>
      </c>
      <c r="L219" t="str">
        <f ca="1">VLOOKUP(B219,[1]Total!$B:$Q,16,0)</f>
        <v>603.81.006 Gastos Administativos de venta</v>
      </c>
      <c r="M219">
        <f t="shared" ca="1" si="7"/>
        <v>126</v>
      </c>
      <c r="N219" t="str">
        <f t="shared" ca="1" si="8"/>
        <v xml:space="preserve">Karen Alexandra Ballesteros Contreras Didi Mexico            CAUHTEMOC     MEX Didi Mexico Cauhtemoc Mex Recruiting PEAJE 0 </v>
      </c>
    </row>
    <row r="220" spans="1:14">
      <c r="A220" t="str">
        <f ca="1"/>
        <v>TRX1258</v>
      </c>
      <c r="B220" t="str">
        <f ca="1"/>
        <v>#26</v>
      </c>
      <c r="C220">
        <f ca="1"/>
        <v>46058.416666666599</v>
      </c>
      <c r="D220">
        <f ca="1"/>
        <v>61.21</v>
      </c>
      <c r="E220" t="str">
        <f ca="1"/>
        <v>MXN</v>
      </c>
      <c r="F220" t="str">
        <f ca="1"/>
        <v>Karen Alexandra Ballesteros Contreras</v>
      </c>
      <c r="G220" t="str">
        <f ca="1"/>
        <v>Didi Mexico            CAUHTEMOC     MEX</v>
      </c>
      <c r="H220" t="str">
        <f ca="1"/>
        <v>Didi Mexico Cauhtemoc Mex</v>
      </c>
      <c r="I220" t="str">
        <f ca="1"/>
        <v>Recruiting</v>
      </c>
      <c r="J220" t="str">
        <f ca="1"/>
        <v>PO1801 UBER HACIA GRAJALES PARA INSPECCION POR TEMBLOR</v>
      </c>
      <c r="K220" t="str">
        <f ca="1"/>
        <v>B7387E20-D535-4882-8FFF-1F9024CD5AA0</v>
      </c>
      <c r="L220" t="str">
        <f ca="1">VLOOKUP(B220,[1]Total!$B:$Q,16,0)</f>
        <v>603.81.006 Gastos Administativos de venta</v>
      </c>
      <c r="M220">
        <f t="shared" ca="1" si="7"/>
        <v>61.21</v>
      </c>
      <c r="N220" t="str">
        <f t="shared" ca="1" si="8"/>
        <v xml:space="preserve">Karen Alexandra Ballesteros Contreras Didi Mexico            CAUHTEMOC     MEX Didi Mexico Cauhtemoc Mex Recruiting PO1801 UBER HACIA GRAJALES PARA INSPECCION POR TEMBLOR B7387E20-D535-4882-8FFF-1F9024CD5AA0 </v>
      </c>
    </row>
    <row r="221" spans="1:14">
      <c r="A221" t="str">
        <f ca="1"/>
        <v>TRX1238</v>
      </c>
      <c r="B221" t="str">
        <f ca="1"/>
        <v>#26</v>
      </c>
      <c r="C221">
        <f ca="1"/>
        <v>46058.416666666599</v>
      </c>
      <c r="D221">
        <f ca="1"/>
        <v>520</v>
      </c>
      <c r="E221" t="str">
        <f ca="1"/>
        <v>MXN</v>
      </c>
      <c r="F221" t="str">
        <f ca="1"/>
        <v>Karen Alexandra Ballesteros Contreras</v>
      </c>
      <c r="G221" t="str">
        <f ca="1"/>
        <v>MERCADOPAGO *EBANOCAF  Benito jurez  MEX</v>
      </c>
      <c r="H221" t="str">
        <f ca="1"/>
        <v>Mercadopago</v>
      </c>
      <c r="I221" t="str">
        <f ca="1"/>
        <v>Recruiting</v>
      </c>
      <c r="J221" t="str">
        <f ca="1"/>
        <v>-</v>
      </c>
      <c r="K221" t="str">
        <f ca="1"/>
        <v>FB877E3E-8B4C-494F-B80E-13D623D7653A</v>
      </c>
      <c r="L221" t="str">
        <f ca="1">VLOOKUP(B221,[1]Total!$B:$Q,16,0)</f>
        <v>603.81.006 Gastos Administativos de venta</v>
      </c>
      <c r="M221">
        <f t="shared" ca="1" si="7"/>
        <v>520</v>
      </c>
      <c r="N221" t="str">
        <f t="shared" ca="1" si="8"/>
        <v xml:space="preserve">Karen Alexandra Ballesteros Contreras MERCADOPAGO *EBANOCAF  Benito jurez  MEX Mercadopago Recruiting - FB877E3E-8B4C-494F-B80E-13D623D7653A </v>
      </c>
    </row>
    <row r="222" spans="1:14">
      <c r="A222" t="str">
        <f ca="1"/>
        <v>TRX1231</v>
      </c>
      <c r="B222" t="str">
        <f ca="1"/>
        <v>#26</v>
      </c>
      <c r="C222">
        <f ca="1"/>
        <v>46058.416666666599</v>
      </c>
      <c r="D222">
        <f ca="1"/>
        <v>385</v>
      </c>
      <c r="E222" t="str">
        <f ca="1"/>
        <v>MXN</v>
      </c>
      <c r="F222" t="str">
        <f ca="1"/>
        <v>Karen Alexandra Ballesteros Contreras</v>
      </c>
      <c r="G222" t="str">
        <f ca="1"/>
        <v>D LOCAL*DIDI RIDES     CIUDAD DE MEX MEX</v>
      </c>
      <c r="H222" t="str">
        <f ca="1"/>
        <v>Didi Chuxing</v>
      </c>
      <c r="I222" t="str">
        <f ca="1"/>
        <v>Recruiting</v>
      </c>
      <c r="J222" t="str">
        <f ca="1"/>
        <v>-</v>
      </c>
      <c r="K222">
        <f ca="1"/>
        <v>0</v>
      </c>
      <c r="L222" t="str">
        <f ca="1">VLOOKUP(B222,[1]Total!$B:$Q,16,0)</f>
        <v>603.81.006 Gastos Administativos de venta</v>
      </c>
      <c r="M222">
        <f t="shared" ca="1" si="7"/>
        <v>385</v>
      </c>
      <c r="N222" t="str">
        <f t="shared" ca="1" si="8"/>
        <v xml:space="preserve">Karen Alexandra Ballesteros Contreras D LOCAL*DIDI RIDES     CIUDAD DE MEX MEX Didi Chuxing Recruiting - 0 </v>
      </c>
    </row>
    <row r="223" spans="1:14">
      <c r="A223" t="str">
        <f ca="1"/>
        <v>TRX1223</v>
      </c>
      <c r="B223" t="str">
        <f ca="1"/>
        <v>#26</v>
      </c>
      <c r="C223">
        <f ca="1"/>
        <v>46058.417361111096</v>
      </c>
      <c r="D223">
        <f ca="1"/>
        <v>126</v>
      </c>
      <c r="E223" t="str">
        <f ca="1"/>
        <v>MXN</v>
      </c>
      <c r="F223" t="str">
        <f ca="1"/>
        <v>Karen Alexandra Ballesteros Contreras</v>
      </c>
      <c r="G223" t="str">
        <f ca="1"/>
        <v>DLO*DIDI RIDES         MEXICO        MEX</v>
      </c>
      <c r="H223" t="str">
        <f ca="1"/>
        <v>Didi Chuxing</v>
      </c>
      <c r="I223" t="str">
        <f ca="1"/>
        <v>Recruiting</v>
      </c>
      <c r="J223" t="str">
        <f ca="1"/>
        <v>-</v>
      </c>
      <c r="K223">
        <f ca="1"/>
        <v>0</v>
      </c>
      <c r="L223" t="str">
        <f ca="1">VLOOKUP(B223,[1]Total!$B:$Q,16,0)</f>
        <v>603.81.006 Gastos Administativos de venta</v>
      </c>
      <c r="M223">
        <f t="shared" ca="1" si="7"/>
        <v>126</v>
      </c>
      <c r="N223" t="str">
        <f t="shared" ca="1" si="8"/>
        <v xml:space="preserve">Karen Alexandra Ballesteros Contreras DLO*DIDI RIDES         MEXICO        MEX Didi Chuxing Recruiting - 0 </v>
      </c>
    </row>
    <row r="224" spans="1:14">
      <c r="A224" t="str">
        <f ca="1"/>
        <v>TRX1221</v>
      </c>
      <c r="B224" t="str">
        <f ca="1"/>
        <v>#26</v>
      </c>
      <c r="C224">
        <f ca="1"/>
        <v>46058.417361111096</v>
      </c>
      <c r="D224">
        <f ca="1"/>
        <v>410.08</v>
      </c>
      <c r="E224" t="str">
        <f ca="1"/>
        <v>MXN</v>
      </c>
      <c r="F224" t="str">
        <f ca="1"/>
        <v>Karen Alexandra Ballesteros Contreras</v>
      </c>
      <c r="G224" t="str">
        <f ca="1"/>
        <v>VIVAAEROBUS MOBILE     APODACA NL    MEX</v>
      </c>
      <c r="H224" t="str">
        <f ca="1"/>
        <v>Vivaaerobus</v>
      </c>
      <c r="I224" t="str">
        <f ca="1"/>
        <v>Recruiting</v>
      </c>
      <c r="J224" t="str">
        <f ca="1"/>
        <v>-</v>
      </c>
      <c r="K224">
        <f ca="1"/>
        <v>0</v>
      </c>
      <c r="L224" t="str">
        <f ca="1">VLOOKUP(B224,[1]Total!$B:$Q,16,0)</f>
        <v>603.81.006 Gastos Administativos de venta</v>
      </c>
      <c r="M224">
        <f t="shared" ca="1" si="7"/>
        <v>410.08</v>
      </c>
      <c r="N224" t="str">
        <f t="shared" ca="1" si="8"/>
        <v xml:space="preserve">Karen Alexandra Ballesteros Contreras VIVAAEROBUS MOBILE     APODACA NL    MEX Vivaaerobus Recruiting - 0 </v>
      </c>
    </row>
    <row r="225" spans="1:14">
      <c r="A225" t="str">
        <f ca="1"/>
        <v>TRX1210</v>
      </c>
      <c r="B225" t="str">
        <f ca="1"/>
        <v>#26</v>
      </c>
      <c r="C225">
        <f ca="1"/>
        <v>46058.417361111096</v>
      </c>
      <c r="D225">
        <f ca="1"/>
        <v>125</v>
      </c>
      <c r="E225" t="str">
        <f ca="1"/>
        <v>MXN</v>
      </c>
      <c r="F225" t="str">
        <f ca="1"/>
        <v>Karen Alexandra Ballesteros Contreras</v>
      </c>
      <c r="G225" t="str">
        <f ca="1"/>
        <v>D LOCAL*DIDI RIDES     CIUDAD DE MEX MEX</v>
      </c>
      <c r="H225" t="str">
        <f ca="1"/>
        <v>Didi Chuxing</v>
      </c>
      <c r="I225" t="str">
        <f ca="1"/>
        <v>Recruiting</v>
      </c>
      <c r="J225" t="str">
        <f ca="1"/>
        <v>-</v>
      </c>
      <c r="K225" t="str">
        <f ca="1"/>
        <v>51C5561F-8FE5-4474-888F-031EE74BC08C</v>
      </c>
      <c r="L225" t="str">
        <f ca="1">VLOOKUP(B225,[1]Total!$B:$Q,16,0)</f>
        <v>603.81.006 Gastos Administativos de venta</v>
      </c>
      <c r="M225">
        <f t="shared" ca="1" si="7"/>
        <v>125</v>
      </c>
      <c r="N225" t="str">
        <f t="shared" ca="1" si="8"/>
        <v xml:space="preserve">Karen Alexandra Ballesteros Contreras D LOCAL*DIDI RIDES     CIUDAD DE MEX MEX Didi Chuxing Recruiting - 51C5561F-8FE5-4474-888F-031EE74BC08C </v>
      </c>
    </row>
    <row r="226" spans="1:14">
      <c r="A226" t="str">
        <f ca="1"/>
        <v>TRX1209</v>
      </c>
      <c r="B226" t="str">
        <f ca="1"/>
        <v>#26</v>
      </c>
      <c r="C226">
        <f ca="1"/>
        <v>46058.417361111096</v>
      </c>
      <c r="D226">
        <f ca="1"/>
        <v>125</v>
      </c>
      <c r="E226" t="str">
        <f ca="1"/>
        <v>MXN</v>
      </c>
      <c r="F226" t="str">
        <f ca="1"/>
        <v>Karen Alexandra Ballesteros Contreras</v>
      </c>
      <c r="G226" t="str">
        <f ca="1"/>
        <v>20260203T01:01:01/D LOCAL*DIDI RIDES\UNKNOWN\UNKNOWN\06500        MEX</v>
      </c>
      <c r="H226" t="str">
        <f ca="1"/>
        <v>Didi Chuxing</v>
      </c>
      <c r="I226" t="str">
        <f ca="1"/>
        <v>Recruiting</v>
      </c>
      <c r="J226" t="str">
        <f ca="1"/>
        <v>-</v>
      </c>
      <c r="K226" t="str">
        <f ca="1"/>
        <v>B9904633-F254-5E55-B0E0-ADBC03A829DB</v>
      </c>
      <c r="L226" t="str">
        <f ca="1">VLOOKUP(B226,[1]Total!$B:$Q,16,0)</f>
        <v>603.81.006 Gastos Administativos de venta</v>
      </c>
      <c r="M226">
        <f t="shared" ca="1" si="7"/>
        <v>125</v>
      </c>
      <c r="N226" t="str">
        <f t="shared" ca="1" si="8"/>
        <v xml:space="preserve">Karen Alexandra Ballesteros Contreras 20260203T01:01:01/D LOCAL*DIDI RIDES\UNKNOWN\UNKNOWN\06500        MEX Didi Chuxing Recruiting - B9904633-F254-5E55-B0E0-ADBC03A829DB </v>
      </c>
    </row>
    <row r="227" spans="1:14">
      <c r="A227" t="str">
        <f ca="1"/>
        <v>TRX1182</v>
      </c>
      <c r="B227" t="str">
        <f ca="1"/>
        <v>#26</v>
      </c>
      <c r="C227">
        <f ca="1"/>
        <v>46059.416666666599</v>
      </c>
      <c r="D227">
        <f ca="1"/>
        <v>216.7</v>
      </c>
      <c r="E227" t="str">
        <f ca="1"/>
        <v>MXN</v>
      </c>
      <c r="F227" t="str">
        <f ca="1"/>
        <v>Karen Alexandra Ballesteros Contreras</v>
      </c>
      <c r="G227" t="str">
        <f ca="1"/>
        <v>VTA A BORDO VAEROBUS   CIUDAD DE MEX MEX</v>
      </c>
      <c r="H227" t="str">
        <f ca="1"/>
        <v>Vta A Bordo Vaerobus Ciudad De Mex Mex</v>
      </c>
      <c r="I227" t="str">
        <f ca="1"/>
        <v>Recruiting</v>
      </c>
      <c r="J227" t="str">
        <f ca="1"/>
        <v>-</v>
      </c>
      <c r="K227">
        <f ca="1"/>
        <v>0</v>
      </c>
      <c r="L227" t="str">
        <f ca="1">VLOOKUP(B227,[1]Total!$B:$Q,16,0)</f>
        <v>603.81.006 Gastos Administativos de venta</v>
      </c>
      <c r="M227">
        <f t="shared" ca="1" si="7"/>
        <v>216.7</v>
      </c>
      <c r="N227" t="str">
        <f t="shared" ca="1" si="8"/>
        <v xml:space="preserve">Karen Alexandra Ballesteros Contreras VTA A BORDO VAEROBUS   CIUDAD DE MEX MEX Vta A Bordo Vaerobus Ciudad De Mex Mex Recruiting - 0 </v>
      </c>
    </row>
    <row r="228" spans="1:14">
      <c r="A228" t="str">
        <f ca="1"/>
        <v>TRX1178</v>
      </c>
      <c r="B228" t="str">
        <f ca="1"/>
        <v>#26</v>
      </c>
      <c r="C228">
        <f ca="1"/>
        <v>46059.416666666599</v>
      </c>
      <c r="D228">
        <f ca="1"/>
        <v>86</v>
      </c>
      <c r="E228" t="str">
        <f ca="1"/>
        <v>MXN</v>
      </c>
      <c r="F228" t="str">
        <f ca="1"/>
        <v>Karen Alexandra Ballesteros Contreras</v>
      </c>
      <c r="G228" t="str">
        <f ca="1"/>
        <v>Didi Mexico            CAUHTEMOC     MEX</v>
      </c>
      <c r="H228" t="str">
        <f ca="1"/>
        <v>Didi Mexico Cauhtemoc Mex</v>
      </c>
      <c r="I228" t="str">
        <f ca="1"/>
        <v>Recruiting</v>
      </c>
      <c r="J228" t="str">
        <f ca="1"/>
        <v>-</v>
      </c>
      <c r="K228">
        <f ca="1"/>
        <v>0</v>
      </c>
      <c r="L228" t="str">
        <f ca="1">VLOOKUP(B228,[1]Total!$B:$Q,16,0)</f>
        <v>603.81.006 Gastos Administativos de venta</v>
      </c>
      <c r="M228">
        <f t="shared" ca="1" si="7"/>
        <v>86</v>
      </c>
      <c r="N228" t="str">
        <f t="shared" ca="1" si="8"/>
        <v xml:space="preserve">Karen Alexandra Ballesteros Contreras Didi Mexico            CAUHTEMOC     MEX Didi Mexico Cauhtemoc Mex Recruiting - 0 </v>
      </c>
    </row>
    <row r="229" spans="1:14">
      <c r="A229" t="str">
        <f ca="1"/>
        <v>TRX1169</v>
      </c>
      <c r="B229" t="str">
        <f ca="1"/>
        <v>#26</v>
      </c>
      <c r="C229">
        <f ca="1"/>
        <v>46059.416666666599</v>
      </c>
      <c r="D229">
        <f ca="1"/>
        <v>309.93</v>
      </c>
      <c r="E229" t="str">
        <f ca="1"/>
        <v>MXN</v>
      </c>
      <c r="F229" t="str">
        <f ca="1"/>
        <v>Karen Alexandra Ballesteros Contreras</v>
      </c>
      <c r="G229" t="str">
        <f ca="1"/>
        <v>DLO*Uber               CDMX          MEX</v>
      </c>
      <c r="H229" t="str">
        <f ca="1"/>
        <v>Uber</v>
      </c>
      <c r="I229" t="str">
        <f ca="1"/>
        <v>Recruiting</v>
      </c>
      <c r="J229" t="str">
        <f ca="1"/>
        <v>-</v>
      </c>
      <c r="K229" t="str">
        <f ca="1"/>
        <v>C9493CE2-9520-4182-BB05-F48A697DC33D</v>
      </c>
      <c r="L229" t="str">
        <f ca="1">VLOOKUP(B229,[1]Total!$B:$Q,16,0)</f>
        <v>603.81.006 Gastos Administativos de venta</v>
      </c>
      <c r="M229">
        <f t="shared" ca="1" si="7"/>
        <v>309.93</v>
      </c>
      <c r="N229" t="str">
        <f t="shared" ca="1" si="8"/>
        <v xml:space="preserve">Karen Alexandra Ballesteros Contreras DLO*Uber               CDMX          MEX Uber Recruiting - C9493CE2-9520-4182-BB05-F48A697DC33D </v>
      </c>
    </row>
    <row r="230" spans="1:14">
      <c r="A230" t="str">
        <f ca="1"/>
        <v>TRX1164</v>
      </c>
      <c r="B230" t="str">
        <f ca="1"/>
        <v>#26</v>
      </c>
      <c r="C230">
        <f ca="1"/>
        <v>46059.416666666599</v>
      </c>
      <c r="D230">
        <f ca="1"/>
        <v>202</v>
      </c>
      <c r="E230" t="str">
        <f ca="1"/>
        <v>MXN</v>
      </c>
      <c r="F230" t="str">
        <f ca="1"/>
        <v>Karen Alexandra Ballesteros Contreras</v>
      </c>
      <c r="G230" t="str">
        <f ca="1"/>
        <v>STARBUCKS PUERTO CANC  ROO           MEX</v>
      </c>
      <c r="H230" t="str">
        <f ca="1"/>
        <v>Starbucks</v>
      </c>
      <c r="I230" t="str">
        <f ca="1"/>
        <v>Recruiting</v>
      </c>
      <c r="J230" t="str">
        <f ca="1"/>
        <v>-</v>
      </c>
      <c r="K230">
        <f ca="1"/>
        <v>0</v>
      </c>
      <c r="L230" t="str">
        <f ca="1">VLOOKUP(B230,[1]Total!$B:$Q,16,0)</f>
        <v>603.81.006 Gastos Administativos de venta</v>
      </c>
      <c r="M230">
        <f t="shared" ca="1" si="7"/>
        <v>202</v>
      </c>
      <c r="N230" t="str">
        <f t="shared" ca="1" si="8"/>
        <v xml:space="preserve">Karen Alexandra Ballesteros Contreras STARBUCKS PUERTO CANC  ROO           MEX Starbucks Recruiting - 0 </v>
      </c>
    </row>
    <row r="231" spans="1:14">
      <c r="A231" t="str">
        <f ca="1"/>
        <v>TRX1160</v>
      </c>
      <c r="B231" t="str">
        <f ca="1"/>
        <v>#26</v>
      </c>
      <c r="C231">
        <f ca="1"/>
        <v>46059.416666666599</v>
      </c>
      <c r="D231">
        <f ca="1"/>
        <v>57</v>
      </c>
      <c r="E231" t="str">
        <f ca="1"/>
        <v>MXN</v>
      </c>
      <c r="F231" t="str">
        <f ca="1"/>
        <v>Karen Alexandra Ballesteros Contreras</v>
      </c>
      <c r="G231" t="str">
        <f ca="1"/>
        <v>D LOCAL*DIDI RIDES     CIUDAD DE MEX MEX</v>
      </c>
      <c r="H231" t="str">
        <f ca="1"/>
        <v>Didi Chuxing</v>
      </c>
      <c r="I231" t="str">
        <f ca="1"/>
        <v>Recruiting</v>
      </c>
      <c r="J231" t="str">
        <f ca="1"/>
        <v>-</v>
      </c>
      <c r="K231">
        <f ca="1"/>
        <v>0</v>
      </c>
      <c r="L231" t="str">
        <f ca="1">VLOOKUP(B231,[1]Total!$B:$Q,16,0)</f>
        <v>603.81.006 Gastos Administativos de venta</v>
      </c>
      <c r="M231">
        <f t="shared" ca="1" si="7"/>
        <v>57</v>
      </c>
      <c r="N231" t="str">
        <f t="shared" ca="1" si="8"/>
        <v xml:space="preserve">Karen Alexandra Ballesteros Contreras D LOCAL*DIDI RIDES     CIUDAD DE MEX MEX Didi Chuxing Recruiting - 0 </v>
      </c>
    </row>
    <row r="232" spans="1:14">
      <c r="A232" t="str">
        <f ca="1"/>
        <v>TRX1159</v>
      </c>
      <c r="B232" t="str">
        <f ca="1"/>
        <v>#26</v>
      </c>
      <c r="C232">
        <f ca="1"/>
        <v>46059.417361111096</v>
      </c>
      <c r="D232">
        <f ca="1"/>
        <v>62</v>
      </c>
      <c r="E232" t="str">
        <f ca="1"/>
        <v>MXN</v>
      </c>
      <c r="F232" t="str">
        <f ca="1"/>
        <v>Karen Alexandra Ballesteros Contreras</v>
      </c>
      <c r="G232" t="str">
        <f ca="1"/>
        <v>D LOCAL*DIDI RIDES     CIUDAD DE MEX MEX</v>
      </c>
      <c r="H232" t="str">
        <f ca="1"/>
        <v>Didi Chuxing</v>
      </c>
      <c r="I232" t="str">
        <f ca="1"/>
        <v>Recruiting</v>
      </c>
      <c r="J232" t="str">
        <f ca="1"/>
        <v>-</v>
      </c>
      <c r="K232" t="str">
        <f ca="1"/>
        <v>043AA9E6-E017-5FDA-8ED7-3F06EA6B2E14</v>
      </c>
      <c r="L232" t="str">
        <f ca="1">VLOOKUP(B232,[1]Total!$B:$Q,16,0)</f>
        <v>603.81.006 Gastos Administativos de venta</v>
      </c>
      <c r="M232">
        <f t="shared" ca="1" si="7"/>
        <v>62</v>
      </c>
      <c r="N232" t="str">
        <f t="shared" ca="1" si="8"/>
        <v xml:space="preserve">Karen Alexandra Ballesteros Contreras D LOCAL*DIDI RIDES     CIUDAD DE MEX MEX Didi Chuxing Recruiting - 043AA9E6-E017-5FDA-8ED7-3F06EA6B2E14 </v>
      </c>
    </row>
    <row r="233" spans="1:14">
      <c r="A233" t="str">
        <f ca="1"/>
        <v>TRX1152</v>
      </c>
      <c r="B233" t="str">
        <f ca="1"/>
        <v>#26</v>
      </c>
      <c r="C233">
        <f ca="1"/>
        <v>46059.417361111096</v>
      </c>
      <c r="D233">
        <f ca="1"/>
        <v>328.9</v>
      </c>
      <c r="E233" t="str">
        <f ca="1"/>
        <v>MXN</v>
      </c>
      <c r="F233" t="str">
        <f ca="1"/>
        <v>Karen Alexandra Ballesteros Contreras</v>
      </c>
      <c r="G233" t="str">
        <f ca="1"/>
        <v>REST LA PIZZARRA       CIUDAD DE MEX MEX</v>
      </c>
      <c r="H233" t="str">
        <f ca="1"/>
        <v>Rest La Pizzarra Ciudad De Mex Mex</v>
      </c>
      <c r="I233" t="str">
        <f ca="1"/>
        <v>Recruiting</v>
      </c>
      <c r="J233" t="str">
        <f ca="1"/>
        <v>-</v>
      </c>
      <c r="K233">
        <f ca="1"/>
        <v>0</v>
      </c>
      <c r="L233" t="str">
        <f ca="1">VLOOKUP(B233,[1]Total!$B:$Q,16,0)</f>
        <v>603.81.006 Gastos Administativos de venta</v>
      </c>
      <c r="M233">
        <f t="shared" ca="1" si="7"/>
        <v>328.9</v>
      </c>
      <c r="N233" t="str">
        <f t="shared" ca="1" si="8"/>
        <v xml:space="preserve">Karen Alexandra Ballesteros Contreras REST LA PIZZARRA       CIUDAD DE MEX MEX Rest La Pizzarra Ciudad De Mex Mex Recruiting - 0 </v>
      </c>
    </row>
    <row r="234" spans="1:14">
      <c r="A234" t="str">
        <f ca="1"/>
        <v>TRX1150</v>
      </c>
      <c r="B234" t="str">
        <f ca="1"/>
        <v>#26</v>
      </c>
      <c r="C234">
        <f ca="1"/>
        <v>46059.417361111096</v>
      </c>
      <c r="D234">
        <f ca="1"/>
        <v>220</v>
      </c>
      <c r="E234" t="str">
        <f ca="1"/>
        <v>MXN</v>
      </c>
      <c r="F234" t="str">
        <f ca="1"/>
        <v>Karen Alexandra Ballesteros Contreras</v>
      </c>
      <c r="G234" t="str">
        <f ca="1"/>
        <v>FARM ASESORIA 4        ECATEPEC DE M MEX</v>
      </c>
      <c r="H234" t="str">
        <f ca="1"/>
        <v>Farm Asesoria 4 Ecatepec De M Mex</v>
      </c>
      <c r="I234" t="str">
        <f ca="1"/>
        <v>Recruiting</v>
      </c>
      <c r="J234" t="str">
        <f ca="1"/>
        <v>-</v>
      </c>
      <c r="K234" t="str">
        <f ca="1"/>
        <v>C04B34E7-CE1B-50D4-B116-FAC5A5772264</v>
      </c>
      <c r="L234" t="str">
        <f ca="1">VLOOKUP(B234,[1]Total!$B:$Q,16,0)</f>
        <v>603.81.006 Gastos Administativos de venta</v>
      </c>
      <c r="M234">
        <f t="shared" ca="1" si="7"/>
        <v>220</v>
      </c>
      <c r="N234" t="str">
        <f t="shared" ca="1" si="8"/>
        <v xml:space="preserve">Karen Alexandra Ballesteros Contreras FARM ASESORIA 4        ECATEPEC DE M MEX Farm Asesoria 4 Ecatepec De M Mex Recruiting - C04B34E7-CE1B-50D4-B116-FAC5A5772264 </v>
      </c>
    </row>
    <row r="235" spans="1:14">
      <c r="A235" t="str">
        <f ca="1"/>
        <v>TRX1148</v>
      </c>
      <c r="B235" t="str">
        <f ca="1"/>
        <v>#26</v>
      </c>
      <c r="C235">
        <f ca="1"/>
        <v>46059.417361111096</v>
      </c>
      <c r="D235">
        <f ca="1"/>
        <v>52.9</v>
      </c>
      <c r="E235" t="str">
        <f ca="1"/>
        <v>MXN</v>
      </c>
      <c r="F235" t="str">
        <f ca="1"/>
        <v>Karen Alexandra Ballesteros Contreras</v>
      </c>
      <c r="G235" t="str">
        <f ca="1"/>
        <v>AIFA INTERNACIONAL PAC ZUMPANGO EM   MEX</v>
      </c>
      <c r="H235" t="str">
        <f ca="1"/>
        <v>Aifa Internacional Pac Zumpango Em Mex</v>
      </c>
      <c r="I235" t="str">
        <f ca="1"/>
        <v>Recruiting</v>
      </c>
      <c r="J235" t="str">
        <f ca="1"/>
        <v>PO2009 IMPRESION DOCUMENTACION ENTREGABLE A NEXER</v>
      </c>
      <c r="K235">
        <f ca="1"/>
        <v>0</v>
      </c>
      <c r="L235" t="str">
        <f ca="1">VLOOKUP(B235,[1]Total!$B:$Q,16,0)</f>
        <v>603.81.006 Gastos Administativos de venta</v>
      </c>
      <c r="M235">
        <f t="shared" ca="1" si="7"/>
        <v>52.9</v>
      </c>
      <c r="N235" t="str">
        <f t="shared" ca="1" si="8"/>
        <v xml:space="preserve">Karen Alexandra Ballesteros Contreras AIFA INTERNACIONAL PAC ZUMPANGO EM   MEX Aifa Internacional Pac Zumpango Em Mex Recruiting PO2009 IMPRESION DOCUMENTACION ENTREGABLE A NEXER 0 </v>
      </c>
    </row>
    <row r="236" spans="1:14">
      <c r="A236" t="str">
        <f ca="1"/>
        <v>TRX1036</v>
      </c>
      <c r="B236" t="str">
        <f ca="1"/>
        <v>#26</v>
      </c>
      <c r="C236">
        <f ca="1"/>
        <v>46059.417361111096</v>
      </c>
      <c r="D236">
        <f ca="1"/>
        <v>264</v>
      </c>
      <c r="E236" t="str">
        <f ca="1"/>
        <v>MXN</v>
      </c>
      <c r="F236" t="str">
        <f ca="1"/>
        <v>Karen Alexandra Ballesteros Contreras</v>
      </c>
      <c r="G236" t="str">
        <f ca="1"/>
        <v>D LOCAL*DIDI RIDES     CIUDAD DE MEX MEX</v>
      </c>
      <c r="H236" t="str">
        <f ca="1"/>
        <v>Didi Chuxing</v>
      </c>
      <c r="I236" t="str">
        <f ca="1"/>
        <v>Recruiting</v>
      </c>
      <c r="J236" t="str">
        <f ca="1"/>
        <v>PO2009 ANEMOMETRO</v>
      </c>
      <c r="K236">
        <f ca="1"/>
        <v>0</v>
      </c>
      <c r="L236" t="str">
        <f ca="1">VLOOKUP(B236,[1]Total!$B:$Q,16,0)</f>
        <v>603.81.006 Gastos Administativos de venta</v>
      </c>
      <c r="M236">
        <f t="shared" ca="1" si="7"/>
        <v>264</v>
      </c>
      <c r="N236" t="str">
        <f t="shared" ca="1" si="8"/>
        <v xml:space="preserve">Karen Alexandra Ballesteros Contreras D LOCAL*DIDI RIDES     CIUDAD DE MEX MEX Didi Chuxing Recruiting PO2009 ANEMOMETRO 0 </v>
      </c>
    </row>
    <row r="237" spans="1:14">
      <c r="A237" t="str">
        <f ca="1"/>
        <v>TRX1871</v>
      </c>
      <c r="B237" t="str">
        <f ca="1"/>
        <v>#26</v>
      </c>
      <c r="C237">
        <f ca="1"/>
        <v>46059.417361111096</v>
      </c>
      <c r="D237">
        <f ca="1"/>
        <v>268.94</v>
      </c>
      <c r="E237" t="str">
        <f ca="1"/>
        <v>MXN</v>
      </c>
      <c r="F237" t="str">
        <f ca="1"/>
        <v>Karen Alexandra Ballesteros Contreras</v>
      </c>
      <c r="G237" t="str">
        <f ca="1"/>
        <v>TDAS CHEDRAUI          CANCUN QROO   MEX</v>
      </c>
      <c r="H237" t="str">
        <f ca="1"/>
        <v>Tdas Chedraui Cancun Qroo Mex</v>
      </c>
      <c r="I237" t="str">
        <f ca="1"/>
        <v>Recruiting</v>
      </c>
      <c r="J237" t="str">
        <f ca="1"/>
        <v>PO2009 COMIDA VARIOS</v>
      </c>
      <c r="K237">
        <f ca="1"/>
        <v>0</v>
      </c>
      <c r="L237" t="str">
        <f ca="1">VLOOKUP(B237,[1]Total!$B:$Q,16,0)</f>
        <v>603.81.006 Gastos Administativos de venta</v>
      </c>
      <c r="M237">
        <f t="shared" ca="1" si="7"/>
        <v>268.94</v>
      </c>
      <c r="N237" t="str">
        <f t="shared" ca="1" si="8"/>
        <v xml:space="preserve">Karen Alexandra Ballesteros Contreras TDAS CHEDRAUI          CANCUN QROO   MEX Tdas Chedraui Cancun Qroo Mex Recruiting PO2009 COMIDA VARIOS 0 </v>
      </c>
    </row>
    <row r="238" spans="1:14">
      <c r="A238" t="str">
        <f ca="1"/>
        <v>TRX1593</v>
      </c>
      <c r="B238" t="str">
        <f ca="1"/>
        <v>#26</v>
      </c>
      <c r="C238">
        <f ca="1"/>
        <v>46059.417361111096</v>
      </c>
      <c r="D238">
        <f ca="1"/>
        <v>150</v>
      </c>
      <c r="E238" t="str">
        <f ca="1"/>
        <v>MXN</v>
      </c>
      <c r="F238" t="str">
        <f ca="1"/>
        <v>Karen Alexandra Ballesteros Contreras</v>
      </c>
      <c r="G238" t="str">
        <f ca="1"/>
        <v>Google Report Run Pho  Mountain View USA</v>
      </c>
      <c r="H238" t="str">
        <f ca="1"/>
        <v>Google</v>
      </c>
      <c r="I238" t="str">
        <f ca="1"/>
        <v>Recruiting</v>
      </c>
      <c r="J238" t="str">
        <f ca="1"/>
        <v>PO2009 TRASLADO DE VERACRUZ A CUAUTITLAN</v>
      </c>
      <c r="K238" t="str">
        <f ca="1"/>
        <v>111B6066-6A0E-4331-880A-BFAD3C6D1AAD</v>
      </c>
      <c r="L238" t="str">
        <f ca="1">VLOOKUP(B238,[1]Total!$B:$Q,16,0)</f>
        <v>603.81.006 Gastos Administativos de venta</v>
      </c>
      <c r="M238">
        <f t="shared" ca="1" si="7"/>
        <v>150</v>
      </c>
      <c r="N238" t="str">
        <f t="shared" ca="1" si="8"/>
        <v xml:space="preserve">Karen Alexandra Ballesteros Contreras Google Report Run Pho  Mountain View USA Google Recruiting PO2009 TRASLADO DE VERACRUZ A CUAUTITLAN 111B6066-6A0E-4331-880A-BFAD3C6D1AAD </v>
      </c>
    </row>
    <row r="239" spans="1:14">
      <c r="A239" t="str">
        <f ca="1"/>
        <v>TRX1644</v>
      </c>
      <c r="B239" t="str">
        <f ca="1"/>
        <v>#26</v>
      </c>
      <c r="C239">
        <f ca="1"/>
        <v>46060.416666666599</v>
      </c>
      <c r="D239">
        <f ca="1"/>
        <v>179.45</v>
      </c>
      <c r="E239" t="str">
        <f ca="1"/>
        <v>MXN</v>
      </c>
      <c r="F239" t="str">
        <f ca="1"/>
        <v>Karen Alexandra Ballesteros Contreras</v>
      </c>
      <c r="G239" t="str">
        <f ca="1"/>
        <v>UBER * EATS PENDING    CMX           MEX</v>
      </c>
      <c r="H239" t="str">
        <f ca="1"/>
        <v>Uber Eats</v>
      </c>
      <c r="I239" t="str">
        <f ca="1"/>
        <v>Recruiting</v>
      </c>
      <c r="J239" t="str">
        <f ca="1"/>
        <v>PO2009 TRASLADO DE VERACRUZ A CUAUTITLAN</v>
      </c>
      <c r="K239">
        <f ca="1"/>
        <v>0</v>
      </c>
      <c r="L239" t="str">
        <f ca="1">VLOOKUP(B239,[1]Total!$B:$Q,16,0)</f>
        <v>603.81.006 Gastos Administativos de venta</v>
      </c>
      <c r="M239">
        <f t="shared" ca="1" si="7"/>
        <v>179.45</v>
      </c>
      <c r="N239" t="str">
        <f t="shared" ca="1" si="8"/>
        <v xml:space="preserve">Karen Alexandra Ballesteros Contreras UBER * EATS PENDING    CMX           MEX Uber Eats Recruiting PO2009 TRASLADO DE VERACRUZ A CUAUTITLAN 0 </v>
      </c>
    </row>
    <row r="240" spans="1:14">
      <c r="A240" t="str">
        <f ca="1"/>
        <v>TRX1195</v>
      </c>
      <c r="B240" t="str">
        <f ca="1"/>
        <v>#26</v>
      </c>
      <c r="C240">
        <f ca="1"/>
        <v>46060.416666666599</v>
      </c>
      <c r="D240">
        <f ca="1"/>
        <v>109.06</v>
      </c>
      <c r="E240" t="str">
        <f ca="1"/>
        <v>MXN</v>
      </c>
      <c r="F240" t="str">
        <f ca="1"/>
        <v>Karen Alexandra Ballesteros Contreras</v>
      </c>
      <c r="G240" t="str">
        <f ca="1"/>
        <v>UBER * PENDING         CMX           MEX</v>
      </c>
      <c r="H240" t="str">
        <f ca="1"/>
        <v>Uber</v>
      </c>
      <c r="I240" t="str">
        <f ca="1"/>
        <v>Recruiting</v>
      </c>
      <c r="J240" t="str">
        <f ca="1"/>
        <v>PO2009 COMIDA VARIOS</v>
      </c>
      <c r="K240" t="str">
        <f ca="1"/>
        <v>C60980741-1A3F-584D-B8DB-1A1F2B58209D</v>
      </c>
      <c r="L240" t="str">
        <f ca="1">VLOOKUP(B240,[1]Total!$B:$Q,16,0)</f>
        <v>603.81.006 Gastos Administativos de venta</v>
      </c>
      <c r="M240">
        <f t="shared" ca="1" si="7"/>
        <v>109.06</v>
      </c>
      <c r="N240" t="str">
        <f t="shared" ca="1" si="8"/>
        <v xml:space="preserve">Karen Alexandra Ballesteros Contreras UBER * PENDING         CMX           MEX Uber Recruiting PO2009 COMIDA VARIOS C60980741-1A3F-584D-B8DB-1A1F2B58209D </v>
      </c>
    </row>
    <row r="241" spans="1:14">
      <c r="A241" t="str">
        <f ca="1"/>
        <v>TRX1527</v>
      </c>
      <c r="B241" t="str">
        <f ca="1"/>
        <v>#26</v>
      </c>
      <c r="C241">
        <f ca="1"/>
        <v>46060.416666666599</v>
      </c>
      <c r="D241">
        <f ca="1"/>
        <v>78</v>
      </c>
      <c r="E241" t="str">
        <f ca="1"/>
        <v>MXN</v>
      </c>
      <c r="F241" t="str">
        <f ca="1"/>
        <v>Karen Alexandra Ballesteros Contreras</v>
      </c>
      <c r="G241" t="str">
        <f ca="1"/>
        <v>D LOCAL*DIDI RIDES     CIUDAD DE MEX MEX</v>
      </c>
      <c r="H241" t="str">
        <f ca="1"/>
        <v>Didi Chuxing</v>
      </c>
      <c r="I241" t="str">
        <f ca="1"/>
        <v>Recruiting</v>
      </c>
      <c r="J241" t="str">
        <f ca="1"/>
        <v>PO2009 COMIDA VARIOS</v>
      </c>
      <c r="K241">
        <f ca="1"/>
        <v>0</v>
      </c>
      <c r="L241" t="str">
        <f ca="1">VLOOKUP(B241,[1]Total!$B:$Q,16,0)</f>
        <v>603.81.006 Gastos Administativos de venta</v>
      </c>
      <c r="M241">
        <f t="shared" ca="1" si="7"/>
        <v>78</v>
      </c>
      <c r="N241" t="str">
        <f t="shared" ca="1" si="8"/>
        <v xml:space="preserve">Karen Alexandra Ballesteros Contreras D LOCAL*DIDI RIDES     CIUDAD DE MEX MEX Didi Chuxing Recruiting PO2009 COMIDA VARIOS 0 </v>
      </c>
    </row>
    <row r="242" spans="1:14">
      <c r="A242" t="str">
        <f ca="1"/>
        <v>TRX1745</v>
      </c>
      <c r="B242" t="str">
        <f ca="1"/>
        <v>#26</v>
      </c>
      <c r="C242">
        <f ca="1"/>
        <v>46060.417361111096</v>
      </c>
      <c r="D242">
        <f ca="1"/>
        <v>279</v>
      </c>
      <c r="E242" t="str">
        <f ca="1"/>
        <v>MXN</v>
      </c>
      <c r="F242" t="str">
        <f ca="1"/>
        <v>Karen Alexandra Ballesteros Contreras</v>
      </c>
      <c r="G242" t="str">
        <f ca="1"/>
        <v>7 ELEVEN T2250         BENITO JUAREZ MEX</v>
      </c>
      <c r="H242" t="str">
        <f ca="1"/>
        <v>7 Eleven</v>
      </c>
      <c r="I242" t="str">
        <f ca="1"/>
        <v>Recruiting</v>
      </c>
      <c r="J242" t="str">
        <f ca="1"/>
        <v>PO2009 DESAYUNO VARIOS</v>
      </c>
      <c r="K242" t="str">
        <f ca="1"/>
        <v>18BC0689-F327-4DA6-A1C4-BED8A607DD00</v>
      </c>
      <c r="L242" t="str">
        <f ca="1">VLOOKUP(B242,[1]Total!$B:$Q,16,0)</f>
        <v>603.81.006 Gastos Administativos de venta</v>
      </c>
      <c r="M242">
        <f t="shared" ca="1" si="7"/>
        <v>279</v>
      </c>
      <c r="N242" t="str">
        <f t="shared" ca="1" si="8"/>
        <v xml:space="preserve">Karen Alexandra Ballesteros Contreras 7 ELEVEN T2250         BENITO JUAREZ MEX 7 Eleven Recruiting PO2009 DESAYUNO VARIOS 18BC0689-F327-4DA6-A1C4-BED8A607DD00 </v>
      </c>
    </row>
    <row r="243" spans="1:14">
      <c r="A243" t="str">
        <f ca="1"/>
        <v>TRX1014</v>
      </c>
      <c r="B243" t="str">
        <f ca="1"/>
        <v>#26</v>
      </c>
      <c r="C243">
        <f ca="1"/>
        <v>46060.417361111096</v>
      </c>
      <c r="D243">
        <f ca="1"/>
        <v>79</v>
      </c>
      <c r="E243" t="str">
        <f ca="1"/>
        <v>MXN</v>
      </c>
      <c r="F243" t="str">
        <f ca="1"/>
        <v>Karen Alexandra Ballesteros Contreras</v>
      </c>
      <c r="G243" t="str">
        <f ca="1"/>
        <v>OXXO TULUM             CANCUN QROO   MEX</v>
      </c>
      <c r="H243" t="str">
        <f ca="1"/>
        <v>Oxxo</v>
      </c>
      <c r="I243" t="str">
        <f ca="1"/>
        <v>Recruiting</v>
      </c>
      <c r="J243" t="str">
        <f ca="1"/>
        <v>PO2009 DESAYUNO VARIOS</v>
      </c>
      <c r="K243" t="str">
        <f ca="1"/>
        <v>F303FFD1-1C73-5266-B01E-B075C21FFAC0</v>
      </c>
      <c r="L243" t="str">
        <f ca="1">VLOOKUP(B243,[1]Total!$B:$Q,16,0)</f>
        <v>603.81.006 Gastos Administativos de venta</v>
      </c>
      <c r="M243">
        <f t="shared" ca="1" si="7"/>
        <v>79</v>
      </c>
      <c r="N243" t="str">
        <f t="shared" ca="1" si="8"/>
        <v xml:space="preserve">Karen Alexandra Ballesteros Contreras OXXO TULUM             CANCUN QROO   MEX Oxxo Recruiting PO2009 DESAYUNO VARIOS F303FFD1-1C73-5266-B01E-B075C21FFAC0 </v>
      </c>
    </row>
    <row r="244" spans="1:14">
      <c r="A244" t="str">
        <f ca="1"/>
        <v>TRX1024</v>
      </c>
      <c r="B244" t="str">
        <f ca="1"/>
        <v>#26</v>
      </c>
      <c r="C244">
        <f ca="1"/>
        <v>46061.416666666599</v>
      </c>
      <c r="D244">
        <f ca="1"/>
        <v>752</v>
      </c>
      <c r="E244" t="str">
        <f ca="1"/>
        <v>MXN</v>
      </c>
      <c r="F244" t="str">
        <f ca="1"/>
        <v>Karen Alexandra Ballesteros Contreras</v>
      </c>
      <c r="G244" t="str">
        <f ca="1"/>
        <v>ABTS GC 63 KIKIMBE     BENITO JUAREZ MEX</v>
      </c>
      <c r="H244" t="str">
        <f ca="1"/>
        <v>Abts Gc 63 Kikimbe Benito Juarez Mex</v>
      </c>
      <c r="I244" t="str">
        <f ca="1"/>
        <v>Recruiting</v>
      </c>
      <c r="J244" t="str">
        <f ca="1"/>
        <v>PO2009 PUNTO DE HIDRATACION PERSONAL OPERATIVO</v>
      </c>
      <c r="K244">
        <f ca="1"/>
        <v>0</v>
      </c>
      <c r="L244" t="str">
        <f ca="1">VLOOKUP(B244,[1]Total!$B:$Q,16,0)</f>
        <v>603.81.006 Gastos Administativos de venta</v>
      </c>
      <c r="M244">
        <f t="shared" ca="1" si="7"/>
        <v>752</v>
      </c>
      <c r="N244" t="str">
        <f t="shared" ca="1" si="8"/>
        <v xml:space="preserve">Karen Alexandra Ballesteros Contreras ABTS GC 63 KIKIMBE     BENITO JUAREZ MEX Abts Gc 63 Kikimbe Benito Juarez Mex Recruiting PO2009 PUNTO DE HIDRATACION PERSONAL OPERATIVO 0 </v>
      </c>
    </row>
    <row r="245" spans="1:14">
      <c r="A245" t="str">
        <f ca="1"/>
        <v>TRX1198</v>
      </c>
      <c r="B245" t="str">
        <f ca="1"/>
        <v>#26</v>
      </c>
      <c r="C245">
        <f ca="1"/>
        <v>46061.416666666599</v>
      </c>
      <c r="D245">
        <f ca="1"/>
        <v>58</v>
      </c>
      <c r="E245" t="str">
        <f ca="1"/>
        <v>MXN</v>
      </c>
      <c r="F245" t="str">
        <f ca="1"/>
        <v>Karen Alexandra Ballesteros Contreras</v>
      </c>
      <c r="G245" t="str">
        <f ca="1"/>
        <v>D LOCAL*DIDI RIDES     CIUDAD DE MEX MEX</v>
      </c>
      <c r="H245" t="str">
        <f ca="1"/>
        <v>Didi Chuxing</v>
      </c>
      <c r="I245" t="str">
        <f ca="1"/>
        <v>Recruiting</v>
      </c>
      <c r="J245" t="str">
        <f ca="1"/>
        <v>PO2009 CENA</v>
      </c>
      <c r="K245" t="str">
        <f ca="1"/>
        <v>E59849E4-E5F3-5861-B1E8-22ADB8265BF1</v>
      </c>
      <c r="L245" t="str">
        <f ca="1">VLOOKUP(B245,[1]Total!$B:$Q,16,0)</f>
        <v>603.81.006 Gastos Administativos de venta</v>
      </c>
      <c r="M245">
        <f t="shared" ca="1" si="7"/>
        <v>58</v>
      </c>
      <c r="N245" t="str">
        <f t="shared" ca="1" si="8"/>
        <v xml:space="preserve">Karen Alexandra Ballesteros Contreras D LOCAL*DIDI RIDES     CIUDAD DE MEX MEX Didi Chuxing Recruiting PO2009 CENA E59849E4-E5F3-5861-B1E8-22ADB8265BF1 </v>
      </c>
    </row>
    <row r="246" spans="1:14">
      <c r="A246" t="str">
        <f ca="1"/>
        <v>TRX1831</v>
      </c>
      <c r="B246" t="str">
        <f ca="1"/>
        <v>#26</v>
      </c>
      <c r="C246">
        <f ca="1"/>
        <v>46061.416666666599</v>
      </c>
      <c r="D246">
        <f ca="1"/>
        <v>3.6</v>
      </c>
      <c r="E246" t="str">
        <f ca="1"/>
        <v>MXN</v>
      </c>
      <c r="F246" t="str">
        <f ca="1"/>
        <v>Karen Alexandra Ballesteros Contreras</v>
      </c>
      <c r="G246" t="str">
        <f ca="1"/>
        <v>DLO DIDI RIDES MX      CIUDAD DE MEX MEX</v>
      </c>
      <c r="H246" t="str">
        <f ca="1"/>
        <v>Didi Chuxing</v>
      </c>
      <c r="I246" t="str">
        <f ca="1"/>
        <v>Recruiting</v>
      </c>
      <c r="J246" t="str">
        <f ca="1"/>
        <v>PO2009 TAXI DEL AIFA A CUAUTITLAN</v>
      </c>
      <c r="K246">
        <f ca="1"/>
        <v>0</v>
      </c>
      <c r="L246" t="str">
        <f ca="1">VLOOKUP(B246,[1]Total!$B:$Q,16,0)</f>
        <v>603.81.006 Gastos Administativos de venta</v>
      </c>
      <c r="M246">
        <f t="shared" ca="1" si="7"/>
        <v>3.6</v>
      </c>
      <c r="N246" t="str">
        <f t="shared" ca="1" si="8"/>
        <v xml:space="preserve">Karen Alexandra Ballesteros Contreras DLO DIDI RIDES MX      CIUDAD DE MEX MEX Didi Chuxing Recruiting PO2009 TAXI DEL AIFA A CUAUTITLAN 0 </v>
      </c>
    </row>
    <row r="247" spans="1:14">
      <c r="A247" t="str">
        <f ca="1"/>
        <v>TRX1544</v>
      </c>
      <c r="B247" t="str">
        <f ca="1"/>
        <v>#26</v>
      </c>
      <c r="C247">
        <f ca="1"/>
        <v>46061.416666666599</v>
      </c>
      <c r="D247">
        <f ca="1"/>
        <v>178</v>
      </c>
      <c r="E247" t="str">
        <f ca="1"/>
        <v>MXN</v>
      </c>
      <c r="F247" t="str">
        <f ca="1"/>
        <v>Karen Alexandra Ballesteros Contreras</v>
      </c>
      <c r="G247" t="str">
        <f ca="1"/>
        <v>D LOCAL*DIDI RIDES     CIUDAD DE MEX MEX</v>
      </c>
      <c r="H247" t="str">
        <f ca="1"/>
        <v>Didi Chuxing</v>
      </c>
      <c r="I247" t="str">
        <f ca="1"/>
        <v>Recruiting</v>
      </c>
      <c r="J247">
        <f ca="1"/>
        <v>0</v>
      </c>
      <c r="K247">
        <f ca="1"/>
        <v>0</v>
      </c>
      <c r="L247" t="str">
        <f ca="1">VLOOKUP(B247,[1]Total!$B:$Q,16,0)</f>
        <v>603.81.006 Gastos Administativos de venta</v>
      </c>
      <c r="M247">
        <f t="shared" ca="1" si="7"/>
        <v>178</v>
      </c>
      <c r="N247" t="str">
        <f t="shared" ca="1" si="8"/>
        <v xml:space="preserve">Karen Alexandra Ballesteros Contreras D LOCAL*DIDI RIDES     CIUDAD DE MEX MEX Didi Chuxing Recruiting 0 0 </v>
      </c>
    </row>
    <row r="248" spans="1:14">
      <c r="A248" t="str">
        <f ca="1"/>
        <v>TRX1543</v>
      </c>
      <c r="B248" t="str">
        <f ca="1"/>
        <v>#26</v>
      </c>
      <c r="C248">
        <f ca="1"/>
        <v>46061.416666666599</v>
      </c>
      <c r="D248">
        <f ca="1"/>
        <v>401.3</v>
      </c>
      <c r="E248" t="str">
        <f ca="1"/>
        <v>MXN</v>
      </c>
      <c r="F248" t="str">
        <f ca="1"/>
        <v>Karen Alexandra Ballesteros Contreras</v>
      </c>
      <c r="G248" t="str">
        <f ca="1"/>
        <v>VIVAAEROBUS MOBILE     APODACA NL    MEX</v>
      </c>
      <c r="H248" t="str">
        <f ca="1"/>
        <v>Vivaaerobus</v>
      </c>
      <c r="I248" t="str">
        <f ca="1"/>
        <v>Recruiting</v>
      </c>
      <c r="J248">
        <f ca="1"/>
        <v>0</v>
      </c>
      <c r="K248">
        <f ca="1"/>
        <v>0</v>
      </c>
      <c r="L248" t="str">
        <f ca="1">VLOOKUP(B248,[1]Total!$B:$Q,16,0)</f>
        <v>603.81.006 Gastos Administativos de venta</v>
      </c>
      <c r="M248">
        <f t="shared" ca="1" si="7"/>
        <v>401.3</v>
      </c>
      <c r="N248" t="str">
        <f t="shared" ca="1" si="8"/>
        <v xml:space="preserve">Karen Alexandra Ballesteros Contreras VIVAAEROBUS MOBILE     APODACA NL    MEX Vivaaerobus Recruiting 0 0 </v>
      </c>
    </row>
    <row r="249" spans="1:14">
      <c r="A249" t="str">
        <f ca="1"/>
        <v>TRX1984</v>
      </c>
      <c r="B249" t="str">
        <f ca="1"/>
        <v>#26</v>
      </c>
      <c r="C249">
        <f ca="1"/>
        <v>46062.416666666599</v>
      </c>
      <c r="D249">
        <f ca="1"/>
        <v>1060.5</v>
      </c>
      <c r="E249" t="str">
        <f ca="1"/>
        <v>MXN</v>
      </c>
      <c r="F249" t="str">
        <f ca="1"/>
        <v>Karen Alexandra Ballesteros Contreras</v>
      </c>
      <c r="G249" t="str">
        <f ca="1"/>
        <v>TRANS PARTY ON BOARD   CANCUN QROO   MEX</v>
      </c>
      <c r="H249" t="str">
        <f ca="1"/>
        <v>Trans Party On Board Cancun Qroo Mex</v>
      </c>
      <c r="I249" t="str">
        <f ca="1"/>
        <v>Recruiting</v>
      </c>
      <c r="J249" t="str">
        <f ca="1"/>
        <v>PO2009 TRASLADO DE VERACRUZ A CUAUTITLAN</v>
      </c>
      <c r="K249">
        <f ca="1"/>
        <v>0</v>
      </c>
      <c r="L249" t="str">
        <f ca="1">VLOOKUP(B249,[1]Total!$B:$Q,16,0)</f>
        <v>603.81.006 Gastos Administativos de venta</v>
      </c>
      <c r="M249">
        <f t="shared" ca="1" si="7"/>
        <v>1060.5</v>
      </c>
      <c r="N249" t="str">
        <f t="shared" ca="1" si="8"/>
        <v xml:space="preserve">Karen Alexandra Ballesteros Contreras TRANS PARTY ON BOARD   CANCUN QROO   MEX Trans Party On Board Cancun Qroo Mex Recruiting PO2009 TRASLADO DE VERACRUZ A CUAUTITLAN 0 </v>
      </c>
    </row>
    <row r="250" spans="1:14">
      <c r="A250" t="str">
        <f ca="1"/>
        <v>TRX1798</v>
      </c>
      <c r="B250" t="str">
        <f ca="1"/>
        <v>#26</v>
      </c>
      <c r="C250">
        <f ca="1"/>
        <v>46062.416666666599</v>
      </c>
      <c r="D250">
        <f ca="1"/>
        <v>46</v>
      </c>
      <c r="E250" t="str">
        <f ca="1"/>
        <v>MXN</v>
      </c>
      <c r="F250" t="str">
        <f ca="1"/>
        <v>Karen Alexandra Ballesteros Contreras</v>
      </c>
      <c r="G250" t="str">
        <f ca="1"/>
        <v>D LOCAL*DIDI RIDES     CIUDAD DE MEX MEX</v>
      </c>
      <c r="H250" t="str">
        <f ca="1"/>
        <v>Didi Chuxing</v>
      </c>
      <c r="I250" t="str">
        <f ca="1"/>
        <v>Recruiting</v>
      </c>
      <c r="J250" t="str">
        <f ca="1"/>
        <v>PO2009 TRASLADO DE VERACRUZ A CUAUTITLAN</v>
      </c>
      <c r="K250">
        <f ca="1"/>
        <v>0</v>
      </c>
      <c r="L250" t="str">
        <f ca="1">VLOOKUP(B250,[1]Total!$B:$Q,16,0)</f>
        <v>603.81.006 Gastos Administativos de venta</v>
      </c>
      <c r="M250">
        <f t="shared" ca="1" si="7"/>
        <v>46</v>
      </c>
      <c r="N250" t="str">
        <f t="shared" ca="1" si="8"/>
        <v xml:space="preserve">Karen Alexandra Ballesteros Contreras D LOCAL*DIDI RIDES     CIUDAD DE MEX MEX Didi Chuxing Recruiting PO2009 TRASLADO DE VERACRUZ A CUAUTITLAN 0 </v>
      </c>
    </row>
    <row r="251" spans="1:14">
      <c r="A251" t="str">
        <f ca="1"/>
        <v>TRX1535</v>
      </c>
      <c r="B251" t="str">
        <f ca="1"/>
        <v>#26</v>
      </c>
      <c r="C251">
        <f ca="1"/>
        <v>46063.416666666599</v>
      </c>
      <c r="D251">
        <f ca="1"/>
        <v>387</v>
      </c>
      <c r="E251" t="str">
        <f ca="1"/>
        <v>MXN</v>
      </c>
      <c r="F251" t="str">
        <f ca="1"/>
        <v>Karen Alexandra Ballesteros Contreras</v>
      </c>
      <c r="G251" t="str">
        <f ca="1"/>
        <v>STARBUCKS AIFA N AMB   MEX           MEX</v>
      </c>
      <c r="H251" t="str">
        <f ca="1"/>
        <v>Starbucks</v>
      </c>
      <c r="I251" t="str">
        <f ca="1"/>
        <v>Recruiting</v>
      </c>
      <c r="J251" t="str">
        <f ca="1"/>
        <v>PEAJES</v>
      </c>
      <c r="K251">
        <f ca="1"/>
        <v>0</v>
      </c>
      <c r="L251" t="str">
        <f ca="1">VLOOKUP(B251,[1]Total!$B:$Q,16,0)</f>
        <v>603.81.006 Gastos Administativos de venta</v>
      </c>
      <c r="M251">
        <f t="shared" ca="1" si="7"/>
        <v>387</v>
      </c>
      <c r="N251" t="str">
        <f t="shared" ca="1" si="8"/>
        <v xml:space="preserve">Karen Alexandra Ballesteros Contreras STARBUCKS AIFA N AMB   MEX           MEX Starbucks Recruiting PEAJES 0 </v>
      </c>
    </row>
    <row r="252" spans="1:14">
      <c r="A252" t="str">
        <f ca="1"/>
        <v>TRX2026</v>
      </c>
      <c r="B252" t="str">
        <f ca="1"/>
        <v>#26</v>
      </c>
      <c r="C252">
        <f ca="1"/>
        <v>46063.416666666599</v>
      </c>
      <c r="D252">
        <f ca="1"/>
        <v>250</v>
      </c>
      <c r="E252" t="str">
        <f ca="1"/>
        <v>MXN</v>
      </c>
      <c r="F252" t="str">
        <f ca="1"/>
        <v>Karen Alexandra Ballesteros Contreras</v>
      </c>
      <c r="G252" t="str">
        <f ca="1"/>
        <v>D LOCAL*DIDI RIDES     CIUDAD DE MEX MEX</v>
      </c>
      <c r="H252" t="str">
        <f ca="1"/>
        <v>Didi Chuxing</v>
      </c>
      <c r="I252" t="str">
        <f ca="1"/>
        <v>Recruiting</v>
      </c>
      <c r="J252">
        <f ca="1"/>
        <v>0</v>
      </c>
      <c r="K252">
        <f ca="1"/>
        <v>0</v>
      </c>
      <c r="L252" t="str">
        <f ca="1">VLOOKUP(B252,[1]Total!$B:$Q,16,0)</f>
        <v>603.81.006 Gastos Administativos de venta</v>
      </c>
      <c r="M252">
        <f t="shared" ca="1" si="7"/>
        <v>250</v>
      </c>
      <c r="N252" t="str">
        <f t="shared" ca="1" si="8"/>
        <v xml:space="preserve">Karen Alexandra Ballesteros Contreras D LOCAL*DIDI RIDES     CIUDAD DE MEX MEX Didi Chuxing Recruiting 0 0 </v>
      </c>
    </row>
    <row r="253" spans="1:14">
      <c r="A253" t="str">
        <f ca="1"/>
        <v>TRX1423</v>
      </c>
      <c r="B253" t="str">
        <f ca="1"/>
        <v>#26</v>
      </c>
      <c r="C253">
        <f ca="1"/>
        <v>46063.416666666599</v>
      </c>
      <c r="D253">
        <f ca="1"/>
        <v>255</v>
      </c>
      <c r="E253" t="str">
        <f ca="1"/>
        <v>MXN</v>
      </c>
      <c r="F253" t="str">
        <f ca="1"/>
        <v>Karen Alexandra Ballesteros Contreras</v>
      </c>
      <c r="G253" t="str">
        <f ca="1"/>
        <v>D LOCAL*DIDI RIDES     CIUDAD DE MEX MEX</v>
      </c>
      <c r="H253" t="str">
        <f ca="1"/>
        <v>Didi Chuxing</v>
      </c>
      <c r="I253" t="str">
        <f ca="1"/>
        <v>Recruiting</v>
      </c>
      <c r="J253" t="str">
        <f ca="1"/>
        <v>PEAJES</v>
      </c>
      <c r="K253">
        <f ca="1"/>
        <v>0</v>
      </c>
      <c r="L253" t="str">
        <f ca="1">VLOOKUP(B253,[1]Total!$B:$Q,16,0)</f>
        <v>603.81.006 Gastos Administativos de venta</v>
      </c>
      <c r="M253">
        <f t="shared" ca="1" si="7"/>
        <v>255</v>
      </c>
      <c r="N253" t="str">
        <f t="shared" ca="1" si="8"/>
        <v xml:space="preserve">Karen Alexandra Ballesteros Contreras D LOCAL*DIDI RIDES     CIUDAD DE MEX MEX Didi Chuxing Recruiting PEAJES 0 </v>
      </c>
    </row>
    <row r="254" spans="1:14">
      <c r="A254" t="str">
        <f ca="1"/>
        <v>TRX2010</v>
      </c>
      <c r="B254" t="str">
        <f ca="1"/>
        <v>#26</v>
      </c>
      <c r="C254">
        <f ca="1"/>
        <v>46063.416666666599</v>
      </c>
      <c r="D254">
        <f ca="1"/>
        <v>277</v>
      </c>
      <c r="E254" t="str">
        <f ca="1"/>
        <v>MXN</v>
      </c>
      <c r="F254" t="str">
        <f ca="1"/>
        <v>Karen Alexandra Ballesteros Contreras</v>
      </c>
      <c r="G254" t="str">
        <f ca="1"/>
        <v>D LOCAL*DIDI RIDES     CIUDAD DE MEX MEX</v>
      </c>
      <c r="H254" t="str">
        <f ca="1"/>
        <v>Didi Chuxing</v>
      </c>
      <c r="I254" t="str">
        <f ca="1"/>
        <v>Recruiting</v>
      </c>
      <c r="J254">
        <f ca="1"/>
        <v>0</v>
      </c>
      <c r="K254">
        <f ca="1"/>
        <v>0</v>
      </c>
      <c r="L254" t="str">
        <f ca="1">VLOOKUP(B254,[1]Total!$B:$Q,16,0)</f>
        <v>603.81.006 Gastos Administativos de venta</v>
      </c>
      <c r="M254">
        <f t="shared" ca="1" si="7"/>
        <v>277</v>
      </c>
      <c r="N254" t="str">
        <f t="shared" ca="1" si="8"/>
        <v xml:space="preserve">Karen Alexandra Ballesteros Contreras D LOCAL*DIDI RIDES     CIUDAD DE MEX MEX Didi Chuxing Recruiting 0 0 </v>
      </c>
    </row>
    <row r="255" spans="1:14">
      <c r="A255" t="str">
        <f ca="1"/>
        <v>TRX1469</v>
      </c>
      <c r="B255" t="str">
        <f ca="1"/>
        <v>#26</v>
      </c>
      <c r="C255">
        <f ca="1"/>
        <v>46063.416666666599</v>
      </c>
      <c r="D255">
        <f ca="1"/>
        <v>81.94</v>
      </c>
      <c r="E255" t="str">
        <f ca="1"/>
        <v>MXN</v>
      </c>
      <c r="F255" t="str">
        <f ca="1"/>
        <v>Karen Alexandra Ballesteros Contreras</v>
      </c>
      <c r="G255" t="str">
        <f ca="1"/>
        <v>DLO*DIDI RIDES         MEXICO        MEX</v>
      </c>
      <c r="H255" t="str">
        <f ca="1"/>
        <v>Didi Chuxing</v>
      </c>
      <c r="I255" t="str">
        <f ca="1"/>
        <v>Recruiting</v>
      </c>
      <c r="J255" t="str">
        <f ca="1"/>
        <v>PO2009 HOSPEDAJE</v>
      </c>
      <c r="K255">
        <f ca="1"/>
        <v>0</v>
      </c>
      <c r="L255" t="str">
        <f ca="1">VLOOKUP(B255,[1]Total!$B:$Q,16,0)</f>
        <v>603.81.006 Gastos Administativos de venta</v>
      </c>
      <c r="M255">
        <f t="shared" ca="1" si="7"/>
        <v>81.94</v>
      </c>
      <c r="N255" t="str">
        <f t="shared" ca="1" si="8"/>
        <v xml:space="preserve">Karen Alexandra Ballesteros Contreras DLO*DIDI RIDES         MEXICO        MEX Didi Chuxing Recruiting PO2009 HOSPEDAJE 0 </v>
      </c>
    </row>
    <row r="256" spans="1:14">
      <c r="A256" t="str">
        <f ca="1"/>
        <v>TRX1081</v>
      </c>
      <c r="B256" t="str">
        <f ca="1"/>
        <v>#26</v>
      </c>
      <c r="C256">
        <f ca="1"/>
        <v>46063.416666666599</v>
      </c>
      <c r="D256">
        <f ca="1"/>
        <v>218</v>
      </c>
      <c r="E256" t="str">
        <f ca="1"/>
        <v>MXN</v>
      </c>
      <c r="F256" t="str">
        <f ca="1"/>
        <v>Karen Alexandra Ballesteros Contreras</v>
      </c>
      <c r="G256" t="str">
        <f ca="1"/>
        <v>D LOCAL*DIDI RIDES     CIUDAD DE MEX MEX</v>
      </c>
      <c r="H256" t="str">
        <f ca="1"/>
        <v>Didi Chuxing</v>
      </c>
      <c r="I256" t="str">
        <f ca="1"/>
        <v>Recruiting</v>
      </c>
      <c r="J256" t="str">
        <f ca="1"/>
        <v>PO2009 DESAYUNO CON IVAN</v>
      </c>
      <c r="K256">
        <f ca="1"/>
        <v>0</v>
      </c>
      <c r="L256" t="str">
        <f ca="1">VLOOKUP(B256,[1]Total!$B:$Q,16,0)</f>
        <v>603.81.006 Gastos Administativos de venta</v>
      </c>
      <c r="M256">
        <f t="shared" ca="1" si="7"/>
        <v>218</v>
      </c>
      <c r="N256" t="str">
        <f t="shared" ca="1" si="8"/>
        <v xml:space="preserve">Karen Alexandra Ballesteros Contreras D LOCAL*DIDI RIDES     CIUDAD DE MEX MEX Didi Chuxing Recruiting PO2009 DESAYUNO CON IVAN 0 </v>
      </c>
    </row>
    <row r="257" spans="1:14">
      <c r="A257" t="str">
        <f ca="1"/>
        <v>TRX2011</v>
      </c>
      <c r="B257" t="str">
        <f ca="1"/>
        <v>#26</v>
      </c>
      <c r="C257">
        <f ca="1"/>
        <v>46063.416666666599</v>
      </c>
      <c r="D257">
        <f ca="1"/>
        <v>277</v>
      </c>
      <c r="E257" t="str">
        <f ca="1"/>
        <v>MXN</v>
      </c>
      <c r="F257" t="str">
        <f ca="1"/>
        <v>Karen Alexandra Ballesteros Contreras</v>
      </c>
      <c r="G257" t="str">
        <f ca="1"/>
        <v>20260208T01:01:01/D LOCAL*DIDI RIDES\UNKNOWN\UNKNOWN\06500        MEX</v>
      </c>
      <c r="H257" t="str">
        <f ca="1"/>
        <v>Didi Chuxing</v>
      </c>
      <c r="I257" t="str">
        <f ca="1"/>
        <v>Recruiting</v>
      </c>
      <c r="J257" t="str">
        <f ca="1"/>
        <v>PO2009 TRASLADOS A ASIPONA</v>
      </c>
      <c r="K257">
        <f ca="1"/>
        <v>0</v>
      </c>
      <c r="L257" t="str">
        <f ca="1">VLOOKUP(B257,[1]Total!$B:$Q,16,0)</f>
        <v>603.81.006 Gastos Administativos de venta</v>
      </c>
      <c r="M257">
        <f t="shared" ca="1" si="7"/>
        <v>277</v>
      </c>
      <c r="N257" t="str">
        <f t="shared" ca="1" si="8"/>
        <v xml:space="preserve">Karen Alexandra Ballesteros Contreras 20260208T01:01:01/D LOCAL*DIDI RIDES\UNKNOWN\UNKNOWN\06500        MEX Didi Chuxing Recruiting PO2009 TRASLADOS A ASIPONA 0 </v>
      </c>
    </row>
    <row r="258" spans="1:14">
      <c r="A258" t="str">
        <f ca="1"/>
        <v>TRX1330</v>
      </c>
      <c r="B258" t="str">
        <f ca="1"/>
        <v>#26</v>
      </c>
      <c r="C258">
        <f ca="1"/>
        <v>46063.416666666599</v>
      </c>
      <c r="D258">
        <f ca="1"/>
        <v>218</v>
      </c>
      <c r="E258" t="str">
        <f ca="1"/>
        <v>MXN</v>
      </c>
      <c r="F258" t="str">
        <f ca="1"/>
        <v>Karen Alexandra Ballesteros Contreras</v>
      </c>
      <c r="G258" t="str">
        <f ca="1"/>
        <v>20260208T01:01:01/D LOCAL*DIDI RIDES\UNKNOWN\UNKNOWN\06500        MEX</v>
      </c>
      <c r="H258" t="str">
        <f ca="1"/>
        <v>Didi Chuxing</v>
      </c>
      <c r="I258" t="str">
        <f ca="1"/>
        <v>Recruiting</v>
      </c>
      <c r="J258" t="str">
        <f ca="1"/>
        <v>PO2009 TRASLADOS A ASIPONA</v>
      </c>
      <c r="K258">
        <f ca="1"/>
        <v>0</v>
      </c>
      <c r="L258" t="str">
        <f ca="1">VLOOKUP(B258,[1]Total!$B:$Q,16,0)</f>
        <v>603.81.006 Gastos Administativos de venta</v>
      </c>
      <c r="M258">
        <f t="shared" ca="1" si="7"/>
        <v>218</v>
      </c>
      <c r="N258" t="str">
        <f t="shared" ca="1" si="8"/>
        <v xml:space="preserve">Karen Alexandra Ballesteros Contreras 20260208T01:01:01/D LOCAL*DIDI RIDES\UNKNOWN\UNKNOWN\06500        MEX Didi Chuxing Recruiting PO2009 TRASLADOS A ASIPONA 0 </v>
      </c>
    </row>
    <row r="259" spans="1:14">
      <c r="A259" t="str">
        <f ca="1"/>
        <v>TRX1781</v>
      </c>
      <c r="B259" t="str">
        <f ca="1"/>
        <v>#26</v>
      </c>
      <c r="C259">
        <f ca="1"/>
        <v>46064.416666666599</v>
      </c>
      <c r="D259">
        <f ca="1"/>
        <v>370</v>
      </c>
      <c r="E259" t="str">
        <f ca="1"/>
        <v>MXN</v>
      </c>
      <c r="F259" t="str">
        <f ca="1"/>
        <v>Karen Alexandra Ballesteros Contreras</v>
      </c>
      <c r="G259" t="str">
        <f ca="1"/>
        <v>D LOCAL*DIDI RIDES     CIUDAD DE MEX MEX</v>
      </c>
      <c r="H259" t="str">
        <f ca="1"/>
        <v>Didi Chuxing</v>
      </c>
      <c r="I259" t="str">
        <f ca="1"/>
        <v>Recruiting</v>
      </c>
      <c r="J259" t="str">
        <f ca="1"/>
        <v>PO2009 TRASLADOS A ASIPONA</v>
      </c>
      <c r="K259" t="str">
        <f ca="1"/>
        <v>24378126-5064-4591-863E-48B723B679EE</v>
      </c>
      <c r="L259" t="str">
        <f ca="1">VLOOKUP(B259,[1]Total!$B:$Q,16,0)</f>
        <v>603.81.006 Gastos Administativos de venta</v>
      </c>
      <c r="M259">
        <f t="shared" ref="M259:M322" ca="1" si="9">D259</f>
        <v>370</v>
      </c>
      <c r="N259" t="str">
        <f t="shared" ref="N259:N322" ca="1" si="10">CONCATENATE(F259," ",G259," ",H259," ",I259," ",J259," ",K259," ")</f>
        <v xml:space="preserve">Karen Alexandra Ballesteros Contreras D LOCAL*DIDI RIDES     CIUDAD DE MEX MEX Didi Chuxing Recruiting PO2009 TRASLADOS A ASIPONA 24378126-5064-4591-863E-48B723B679EE </v>
      </c>
    </row>
    <row r="260" spans="1:14">
      <c r="A260" t="str">
        <f ca="1"/>
        <v>TRX1790</v>
      </c>
      <c r="B260" t="str">
        <f ca="1"/>
        <v>#26</v>
      </c>
      <c r="C260">
        <f ca="1"/>
        <v>46064.416666666599</v>
      </c>
      <c r="D260">
        <f ca="1"/>
        <v>254</v>
      </c>
      <c r="E260" t="str">
        <f ca="1"/>
        <v>MXN</v>
      </c>
      <c r="F260" t="str">
        <f ca="1"/>
        <v>Karen Alexandra Ballesteros Contreras</v>
      </c>
      <c r="G260" t="str">
        <f ca="1"/>
        <v>D LOCAL*DIDI RIDES     CIUDAD DE MEX MEX</v>
      </c>
      <c r="H260" t="str">
        <f ca="1"/>
        <v>Didi Chuxing</v>
      </c>
      <c r="I260" t="str">
        <f ca="1"/>
        <v>Recruiting</v>
      </c>
      <c r="J260" t="str">
        <f ca="1"/>
        <v>PO2009 TRASLADOS A ASIPONA</v>
      </c>
      <c r="K260" t="str">
        <f ca="1"/>
        <v>53C20633-0781-</v>
      </c>
      <c r="L260" t="str">
        <f ca="1">VLOOKUP(B260,[1]Total!$B:$Q,16,0)</f>
        <v>603.81.006 Gastos Administativos de venta</v>
      </c>
      <c r="M260">
        <f t="shared" ca="1" si="9"/>
        <v>254</v>
      </c>
      <c r="N260" t="str">
        <f t="shared" ca="1" si="10"/>
        <v xml:space="preserve">Karen Alexandra Ballesteros Contreras D LOCAL*DIDI RIDES     CIUDAD DE MEX MEX Didi Chuxing Recruiting PO2009 TRASLADOS A ASIPONA 53C20633-0781- </v>
      </c>
    </row>
    <row r="261" spans="1:14">
      <c r="A261" t="str">
        <f ca="1"/>
        <v>TRX1386</v>
      </c>
      <c r="B261" t="str">
        <f ca="1"/>
        <v>#26</v>
      </c>
      <c r="C261">
        <f ca="1"/>
        <v>46064.416666666599</v>
      </c>
      <c r="D261">
        <f ca="1"/>
        <v>300.82</v>
      </c>
      <c r="E261" t="str">
        <f ca="1"/>
        <v>MXN</v>
      </c>
      <c r="F261" t="str">
        <f ca="1"/>
        <v>Karen Alexandra Ballesteros Contreras</v>
      </c>
      <c r="G261" t="str">
        <f ca="1"/>
        <v>D LOCAL*DIDI RIDES     CIUDAD DE MEX MEX</v>
      </c>
      <c r="H261" t="str">
        <f ca="1"/>
        <v>Didi Chuxing</v>
      </c>
      <c r="I261" t="str">
        <f ca="1"/>
        <v>Recruiting</v>
      </c>
      <c r="J261" t="str">
        <f ca="1"/>
        <v>PO2009 VERACRUZ A AIFA</v>
      </c>
      <c r="K261" t="str">
        <f ca="1"/>
        <v>92C6F08C-0605-596A-927A-739835AD638A</v>
      </c>
      <c r="L261" t="str">
        <f ca="1">VLOOKUP(B261,[1]Total!$B:$Q,16,0)</f>
        <v>603.81.006 Gastos Administativos de venta</v>
      </c>
      <c r="M261">
        <f t="shared" ca="1" si="9"/>
        <v>300.82</v>
      </c>
      <c r="N261" t="str">
        <f t="shared" ca="1" si="10"/>
        <v xml:space="preserve">Karen Alexandra Ballesteros Contreras D LOCAL*DIDI RIDES     CIUDAD DE MEX MEX Didi Chuxing Recruiting PO2009 VERACRUZ A AIFA 92C6F08C-0605-596A-927A-739835AD638A </v>
      </c>
    </row>
    <row r="262" spans="1:14">
      <c r="A262" t="str">
        <f ca="1"/>
        <v>TRX1286</v>
      </c>
      <c r="B262" t="str">
        <f ca="1"/>
        <v>#26</v>
      </c>
      <c r="C262">
        <f ca="1"/>
        <v>46064.417361111096</v>
      </c>
      <c r="D262">
        <f ca="1"/>
        <v>254</v>
      </c>
      <c r="E262" t="str">
        <f ca="1"/>
        <v>MXN</v>
      </c>
      <c r="F262" t="str">
        <f ca="1"/>
        <v>Karen Alexandra Ballesteros Contreras</v>
      </c>
      <c r="G262" t="str">
        <f ca="1"/>
        <v>20260209T01:01:01/D LOCAL*DIDI RIDES\UNKNOWN\UNKNOWN\06500        MEX</v>
      </c>
      <c r="H262" t="str">
        <f ca="1"/>
        <v>Didi Chuxing</v>
      </c>
      <c r="I262" t="str">
        <f ca="1"/>
        <v>Recruiting</v>
      </c>
      <c r="J262" t="str">
        <f ca="1"/>
        <v>PO2009 TRASLADOS A ASIPONA</v>
      </c>
      <c r="K262">
        <f ca="1"/>
        <v>0</v>
      </c>
      <c r="L262" t="str">
        <f ca="1">VLOOKUP(B262,[1]Total!$B:$Q,16,0)</f>
        <v>603.81.006 Gastos Administativos de venta</v>
      </c>
      <c r="M262">
        <f t="shared" ca="1" si="9"/>
        <v>254</v>
      </c>
      <c r="N262" t="str">
        <f t="shared" ca="1" si="10"/>
        <v xml:space="preserve">Karen Alexandra Ballesteros Contreras 20260209T01:01:01/D LOCAL*DIDI RIDES\UNKNOWN\UNKNOWN\06500        MEX Didi Chuxing Recruiting PO2009 TRASLADOS A ASIPONA 0 </v>
      </c>
    </row>
    <row r="263" spans="1:14">
      <c r="A263" t="str">
        <f ca="1"/>
        <v>TRX1562</v>
      </c>
      <c r="B263" t="str">
        <f ca="1"/>
        <v>#26</v>
      </c>
      <c r="C263">
        <f ca="1"/>
        <v>46064.417361111096</v>
      </c>
      <c r="D263">
        <f ca="1"/>
        <v>187</v>
      </c>
      <c r="E263" t="str">
        <f ca="1"/>
        <v>MXN</v>
      </c>
      <c r="F263" t="str">
        <f ca="1"/>
        <v>Karen Alexandra Ballesteros Contreras</v>
      </c>
      <c r="G263" t="str">
        <f ca="1"/>
        <v>OLI CAFE NT            CIUDAD DE MEX MEX</v>
      </c>
      <c r="H263" t="str">
        <f ca="1"/>
        <v>Oli Cafe Nt Ciudad De Mex Mex</v>
      </c>
      <c r="I263" t="str">
        <f ca="1"/>
        <v>Recruiting</v>
      </c>
      <c r="J263" t="str">
        <f ca="1"/>
        <v>PO2009 TRASLADOS A ASIPONA</v>
      </c>
      <c r="K263">
        <f ca="1"/>
        <v>0</v>
      </c>
      <c r="L263" t="str">
        <f ca="1">VLOOKUP(B263,[1]Total!$B:$Q,16,0)</f>
        <v>603.81.006 Gastos Administativos de venta</v>
      </c>
      <c r="M263">
        <f t="shared" ca="1" si="9"/>
        <v>187</v>
      </c>
      <c r="N263" t="str">
        <f t="shared" ca="1" si="10"/>
        <v xml:space="preserve">Karen Alexandra Ballesteros Contreras OLI CAFE NT            CIUDAD DE MEX MEX Oli Cafe Nt Ciudad De Mex Mex Recruiting PO2009 TRASLADOS A ASIPONA 0 </v>
      </c>
    </row>
    <row r="264" spans="1:14">
      <c r="A264" t="str">
        <f ca="1"/>
        <v>TRX1197</v>
      </c>
      <c r="B264" t="str">
        <f ca="1"/>
        <v>#26</v>
      </c>
      <c r="C264">
        <f ca="1"/>
        <v>46064.417361111096</v>
      </c>
      <c r="D264">
        <f ca="1"/>
        <v>210</v>
      </c>
      <c r="E264" t="str">
        <f ca="1"/>
        <v>MXN</v>
      </c>
      <c r="F264" t="str">
        <f ca="1"/>
        <v>Karen Alexandra Ballesteros Contreras</v>
      </c>
      <c r="G264" t="str">
        <f ca="1"/>
        <v>CAMINANTE AEROPUERTO   CUAUTITLAN IZ MEX</v>
      </c>
      <c r="H264" t="str">
        <f ca="1"/>
        <v>Caminante Aeropuerto Cuautitlan Iz Mex</v>
      </c>
      <c r="I264" t="str">
        <f ca="1"/>
        <v>Recruiting</v>
      </c>
      <c r="J264" t="str">
        <f ca="1"/>
        <v>PO2009 TRASLADOS A ASIPONA</v>
      </c>
      <c r="K264" t="str">
        <f ca="1"/>
        <v>18BBB523-DFB4-5737-B21F-2EEAA6E1E753</v>
      </c>
      <c r="L264" t="str">
        <f ca="1">VLOOKUP(B264,[1]Total!$B:$Q,16,0)</f>
        <v>603.81.006 Gastos Administativos de venta</v>
      </c>
      <c r="M264">
        <f t="shared" ca="1" si="9"/>
        <v>210</v>
      </c>
      <c r="N264" t="str">
        <f t="shared" ca="1" si="10"/>
        <v xml:space="preserve">Karen Alexandra Ballesteros Contreras CAMINANTE AEROPUERTO   CUAUTITLAN IZ MEX Caminante Aeropuerto Cuautitlan Iz Mex Recruiting PO2009 TRASLADOS A ASIPONA 18BBB523-DFB4-5737-B21F-2EEAA6E1E753 </v>
      </c>
    </row>
    <row r="265" spans="1:14">
      <c r="A265" t="str">
        <f ca="1"/>
        <v>TRX1819</v>
      </c>
      <c r="B265" t="str">
        <f ca="1"/>
        <v>#26</v>
      </c>
      <c r="C265">
        <f ca="1"/>
        <v>46065.416666666599</v>
      </c>
      <c r="D265">
        <f ca="1"/>
        <v>141</v>
      </c>
      <c r="E265" t="str">
        <f ca="1"/>
        <v>MXN</v>
      </c>
      <c r="F265" t="str">
        <f ca="1"/>
        <v>Karen Alexandra Ballesteros Contreras</v>
      </c>
      <c r="G265" t="str">
        <f ca="1"/>
        <v>D LOCAL*DIDI RIDES     CIUDAD DE MEX MEX</v>
      </c>
      <c r="H265" t="str">
        <f ca="1"/>
        <v>Didi Chuxing</v>
      </c>
      <c r="I265" t="str">
        <f ca="1"/>
        <v>Recruiting</v>
      </c>
      <c r="J265" t="str">
        <f ca="1"/>
        <v>PO2009 TRASLADOS A ASIPONA</v>
      </c>
      <c r="K265" t="str">
        <f ca="1"/>
        <v>570F6C1F-AFFD-461E-83C2-213401D128C7</v>
      </c>
      <c r="L265" t="str">
        <f ca="1">VLOOKUP(B265,[1]Total!$B:$Q,16,0)</f>
        <v>603.81.006 Gastos Administativos de venta</v>
      </c>
      <c r="M265">
        <f t="shared" ca="1" si="9"/>
        <v>141</v>
      </c>
      <c r="N265" t="str">
        <f t="shared" ca="1" si="10"/>
        <v xml:space="preserve">Karen Alexandra Ballesteros Contreras D LOCAL*DIDI RIDES     CIUDAD DE MEX MEX Didi Chuxing Recruiting PO2009 TRASLADOS A ASIPONA 570F6C1F-AFFD-461E-83C2-213401D128C7 </v>
      </c>
    </row>
    <row r="266" spans="1:14">
      <c r="A266" t="str">
        <f ca="1"/>
        <v>TRX1654</v>
      </c>
      <c r="B266" t="str">
        <f ca="1"/>
        <v>#26</v>
      </c>
      <c r="C266">
        <f ca="1"/>
        <v>46065.416666666599</v>
      </c>
      <c r="D266">
        <f ca="1"/>
        <v>335</v>
      </c>
      <c r="E266" t="str">
        <f ca="1"/>
        <v>MXN</v>
      </c>
      <c r="F266" t="str">
        <f ca="1"/>
        <v>Karen Alexandra Ballesteros Contreras</v>
      </c>
      <c r="G266" t="str">
        <f ca="1"/>
        <v>MISC PITS TOL ZIT      ALMOLOYA DE J MEX</v>
      </c>
      <c r="H266" t="str">
        <f ca="1"/>
        <v>Misc Pits Tol Zit Almoloya De J Mex</v>
      </c>
      <c r="I266" t="str">
        <f ca="1"/>
        <v>Recruiting</v>
      </c>
      <c r="J266" t="str">
        <f ca="1"/>
        <v>PO2009 TRASLADOS A ASIPONA</v>
      </c>
      <c r="K266">
        <f ca="1"/>
        <v>0</v>
      </c>
      <c r="L266" t="str">
        <f ca="1">VLOOKUP(B266,[1]Total!$B:$Q,16,0)</f>
        <v>603.81.006 Gastos Administativos de venta</v>
      </c>
      <c r="M266">
        <f t="shared" ca="1" si="9"/>
        <v>335</v>
      </c>
      <c r="N266" t="str">
        <f t="shared" ca="1" si="10"/>
        <v xml:space="preserve">Karen Alexandra Ballesteros Contreras MISC PITS TOL ZIT      ALMOLOYA DE J MEX Misc Pits Tol Zit Almoloya De J Mex Recruiting PO2009 TRASLADOS A ASIPONA 0 </v>
      </c>
    </row>
    <row r="267" spans="1:14">
      <c r="A267" t="str">
        <f ca="1"/>
        <v>TRX1960</v>
      </c>
      <c r="B267" t="str">
        <f ca="1"/>
        <v>#26</v>
      </c>
      <c r="C267">
        <f ca="1"/>
        <v>46065.417361111096</v>
      </c>
      <c r="D267">
        <f ca="1"/>
        <v>1149</v>
      </c>
      <c r="E267" t="str">
        <f ca="1"/>
        <v>MXN</v>
      </c>
      <c r="F267" t="str">
        <f ca="1"/>
        <v>Karen Alexandra Ballesteros Contreras</v>
      </c>
      <c r="G267" t="str">
        <f ca="1"/>
        <v>SUPERCENTER SANTIN     TOLUCA EM     MEX</v>
      </c>
      <c r="H267" t="str">
        <f ca="1"/>
        <v>Supercenter Santin Toluca Em Mex</v>
      </c>
      <c r="I267" t="str">
        <f ca="1"/>
        <v>Recruiting</v>
      </c>
      <c r="J267" t="str">
        <f ca="1"/>
        <v>PO2009 CENAS</v>
      </c>
      <c r="K267">
        <f ca="1"/>
        <v>0</v>
      </c>
      <c r="L267" t="str">
        <f ca="1">VLOOKUP(B267,[1]Total!$B:$Q,16,0)</f>
        <v>603.81.006 Gastos Administativos de venta</v>
      </c>
      <c r="M267">
        <f t="shared" ca="1" si="9"/>
        <v>1149</v>
      </c>
      <c r="N267" t="str">
        <f t="shared" ca="1" si="10"/>
        <v xml:space="preserve">Karen Alexandra Ballesteros Contreras SUPERCENTER SANTIN     TOLUCA EM     MEX Supercenter Santin Toluca Em Mex Recruiting PO2009 CENAS 0 </v>
      </c>
    </row>
    <row r="268" spans="1:14">
      <c r="A268" t="str">
        <f ca="1"/>
        <v>TRX1699</v>
      </c>
      <c r="B268" t="str">
        <f ca="1"/>
        <v>#26</v>
      </c>
      <c r="C268">
        <f ca="1"/>
        <v>46066.416666666599</v>
      </c>
      <c r="D268">
        <f ca="1"/>
        <v>171.28</v>
      </c>
      <c r="E268" t="str">
        <f ca="1"/>
        <v>MXN</v>
      </c>
      <c r="F268" t="str">
        <f ca="1"/>
        <v>Karen Alexandra Ballesteros Contreras</v>
      </c>
      <c r="G268" t="str">
        <f ca="1"/>
        <v>UBER * EATS PENDING    CMX           MEX</v>
      </c>
      <c r="H268" t="str">
        <f ca="1"/>
        <v>Uber Eats</v>
      </c>
      <c r="I268" t="str">
        <f ca="1"/>
        <v>Recruiting</v>
      </c>
      <c r="J268" t="str">
        <f ca="1"/>
        <v>PO2009 TRASLADO ASIPONA HACIA AEROPUERTO</v>
      </c>
      <c r="K268">
        <f ca="1"/>
        <v>0</v>
      </c>
      <c r="L268" t="str">
        <f ca="1">VLOOKUP(B268,[1]Total!$B:$Q,16,0)</f>
        <v>603.81.006 Gastos Administativos de venta</v>
      </c>
      <c r="M268">
        <f t="shared" ca="1" si="9"/>
        <v>171.28</v>
      </c>
      <c r="N268" t="str">
        <f t="shared" ca="1" si="10"/>
        <v xml:space="preserve">Karen Alexandra Ballesteros Contreras UBER * EATS PENDING    CMX           MEX Uber Eats Recruiting PO2009 TRASLADO ASIPONA HACIA AEROPUERTO 0 </v>
      </c>
    </row>
    <row r="269" spans="1:14">
      <c r="A269" t="str">
        <f ca="1"/>
        <v>TRX1158</v>
      </c>
      <c r="B269" t="str">
        <f ca="1"/>
        <v>#26</v>
      </c>
      <c r="C269">
        <f ca="1"/>
        <v>46066.416666666599</v>
      </c>
      <c r="D269">
        <f ca="1"/>
        <v>112</v>
      </c>
      <c r="E269" t="str">
        <f ca="1"/>
        <v>MXN</v>
      </c>
      <c r="F269" t="str">
        <f ca="1"/>
        <v>Karen Alexandra Ballesteros Contreras</v>
      </c>
      <c r="G269" t="str">
        <f ca="1"/>
        <v>MISC PITS TOL ZIT      ALMOLOYA DE J MEX</v>
      </c>
      <c r="H269" t="str">
        <f ca="1"/>
        <v>Misc Pits Tol Zit Almoloya De J Mex</v>
      </c>
      <c r="I269" t="str">
        <f ca="1"/>
        <v>Recruiting</v>
      </c>
      <c r="J269" t="str">
        <f ca="1"/>
        <v>PO2009 TRASLADO HACIA DOMICILIO DESDE AIFA</v>
      </c>
      <c r="K269" t="str">
        <f ca="1"/>
        <v>E41C975E-2E60-4795-81C6-6737CF0D62D1</v>
      </c>
      <c r="L269" t="str">
        <f ca="1">VLOOKUP(B269,[1]Total!$B:$Q,16,0)</f>
        <v>603.81.006 Gastos Administativos de venta</v>
      </c>
      <c r="M269">
        <f t="shared" ca="1" si="9"/>
        <v>112</v>
      </c>
      <c r="N269" t="str">
        <f t="shared" ca="1" si="10"/>
        <v xml:space="preserve">Karen Alexandra Ballesteros Contreras MISC PITS TOL ZIT      ALMOLOYA DE J MEX Misc Pits Tol Zit Almoloya De J Mex Recruiting PO2009 TRASLADO HACIA DOMICILIO DESDE AIFA E41C975E-2E60-4795-81C6-6737CF0D62D1 </v>
      </c>
    </row>
    <row r="270" spans="1:14">
      <c r="A270" t="str">
        <f ca="1"/>
        <v>TRX1540</v>
      </c>
      <c r="B270" t="str">
        <f ca="1"/>
        <v>#26</v>
      </c>
      <c r="C270">
        <f ca="1"/>
        <v>46066.416666666599</v>
      </c>
      <c r="D270">
        <f ca="1"/>
        <v>310</v>
      </c>
      <c r="E270" t="str">
        <f ca="1"/>
        <v>MXN</v>
      </c>
      <c r="F270" t="str">
        <f ca="1"/>
        <v>Karen Alexandra Ballesteros Contreras</v>
      </c>
      <c r="G270" t="str">
        <f ca="1"/>
        <v>PITS CORTADITO TOLUCA  ALMOLOYA DE J MEX</v>
      </c>
      <c r="H270" t="str">
        <f ca="1"/>
        <v>Pits Cortadito Toluca Almoloya De J Mex</v>
      </c>
      <c r="I270" t="str">
        <f ca="1"/>
        <v>Recruiting</v>
      </c>
      <c r="J270" t="str">
        <f ca="1"/>
        <v>PO2009 TRASLADO HACIA DOMICILIO DESDE AIFA</v>
      </c>
      <c r="K270" t="str">
        <f ca="1"/>
        <v>6370444F-7AE3-4880-88A-F35E67F06C7E</v>
      </c>
      <c r="L270" t="str">
        <f ca="1">VLOOKUP(B270,[1]Total!$B:$Q,16,0)</f>
        <v>603.81.006 Gastos Administativos de venta</v>
      </c>
      <c r="M270">
        <f t="shared" ca="1" si="9"/>
        <v>310</v>
      </c>
      <c r="N270" t="str">
        <f t="shared" ca="1" si="10"/>
        <v xml:space="preserve">Karen Alexandra Ballesteros Contreras PITS CORTADITO TOLUCA  ALMOLOYA DE J MEX Pits Cortadito Toluca Almoloya De J Mex Recruiting PO2009 TRASLADO HACIA DOMICILIO DESDE AIFA 6370444F-7AE3-4880-88A-F35E67F06C7E </v>
      </c>
    </row>
    <row r="271" spans="1:14">
      <c r="A271" t="str">
        <f ca="1"/>
        <v>TRX1529</v>
      </c>
      <c r="B271" t="str">
        <f ca="1"/>
        <v>#26</v>
      </c>
      <c r="C271">
        <f ca="1"/>
        <v>46066.416666666599</v>
      </c>
      <c r="D271">
        <f ca="1"/>
        <v>150</v>
      </c>
      <c r="E271" t="str">
        <f ca="1"/>
        <v>MXN</v>
      </c>
      <c r="F271" t="str">
        <f ca="1"/>
        <v>Karen Alexandra Ballesteros Contreras</v>
      </c>
      <c r="G271" t="str">
        <f ca="1"/>
        <v>D LOCAL*DIDI RIDES     CIUDAD DE MEX MEX</v>
      </c>
      <c r="H271" t="str">
        <f ca="1"/>
        <v>Didi Chuxing</v>
      </c>
      <c r="I271" t="str">
        <f ca="1"/>
        <v>Recruiting</v>
      </c>
      <c r="J271" t="str">
        <f ca="1"/>
        <v>PO2009 TRASLADO HACIA DOMICILIO DESDE AIFA</v>
      </c>
      <c r="K271" t="str">
        <f ca="1"/>
        <v>E3A0B0FD-670A-43A3-8884-94C5B27D3F68</v>
      </c>
      <c r="L271" t="str">
        <f ca="1">VLOOKUP(B271,[1]Total!$B:$Q,16,0)</f>
        <v>603.81.006 Gastos Administativos de venta</v>
      </c>
      <c r="M271">
        <f t="shared" ca="1" si="9"/>
        <v>150</v>
      </c>
      <c r="N271" t="str">
        <f t="shared" ca="1" si="10"/>
        <v xml:space="preserve">Karen Alexandra Ballesteros Contreras D LOCAL*DIDI RIDES     CIUDAD DE MEX MEX Didi Chuxing Recruiting PO2009 TRASLADO HACIA DOMICILIO DESDE AIFA E3A0B0FD-670A-43A3-8884-94C5B27D3F68 </v>
      </c>
    </row>
    <row r="272" spans="1:14">
      <c r="A272" t="str">
        <f ca="1"/>
        <v>TRX1215</v>
      </c>
      <c r="B272" t="str">
        <f ca="1"/>
        <v>#26</v>
      </c>
      <c r="C272">
        <f ca="1"/>
        <v>46066.417361111096</v>
      </c>
      <c r="D272">
        <f ca="1"/>
        <v>210</v>
      </c>
      <c r="E272" t="str">
        <f ca="1"/>
        <v>MXN</v>
      </c>
      <c r="F272" t="str">
        <f ca="1"/>
        <v>Karen Alexandra Ballesteros Contreras</v>
      </c>
      <c r="G272" t="str">
        <f ca="1"/>
        <v>CAMINANTE AIT          TOLUCA EM     MEX</v>
      </c>
      <c r="H272" t="str">
        <f ca="1"/>
        <v>Caminante Ait Toluca Em Mex</v>
      </c>
      <c r="I272" t="str">
        <f ca="1"/>
        <v>Recruiting</v>
      </c>
      <c r="J272" t="str">
        <f ca="1"/>
        <v>PO2009 CENA</v>
      </c>
      <c r="K272">
        <f ca="1"/>
        <v>0</v>
      </c>
      <c r="L272" t="str">
        <f ca="1">VLOOKUP(B272,[1]Total!$B:$Q,16,0)</f>
        <v>603.81.006 Gastos Administativos de venta</v>
      </c>
      <c r="M272">
        <f t="shared" ca="1" si="9"/>
        <v>210</v>
      </c>
      <c r="N272" t="str">
        <f t="shared" ca="1" si="10"/>
        <v xml:space="preserve">Karen Alexandra Ballesteros Contreras CAMINANTE AIT          TOLUCA EM     MEX Caminante Ait Toluca Em Mex Recruiting PO2009 CENA 0 </v>
      </c>
    </row>
    <row r="273" spans="1:14">
      <c r="A273" t="str">
        <f ca="1"/>
        <v>TRX1754</v>
      </c>
      <c r="B273" t="str">
        <f ca="1"/>
        <v>#26</v>
      </c>
      <c r="C273">
        <f ca="1"/>
        <v>46066.417361111096</v>
      </c>
      <c r="D273">
        <f ca="1"/>
        <v>572</v>
      </c>
      <c r="E273" t="str">
        <f ca="1"/>
        <v>MXN</v>
      </c>
      <c r="F273" t="str">
        <f ca="1"/>
        <v>Karen Alexandra Ballesteros Contreras</v>
      </c>
      <c r="G273" t="str">
        <f ca="1"/>
        <v>REST HERENCIA AVANDARO VALLE DE BRAV MEX</v>
      </c>
      <c r="H273" t="str">
        <f ca="1"/>
        <v>Rest Herencia Avandaro Valle De Brav Mex</v>
      </c>
      <c r="I273" t="str">
        <f ca="1"/>
        <v>Recruiting</v>
      </c>
      <c r="J273" t="str">
        <f ca="1"/>
        <v>PO1801 UBER HACIA GRAJALES</v>
      </c>
      <c r="K273" t="str">
        <f ca="1"/>
        <v>.</v>
      </c>
      <c r="L273" t="str">
        <f ca="1">VLOOKUP(B273,[1]Total!$B:$Q,16,0)</f>
        <v>603.81.006 Gastos Administativos de venta</v>
      </c>
      <c r="M273">
        <f t="shared" ca="1" si="9"/>
        <v>572</v>
      </c>
      <c r="N273" t="str">
        <f t="shared" ca="1" si="10"/>
        <v xml:space="preserve">Karen Alexandra Ballesteros Contreras REST HERENCIA AVANDARO VALLE DE BRAV MEX Rest Herencia Avandaro Valle De Brav Mex Recruiting PO1801 UBER HACIA GRAJALES . </v>
      </c>
    </row>
    <row r="274" spans="1:14">
      <c r="A274" t="str">
        <f ca="1"/>
        <v>TRX1445</v>
      </c>
      <c r="B274" t="str">
        <f ca="1"/>
        <v>#26</v>
      </c>
      <c r="C274">
        <f ca="1"/>
        <v>46067.416666666599</v>
      </c>
      <c r="D274">
        <f ca="1"/>
        <v>1.8</v>
      </c>
      <c r="E274" t="str">
        <f ca="1"/>
        <v>MXN</v>
      </c>
      <c r="F274" t="str">
        <f ca="1"/>
        <v>Karen Alexandra Ballesteros Contreras</v>
      </c>
      <c r="G274" t="str">
        <f ca="1"/>
        <v>Didi Mexico            CAUHTEMOC     MEX</v>
      </c>
      <c r="H274" t="str">
        <f ca="1"/>
        <v>Didi Mexico Cauhtemoc Mex</v>
      </c>
      <c r="I274" t="str">
        <f ca="1"/>
        <v>Recruiting</v>
      </c>
      <c r="J274" t="str">
        <f ca="1"/>
        <v xml:space="preserve"> EPP calzado</v>
      </c>
      <c r="K274" t="str">
        <f ca="1"/>
        <v>.</v>
      </c>
      <c r="L274" t="str">
        <f ca="1">VLOOKUP(B274,[1]Total!$B:$Q,16,0)</f>
        <v>603.81.006 Gastos Administativos de venta</v>
      </c>
      <c r="M274">
        <f t="shared" ca="1" si="9"/>
        <v>1.8</v>
      </c>
      <c r="N274" t="str">
        <f t="shared" ca="1" si="10"/>
        <v xml:space="preserve">Karen Alexandra Ballesteros Contreras Didi Mexico            CAUHTEMOC     MEX Didi Mexico Cauhtemoc Mex Recruiting  EPP calzado . </v>
      </c>
    </row>
    <row r="275" spans="1:14">
      <c r="A275" t="str">
        <f ca="1"/>
        <v>TRX1993</v>
      </c>
      <c r="B275" t="str">
        <f ca="1"/>
        <v>#26</v>
      </c>
      <c r="C275">
        <f ca="1"/>
        <v>46067.416666666599</v>
      </c>
      <c r="D275">
        <f ca="1"/>
        <v>129.88</v>
      </c>
      <c r="E275" t="str">
        <f ca="1"/>
        <v>MXN</v>
      </c>
      <c r="F275" t="str">
        <f ca="1"/>
        <v>Karen Alexandra Ballesteros Contreras</v>
      </c>
      <c r="G275" t="str">
        <f ca="1"/>
        <v>UBER *TRIP HELP.UBER.C CMX           MEX</v>
      </c>
      <c r="H275" t="str">
        <f ca="1"/>
        <v>Uber</v>
      </c>
      <c r="I275" t="str">
        <f ca="1"/>
        <v>Recruiting</v>
      </c>
      <c r="J275" t="str">
        <f ca="1"/>
        <v>PO1801 UBER HACIA GRAJALES</v>
      </c>
      <c r="K275" t="str">
        <f ca="1"/>
        <v>D58EFE30-0FD5-48E7-B113-44610D34E722</v>
      </c>
      <c r="L275" t="str">
        <f ca="1">VLOOKUP(B275,[1]Total!$B:$Q,16,0)</f>
        <v>603.81.006 Gastos Administativos de venta</v>
      </c>
      <c r="M275">
        <f t="shared" ca="1" si="9"/>
        <v>129.88</v>
      </c>
      <c r="N275" t="str">
        <f t="shared" ca="1" si="10"/>
        <v xml:space="preserve">Karen Alexandra Ballesteros Contreras UBER *TRIP HELP.UBER.C CMX           MEX Uber Recruiting PO1801 UBER HACIA GRAJALES D58EFE30-0FD5-48E7-B113-44610D34E722 </v>
      </c>
    </row>
    <row r="276" spans="1:14">
      <c r="A276" t="str">
        <f ca="1"/>
        <v>TRX1210</v>
      </c>
      <c r="B276" t="str">
        <f ca="1"/>
        <v>#26</v>
      </c>
      <c r="C276">
        <f ca="1"/>
        <v>46067.416666666599</v>
      </c>
      <c r="D276">
        <f ca="1"/>
        <v>484.43</v>
      </c>
      <c r="E276" t="str">
        <f ca="1"/>
        <v>MXN</v>
      </c>
      <c r="F276" t="str">
        <f ca="1"/>
        <v>Karen Alexandra Ballesteros Contreras</v>
      </c>
      <c r="G276" t="str">
        <f ca="1"/>
        <v>UBER * PENDING         CMX           MEX</v>
      </c>
      <c r="H276" t="str">
        <f ca="1"/>
        <v>Uber</v>
      </c>
      <c r="I276" t="str">
        <f ca="1"/>
        <v>Recruiting</v>
      </c>
      <c r="J276" t="str">
        <f ca="1"/>
        <v>peaje</v>
      </c>
      <c r="K276" t="str">
        <f ca="1"/>
        <v>BB1C9819-1CA0-4E66-824D-5C9CF4A81400</v>
      </c>
      <c r="L276" t="str">
        <f ca="1">VLOOKUP(B276,[1]Total!$B:$Q,16,0)</f>
        <v>603.81.006 Gastos Administativos de venta</v>
      </c>
      <c r="M276">
        <f t="shared" ca="1" si="9"/>
        <v>484.43</v>
      </c>
      <c r="N276" t="str">
        <f t="shared" ca="1" si="10"/>
        <v xml:space="preserve">Karen Alexandra Ballesteros Contreras UBER * PENDING         CMX           MEX Uber Recruiting peaje BB1C9819-1CA0-4E66-824D-5C9CF4A81400 </v>
      </c>
    </row>
    <row r="277" spans="1:14">
      <c r="A277" t="str">
        <f ca="1"/>
        <v>TRX1006</v>
      </c>
      <c r="B277" t="str">
        <f ca="1"/>
        <v>#26</v>
      </c>
      <c r="C277">
        <f ca="1"/>
        <v>46067.416666666599</v>
      </c>
      <c r="D277">
        <f ca="1"/>
        <v>161.19999999999999</v>
      </c>
      <c r="E277" t="str">
        <f ca="1"/>
        <v>MXN</v>
      </c>
      <c r="F277" t="str">
        <f ca="1"/>
        <v>Karen Alexandra Ballesteros Contreras</v>
      </c>
      <c r="G277" t="str">
        <f ca="1"/>
        <v>UBER * EATS PENDING    CMX           MEX</v>
      </c>
      <c r="H277" t="str">
        <f ca="1"/>
        <v>Uber Eats</v>
      </c>
      <c r="I277" t="str">
        <f ca="1"/>
        <v>Recruiting</v>
      </c>
      <c r="J277" t="str">
        <f ca="1"/>
        <v>po1802 uber de grajales</v>
      </c>
      <c r="K277" t="str">
        <f ca="1"/>
        <v>.</v>
      </c>
      <c r="L277" t="str">
        <f ca="1">VLOOKUP(B277,[1]Total!$B:$Q,16,0)</f>
        <v>603.81.006 Gastos Administativos de venta</v>
      </c>
      <c r="M277">
        <f t="shared" ca="1" si="9"/>
        <v>161.19999999999999</v>
      </c>
      <c r="N277" t="str">
        <f t="shared" ca="1" si="10"/>
        <v xml:space="preserve">Karen Alexandra Ballesteros Contreras UBER * EATS PENDING    CMX           MEX Uber Eats Recruiting po1802 uber de grajales . </v>
      </c>
    </row>
    <row r="278" spans="1:14">
      <c r="A278" t="str">
        <f ca="1"/>
        <v>TRX1787</v>
      </c>
      <c r="B278" t="str">
        <f ca="1"/>
        <v>#26</v>
      </c>
      <c r="C278">
        <f ca="1"/>
        <v>46067.416666666599</v>
      </c>
      <c r="D278">
        <f ca="1"/>
        <v>510</v>
      </c>
      <c r="E278" t="str">
        <f ca="1"/>
        <v>MXN</v>
      </c>
      <c r="F278" t="str">
        <f ca="1"/>
        <v>Karen Alexandra Ballesteros Contreras</v>
      </c>
      <c r="G278" t="str">
        <f ca="1"/>
        <v>MERCADOPAGO *PASE      MIGUEL HIDALG MEX</v>
      </c>
      <c r="H278" t="str">
        <f ca="1"/>
        <v>Mercadopago</v>
      </c>
      <c r="I278" t="str">
        <f ca="1"/>
        <v>Recruiting</v>
      </c>
      <c r="J278" t="str">
        <f ca="1"/>
        <v>PO1801 UBER HACIA GRAJALES</v>
      </c>
      <c r="K278" t="str">
        <f ca="1"/>
        <v>.</v>
      </c>
      <c r="L278" t="str">
        <f ca="1">VLOOKUP(B278,[1]Total!$B:$Q,16,0)</f>
        <v>603.81.006 Gastos Administativos de venta</v>
      </c>
      <c r="M278">
        <f t="shared" ca="1" si="9"/>
        <v>510</v>
      </c>
      <c r="N278" t="str">
        <f t="shared" ca="1" si="10"/>
        <v xml:space="preserve">Karen Alexandra Ballesteros Contreras MERCADOPAGO *PASE      MIGUEL HIDALG MEX Mercadopago Recruiting PO1801 UBER HACIA GRAJALES . </v>
      </c>
    </row>
    <row r="279" spans="1:14">
      <c r="A279" t="str">
        <f ca="1"/>
        <v>TRX1178</v>
      </c>
      <c r="B279" t="str">
        <f ca="1"/>
        <v>#26</v>
      </c>
      <c r="C279">
        <f ca="1"/>
        <v>46067.416666666599</v>
      </c>
      <c r="D279">
        <f ca="1"/>
        <v>36</v>
      </c>
      <c r="E279" t="str">
        <f ca="1"/>
        <v>MXN</v>
      </c>
      <c r="F279" t="str">
        <f ca="1"/>
        <v>Karen Alexandra Ballesteros Contreras</v>
      </c>
      <c r="G279" t="str">
        <f ca="1"/>
        <v>DLO DIDI RIDES MX      CIUDAD DE MEX MEX</v>
      </c>
      <c r="H279" t="str">
        <f ca="1"/>
        <v>Didi Chuxing</v>
      </c>
      <c r="I279" t="str">
        <f ca="1"/>
        <v>Recruiting</v>
      </c>
      <c r="J279" t="str">
        <f ca="1"/>
        <v>po1802 uber de grajales</v>
      </c>
      <c r="K279" t="str">
        <f ca="1"/>
        <v>.</v>
      </c>
      <c r="L279" t="str">
        <f ca="1">VLOOKUP(B279,[1]Total!$B:$Q,16,0)</f>
        <v>603.81.006 Gastos Administativos de venta</v>
      </c>
      <c r="M279">
        <f t="shared" ca="1" si="9"/>
        <v>36</v>
      </c>
      <c r="N279" t="str">
        <f t="shared" ca="1" si="10"/>
        <v xml:space="preserve">Karen Alexandra Ballesteros Contreras DLO DIDI RIDES MX      CIUDAD DE MEX MEX Didi Chuxing Recruiting po1802 uber de grajales . </v>
      </c>
    </row>
    <row r="280" spans="1:14">
      <c r="A280" t="str">
        <f ca="1"/>
        <v>TRX1694</v>
      </c>
      <c r="B280" t="str">
        <f ca="1"/>
        <v>#26</v>
      </c>
      <c r="C280">
        <f ca="1"/>
        <v>46067.416666666599</v>
      </c>
      <c r="D280">
        <f ca="1"/>
        <v>15</v>
      </c>
      <c r="E280" t="str">
        <f ca="1"/>
        <v>MXN</v>
      </c>
      <c r="F280" t="str">
        <f ca="1"/>
        <v>Karen Alexandra Ballesteros Contreras</v>
      </c>
      <c r="G280" t="str">
        <f ca="1"/>
        <v>DLO DIDI RIDES MX      CIUDAD DE MEX MEX</v>
      </c>
      <c r="H280" t="str">
        <f ca="1"/>
        <v>Didi Chuxing</v>
      </c>
      <c r="I280" t="str">
        <f ca="1"/>
        <v>Recruiting</v>
      </c>
      <c r="J280" t="str">
        <f ca="1"/>
        <v>PO1947 DESAYUNO</v>
      </c>
      <c r="K280" t="str">
        <f ca="1"/>
        <v>.</v>
      </c>
      <c r="L280" t="str">
        <f ca="1">VLOOKUP(B280,[1]Total!$B:$Q,16,0)</f>
        <v>603.81.006 Gastos Administativos de venta</v>
      </c>
      <c r="M280">
        <f t="shared" ca="1" si="9"/>
        <v>15</v>
      </c>
      <c r="N280" t="str">
        <f t="shared" ca="1" si="10"/>
        <v xml:space="preserve">Karen Alexandra Ballesteros Contreras DLO DIDI RIDES MX      CIUDAD DE MEX MEX Didi Chuxing Recruiting PO1947 DESAYUNO . </v>
      </c>
    </row>
    <row r="281" spans="1:14">
      <c r="A281" t="str">
        <f ca="1"/>
        <v>TRX1978</v>
      </c>
      <c r="B281" t="str">
        <f ca="1"/>
        <v>#26</v>
      </c>
      <c r="C281">
        <f ca="1"/>
        <v>46067.416666666599</v>
      </c>
      <c r="D281">
        <f ca="1"/>
        <v>27.2</v>
      </c>
      <c r="E281" t="str">
        <f ca="1"/>
        <v>MXN</v>
      </c>
      <c r="F281" t="str">
        <f ca="1"/>
        <v>Karen Alexandra Ballesteros Contreras</v>
      </c>
      <c r="G281" t="str">
        <f ca="1"/>
        <v>DLO DIDI RIDES MX      CIUDAD DE MEX MEX</v>
      </c>
      <c r="H281" t="str">
        <f ca="1"/>
        <v>Didi Chuxing</v>
      </c>
      <c r="I281" t="str">
        <f ca="1"/>
        <v>Recruiting</v>
      </c>
      <c r="J281">
        <f ca="1"/>
        <v>0</v>
      </c>
      <c r="K281" t="str">
        <f ca="1"/>
        <v>.</v>
      </c>
      <c r="L281" t="str">
        <f ca="1">VLOOKUP(B281,[1]Total!$B:$Q,16,0)</f>
        <v>603.81.006 Gastos Administativos de venta</v>
      </c>
      <c r="M281">
        <f t="shared" ca="1" si="9"/>
        <v>27.2</v>
      </c>
      <c r="N281" t="str">
        <f t="shared" ca="1" si="10"/>
        <v xml:space="preserve">Karen Alexandra Ballesteros Contreras DLO DIDI RIDES MX      CIUDAD DE MEX MEX Didi Chuxing Recruiting 0 . </v>
      </c>
    </row>
    <row r="282" spans="1:14">
      <c r="A282" t="str">
        <f ca="1"/>
        <v>TRX1709</v>
      </c>
      <c r="B282" t="str">
        <f ca="1"/>
        <v>#26</v>
      </c>
      <c r="C282">
        <f ca="1"/>
        <v>46067.416666666599</v>
      </c>
      <c r="D282">
        <f ca="1"/>
        <v>328</v>
      </c>
      <c r="E282" t="str">
        <f ca="1"/>
        <v>MXN</v>
      </c>
      <c r="F282" t="str">
        <f ca="1"/>
        <v>Karen Alexandra Ballesteros Contreras</v>
      </c>
      <c r="G282" t="str">
        <f ca="1"/>
        <v>D LOCAL*DIDI RIDES     CIUDAD DE MEX MEX</v>
      </c>
      <c r="H282" t="str">
        <f ca="1"/>
        <v>Didi Chuxing</v>
      </c>
      <c r="I282" t="str">
        <f ca="1"/>
        <v>Recruiting</v>
      </c>
      <c r="J282" t="str">
        <f ca="1"/>
        <v>PO1947 UBER HACIA SYNERGO</v>
      </c>
      <c r="K282" t="str">
        <f ca="1"/>
        <v>.</v>
      </c>
      <c r="L282" t="str">
        <f ca="1">VLOOKUP(B282,[1]Total!$B:$Q,16,0)</f>
        <v>603.81.006 Gastos Administativos de venta</v>
      </c>
      <c r="M282">
        <f t="shared" ca="1" si="9"/>
        <v>328</v>
      </c>
      <c r="N282" t="str">
        <f t="shared" ca="1" si="10"/>
        <v xml:space="preserve">Karen Alexandra Ballesteros Contreras D LOCAL*DIDI RIDES     CIUDAD DE MEX MEX Didi Chuxing Recruiting PO1947 UBER HACIA SYNERGO . </v>
      </c>
    </row>
    <row r="283" spans="1:14">
      <c r="A283" t="str">
        <f ca="1"/>
        <v>TRX1557</v>
      </c>
      <c r="B283" t="str">
        <f ca="1"/>
        <v>#26</v>
      </c>
      <c r="C283">
        <f ca="1"/>
        <v>46067.417361111096</v>
      </c>
      <c r="D283">
        <f ca="1"/>
        <v>118</v>
      </c>
      <c r="E283" t="str">
        <f ca="1"/>
        <v>MXN</v>
      </c>
      <c r="F283" t="str">
        <f ca="1"/>
        <v>Karen Alexandra Ballesteros Contreras</v>
      </c>
      <c r="G283" t="str">
        <f ca="1"/>
        <v>D LOCAL*DIDI RIDES     CIUDAD DE MEX MEX</v>
      </c>
      <c r="H283" t="str">
        <f ca="1"/>
        <v>Didi Chuxing</v>
      </c>
      <c r="I283" t="str">
        <f ca="1"/>
        <v>Recruiting</v>
      </c>
      <c r="J283" t="str">
        <f ca="1"/>
        <v>PO1801 COMIDA</v>
      </c>
      <c r="K283" t="str">
        <f ca="1"/>
        <v>.</v>
      </c>
      <c r="L283" t="str">
        <f ca="1">VLOOKUP(B283,[1]Total!$B:$Q,16,0)</f>
        <v>603.81.006 Gastos Administativos de venta</v>
      </c>
      <c r="M283">
        <f t="shared" ca="1" si="9"/>
        <v>118</v>
      </c>
      <c r="N283" t="str">
        <f t="shared" ca="1" si="10"/>
        <v xml:space="preserve">Karen Alexandra Ballesteros Contreras D LOCAL*DIDI RIDES     CIUDAD DE MEX MEX Didi Chuxing Recruiting PO1801 COMIDA . </v>
      </c>
    </row>
    <row r="284" spans="1:14">
      <c r="A284" t="str">
        <f ca="1"/>
        <v>TRX1049</v>
      </c>
      <c r="B284" t="str">
        <f ca="1"/>
        <v>#26</v>
      </c>
      <c r="C284">
        <f ca="1"/>
        <v>46067.417361111096</v>
      </c>
      <c r="D284">
        <f ca="1"/>
        <v>328</v>
      </c>
      <c r="E284" t="str">
        <f ca="1"/>
        <v>MXN</v>
      </c>
      <c r="F284" t="str">
        <f ca="1"/>
        <v>Karen Alexandra Ballesteros Contreras</v>
      </c>
      <c r="G284" t="str">
        <f ca="1"/>
        <v>20260212T01:01:01/D LOCAL*DIDI RIDES\UNKNOWN\UNKNOWN\06500        MEX</v>
      </c>
      <c r="H284" t="str">
        <f ca="1"/>
        <v>Didi Chuxing</v>
      </c>
      <c r="I284" t="str">
        <f ca="1"/>
        <v>Recruiting</v>
      </c>
      <c r="J284" t="str">
        <f ca="1"/>
        <v>PO1801 UBER HACIA GRAJALES</v>
      </c>
      <c r="K284" t="str">
        <f ca="1"/>
        <v>.</v>
      </c>
      <c r="L284" t="str">
        <f ca="1">VLOOKUP(B284,[1]Total!$B:$Q,16,0)</f>
        <v>603.81.006 Gastos Administativos de venta</v>
      </c>
      <c r="M284">
        <f t="shared" ca="1" si="9"/>
        <v>328</v>
      </c>
      <c r="N284" t="str">
        <f t="shared" ca="1" si="10"/>
        <v xml:space="preserve">Karen Alexandra Ballesteros Contreras 20260212T01:01:01/D LOCAL*DIDI RIDES\UNKNOWN\UNKNOWN\06500        MEX Didi Chuxing Recruiting PO1801 UBER HACIA GRAJALES . </v>
      </c>
    </row>
    <row r="285" spans="1:14">
      <c r="A285" t="str">
        <f ca="1"/>
        <v>TRX2000</v>
      </c>
      <c r="B285" t="str">
        <f ca="1"/>
        <v>#26</v>
      </c>
      <c r="C285">
        <f ca="1"/>
        <v>46068.416666666599</v>
      </c>
      <c r="D285">
        <f ca="1"/>
        <v>252</v>
      </c>
      <c r="E285" t="str">
        <f ca="1"/>
        <v>MXN</v>
      </c>
      <c r="F285" t="str">
        <f ca="1"/>
        <v>Karen Alexandra Ballesteros Contreras</v>
      </c>
      <c r="G285" t="str">
        <f ca="1"/>
        <v>D LOCAL*DIDI RIDES     CIUDAD DE MEX MEX</v>
      </c>
      <c r="H285" t="str">
        <f ca="1"/>
        <v>Didi Chuxing</v>
      </c>
      <c r="I285" t="str">
        <f ca="1"/>
        <v>Recruiting</v>
      </c>
      <c r="J285" t="str">
        <f ca="1"/>
        <v>PEAJE</v>
      </c>
      <c r="K285" t="str">
        <f ca="1"/>
        <v>.</v>
      </c>
      <c r="L285" t="str">
        <f ca="1">VLOOKUP(B285,[1]Total!$B:$Q,16,0)</f>
        <v>603.81.006 Gastos Administativos de venta</v>
      </c>
      <c r="M285">
        <f t="shared" ca="1" si="9"/>
        <v>252</v>
      </c>
      <c r="N285" t="str">
        <f t="shared" ca="1" si="10"/>
        <v xml:space="preserve">Karen Alexandra Ballesteros Contreras D LOCAL*DIDI RIDES     CIUDAD DE MEX MEX Didi Chuxing Recruiting PEAJE . </v>
      </c>
    </row>
    <row r="286" spans="1:14">
      <c r="A286" t="str">
        <f ca="1"/>
        <v>TRX1490</v>
      </c>
      <c r="B286" t="str">
        <f ca="1"/>
        <v>#26</v>
      </c>
      <c r="C286">
        <f ca="1"/>
        <v>46068.416666666599</v>
      </c>
      <c r="D286">
        <f ca="1"/>
        <v>25</v>
      </c>
      <c r="E286" t="str">
        <f ca="1"/>
        <v>MXN</v>
      </c>
      <c r="F286" t="str">
        <f ca="1"/>
        <v>Karen Alexandra Ballesteros Contreras</v>
      </c>
      <c r="G286" t="str">
        <f ca="1"/>
        <v>DLO DIDI RIDES MX      CIUDAD DE MEX MEX</v>
      </c>
      <c r="H286" t="str">
        <f ca="1"/>
        <v>Didi Chuxing</v>
      </c>
      <c r="I286">
        <f ca="1"/>
        <v>0</v>
      </c>
      <c r="J286">
        <f ca="1"/>
        <v>0</v>
      </c>
      <c r="K286">
        <f ca="1"/>
        <v>0</v>
      </c>
      <c r="L286" t="str">
        <f ca="1">VLOOKUP(B286,[1]Total!$B:$Q,16,0)</f>
        <v>603.81.006 Gastos Administativos de venta</v>
      </c>
      <c r="M286">
        <f t="shared" ca="1" si="9"/>
        <v>25</v>
      </c>
      <c r="N286" t="str">
        <f t="shared" ca="1" si="10"/>
        <v xml:space="preserve">Karen Alexandra Ballesteros Contreras DLO DIDI RIDES MX      CIUDAD DE MEX MEX Didi Chuxing 0 0 0 </v>
      </c>
    </row>
    <row r="287" spans="1:14">
      <c r="A287" t="str">
        <f ca="1"/>
        <v>TRX1269</v>
      </c>
      <c r="B287" t="str">
        <f ca="1"/>
        <v>#26</v>
      </c>
      <c r="C287">
        <f ca="1"/>
        <v>46068.417361111096</v>
      </c>
      <c r="D287">
        <f ca="1"/>
        <v>144</v>
      </c>
      <c r="E287" t="str">
        <f ca="1"/>
        <v>MXN</v>
      </c>
      <c r="F287" t="str">
        <f ca="1"/>
        <v>Karen Alexandra Ballesteros Contreras</v>
      </c>
      <c r="G287" t="str">
        <f ca="1"/>
        <v>D LOCAL*DIDI RIDES     CIUDAD DE MEX MEX</v>
      </c>
      <c r="H287" t="str">
        <f ca="1"/>
        <v>Didi Chuxing</v>
      </c>
      <c r="I287">
        <f ca="1"/>
        <v>0</v>
      </c>
      <c r="J287">
        <f ca="1"/>
        <v>0</v>
      </c>
      <c r="K287">
        <f ca="1"/>
        <v>0</v>
      </c>
      <c r="L287" t="str">
        <f ca="1">VLOOKUP(B287,[1]Total!$B:$Q,16,0)</f>
        <v>603.81.006 Gastos Administativos de venta</v>
      </c>
      <c r="M287">
        <f t="shared" ca="1" si="9"/>
        <v>144</v>
      </c>
      <c r="N287" t="str">
        <f t="shared" ca="1" si="10"/>
        <v xml:space="preserve">Karen Alexandra Ballesteros Contreras D LOCAL*DIDI RIDES     CIUDAD DE MEX MEX Didi Chuxing 0 0 0 </v>
      </c>
    </row>
    <row r="288" spans="1:14">
      <c r="A288" t="str">
        <f ca="1"/>
        <v>TRX1789</v>
      </c>
      <c r="B288" t="str">
        <f ca="1"/>
        <v>#26</v>
      </c>
      <c r="C288">
        <f ca="1"/>
        <v>46069.416666666599</v>
      </c>
      <c r="D288">
        <f ca="1"/>
        <v>233.68</v>
      </c>
      <c r="E288" t="str">
        <f ca="1"/>
        <v>MXN</v>
      </c>
      <c r="F288" t="str">
        <f ca="1"/>
        <v>Karen Alexandra Ballesteros Contreras</v>
      </c>
      <c r="G288" t="str">
        <f ca="1"/>
        <v>UBER *TRIP HELP.UBER.C CMX           MEX</v>
      </c>
      <c r="H288" t="str">
        <f ca="1"/>
        <v>Uber</v>
      </c>
      <c r="I288">
        <f ca="1"/>
        <v>0</v>
      </c>
      <c r="J288">
        <f ca="1"/>
        <v>0</v>
      </c>
      <c r="K288">
        <f ca="1"/>
        <v>0</v>
      </c>
      <c r="L288" t="str">
        <f ca="1">VLOOKUP(B288,[1]Total!$B:$Q,16,0)</f>
        <v>603.81.006 Gastos Administativos de venta</v>
      </c>
      <c r="M288">
        <f t="shared" ca="1" si="9"/>
        <v>233.68</v>
      </c>
      <c r="N288" t="str">
        <f t="shared" ca="1" si="10"/>
        <v xml:space="preserve">Karen Alexandra Ballesteros Contreras UBER *TRIP HELP.UBER.C CMX           MEX Uber 0 0 0 </v>
      </c>
    </row>
    <row r="289" spans="1:14">
      <c r="A289" t="str">
        <f ca="1"/>
        <v>TRX1994</v>
      </c>
      <c r="B289" t="str">
        <f ca="1"/>
        <v>#26</v>
      </c>
      <c r="C289">
        <f ca="1"/>
        <v>46069.416666666599</v>
      </c>
      <c r="D289">
        <f ca="1"/>
        <v>216</v>
      </c>
      <c r="E289" t="str">
        <f ca="1"/>
        <v>MXN</v>
      </c>
      <c r="F289" t="str">
        <f ca="1"/>
        <v>Karen Alexandra Ballesteros Contreras</v>
      </c>
      <c r="G289" t="str">
        <f ca="1"/>
        <v>D LOCAL*DIDI RIDES     CIUDAD DE MEX MEX</v>
      </c>
      <c r="H289" t="str">
        <f ca="1"/>
        <v>Didi Chuxing</v>
      </c>
      <c r="I289">
        <f ca="1"/>
        <v>0</v>
      </c>
      <c r="J289">
        <f ca="1"/>
        <v>0</v>
      </c>
      <c r="K289">
        <f ca="1"/>
        <v>0</v>
      </c>
      <c r="L289" t="str">
        <f ca="1">VLOOKUP(B289,[1]Total!$B:$Q,16,0)</f>
        <v>603.81.006 Gastos Administativos de venta</v>
      </c>
      <c r="M289">
        <f t="shared" ca="1" si="9"/>
        <v>216</v>
      </c>
      <c r="N289" t="str">
        <f t="shared" ca="1" si="10"/>
        <v xml:space="preserve">Karen Alexandra Ballesteros Contreras D LOCAL*DIDI RIDES     CIUDAD DE MEX MEX Didi Chuxing 0 0 0 </v>
      </c>
    </row>
    <row r="290" spans="1:14">
      <c r="A290" t="str">
        <f ca="1"/>
        <v>TRX1138</v>
      </c>
      <c r="B290" t="str">
        <f ca="1"/>
        <v>#26</v>
      </c>
      <c r="C290">
        <f ca="1"/>
        <v>46069.416666666599</v>
      </c>
      <c r="D290">
        <f ca="1"/>
        <v>216</v>
      </c>
      <c r="E290" t="str">
        <f ca="1"/>
        <v>MXN</v>
      </c>
      <c r="F290" t="str">
        <f ca="1"/>
        <v>Karen Alexandra Ballesteros Contreras</v>
      </c>
      <c r="G290" t="str">
        <f ca="1"/>
        <v>20260214T01:01:01/D LOCAL*DIDI RIDES\UNKNOWN\UNKNOWN\06500        MEX</v>
      </c>
      <c r="H290" t="str">
        <f ca="1"/>
        <v>Didi Chuxing</v>
      </c>
      <c r="I290">
        <f ca="1"/>
        <v>0</v>
      </c>
      <c r="J290">
        <f ca="1"/>
        <v>0</v>
      </c>
      <c r="K290">
        <f ca="1"/>
        <v>0</v>
      </c>
      <c r="L290" t="str">
        <f ca="1">VLOOKUP(B290,[1]Total!$B:$Q,16,0)</f>
        <v>603.81.006 Gastos Administativos de venta</v>
      </c>
      <c r="M290">
        <f t="shared" ca="1" si="9"/>
        <v>216</v>
      </c>
      <c r="N290" t="str">
        <f t="shared" ca="1" si="10"/>
        <v xml:space="preserve">Karen Alexandra Ballesteros Contreras 20260214T01:01:01/D LOCAL*DIDI RIDES\UNKNOWN\UNKNOWN\06500        MEX Didi Chuxing 0 0 0 </v>
      </c>
    </row>
    <row r="291" spans="1:14">
      <c r="A291" t="str">
        <f ca="1"/>
        <v>TRX2031</v>
      </c>
      <c r="B291" t="str">
        <f ca="1"/>
        <v>#26</v>
      </c>
      <c r="C291">
        <f ca="1"/>
        <v>46070.416666666599</v>
      </c>
      <c r="D291">
        <f ca="1"/>
        <v>558</v>
      </c>
      <c r="E291" t="str">
        <f ca="1"/>
        <v>MXN</v>
      </c>
      <c r="F291" t="str">
        <f ca="1"/>
        <v>Karen Alexandra Ballesteros Contreras</v>
      </c>
      <c r="G291" t="str">
        <f ca="1"/>
        <v>OFFICE DEPOT IZCALLI   CUAUTITLAN IZ MEX</v>
      </c>
      <c r="H291" t="str">
        <f ca="1"/>
        <v>Office Depot</v>
      </c>
      <c r="I291">
        <f ca="1"/>
        <v>0</v>
      </c>
      <c r="J291">
        <f ca="1"/>
        <v>0</v>
      </c>
      <c r="K291">
        <f ca="1"/>
        <v>0</v>
      </c>
      <c r="L291" t="str">
        <f ca="1">VLOOKUP(B291,[1]Total!$B:$Q,16,0)</f>
        <v>603.81.006 Gastos Administativos de venta</v>
      </c>
      <c r="M291">
        <f t="shared" ca="1" si="9"/>
        <v>558</v>
      </c>
      <c r="N291" t="str">
        <f t="shared" ca="1" si="10"/>
        <v xml:space="preserve">Karen Alexandra Ballesteros Contreras OFFICE DEPOT IZCALLI   CUAUTITLAN IZ MEX Office Depot 0 0 0 </v>
      </c>
    </row>
    <row r="292" spans="1:14">
      <c r="A292" t="str">
        <f ca="1"/>
        <v>TRX1914</v>
      </c>
      <c r="B292" t="str">
        <f ca="1"/>
        <v>#26</v>
      </c>
      <c r="C292">
        <f ca="1"/>
        <v>46071.416666666599</v>
      </c>
      <c r="D292">
        <f ca="1"/>
        <v>9.43</v>
      </c>
      <c r="E292" t="str">
        <f ca="1"/>
        <v>MXN</v>
      </c>
      <c r="F292" t="str">
        <f ca="1"/>
        <v>Karen Alexandra Ballesteros Contreras</v>
      </c>
      <c r="G292" t="str">
        <f ca="1"/>
        <v>UBER * PENDING         CMX           MEX</v>
      </c>
      <c r="H292" t="str">
        <f ca="1"/>
        <v>Uber</v>
      </c>
      <c r="I292">
        <f ca="1"/>
        <v>0</v>
      </c>
      <c r="J292">
        <f ca="1"/>
        <v>0</v>
      </c>
      <c r="K292">
        <f ca="1"/>
        <v>0</v>
      </c>
      <c r="L292" t="str">
        <f ca="1">VLOOKUP(B292,[1]Total!$B:$Q,16,0)</f>
        <v>603.81.006 Gastos Administativos de venta</v>
      </c>
      <c r="M292">
        <f t="shared" ca="1" si="9"/>
        <v>9.43</v>
      </c>
      <c r="N292" t="str">
        <f t="shared" ca="1" si="10"/>
        <v xml:space="preserve">Karen Alexandra Ballesteros Contreras UBER * PENDING         CMX           MEX Uber 0 0 0 </v>
      </c>
    </row>
    <row r="293" spans="1:14">
      <c r="A293" t="str">
        <f ca="1"/>
        <v>TRX1494</v>
      </c>
      <c r="B293" t="str">
        <f ca="1"/>
        <v>#26</v>
      </c>
      <c r="C293">
        <f ca="1"/>
        <v>46071.416666666599</v>
      </c>
      <c r="D293">
        <f ca="1"/>
        <v>77.09</v>
      </c>
      <c r="E293" t="str">
        <f ca="1"/>
        <v>MXN</v>
      </c>
      <c r="F293" t="str">
        <f ca="1"/>
        <v>Karen Alexandra Ballesteros Contreras</v>
      </c>
      <c r="G293" t="str">
        <f ca="1"/>
        <v>DLO DIDI RIDES MX      CIUDAD DE MEX MEX</v>
      </c>
      <c r="H293" t="str">
        <f ca="1"/>
        <v>Didi Chuxing</v>
      </c>
      <c r="I293">
        <f ca="1"/>
        <v>0</v>
      </c>
      <c r="J293">
        <f ca="1"/>
        <v>0</v>
      </c>
      <c r="K293">
        <f ca="1"/>
        <v>0</v>
      </c>
      <c r="L293" t="str">
        <f ca="1">VLOOKUP(B293,[1]Total!$B:$Q,16,0)</f>
        <v>603.81.006 Gastos Administativos de venta</v>
      </c>
      <c r="M293">
        <f t="shared" ca="1" si="9"/>
        <v>77.09</v>
      </c>
      <c r="N293" t="str">
        <f t="shared" ca="1" si="10"/>
        <v xml:space="preserve">Karen Alexandra Ballesteros Contreras DLO DIDI RIDES MX      CIUDAD DE MEX MEX Didi Chuxing 0 0 0 </v>
      </c>
    </row>
    <row r="294" spans="1:14">
      <c r="A294" t="str">
        <f ca="1"/>
        <v>TRX1099</v>
      </c>
      <c r="B294" t="str">
        <f ca="1"/>
        <v>#26</v>
      </c>
      <c r="C294">
        <f ca="1"/>
        <v>46071.416666666599</v>
      </c>
      <c r="D294">
        <f ca="1"/>
        <v>250</v>
      </c>
      <c r="E294" t="str">
        <f ca="1"/>
        <v>MXN</v>
      </c>
      <c r="F294" t="str">
        <f ca="1"/>
        <v>Karen Alexandra Ballesteros Contreras</v>
      </c>
      <c r="G294" t="str">
        <f ca="1"/>
        <v>D LOCAL*DIDI RIDES     CIUDAD DE MEX MEX</v>
      </c>
      <c r="H294" t="str">
        <f ca="1"/>
        <v>Didi Chuxing</v>
      </c>
      <c r="I294">
        <f ca="1"/>
        <v>0</v>
      </c>
      <c r="J294">
        <f ca="1"/>
        <v>0</v>
      </c>
      <c r="K294">
        <f ca="1"/>
        <v>0</v>
      </c>
      <c r="L294" t="str">
        <f ca="1">VLOOKUP(B294,[1]Total!$B:$Q,16,0)</f>
        <v>603.81.006 Gastos Administativos de venta</v>
      </c>
      <c r="M294">
        <f t="shared" ca="1" si="9"/>
        <v>250</v>
      </c>
      <c r="N294" t="str">
        <f t="shared" ca="1" si="10"/>
        <v xml:space="preserve">Karen Alexandra Ballesteros Contreras D LOCAL*DIDI RIDES     CIUDAD DE MEX MEX Didi Chuxing 0 0 0 </v>
      </c>
    </row>
    <row r="295" spans="1:14">
      <c r="A295" t="str">
        <f ca="1"/>
        <v>TRX1384</v>
      </c>
      <c r="B295" t="str">
        <f ca="1"/>
        <v>#26</v>
      </c>
      <c r="C295">
        <f ca="1"/>
        <v>46071.417361111096</v>
      </c>
      <c r="D295">
        <f ca="1"/>
        <v>158.19999999999999</v>
      </c>
      <c r="E295" t="str">
        <f ca="1"/>
        <v>MXN</v>
      </c>
      <c r="F295" t="str">
        <f ca="1"/>
        <v>Karen Alexandra Ballesteros Contreras</v>
      </c>
      <c r="G295" t="str">
        <f ca="1"/>
        <v>OXXONACIONAL AIFA      ZUMPANGO EM   MEX</v>
      </c>
      <c r="H295" t="str">
        <f ca="1"/>
        <v>Oxxonacional Aifa Zumpango Em Mex</v>
      </c>
      <c r="I295">
        <f ca="1"/>
        <v>0</v>
      </c>
      <c r="J295">
        <f ca="1"/>
        <v>0</v>
      </c>
      <c r="K295">
        <f ca="1"/>
        <v>0</v>
      </c>
      <c r="L295" t="str">
        <f ca="1">VLOOKUP(B295,[1]Total!$B:$Q,16,0)</f>
        <v>603.81.006 Gastos Administativos de venta</v>
      </c>
      <c r="M295">
        <f t="shared" ca="1" si="9"/>
        <v>158.19999999999999</v>
      </c>
      <c r="N295" t="str">
        <f t="shared" ca="1" si="10"/>
        <v xml:space="preserve">Karen Alexandra Ballesteros Contreras OXXONACIONAL AIFA      ZUMPANGO EM   MEX Oxxonacional Aifa Zumpango Em Mex 0 0 0 </v>
      </c>
    </row>
    <row r="296" spans="1:14">
      <c r="A296" t="str">
        <f ca="1"/>
        <v>TRX1823</v>
      </c>
      <c r="B296" t="str">
        <f ca="1"/>
        <v>#26</v>
      </c>
      <c r="C296">
        <f ca="1"/>
        <v>46072.416666666599</v>
      </c>
      <c r="D296">
        <f ca="1"/>
        <v>564</v>
      </c>
      <c r="E296" t="str">
        <f ca="1"/>
        <v>MXN</v>
      </c>
      <c r="F296" t="str">
        <f ca="1"/>
        <v>Karen Alexandra Ballesteros Contreras</v>
      </c>
      <c r="G296" t="str">
        <f ca="1"/>
        <v>CARLS JR CORALES       VERACRUZ VER  MEX</v>
      </c>
      <c r="H296" t="str">
        <f ca="1"/>
        <v>Carls Jr.</v>
      </c>
      <c r="I296">
        <f ca="1"/>
        <v>0</v>
      </c>
      <c r="J296">
        <f ca="1"/>
        <v>0</v>
      </c>
      <c r="K296">
        <f ca="1"/>
        <v>0</v>
      </c>
      <c r="L296" t="str">
        <f ca="1">VLOOKUP(B296,[1]Total!$B:$Q,16,0)</f>
        <v>603.81.006 Gastos Administativos de venta</v>
      </c>
      <c r="M296">
        <f t="shared" ca="1" si="9"/>
        <v>564</v>
      </c>
      <c r="N296" t="str">
        <f t="shared" ca="1" si="10"/>
        <v xml:space="preserve">Karen Alexandra Ballesteros Contreras CARLS JR CORALES       VERACRUZ VER  MEX Carls Jr. 0 0 0 </v>
      </c>
    </row>
    <row r="297" spans="1:14">
      <c r="A297" t="str">
        <f ca="1"/>
        <v>TRX1172</v>
      </c>
      <c r="B297" t="str">
        <f ca="1"/>
        <v>#26</v>
      </c>
      <c r="C297">
        <f ca="1"/>
        <v>46072.416666666599</v>
      </c>
      <c r="D297">
        <f ca="1"/>
        <v>73.510000000000005</v>
      </c>
      <c r="E297" t="str">
        <f ca="1"/>
        <v>MXN</v>
      </c>
      <c r="F297" t="str">
        <f ca="1"/>
        <v>Karen Alexandra Ballesteros Contreras</v>
      </c>
      <c r="G297" t="str">
        <f ca="1"/>
        <v>D LOCAL*DIDI RIDES     CIUDAD DE MEX MEX</v>
      </c>
      <c r="H297" t="str">
        <f ca="1"/>
        <v>Didi Chuxing</v>
      </c>
      <c r="I297">
        <f ca="1"/>
        <v>0</v>
      </c>
      <c r="J297">
        <f ca="1"/>
        <v>0</v>
      </c>
      <c r="K297">
        <f ca="1"/>
        <v>0</v>
      </c>
      <c r="L297" t="str">
        <f ca="1">VLOOKUP(B297,[1]Total!$B:$Q,16,0)</f>
        <v>603.81.006 Gastos Administativos de venta</v>
      </c>
      <c r="M297">
        <f t="shared" ca="1" si="9"/>
        <v>73.510000000000005</v>
      </c>
      <c r="N297" t="str">
        <f t="shared" ca="1" si="10"/>
        <v xml:space="preserve">Karen Alexandra Ballesteros Contreras D LOCAL*DIDI RIDES     CIUDAD DE MEX MEX Didi Chuxing 0 0 0 </v>
      </c>
    </row>
    <row r="298" spans="1:14">
      <c r="A298" t="str">
        <f ca="1"/>
        <v>TRX1794</v>
      </c>
      <c r="B298" t="str">
        <f ca="1"/>
        <v>#26</v>
      </c>
      <c r="C298">
        <f ca="1"/>
        <v>46072.416666666599</v>
      </c>
      <c r="D298">
        <f ca="1"/>
        <v>1202</v>
      </c>
      <c r="E298" t="str">
        <f ca="1"/>
        <v>MXN</v>
      </c>
      <c r="F298" t="str">
        <f ca="1"/>
        <v>Karen Alexandra Ballesteros Contreras</v>
      </c>
      <c r="G298" t="str">
        <f ca="1"/>
        <v>OFFICE DEPOT VER II    VERACRUZ VER  MEX</v>
      </c>
      <c r="H298" t="str">
        <f ca="1"/>
        <v>Office Depot</v>
      </c>
      <c r="I298">
        <f ca="1"/>
        <v>0</v>
      </c>
      <c r="J298">
        <f ca="1"/>
        <v>0</v>
      </c>
      <c r="K298">
        <f ca="1"/>
        <v>0</v>
      </c>
      <c r="L298" t="str">
        <f ca="1">VLOOKUP(B298,[1]Total!$B:$Q,16,0)</f>
        <v>603.81.006 Gastos Administativos de venta</v>
      </c>
      <c r="M298">
        <f t="shared" ca="1" si="9"/>
        <v>1202</v>
      </c>
      <c r="N298" t="str">
        <f t="shared" ca="1" si="10"/>
        <v xml:space="preserve">Karen Alexandra Ballesteros Contreras OFFICE DEPOT VER II    VERACRUZ VER  MEX Office Depot 0 0 0 </v>
      </c>
    </row>
    <row r="299" spans="1:14">
      <c r="A299" t="str">
        <f ca="1"/>
        <v>TRX1565</v>
      </c>
      <c r="B299" t="str">
        <f ca="1"/>
        <v>#26</v>
      </c>
      <c r="C299">
        <f ca="1"/>
        <v>46072.416666666599</v>
      </c>
      <c r="D299">
        <f ca="1"/>
        <v>43</v>
      </c>
      <c r="E299" t="str">
        <f ca="1"/>
        <v>MXN</v>
      </c>
      <c r="F299" t="str">
        <f ca="1"/>
        <v>Karen Alexandra Ballesteros Contreras</v>
      </c>
      <c r="G299" t="str">
        <f ca="1"/>
        <v>F AHORRO VRC7 CALLE 7  BOCA DEL RIO  MEX</v>
      </c>
      <c r="H299" t="str">
        <f ca="1"/>
        <v>F Ahorro Vrc7 Calle 7 Boca Del Rio Mex</v>
      </c>
      <c r="I299">
        <f ca="1"/>
        <v>0</v>
      </c>
      <c r="J299">
        <f ca="1"/>
        <v>0</v>
      </c>
      <c r="K299">
        <f ca="1"/>
        <v>0</v>
      </c>
      <c r="L299" t="str">
        <f ca="1">VLOOKUP(B299,[1]Total!$B:$Q,16,0)</f>
        <v>603.81.006 Gastos Administativos de venta</v>
      </c>
      <c r="M299">
        <f t="shared" ca="1" si="9"/>
        <v>43</v>
      </c>
      <c r="N299" t="str">
        <f t="shared" ca="1" si="10"/>
        <v xml:space="preserve">Karen Alexandra Ballesteros Contreras F AHORRO VRC7 CALLE 7  BOCA DEL RIO  MEX F Ahorro Vrc7 Calle 7 Boca Del Rio Mex 0 0 0 </v>
      </c>
    </row>
    <row r="300" spans="1:14">
      <c r="A300" t="str">
        <f ca="1"/>
        <v>TRX1217</v>
      </c>
      <c r="B300" t="str">
        <f ca="1"/>
        <v>#26</v>
      </c>
      <c r="C300">
        <f ca="1"/>
        <v>46072.416666666599</v>
      </c>
      <c r="D300">
        <f ca="1"/>
        <v>180</v>
      </c>
      <c r="E300" t="str">
        <f ca="1"/>
        <v>MXN</v>
      </c>
      <c r="F300" t="str">
        <f ca="1"/>
        <v>Karen Alexandra Ballesteros Contreras</v>
      </c>
      <c r="G300" t="str">
        <f ca="1"/>
        <v>OXXOCOSTA AZUL VER     VERACRUZ VER  MEX</v>
      </c>
      <c r="H300" t="str">
        <f ca="1"/>
        <v>Oxxocosta Azul Ver Veracruz Ver Mex</v>
      </c>
      <c r="I300">
        <f ca="1"/>
        <v>0</v>
      </c>
      <c r="J300">
        <f ca="1"/>
        <v>0</v>
      </c>
      <c r="K300">
        <f ca="1"/>
        <v>0</v>
      </c>
      <c r="L300" t="str">
        <f ca="1">VLOOKUP(B300,[1]Total!$B:$Q,16,0)</f>
        <v>603.81.006 Gastos Administativos de venta</v>
      </c>
      <c r="M300">
        <f t="shared" ca="1" si="9"/>
        <v>180</v>
      </c>
      <c r="N300" t="str">
        <f t="shared" ca="1" si="10"/>
        <v xml:space="preserve">Karen Alexandra Ballesteros Contreras OXXOCOSTA AZUL VER     VERACRUZ VER  MEX Oxxocosta Azul Ver Veracruz Ver Mex 0 0 0 </v>
      </c>
    </row>
    <row r="301" spans="1:14">
      <c r="A301" t="str">
        <f ca="1"/>
        <v>TRX1219</v>
      </c>
      <c r="B301" t="str">
        <f ca="1"/>
        <v>#26</v>
      </c>
      <c r="C301">
        <f ca="1"/>
        <v>46072.416666666599</v>
      </c>
      <c r="D301">
        <f ca="1"/>
        <v>184</v>
      </c>
      <c r="E301" t="str">
        <f ca="1"/>
        <v>MXN</v>
      </c>
      <c r="F301" t="str">
        <f ca="1"/>
        <v>Karen Alexandra Ballesteros Contreras</v>
      </c>
      <c r="G301" t="str">
        <f ca="1"/>
        <v>FAR GUAD 2094          BOCA DEL RIO  MEX</v>
      </c>
      <c r="H301" t="str">
        <f ca="1"/>
        <v>Far Guad 2094 Boca Del Rio Mex</v>
      </c>
      <c r="I301">
        <f ca="1"/>
        <v>0</v>
      </c>
      <c r="J301">
        <f ca="1"/>
        <v>0</v>
      </c>
      <c r="K301">
        <f ca="1"/>
        <v>0</v>
      </c>
      <c r="L301" t="str">
        <f ca="1">VLOOKUP(B301,[1]Total!$B:$Q,16,0)</f>
        <v>603.81.006 Gastos Administativos de venta</v>
      </c>
      <c r="M301">
        <f t="shared" ca="1" si="9"/>
        <v>184</v>
      </c>
      <c r="N301" t="str">
        <f t="shared" ca="1" si="10"/>
        <v xml:space="preserve">Karen Alexandra Ballesteros Contreras FAR GUAD 2094          BOCA DEL RIO  MEX Far Guad 2094 Boca Del Rio Mex 0 0 0 </v>
      </c>
    </row>
    <row r="302" spans="1:14">
      <c r="A302" t="str">
        <f ca="1"/>
        <v>TRX1691</v>
      </c>
      <c r="B302" t="str">
        <f ca="1"/>
        <v>#26</v>
      </c>
      <c r="C302">
        <f ca="1"/>
        <v>46072.416666666599</v>
      </c>
      <c r="D302">
        <f ca="1"/>
        <v>140</v>
      </c>
      <c r="E302" t="str">
        <f ca="1"/>
        <v>MXN</v>
      </c>
      <c r="F302" t="str">
        <f ca="1"/>
        <v>Karen Alexandra Ballesteros Contreras</v>
      </c>
      <c r="G302" t="str">
        <f ca="1"/>
        <v>NETPAY *TERMINAL CAFFE BOCA DEL RIO  MEX</v>
      </c>
      <c r="H302" t="str">
        <f ca="1"/>
        <v>Netpay Terminal Caffe Boca Del Rio Mex</v>
      </c>
      <c r="I302">
        <f ca="1"/>
        <v>0</v>
      </c>
      <c r="J302">
        <f ca="1"/>
        <v>0</v>
      </c>
      <c r="K302">
        <f ca="1"/>
        <v>0</v>
      </c>
      <c r="L302" t="str">
        <f ca="1">VLOOKUP(B302,[1]Total!$B:$Q,16,0)</f>
        <v>603.81.006 Gastos Administativos de venta</v>
      </c>
      <c r="M302">
        <f t="shared" ca="1" si="9"/>
        <v>140</v>
      </c>
      <c r="N302" t="str">
        <f t="shared" ca="1" si="10"/>
        <v xml:space="preserve">Karen Alexandra Ballesteros Contreras NETPAY *TERMINAL CAFFE BOCA DEL RIO  MEX Netpay Terminal Caffe Boca Del Rio Mex 0 0 0 </v>
      </c>
    </row>
    <row r="303" spans="1:14">
      <c r="A303" t="str">
        <f ca="1"/>
        <v>TRX1011</v>
      </c>
      <c r="B303" t="str">
        <f ca="1"/>
        <v>#26</v>
      </c>
      <c r="C303">
        <f ca="1"/>
        <v>46073.416666666599</v>
      </c>
      <c r="D303">
        <f ca="1"/>
        <v>30</v>
      </c>
      <c r="E303" t="str">
        <f ca="1"/>
        <v>MXN</v>
      </c>
      <c r="F303" t="str">
        <f ca="1"/>
        <v>Karen Alexandra Ballesteros Contreras</v>
      </c>
      <c r="G303" t="str">
        <f ca="1"/>
        <v>DLO DIDI RIDES MX      CIUDAD DE MEX MEX</v>
      </c>
      <c r="H303" t="str">
        <f ca="1"/>
        <v>Didi Chuxing</v>
      </c>
      <c r="I303">
        <f ca="1"/>
        <v>0</v>
      </c>
      <c r="J303">
        <f ca="1"/>
        <v>0</v>
      </c>
      <c r="K303">
        <f ca="1"/>
        <v>0</v>
      </c>
      <c r="L303" t="str">
        <f ca="1">VLOOKUP(B303,[1]Total!$B:$Q,16,0)</f>
        <v>603.81.006 Gastos Administativos de venta</v>
      </c>
      <c r="M303">
        <f t="shared" ca="1" si="9"/>
        <v>30</v>
      </c>
      <c r="N303" t="str">
        <f t="shared" ca="1" si="10"/>
        <v xml:space="preserve">Karen Alexandra Ballesteros Contreras DLO DIDI RIDES MX      CIUDAD DE MEX MEX Didi Chuxing 0 0 0 </v>
      </c>
    </row>
    <row r="304" spans="1:14">
      <c r="A304" t="str">
        <f ca="1"/>
        <v>TRX1218</v>
      </c>
      <c r="B304" t="str">
        <f ca="1"/>
        <v>#26</v>
      </c>
      <c r="C304">
        <f ca="1"/>
        <v>46073.416666666599</v>
      </c>
      <c r="D304">
        <f ca="1"/>
        <v>12.09</v>
      </c>
      <c r="E304" t="str">
        <f ca="1"/>
        <v>MXN</v>
      </c>
      <c r="F304" t="str">
        <f ca="1"/>
        <v>Karen Alexandra Ballesteros Contreras</v>
      </c>
      <c r="G304" t="str">
        <f ca="1"/>
        <v>DLO DIDI RIDES MX      CIUDAD DE MEX MEX</v>
      </c>
      <c r="H304" t="str">
        <f ca="1"/>
        <v>Didi Chuxing</v>
      </c>
      <c r="I304">
        <f ca="1"/>
        <v>0</v>
      </c>
      <c r="J304">
        <f ca="1"/>
        <v>0</v>
      </c>
      <c r="K304">
        <f ca="1"/>
        <v>0</v>
      </c>
      <c r="L304" t="str">
        <f ca="1">VLOOKUP(B304,[1]Total!$B:$Q,16,0)</f>
        <v>603.81.006 Gastos Administativos de venta</v>
      </c>
      <c r="M304">
        <f t="shared" ca="1" si="9"/>
        <v>12.09</v>
      </c>
      <c r="N304" t="str">
        <f t="shared" ca="1" si="10"/>
        <v xml:space="preserve">Karen Alexandra Ballesteros Contreras DLO DIDI RIDES MX      CIUDAD DE MEX MEX Didi Chuxing 0 0 0 </v>
      </c>
    </row>
    <row r="305" spans="1:14">
      <c r="A305" t="str">
        <f ca="1"/>
        <v>TRX1162</v>
      </c>
      <c r="B305" t="str">
        <f ca="1"/>
        <v>#26</v>
      </c>
      <c r="C305">
        <f ca="1"/>
        <v>46073.416666666599</v>
      </c>
      <c r="D305">
        <f ca="1"/>
        <v>101</v>
      </c>
      <c r="E305" t="str">
        <f ca="1"/>
        <v>MXN</v>
      </c>
      <c r="F305" t="str">
        <f ca="1"/>
        <v>Karen Alexandra Ballesteros Contreras</v>
      </c>
      <c r="G305" t="str">
        <f ca="1"/>
        <v>DLO DIDI RIDES MX      CIUDAD DE MEX MEX</v>
      </c>
      <c r="H305" t="str">
        <f ca="1"/>
        <v>Didi Chuxing</v>
      </c>
      <c r="I305">
        <f ca="1"/>
        <v>0</v>
      </c>
      <c r="J305">
        <f ca="1"/>
        <v>0</v>
      </c>
      <c r="K305">
        <f ca="1"/>
        <v>0</v>
      </c>
      <c r="L305" t="str">
        <f ca="1">VLOOKUP(B305,[1]Total!$B:$Q,16,0)</f>
        <v>603.81.006 Gastos Administativos de venta</v>
      </c>
      <c r="M305">
        <f t="shared" ca="1" si="9"/>
        <v>101</v>
      </c>
      <c r="N305" t="str">
        <f t="shared" ca="1" si="10"/>
        <v xml:space="preserve">Karen Alexandra Ballesteros Contreras DLO DIDI RIDES MX      CIUDAD DE MEX MEX Didi Chuxing 0 0 0 </v>
      </c>
    </row>
    <row r="306" spans="1:14">
      <c r="A306" t="str">
        <f ca="1"/>
        <v>TRX1366</v>
      </c>
      <c r="B306" t="str">
        <f ca="1"/>
        <v>#26</v>
      </c>
      <c r="C306">
        <f ca="1"/>
        <v>46073.416666666599</v>
      </c>
      <c r="D306">
        <f ca="1"/>
        <v>349</v>
      </c>
      <c r="E306" t="str">
        <f ca="1"/>
        <v>MXN</v>
      </c>
      <c r="F306" t="str">
        <f ca="1"/>
        <v>Karen Alexandra Ballesteros Contreras</v>
      </c>
      <c r="G306" t="str">
        <f ca="1"/>
        <v>D LOCAL*DIDI RIDES     CIUDAD DE MEX MEX</v>
      </c>
      <c r="H306" t="str">
        <f ca="1"/>
        <v>Didi Chuxing</v>
      </c>
      <c r="I306">
        <f ca="1"/>
        <v>0</v>
      </c>
      <c r="J306">
        <f ca="1"/>
        <v>0</v>
      </c>
      <c r="K306">
        <f ca="1"/>
        <v>0</v>
      </c>
      <c r="L306" t="str">
        <f ca="1">VLOOKUP(B306,[1]Total!$B:$Q,16,0)</f>
        <v>603.81.006 Gastos Administativos de venta</v>
      </c>
      <c r="M306">
        <f t="shared" ca="1" si="9"/>
        <v>349</v>
      </c>
      <c r="N306" t="str">
        <f t="shared" ca="1" si="10"/>
        <v xml:space="preserve">Karen Alexandra Ballesteros Contreras D LOCAL*DIDI RIDES     CIUDAD DE MEX MEX Didi Chuxing 0 0 0 </v>
      </c>
    </row>
    <row r="307" spans="1:14">
      <c r="A307" t="str">
        <f ca="1"/>
        <v>TRX1022</v>
      </c>
      <c r="B307" t="str">
        <f ca="1"/>
        <v>#26</v>
      </c>
      <c r="C307">
        <f ca="1"/>
        <v>46073.416666666599</v>
      </c>
      <c r="D307">
        <f ca="1"/>
        <v>121.35</v>
      </c>
      <c r="E307" t="str">
        <f ca="1"/>
        <v>MXN</v>
      </c>
      <c r="F307" t="str">
        <f ca="1"/>
        <v>Karen Alexandra Ballesteros Contreras</v>
      </c>
      <c r="G307" t="str">
        <f ca="1"/>
        <v>UBER * EATS PENDING    CMX           MEX</v>
      </c>
      <c r="H307" t="str">
        <f ca="1"/>
        <v>Uber Eats</v>
      </c>
      <c r="I307">
        <f ca="1"/>
        <v>0</v>
      </c>
      <c r="J307">
        <f ca="1"/>
        <v>0</v>
      </c>
      <c r="K307">
        <f ca="1"/>
        <v>0</v>
      </c>
      <c r="L307" t="str">
        <f ca="1">VLOOKUP(B307,[1]Total!$B:$Q,16,0)</f>
        <v>603.81.006 Gastos Administativos de venta</v>
      </c>
      <c r="M307">
        <f t="shared" ca="1" si="9"/>
        <v>121.35</v>
      </c>
      <c r="N307" t="str">
        <f t="shared" ca="1" si="10"/>
        <v xml:space="preserve">Karen Alexandra Ballesteros Contreras UBER * EATS PENDING    CMX           MEX Uber Eats 0 0 0 </v>
      </c>
    </row>
    <row r="308" spans="1:14">
      <c r="A308" t="str">
        <f ca="1"/>
        <v>TRX1743</v>
      </c>
      <c r="B308" t="str">
        <f ca="1"/>
        <v>#26</v>
      </c>
      <c r="C308">
        <f ca="1"/>
        <v>46073.416666666599</v>
      </c>
      <c r="D308">
        <f ca="1"/>
        <v>250</v>
      </c>
      <c r="E308" t="str">
        <f ca="1"/>
        <v>MXN</v>
      </c>
      <c r="F308" t="str">
        <f ca="1"/>
        <v>Karen Alexandra Ballesteros Contreras</v>
      </c>
      <c r="G308" t="str">
        <f ca="1"/>
        <v>D LOCAL*DIDI RIDES     CIUDAD DE MEX MEX</v>
      </c>
      <c r="H308" t="str">
        <f ca="1"/>
        <v>Didi Chuxing</v>
      </c>
      <c r="I308">
        <f ca="1"/>
        <v>0</v>
      </c>
      <c r="J308">
        <f ca="1"/>
        <v>0</v>
      </c>
      <c r="K308">
        <f ca="1"/>
        <v>0</v>
      </c>
      <c r="L308" t="str">
        <f ca="1">VLOOKUP(B308,[1]Total!$B:$Q,16,0)</f>
        <v>603.81.006 Gastos Administativos de venta</v>
      </c>
      <c r="M308">
        <f t="shared" ca="1" si="9"/>
        <v>250</v>
      </c>
      <c r="N308" t="str">
        <f t="shared" ca="1" si="10"/>
        <v xml:space="preserve">Karen Alexandra Ballesteros Contreras D LOCAL*DIDI RIDES     CIUDAD DE MEX MEX Didi Chuxing 0 0 0 </v>
      </c>
    </row>
    <row r="309" spans="1:14">
      <c r="A309" t="str">
        <f ca="1"/>
        <v>TRX1061</v>
      </c>
      <c r="B309" t="str">
        <f ca="1"/>
        <v>#26</v>
      </c>
      <c r="C309">
        <f ca="1"/>
        <v>46073.417361111096</v>
      </c>
      <c r="D309">
        <f ca="1"/>
        <v>188</v>
      </c>
      <c r="E309" t="str">
        <f ca="1"/>
        <v>MXN</v>
      </c>
      <c r="F309" t="str">
        <f ca="1"/>
        <v>Karen Alexandra Ballesteros Contreras</v>
      </c>
      <c r="G309" t="str">
        <f ca="1"/>
        <v>REST JOHNNY ROCKETS    VERACRUZ VER  MEX</v>
      </c>
      <c r="H309" t="str">
        <f ca="1"/>
        <v>Johnny Rockets</v>
      </c>
      <c r="I309">
        <f ca="1"/>
        <v>0</v>
      </c>
      <c r="J309">
        <f ca="1"/>
        <v>0</v>
      </c>
      <c r="K309">
        <f ca="1"/>
        <v>0</v>
      </c>
      <c r="L309" t="str">
        <f ca="1">VLOOKUP(B309,[1]Total!$B:$Q,16,0)</f>
        <v>603.81.006 Gastos Administativos de venta</v>
      </c>
      <c r="M309">
        <f t="shared" ca="1" si="9"/>
        <v>188</v>
      </c>
      <c r="N309" t="str">
        <f t="shared" ca="1" si="10"/>
        <v xml:space="preserve">Karen Alexandra Ballesteros Contreras REST JOHNNY ROCKETS    VERACRUZ VER  MEX Johnny Rockets 0 0 0 </v>
      </c>
    </row>
    <row r="310" spans="1:14">
      <c r="A310" t="str">
        <f ca="1"/>
        <v>TRX1711</v>
      </c>
      <c r="B310" t="str">
        <f ca="1"/>
        <v>#26</v>
      </c>
      <c r="C310">
        <f ca="1"/>
        <v>46074.416666666599</v>
      </c>
      <c r="D310">
        <f ca="1"/>
        <v>20</v>
      </c>
      <c r="E310" t="str">
        <f ca="1"/>
        <v>MXN</v>
      </c>
      <c r="F310" t="str">
        <f ca="1"/>
        <v>Karen Alexandra Ballesteros Contreras</v>
      </c>
      <c r="G310" t="str">
        <f ca="1"/>
        <v>DLO DIDI RIDES MX      CIUDAD DE MEX MEX</v>
      </c>
      <c r="H310" t="str">
        <f ca="1"/>
        <v>Didi Chuxing</v>
      </c>
      <c r="I310">
        <f ca="1"/>
        <v>0</v>
      </c>
      <c r="J310">
        <f ca="1"/>
        <v>0</v>
      </c>
      <c r="K310">
        <f ca="1"/>
        <v>0</v>
      </c>
      <c r="L310" t="str">
        <f ca="1">VLOOKUP(B310,[1]Total!$B:$Q,16,0)</f>
        <v>603.81.006 Gastos Administativos de venta</v>
      </c>
      <c r="M310">
        <f t="shared" ca="1" si="9"/>
        <v>20</v>
      </c>
      <c r="N310" t="str">
        <f t="shared" ca="1" si="10"/>
        <v xml:space="preserve">Karen Alexandra Ballesteros Contreras DLO DIDI RIDES MX      CIUDAD DE MEX MEX Didi Chuxing 0 0 0 </v>
      </c>
    </row>
    <row r="311" spans="1:14">
      <c r="A311" t="str">
        <f ca="1"/>
        <v>TRX1013</v>
      </c>
      <c r="B311" t="str">
        <f ca="1"/>
        <v>#26</v>
      </c>
      <c r="C311">
        <f ca="1"/>
        <v>46074.416666666599</v>
      </c>
      <c r="D311">
        <f ca="1"/>
        <v>92</v>
      </c>
      <c r="E311" t="str">
        <f ca="1"/>
        <v>MXN</v>
      </c>
      <c r="F311" t="str">
        <f ca="1"/>
        <v>Karen Alexandra Ballesteros Contreras</v>
      </c>
      <c r="G311" t="str">
        <f ca="1"/>
        <v>D LOCAL*DIDI RIDES     CIUDAD DE MEX MEX</v>
      </c>
      <c r="H311" t="str">
        <f ca="1"/>
        <v>Didi Chuxing</v>
      </c>
      <c r="I311">
        <f ca="1"/>
        <v>0</v>
      </c>
      <c r="J311">
        <f ca="1"/>
        <v>0</v>
      </c>
      <c r="K311">
        <f ca="1"/>
        <v>0</v>
      </c>
      <c r="L311" t="str">
        <f ca="1">VLOOKUP(B311,[1]Total!$B:$Q,16,0)</f>
        <v>603.81.006 Gastos Administativos de venta</v>
      </c>
      <c r="M311">
        <f t="shared" ca="1" si="9"/>
        <v>92</v>
      </c>
      <c r="N311" t="str">
        <f t="shared" ca="1" si="10"/>
        <v xml:space="preserve">Karen Alexandra Ballesteros Contreras D LOCAL*DIDI RIDES     CIUDAD DE MEX MEX Didi Chuxing 0 0 0 </v>
      </c>
    </row>
    <row r="312" spans="1:14">
      <c r="A312" t="str">
        <f ca="1"/>
        <v>TRX1025</v>
      </c>
      <c r="B312" t="str">
        <f ca="1"/>
        <v>#26</v>
      </c>
      <c r="C312">
        <f ca="1"/>
        <v>46074.417361111096</v>
      </c>
      <c r="D312">
        <f ca="1"/>
        <v>55</v>
      </c>
      <c r="E312" t="str">
        <f ca="1"/>
        <v>MXN</v>
      </c>
      <c r="F312" t="str">
        <f ca="1"/>
        <v>Karen Alexandra Ballesteros Contreras</v>
      </c>
      <c r="G312" t="str">
        <f ca="1"/>
        <v>D LOCAL*DIDI RIDES     CIUDAD DE MEX MEX</v>
      </c>
      <c r="H312" t="str">
        <f ca="1"/>
        <v>Didi Chuxing</v>
      </c>
      <c r="I312">
        <f ca="1"/>
        <v>0</v>
      </c>
      <c r="J312">
        <f ca="1"/>
        <v>0</v>
      </c>
      <c r="K312">
        <f ca="1"/>
        <v>0</v>
      </c>
      <c r="L312" t="str">
        <f ca="1">VLOOKUP(B312,[1]Total!$B:$Q,16,0)</f>
        <v>603.81.006 Gastos Administativos de venta</v>
      </c>
      <c r="M312">
        <f t="shared" ca="1" si="9"/>
        <v>55</v>
      </c>
      <c r="N312" t="str">
        <f t="shared" ca="1" si="10"/>
        <v xml:space="preserve">Karen Alexandra Ballesteros Contreras D LOCAL*DIDI RIDES     CIUDAD DE MEX MEX Didi Chuxing 0 0 0 </v>
      </c>
    </row>
    <row r="313" spans="1:14">
      <c r="A313" t="str">
        <f ca="1"/>
        <v>TRX1026</v>
      </c>
      <c r="B313" t="str">
        <f ca="1"/>
        <v>#26</v>
      </c>
      <c r="C313">
        <f ca="1"/>
        <v>46074.417361111096</v>
      </c>
      <c r="D313">
        <f ca="1"/>
        <v>194</v>
      </c>
      <c r="E313" t="str">
        <f ca="1"/>
        <v>MXN</v>
      </c>
      <c r="F313" t="str">
        <f ca="1"/>
        <v>Karen Alexandra Ballesteros Contreras</v>
      </c>
      <c r="G313" t="str">
        <f ca="1"/>
        <v>D LOCAL*DIDI RIDES     CIUDAD DE MEX MEX</v>
      </c>
      <c r="H313" t="str">
        <f ca="1"/>
        <v>Didi Chuxing</v>
      </c>
      <c r="I313">
        <f ca="1"/>
        <v>0</v>
      </c>
      <c r="J313">
        <f ca="1"/>
        <v>0</v>
      </c>
      <c r="K313">
        <f ca="1"/>
        <v>0</v>
      </c>
      <c r="L313" t="str">
        <f ca="1">VLOOKUP(B313,[1]Total!$B:$Q,16,0)</f>
        <v>603.81.006 Gastos Administativos de venta</v>
      </c>
      <c r="M313">
        <f t="shared" ca="1" si="9"/>
        <v>194</v>
      </c>
      <c r="N313" t="str">
        <f t="shared" ca="1" si="10"/>
        <v xml:space="preserve">Karen Alexandra Ballesteros Contreras D LOCAL*DIDI RIDES     CIUDAD DE MEX MEX Didi Chuxing 0 0 0 </v>
      </c>
    </row>
    <row r="314" spans="1:14">
      <c r="A314" t="str">
        <f ca="1"/>
        <v>TRX1027</v>
      </c>
      <c r="B314" t="str">
        <f ca="1"/>
        <v>#26</v>
      </c>
      <c r="C314">
        <f ca="1"/>
        <v>46074.417361111096</v>
      </c>
      <c r="D314">
        <f ca="1"/>
        <v>113</v>
      </c>
      <c r="E314" t="str">
        <f ca="1"/>
        <v>MXN</v>
      </c>
      <c r="F314" t="str">
        <f ca="1"/>
        <v>Karen Alexandra Ballesteros Contreras</v>
      </c>
      <c r="G314" t="str">
        <f ca="1"/>
        <v>OXXO CALACOAYA         TLALNEPANTLA  MEX</v>
      </c>
      <c r="H314" t="str">
        <f ca="1"/>
        <v>Oxxo</v>
      </c>
      <c r="I314">
        <f ca="1"/>
        <v>0</v>
      </c>
      <c r="J314">
        <f ca="1"/>
        <v>0</v>
      </c>
      <c r="K314">
        <f ca="1"/>
        <v>0</v>
      </c>
      <c r="L314" t="str">
        <f ca="1">VLOOKUP(B314,[1]Total!$B:$Q,16,0)</f>
        <v>603.81.006 Gastos Administativos de venta</v>
      </c>
      <c r="M314">
        <f t="shared" ca="1" si="9"/>
        <v>113</v>
      </c>
      <c r="N314" t="str">
        <f t="shared" ca="1" si="10"/>
        <v xml:space="preserve">Karen Alexandra Ballesteros Contreras OXXO CALACOAYA         TLALNEPANTLA  MEX Oxxo 0 0 0 </v>
      </c>
    </row>
    <row r="315" spans="1:14">
      <c r="A315" t="str">
        <f ca="1"/>
        <v>TRX1048</v>
      </c>
      <c r="B315" t="str">
        <f ca="1"/>
        <v>#26</v>
      </c>
      <c r="C315">
        <f ca="1"/>
        <v>46075.416666666599</v>
      </c>
      <c r="D315">
        <f ca="1"/>
        <v>37.9</v>
      </c>
      <c r="E315" t="str">
        <f ca="1"/>
        <v>MXN</v>
      </c>
      <c r="F315" t="str">
        <f ca="1"/>
        <v>Karen Alexandra Ballesteros Contreras</v>
      </c>
      <c r="G315" t="str">
        <f ca="1"/>
        <v>UBER *TRIP HELP.UBER.C CMX           MEX</v>
      </c>
      <c r="H315" t="str">
        <f ca="1"/>
        <v>Uber</v>
      </c>
      <c r="I315">
        <f ca="1"/>
        <v>0</v>
      </c>
      <c r="J315">
        <f ca="1"/>
        <v>0</v>
      </c>
      <c r="K315">
        <f ca="1"/>
        <v>0</v>
      </c>
      <c r="L315" t="str">
        <f ca="1">VLOOKUP(B315,[1]Total!$B:$Q,16,0)</f>
        <v>603.81.006 Gastos Administativos de venta</v>
      </c>
      <c r="M315">
        <f t="shared" ca="1" si="9"/>
        <v>37.9</v>
      </c>
      <c r="N315" t="str">
        <f t="shared" ca="1" si="10"/>
        <v xml:space="preserve">Karen Alexandra Ballesteros Contreras UBER *TRIP HELP.UBER.C CMX           MEX Uber 0 0 0 </v>
      </c>
    </row>
    <row r="316" spans="1:14">
      <c r="A316" t="str">
        <f ca="1"/>
        <v>TRX1054</v>
      </c>
      <c r="B316" t="str">
        <f ca="1"/>
        <v>#26</v>
      </c>
      <c r="C316">
        <f ca="1"/>
        <v>46075.416666666599</v>
      </c>
      <c r="D316">
        <f ca="1"/>
        <v>134.62</v>
      </c>
      <c r="E316" t="str">
        <f ca="1"/>
        <v>MXN</v>
      </c>
      <c r="F316" t="str">
        <f ca="1"/>
        <v>Karen Alexandra Ballesteros Contreras</v>
      </c>
      <c r="G316" t="str">
        <f ca="1"/>
        <v>UBER *TRIP HELP.UBER.C CMX           MEX</v>
      </c>
      <c r="H316" t="str">
        <f ca="1"/>
        <v>Uber</v>
      </c>
      <c r="I316">
        <f ca="1"/>
        <v>0</v>
      </c>
      <c r="J316">
        <f ca="1"/>
        <v>0</v>
      </c>
      <c r="K316">
        <f ca="1"/>
        <v>0</v>
      </c>
      <c r="L316" t="str">
        <f ca="1">VLOOKUP(B316,[1]Total!$B:$Q,16,0)</f>
        <v>603.81.006 Gastos Administativos de venta</v>
      </c>
      <c r="M316">
        <f t="shared" ca="1" si="9"/>
        <v>134.62</v>
      </c>
      <c r="N316" t="str">
        <f t="shared" ca="1" si="10"/>
        <v xml:space="preserve">Karen Alexandra Ballesteros Contreras UBER *TRIP HELP.UBER.C CMX           MEX Uber 0 0 0 </v>
      </c>
    </row>
    <row r="317" spans="1:14">
      <c r="A317" t="str">
        <f ca="1"/>
        <v>TRX1060</v>
      </c>
      <c r="B317" t="str">
        <f ca="1"/>
        <v>#26</v>
      </c>
      <c r="C317">
        <f ca="1"/>
        <v>46075.416666666599</v>
      </c>
      <c r="D317">
        <f ca="1"/>
        <v>244</v>
      </c>
      <c r="E317" t="str">
        <f ca="1"/>
        <v>MXN</v>
      </c>
      <c r="F317" t="str">
        <f ca="1"/>
        <v>Karen Alexandra Ballesteros Contreras</v>
      </c>
      <c r="G317" t="str">
        <f ca="1"/>
        <v>MISC PITS TOL ZIT      ALMOLOYA DE J MEX</v>
      </c>
      <c r="H317" t="str">
        <f ca="1"/>
        <v>Misc Pits Tol Zit Almoloya De J Mex</v>
      </c>
      <c r="I317">
        <f ca="1"/>
        <v>0</v>
      </c>
      <c r="J317">
        <f ca="1"/>
        <v>0</v>
      </c>
      <c r="K317">
        <f ca="1"/>
        <v>0</v>
      </c>
      <c r="L317" t="str">
        <f ca="1">VLOOKUP(B317,[1]Total!$B:$Q,16,0)</f>
        <v>603.81.006 Gastos Administativos de venta</v>
      </c>
      <c r="M317">
        <f t="shared" ca="1" si="9"/>
        <v>244</v>
      </c>
      <c r="N317" t="str">
        <f t="shared" ca="1" si="10"/>
        <v xml:space="preserve">Karen Alexandra Ballesteros Contreras MISC PITS TOL ZIT      ALMOLOYA DE J MEX Misc Pits Tol Zit Almoloya De J Mex 0 0 0 </v>
      </c>
    </row>
    <row r="318" spans="1:14">
      <c r="A318" t="str">
        <f ca="1"/>
        <v>TRX1061</v>
      </c>
      <c r="B318" t="str">
        <f ca="1"/>
        <v>#26</v>
      </c>
      <c r="C318">
        <f ca="1"/>
        <v>46075.416666666599</v>
      </c>
      <c r="D318">
        <f ca="1"/>
        <v>510</v>
      </c>
      <c r="E318" t="str">
        <f ca="1"/>
        <v>MXN</v>
      </c>
      <c r="F318" t="str">
        <f ca="1"/>
        <v>Karen Alexandra Ballesteros Contreras</v>
      </c>
      <c r="G318" t="str">
        <f ca="1"/>
        <v>MERCADOPAGO *PASE      MIGUEL HIDALG MEX</v>
      </c>
      <c r="H318" t="str">
        <f ca="1"/>
        <v>Mercadopago</v>
      </c>
      <c r="I318">
        <f ca="1"/>
        <v>0</v>
      </c>
      <c r="J318">
        <f ca="1"/>
        <v>0</v>
      </c>
      <c r="K318">
        <f ca="1"/>
        <v>0</v>
      </c>
      <c r="L318" t="str">
        <f ca="1">VLOOKUP(B318,[1]Total!$B:$Q,16,0)</f>
        <v>603.81.006 Gastos Administativos de venta</v>
      </c>
      <c r="M318">
        <f t="shared" ca="1" si="9"/>
        <v>510</v>
      </c>
      <c r="N318" t="str">
        <f t="shared" ca="1" si="10"/>
        <v xml:space="preserve">Karen Alexandra Ballesteros Contreras MERCADOPAGO *PASE      MIGUEL HIDALG MEX Mercadopago 0 0 0 </v>
      </c>
    </row>
    <row r="319" spans="1:14">
      <c r="A319" t="str">
        <f ca="1"/>
        <v>TRX1063</v>
      </c>
      <c r="B319" t="str">
        <f ca="1"/>
        <v>#26</v>
      </c>
      <c r="C319">
        <f ca="1"/>
        <v>46075.416666666599</v>
      </c>
      <c r="D319">
        <f ca="1"/>
        <v>440</v>
      </c>
      <c r="E319" t="str">
        <f ca="1"/>
        <v>MXN</v>
      </c>
      <c r="F319" t="str">
        <f ca="1"/>
        <v>Karen Alexandra Ballesteros Contreras</v>
      </c>
      <c r="G319" t="str">
        <f ca="1"/>
        <v>MERCADOPAGO *ELCOCHIL  Naucalpan     MEX</v>
      </c>
      <c r="H319" t="str">
        <f ca="1"/>
        <v>Mercadopago</v>
      </c>
      <c r="I319">
        <f ca="1"/>
        <v>0</v>
      </c>
      <c r="J319">
        <f ca="1"/>
        <v>0</v>
      </c>
      <c r="K319">
        <f ca="1"/>
        <v>0</v>
      </c>
      <c r="L319" t="str">
        <f ca="1">VLOOKUP(B319,[1]Total!$B:$Q,16,0)</f>
        <v>603.81.006 Gastos Administativos de venta</v>
      </c>
      <c r="M319">
        <f t="shared" ca="1" si="9"/>
        <v>440</v>
      </c>
      <c r="N319" t="str">
        <f t="shared" ca="1" si="10"/>
        <v xml:space="preserve">Karen Alexandra Ballesteros Contreras MERCADOPAGO *ELCOCHIL  Naucalpan     MEX Mercadopago 0 0 0 </v>
      </c>
    </row>
    <row r="320" spans="1:14">
      <c r="A320" t="str">
        <f ca="1"/>
        <v>TRX1064</v>
      </c>
      <c r="B320" t="str">
        <f ca="1"/>
        <v>#26</v>
      </c>
      <c r="C320">
        <f ca="1"/>
        <v>46075.416666666599</v>
      </c>
      <c r="D320">
        <f ca="1"/>
        <v>510</v>
      </c>
      <c r="E320" t="str">
        <f ca="1"/>
        <v>MXN</v>
      </c>
      <c r="F320" t="str">
        <f ca="1"/>
        <v>Karen Alexandra Ballesteros Contreras</v>
      </c>
      <c r="G320" t="str">
        <f ca="1"/>
        <v>MERCADOPAGO *PASE      MIGUEL HIDALG MEX</v>
      </c>
      <c r="H320" t="str">
        <f ca="1"/>
        <v>Mercadopago</v>
      </c>
      <c r="I320">
        <f ca="1"/>
        <v>0</v>
      </c>
      <c r="J320">
        <f ca="1"/>
        <v>0</v>
      </c>
      <c r="K320">
        <f ca="1"/>
        <v>0</v>
      </c>
      <c r="L320" t="str">
        <f ca="1">VLOOKUP(B320,[1]Total!$B:$Q,16,0)</f>
        <v>603.81.006 Gastos Administativos de venta</v>
      </c>
      <c r="M320">
        <f t="shared" ca="1" si="9"/>
        <v>510</v>
      </c>
      <c r="N320" t="str">
        <f t="shared" ca="1" si="10"/>
        <v xml:space="preserve">Karen Alexandra Ballesteros Contreras MERCADOPAGO *PASE      MIGUEL HIDALG MEX Mercadopago 0 0 0 </v>
      </c>
    </row>
    <row r="321" spans="1:14">
      <c r="A321" t="str">
        <f ca="1"/>
        <v>TRX1066</v>
      </c>
      <c r="B321" t="str">
        <f ca="1"/>
        <v>#26</v>
      </c>
      <c r="C321">
        <f ca="1"/>
        <v>46075.416666666599</v>
      </c>
      <c r="D321">
        <f ca="1"/>
        <v>79</v>
      </c>
      <c r="E321" t="str">
        <f ca="1"/>
        <v>MXN</v>
      </c>
      <c r="F321" t="str">
        <f ca="1"/>
        <v>Karen Alexandra Ballesteros Contreras</v>
      </c>
      <c r="G321" t="str">
        <f ca="1"/>
        <v>MISC PITS TOL ZIT      ALMOLOYA DE J MEX</v>
      </c>
      <c r="H321" t="str">
        <f ca="1"/>
        <v>Misc Pits Tol Zit Almoloya De J Mex</v>
      </c>
      <c r="I321">
        <f ca="1"/>
        <v>0</v>
      </c>
      <c r="J321">
        <f ca="1"/>
        <v>0</v>
      </c>
      <c r="K321">
        <f ca="1"/>
        <v>0</v>
      </c>
      <c r="L321" t="str">
        <f ca="1">VLOOKUP(B321,[1]Total!$B:$Q,16,0)</f>
        <v>603.81.006 Gastos Administativos de venta</v>
      </c>
      <c r="M321">
        <f t="shared" ca="1" si="9"/>
        <v>79</v>
      </c>
      <c r="N321" t="str">
        <f t="shared" ca="1" si="10"/>
        <v xml:space="preserve">Karen Alexandra Ballesteros Contreras MISC PITS TOL ZIT      ALMOLOYA DE J MEX Misc Pits Tol Zit Almoloya De J Mex 0 0 0 </v>
      </c>
    </row>
    <row r="322" spans="1:14">
      <c r="A322" t="str">
        <f ca="1"/>
        <v>TRX1081</v>
      </c>
      <c r="B322" t="str">
        <f ca="1"/>
        <v>#26</v>
      </c>
      <c r="C322">
        <f ca="1"/>
        <v>46075.417361111096</v>
      </c>
      <c r="D322">
        <f ca="1"/>
        <v>357</v>
      </c>
      <c r="E322" t="str">
        <f ca="1"/>
        <v>MXN</v>
      </c>
      <c r="F322" t="str">
        <f ca="1"/>
        <v>Karen Alexandra Ballesteros Contreras</v>
      </c>
      <c r="G322" t="str">
        <f ca="1"/>
        <v>FARMA PLUS             VALLE DE BRAV MEX</v>
      </c>
      <c r="H322" t="str">
        <f ca="1"/>
        <v>Farma Plus Valle De Brav Mex</v>
      </c>
      <c r="I322">
        <f ca="1"/>
        <v>0</v>
      </c>
      <c r="J322">
        <f ca="1"/>
        <v>0</v>
      </c>
      <c r="K322">
        <f ca="1"/>
        <v>0</v>
      </c>
      <c r="L322" t="str">
        <f ca="1">VLOOKUP(B322,[1]Total!$B:$Q,16,0)</f>
        <v>603.81.006 Gastos Administativos de venta</v>
      </c>
      <c r="M322">
        <f t="shared" ca="1" si="9"/>
        <v>357</v>
      </c>
      <c r="N322" t="str">
        <f t="shared" ca="1" si="10"/>
        <v xml:space="preserve">Karen Alexandra Ballesteros Contreras FARMA PLUS             VALLE DE BRAV MEX Farma Plus Valle De Brav Mex 0 0 0 </v>
      </c>
    </row>
    <row r="323" spans="1:14">
      <c r="A323" t="str">
        <f ca="1"/>
        <v>TRX1084</v>
      </c>
      <c r="B323" t="str">
        <f ca="1"/>
        <v>#26</v>
      </c>
      <c r="C323">
        <f ca="1"/>
        <v>46075.417361111096</v>
      </c>
      <c r="D323">
        <f ca="1"/>
        <v>61</v>
      </c>
      <c r="E323" t="str">
        <f ca="1"/>
        <v>MXN</v>
      </c>
      <c r="F323" t="str">
        <f ca="1"/>
        <v>Karen Alexandra Ballesteros Contreras</v>
      </c>
      <c r="G323" t="str">
        <f ca="1"/>
        <v>OXXO BICENTENARIO TLC  TEMOAYA EM    MEX</v>
      </c>
      <c r="H323" t="str">
        <f ca="1"/>
        <v>Oxxo</v>
      </c>
      <c r="I323">
        <f ca="1"/>
        <v>0</v>
      </c>
      <c r="J323">
        <f ca="1"/>
        <v>0</v>
      </c>
      <c r="K323">
        <f ca="1"/>
        <v>0</v>
      </c>
      <c r="L323" t="str">
        <f ca="1">VLOOKUP(B323,[1]Total!$B:$Q,16,0)</f>
        <v>603.81.006 Gastos Administativos de venta</v>
      </c>
      <c r="M323">
        <f t="shared" ref="M323:M386" ca="1" si="11">D323</f>
        <v>61</v>
      </c>
      <c r="N323" t="str">
        <f t="shared" ref="N323:N386" ca="1" si="12">CONCATENATE(F323," ",G323," ",H323," ",I323," ",J323," ",K323," ")</f>
        <v xml:space="preserve">Karen Alexandra Ballesteros Contreras OXXO BICENTENARIO TLC  TEMOAYA EM    MEX Oxxo 0 0 0 </v>
      </c>
    </row>
    <row r="324" spans="1:14">
      <c r="A324" t="str">
        <f ca="1"/>
        <v>TRX1093</v>
      </c>
      <c r="B324" t="str">
        <f ca="1"/>
        <v>#26</v>
      </c>
      <c r="C324">
        <f ca="1"/>
        <v>46076.416666666599</v>
      </c>
      <c r="D324">
        <f ca="1"/>
        <v>181.32</v>
      </c>
      <c r="E324" t="str">
        <f ca="1"/>
        <v>MXN</v>
      </c>
      <c r="F324" t="str">
        <f ca="1"/>
        <v>Karen Alexandra Ballesteros Contreras</v>
      </c>
      <c r="G324" t="str">
        <f ca="1"/>
        <v>UBER *TRIP HELP.UBER.C CMX           MEX</v>
      </c>
      <c r="H324" t="str">
        <f ca="1"/>
        <v>Uber</v>
      </c>
      <c r="I324">
        <f ca="1"/>
        <v>0</v>
      </c>
      <c r="J324">
        <f ca="1"/>
        <v>0</v>
      </c>
      <c r="K324">
        <f ca="1"/>
        <v>0</v>
      </c>
      <c r="L324" t="str">
        <f ca="1">VLOOKUP(B324,[1]Total!$B:$Q,16,0)</f>
        <v>603.81.006 Gastos Administativos de venta</v>
      </c>
      <c r="M324">
        <f t="shared" ca="1" si="11"/>
        <v>181.32</v>
      </c>
      <c r="N324" t="str">
        <f t="shared" ca="1" si="12"/>
        <v xml:space="preserve">Karen Alexandra Ballesteros Contreras UBER *TRIP HELP.UBER.C CMX           MEX Uber 0 0 0 </v>
      </c>
    </row>
    <row r="325" spans="1:14">
      <c r="A325" t="str">
        <f ca="1"/>
        <v>TRX1094</v>
      </c>
      <c r="B325" t="str">
        <f ca="1"/>
        <v>#26</v>
      </c>
      <c r="C325">
        <f ca="1"/>
        <v>46076.416666666599</v>
      </c>
      <c r="D325">
        <f ca="1"/>
        <v>110</v>
      </c>
      <c r="E325" t="str">
        <f ca="1"/>
        <v>MXN</v>
      </c>
      <c r="F325" t="str">
        <f ca="1"/>
        <v>Karen Alexandra Ballesteros Contreras</v>
      </c>
      <c r="G325" t="str">
        <f ca="1"/>
        <v>KONFIO *MIBAIT         MEXICO        MEX</v>
      </c>
      <c r="H325" t="str">
        <f ca="1"/>
        <v>Konfio Mibait Mexico Mex</v>
      </c>
      <c r="I325">
        <f ca="1"/>
        <v>0</v>
      </c>
      <c r="J325">
        <f ca="1"/>
        <v>0</v>
      </c>
      <c r="K325">
        <f ca="1"/>
        <v>0</v>
      </c>
      <c r="L325" t="str">
        <f ca="1">VLOOKUP(B325,[1]Total!$B:$Q,16,0)</f>
        <v>603.81.006 Gastos Administativos de venta</v>
      </c>
      <c r="M325">
        <f t="shared" ca="1" si="11"/>
        <v>110</v>
      </c>
      <c r="N325" t="str">
        <f t="shared" ca="1" si="12"/>
        <v xml:space="preserve">Karen Alexandra Ballesteros Contreras KONFIO *MIBAIT         MEXICO        MEX Konfio Mibait Mexico Mex 0 0 0 </v>
      </c>
    </row>
    <row r="326" spans="1:14">
      <c r="A326" t="str">
        <f ca="1"/>
        <v>TRX1100</v>
      </c>
      <c r="B326" t="str">
        <f ca="1"/>
        <v>#26</v>
      </c>
      <c r="C326">
        <f ca="1"/>
        <v>46076.416666666599</v>
      </c>
      <c r="D326">
        <f ca="1"/>
        <v>600</v>
      </c>
      <c r="E326" t="str">
        <f ca="1"/>
        <v>MXN</v>
      </c>
      <c r="F326" t="str">
        <f ca="1"/>
        <v>Karen Alexandra Ballesteros Contreras</v>
      </c>
      <c r="G326" t="str">
        <f ca="1"/>
        <v>SERV EL DORADO         TEMOAYA EM    MEX</v>
      </c>
      <c r="H326" t="str">
        <f ca="1"/>
        <v>Serv El Dorado Temoaya Em Mex</v>
      </c>
      <c r="I326">
        <f ca="1"/>
        <v>0</v>
      </c>
      <c r="J326">
        <f ca="1"/>
        <v>0</v>
      </c>
      <c r="K326">
        <f ca="1"/>
        <v>0</v>
      </c>
      <c r="L326" t="str">
        <f ca="1">VLOOKUP(B326,[1]Total!$B:$Q,16,0)</f>
        <v>603.81.006 Gastos Administativos de venta</v>
      </c>
      <c r="M326">
        <f t="shared" ca="1" si="11"/>
        <v>600</v>
      </c>
      <c r="N326" t="str">
        <f t="shared" ca="1" si="12"/>
        <v xml:space="preserve">Karen Alexandra Ballesteros Contreras SERV EL DORADO         TEMOAYA EM    MEX Serv El Dorado Temoaya Em Mex 0 0 0 </v>
      </c>
    </row>
    <row r="327" spans="1:14">
      <c r="A327" t="str">
        <f ca="1"/>
        <v>TRX1109</v>
      </c>
      <c r="B327" t="str">
        <f ca="1"/>
        <v>#26</v>
      </c>
      <c r="C327">
        <f ca="1"/>
        <v>46077.416666666599</v>
      </c>
      <c r="D327">
        <f ca="1"/>
        <v>210</v>
      </c>
      <c r="E327" t="str">
        <f ca="1"/>
        <v>MXN</v>
      </c>
      <c r="F327" t="str">
        <f ca="1"/>
        <v>Karen Alexandra Ballesteros Contreras</v>
      </c>
      <c r="G327" t="str">
        <f ca="1"/>
        <v>MERCADOPAGO *PASE      MIGUEL HIDALG MEX</v>
      </c>
      <c r="H327" t="str">
        <f ca="1"/>
        <v>Mercadopago</v>
      </c>
      <c r="I327">
        <f ca="1"/>
        <v>0</v>
      </c>
      <c r="J327">
        <f ca="1"/>
        <v>0</v>
      </c>
      <c r="K327">
        <f ca="1"/>
        <v>0</v>
      </c>
      <c r="L327" t="str">
        <f ca="1">VLOOKUP(B327,[1]Total!$B:$Q,16,0)</f>
        <v>603.81.006 Gastos Administativos de venta</v>
      </c>
      <c r="M327">
        <f t="shared" ca="1" si="11"/>
        <v>210</v>
      </c>
      <c r="N327" t="str">
        <f t="shared" ca="1" si="12"/>
        <v xml:space="preserve">Karen Alexandra Ballesteros Contreras MERCADOPAGO *PASE      MIGUEL HIDALG MEX Mercadopago 0 0 0 </v>
      </c>
    </row>
    <row r="328" spans="1:14">
      <c r="A328" t="str">
        <f ca="1"/>
        <v>TRX1110</v>
      </c>
      <c r="B328" t="str">
        <f ca="1"/>
        <v>#26</v>
      </c>
      <c r="C328">
        <f ca="1"/>
        <v>46077.416666666599</v>
      </c>
      <c r="D328">
        <f ca="1"/>
        <v>410</v>
      </c>
      <c r="E328" t="str">
        <f ca="1"/>
        <v>MXN</v>
      </c>
      <c r="F328" t="str">
        <f ca="1"/>
        <v>Karen Alexandra Ballesteros Contreras</v>
      </c>
      <c r="G328" t="str">
        <f ca="1"/>
        <v>MERCADOPAGO *PASE      MIGUEL HIDALG MEX</v>
      </c>
      <c r="H328" t="str">
        <f ca="1"/>
        <v>Mercadopago</v>
      </c>
      <c r="I328">
        <f ca="1"/>
        <v>0</v>
      </c>
      <c r="J328">
        <f ca="1"/>
        <v>0</v>
      </c>
      <c r="K328">
        <f ca="1"/>
        <v>0</v>
      </c>
      <c r="L328" t="str">
        <f ca="1">VLOOKUP(B328,[1]Total!$B:$Q,16,0)</f>
        <v>603.81.006 Gastos Administativos de venta</v>
      </c>
      <c r="M328">
        <f t="shared" ca="1" si="11"/>
        <v>410</v>
      </c>
      <c r="N328" t="str">
        <f t="shared" ca="1" si="12"/>
        <v xml:space="preserve">Karen Alexandra Ballesteros Contreras MERCADOPAGO *PASE      MIGUEL HIDALG MEX Mercadopago 0 0 0 </v>
      </c>
    </row>
    <row r="329" spans="1:14">
      <c r="A329" t="str">
        <f ca="1"/>
        <v>TRX1112</v>
      </c>
      <c r="B329" t="str">
        <f ca="1"/>
        <v>#26</v>
      </c>
      <c r="C329">
        <f ca="1"/>
        <v>46077.416666666599</v>
      </c>
      <c r="D329">
        <f ca="1"/>
        <v>500</v>
      </c>
      <c r="E329" t="str">
        <f ca="1"/>
        <v>MXN</v>
      </c>
      <c r="F329" t="str">
        <f ca="1"/>
        <v>Karen Alexandra Ballesteros Contreras</v>
      </c>
      <c r="G329" t="str">
        <f ca="1"/>
        <v>EST 407 AEROPUERTO     CIUDAD DE MEX MEX</v>
      </c>
      <c r="H329" t="str">
        <f ca="1"/>
        <v>Est 407 Aeropuerto Ciudad De Mex Mex</v>
      </c>
      <c r="I329">
        <f ca="1"/>
        <v>0</v>
      </c>
      <c r="J329">
        <f ca="1"/>
        <v>0</v>
      </c>
      <c r="K329">
        <f ca="1"/>
        <v>0</v>
      </c>
      <c r="L329" t="str">
        <f ca="1">VLOOKUP(B329,[1]Total!$B:$Q,16,0)</f>
        <v>603.81.006 Gastos Administativos de venta</v>
      </c>
      <c r="M329">
        <f t="shared" ca="1" si="11"/>
        <v>500</v>
      </c>
      <c r="N329" t="str">
        <f t="shared" ca="1" si="12"/>
        <v xml:space="preserve">Karen Alexandra Ballesteros Contreras EST 407 AEROPUERTO     CIUDAD DE MEX MEX Est 407 Aeropuerto Ciudad De Mex Mex 0 0 0 </v>
      </c>
    </row>
    <row r="330" spans="1:14">
      <c r="A330" t="str">
        <f ca="1"/>
        <v>TRX1138</v>
      </c>
      <c r="B330" t="str">
        <f ca="1"/>
        <v>#26</v>
      </c>
      <c r="C330">
        <f ca="1"/>
        <v>46078.416666666599</v>
      </c>
      <c r="D330">
        <f ca="1"/>
        <v>210</v>
      </c>
      <c r="E330" t="str">
        <f ca="1"/>
        <v>MXN</v>
      </c>
      <c r="F330" t="str">
        <f ca="1"/>
        <v>Karen Alexandra Ballesteros Contreras</v>
      </c>
      <c r="G330" t="str">
        <f ca="1"/>
        <v>MERCADOPAGO *PASE      MIGUEL HIDALG MEX</v>
      </c>
      <c r="H330" t="str">
        <f ca="1"/>
        <v>Mercadopago</v>
      </c>
      <c r="I330">
        <f ca="1"/>
        <v>0</v>
      </c>
      <c r="J330">
        <f ca="1"/>
        <v>0</v>
      </c>
      <c r="K330">
        <f ca="1"/>
        <v>0</v>
      </c>
      <c r="L330" t="str">
        <f ca="1">VLOOKUP(B330,[1]Total!$B:$Q,16,0)</f>
        <v>603.81.006 Gastos Administativos de venta</v>
      </c>
      <c r="M330">
        <f t="shared" ca="1" si="11"/>
        <v>210</v>
      </c>
      <c r="N330" t="str">
        <f t="shared" ca="1" si="12"/>
        <v xml:space="preserve">Karen Alexandra Ballesteros Contreras MERCADOPAGO *PASE      MIGUEL HIDALG MEX Mercadopago 0 0 0 </v>
      </c>
    </row>
    <row r="331" spans="1:14">
      <c r="A331" t="str">
        <f ca="1"/>
        <v>TRX1139</v>
      </c>
      <c r="B331" t="str">
        <f ca="1"/>
        <v>#26</v>
      </c>
      <c r="C331">
        <f ca="1"/>
        <v>46078.416666666599</v>
      </c>
      <c r="D331">
        <f ca="1"/>
        <v>310</v>
      </c>
      <c r="E331" t="str">
        <f ca="1"/>
        <v>MXN</v>
      </c>
      <c r="F331" t="str">
        <f ca="1"/>
        <v>Karen Alexandra Ballesteros Contreras</v>
      </c>
      <c r="G331" t="str">
        <f ca="1"/>
        <v>MERCADOPAGO *PASE      MIGUEL HIDALG MEX</v>
      </c>
      <c r="H331" t="str">
        <f ca="1"/>
        <v>Mercadopago</v>
      </c>
      <c r="I331">
        <f ca="1"/>
        <v>0</v>
      </c>
      <c r="J331">
        <f ca="1"/>
        <v>0</v>
      </c>
      <c r="K331">
        <f ca="1"/>
        <v>0</v>
      </c>
      <c r="L331" t="str">
        <f ca="1">VLOOKUP(B331,[1]Total!$B:$Q,16,0)</f>
        <v>603.81.006 Gastos Administativos de venta</v>
      </c>
      <c r="M331">
        <f t="shared" ca="1" si="11"/>
        <v>310</v>
      </c>
      <c r="N331" t="str">
        <f t="shared" ca="1" si="12"/>
        <v xml:space="preserve">Karen Alexandra Ballesteros Contreras MERCADOPAGO *PASE      MIGUEL HIDALG MEX Mercadopago 0 0 0 </v>
      </c>
    </row>
    <row r="332" spans="1:14">
      <c r="A332" t="str">
        <f ca="1"/>
        <v>TRX1149</v>
      </c>
      <c r="B332" t="str">
        <f ca="1"/>
        <v>#26</v>
      </c>
      <c r="C332">
        <f ca="1"/>
        <v>46078.416666666599</v>
      </c>
      <c r="D332">
        <f ca="1"/>
        <v>31.5</v>
      </c>
      <c r="E332" t="str">
        <f ca="1"/>
        <v>MXN</v>
      </c>
      <c r="F332" t="str">
        <f ca="1"/>
        <v>Karen Alexandra Ballesteros Contreras</v>
      </c>
      <c r="G332" t="str">
        <f ca="1"/>
        <v>UBER * PENDING         CMX           MEX</v>
      </c>
      <c r="H332" t="str">
        <f ca="1"/>
        <v>Uber</v>
      </c>
      <c r="I332">
        <f ca="1"/>
        <v>0</v>
      </c>
      <c r="J332">
        <f ca="1"/>
        <v>0</v>
      </c>
      <c r="K332">
        <f ca="1"/>
        <v>0</v>
      </c>
      <c r="L332" t="str">
        <f ca="1">VLOOKUP(B332,[1]Total!$B:$Q,16,0)</f>
        <v>603.81.006 Gastos Administativos de venta</v>
      </c>
      <c r="M332">
        <f t="shared" ca="1" si="11"/>
        <v>31.5</v>
      </c>
      <c r="N332" t="str">
        <f t="shared" ca="1" si="12"/>
        <v xml:space="preserve">Karen Alexandra Ballesteros Contreras UBER * PENDING         CMX           MEX Uber 0 0 0 </v>
      </c>
    </row>
    <row r="333" spans="1:14">
      <c r="A333" t="str">
        <f ca="1"/>
        <v>TRX1151</v>
      </c>
      <c r="B333" t="str">
        <f ca="1"/>
        <v>#26</v>
      </c>
      <c r="C333">
        <f ca="1"/>
        <v>46078.416666666599</v>
      </c>
      <c r="D333">
        <f ca="1"/>
        <v>17</v>
      </c>
      <c r="E333" t="str">
        <f ca="1"/>
        <v>MXN</v>
      </c>
      <c r="F333" t="str">
        <f ca="1"/>
        <v>Karen Alexandra Ballesteros Contreras</v>
      </c>
      <c r="G333" t="str">
        <f ca="1"/>
        <v>Didi Mexico            CAUHTEMOC     MEX</v>
      </c>
      <c r="H333" t="str">
        <f ca="1"/>
        <v>Didi Mexico Cauhtemoc Mex</v>
      </c>
      <c r="I333">
        <f ca="1"/>
        <v>0</v>
      </c>
      <c r="J333">
        <f ca="1"/>
        <v>0</v>
      </c>
      <c r="K333">
        <f ca="1"/>
        <v>0</v>
      </c>
      <c r="L333" t="str">
        <f ca="1">VLOOKUP(B333,[1]Total!$B:$Q,16,0)</f>
        <v>603.81.006 Gastos Administativos de venta</v>
      </c>
      <c r="M333">
        <f t="shared" ca="1" si="11"/>
        <v>17</v>
      </c>
      <c r="N333" t="str">
        <f t="shared" ca="1" si="12"/>
        <v xml:space="preserve">Karen Alexandra Ballesteros Contreras Didi Mexico            CAUHTEMOC     MEX Didi Mexico Cauhtemoc Mex 0 0 0 </v>
      </c>
    </row>
    <row r="334" spans="1:14">
      <c r="A334" t="str">
        <f ca="1"/>
        <v>TRX1156</v>
      </c>
      <c r="B334" t="str">
        <f ca="1"/>
        <v>#26</v>
      </c>
      <c r="C334">
        <f ca="1"/>
        <v>46078.416666666599</v>
      </c>
      <c r="D334">
        <f ca="1"/>
        <v>163</v>
      </c>
      <c r="E334" t="str">
        <f ca="1"/>
        <v>MXN</v>
      </c>
      <c r="F334" t="str">
        <f ca="1"/>
        <v>Karen Alexandra Ballesteros Contreras</v>
      </c>
      <c r="G334" t="str">
        <f ca="1"/>
        <v>D LOCAL*DIDI RIDES     CIUDAD DE MEX MEX</v>
      </c>
      <c r="H334" t="str">
        <f ca="1"/>
        <v>Didi Chuxing</v>
      </c>
      <c r="I334">
        <f ca="1"/>
        <v>0</v>
      </c>
      <c r="J334">
        <f ca="1"/>
        <v>0</v>
      </c>
      <c r="K334">
        <f ca="1"/>
        <v>0</v>
      </c>
      <c r="L334" t="str">
        <f ca="1">VLOOKUP(B334,[1]Total!$B:$Q,16,0)</f>
        <v>603.81.006 Gastos Administativos de venta</v>
      </c>
      <c r="M334">
        <f t="shared" ca="1" si="11"/>
        <v>163</v>
      </c>
      <c r="N334" t="str">
        <f t="shared" ca="1" si="12"/>
        <v xml:space="preserve">Karen Alexandra Ballesteros Contreras D LOCAL*DIDI RIDES     CIUDAD DE MEX MEX Didi Chuxing 0 0 0 </v>
      </c>
    </row>
    <row r="335" spans="1:14">
      <c r="A335" t="str">
        <f ca="1"/>
        <v>TRX1158</v>
      </c>
      <c r="B335" t="str">
        <f ca="1"/>
        <v>#26</v>
      </c>
      <c r="C335">
        <f ca="1"/>
        <v>46078.417361111096</v>
      </c>
      <c r="D335">
        <f ca="1"/>
        <v>115.5</v>
      </c>
      <c r="E335" t="str">
        <f ca="1"/>
        <v>MXN</v>
      </c>
      <c r="F335" t="str">
        <f ca="1"/>
        <v>Karen Alexandra Ballesteros Contreras</v>
      </c>
      <c r="G335" t="str">
        <f ca="1"/>
        <v>OLI CAFE NT            CIUDAD DE MEX MEX</v>
      </c>
      <c r="H335" t="str">
        <f ca="1"/>
        <v>Oli Cafe Nt Ciudad De Mex Mex</v>
      </c>
      <c r="I335">
        <f ca="1"/>
        <v>0</v>
      </c>
      <c r="J335">
        <f ca="1"/>
        <v>0</v>
      </c>
      <c r="K335">
        <f ca="1"/>
        <v>0</v>
      </c>
      <c r="L335" t="str">
        <f ca="1">VLOOKUP(B335,[1]Total!$B:$Q,16,0)</f>
        <v>603.81.006 Gastos Administativos de venta</v>
      </c>
      <c r="M335">
        <f t="shared" ca="1" si="11"/>
        <v>115.5</v>
      </c>
      <c r="N335" t="str">
        <f t="shared" ca="1" si="12"/>
        <v xml:space="preserve">Karen Alexandra Ballesteros Contreras OLI CAFE NT            CIUDAD DE MEX MEX Oli Cafe Nt Ciudad De Mex Mex 0 0 0 </v>
      </c>
    </row>
    <row r="336" spans="1:14">
      <c r="A336" t="str">
        <f ca="1"/>
        <v>TRX1165</v>
      </c>
      <c r="B336" t="str">
        <f ca="1"/>
        <v>#26</v>
      </c>
      <c r="C336">
        <f ca="1"/>
        <v>46078.417361111096</v>
      </c>
      <c r="D336">
        <f ca="1"/>
        <v>767.55</v>
      </c>
      <c r="E336" t="str">
        <f ca="1"/>
        <v>MXN</v>
      </c>
      <c r="F336" t="str">
        <f ca="1"/>
        <v>Karen Alexandra Ballesteros Contreras</v>
      </c>
      <c r="G336" t="str">
        <f ca="1"/>
        <v>GASOL SERVICIO TLATIL  NAUCALPAN DE  MEX</v>
      </c>
      <c r="H336" t="str">
        <f ca="1"/>
        <v>Gasol Servicio Tlatil Naucalpan De Mex</v>
      </c>
      <c r="I336">
        <f ca="1"/>
        <v>0</v>
      </c>
      <c r="J336">
        <f ca="1"/>
        <v>0</v>
      </c>
      <c r="K336">
        <f ca="1"/>
        <v>0</v>
      </c>
      <c r="L336" t="str">
        <f ca="1">VLOOKUP(B336,[1]Total!$B:$Q,16,0)</f>
        <v>603.81.006 Gastos Administativos de venta</v>
      </c>
      <c r="M336">
        <f t="shared" ca="1" si="11"/>
        <v>767.55</v>
      </c>
      <c r="N336" t="str">
        <f t="shared" ca="1" si="12"/>
        <v xml:space="preserve">Karen Alexandra Ballesteros Contreras GASOL SERVICIO TLATIL  NAUCALPAN DE  MEX Gasol Servicio Tlatil Naucalpan De Mex 0 0 0 </v>
      </c>
    </row>
    <row r="337" spans="1:14">
      <c r="A337" t="str">
        <f ca="1"/>
        <v>TRX1181</v>
      </c>
      <c r="B337" t="str">
        <f ca="1"/>
        <v>#26</v>
      </c>
      <c r="C337">
        <f ca="1"/>
        <v>46079.416666666599</v>
      </c>
      <c r="D337">
        <f ca="1"/>
        <v>210</v>
      </c>
      <c r="E337" t="str">
        <f ca="1"/>
        <v>MXN</v>
      </c>
      <c r="F337" t="str">
        <f ca="1"/>
        <v>Karen Alexandra Ballesteros Contreras</v>
      </c>
      <c r="G337" t="str">
        <f ca="1"/>
        <v>MERCADOPAGO *PASE      MIGUEL HIDALG MEX</v>
      </c>
      <c r="H337" t="str">
        <f ca="1"/>
        <v>Mercadopago</v>
      </c>
      <c r="I337">
        <f ca="1"/>
        <v>0</v>
      </c>
      <c r="J337">
        <f ca="1"/>
        <v>0</v>
      </c>
      <c r="K337">
        <f ca="1"/>
        <v>0</v>
      </c>
      <c r="L337" t="str">
        <f ca="1">VLOOKUP(B337,[1]Total!$B:$Q,16,0)</f>
        <v>603.81.006 Gastos Administativos de venta</v>
      </c>
      <c r="M337">
        <f t="shared" ca="1" si="11"/>
        <v>210</v>
      </c>
      <c r="N337" t="str">
        <f t="shared" ca="1" si="12"/>
        <v xml:space="preserve">Karen Alexandra Ballesteros Contreras MERCADOPAGO *PASE      MIGUEL HIDALG MEX Mercadopago 0 0 0 </v>
      </c>
    </row>
    <row r="338" spans="1:14">
      <c r="A338" t="str">
        <f ca="1"/>
        <v>TRX1183</v>
      </c>
      <c r="B338" t="str">
        <f ca="1"/>
        <v>#26</v>
      </c>
      <c r="C338">
        <f ca="1"/>
        <v>46079.416666666599</v>
      </c>
      <c r="D338">
        <f ca="1"/>
        <v>339</v>
      </c>
      <c r="E338" t="str">
        <f ca="1"/>
        <v>MXN</v>
      </c>
      <c r="F338" t="str">
        <f ca="1"/>
        <v>Karen Alexandra Ballesteros Contreras</v>
      </c>
      <c r="G338" t="str">
        <f ca="1"/>
        <v>D LOCAL*DIDI RIDES     CIUDAD DE MEX MEX</v>
      </c>
      <c r="H338" t="str">
        <f ca="1"/>
        <v>Didi Chuxing</v>
      </c>
      <c r="I338">
        <f ca="1"/>
        <v>0</v>
      </c>
      <c r="J338">
        <f ca="1"/>
        <v>0</v>
      </c>
      <c r="K338">
        <f ca="1"/>
        <v>0</v>
      </c>
      <c r="L338" t="str">
        <f ca="1">VLOOKUP(B338,[1]Total!$B:$Q,16,0)</f>
        <v>603.81.006 Gastos Administativos de venta</v>
      </c>
      <c r="M338">
        <f t="shared" ca="1" si="11"/>
        <v>339</v>
      </c>
      <c r="N338" t="str">
        <f t="shared" ca="1" si="12"/>
        <v xml:space="preserve">Karen Alexandra Ballesteros Contreras D LOCAL*DIDI RIDES     CIUDAD DE MEX MEX Didi Chuxing 0 0 0 </v>
      </c>
    </row>
    <row r="339" spans="1:14">
      <c r="A339" t="str">
        <f ca="1"/>
        <v>TRX1195</v>
      </c>
      <c r="B339" t="str">
        <f ca="1"/>
        <v>#26</v>
      </c>
      <c r="C339">
        <f ca="1"/>
        <v>46079.416666666599</v>
      </c>
      <c r="D339">
        <f ca="1"/>
        <v>232</v>
      </c>
      <c r="E339" t="str">
        <f ca="1"/>
        <v>MXN</v>
      </c>
      <c r="F339" t="str">
        <f ca="1"/>
        <v>Karen Alexandra Ballesteros Contreras</v>
      </c>
      <c r="G339" t="str">
        <f ca="1"/>
        <v>D LOCAL*DIDI RIDES     CIUDAD DE MEX MEX</v>
      </c>
      <c r="H339" t="str">
        <f ca="1"/>
        <v>Didi Chuxing</v>
      </c>
      <c r="I339">
        <f ca="1"/>
        <v>0</v>
      </c>
      <c r="J339">
        <f ca="1"/>
        <v>0</v>
      </c>
      <c r="K339">
        <f ca="1"/>
        <v>0</v>
      </c>
      <c r="L339" t="str">
        <f ca="1">VLOOKUP(B339,[1]Total!$B:$Q,16,0)</f>
        <v>603.81.006 Gastos Administativos de venta</v>
      </c>
      <c r="M339">
        <f t="shared" ca="1" si="11"/>
        <v>232</v>
      </c>
      <c r="N339" t="str">
        <f t="shared" ca="1" si="12"/>
        <v xml:space="preserve">Karen Alexandra Ballesteros Contreras D LOCAL*DIDI RIDES     CIUDAD DE MEX MEX Didi Chuxing 0 0 0 </v>
      </c>
    </row>
    <row r="340" spans="1:14">
      <c r="A340" t="str">
        <f ca="1"/>
        <v>TRX1202</v>
      </c>
      <c r="B340" t="str">
        <f ca="1"/>
        <v>#26</v>
      </c>
      <c r="C340">
        <f ca="1"/>
        <v>46079.416666666599</v>
      </c>
      <c r="D340">
        <f ca="1"/>
        <v>95.83</v>
      </c>
      <c r="E340" t="str">
        <f ca="1"/>
        <v>MXN</v>
      </c>
      <c r="F340" t="str">
        <f ca="1"/>
        <v>Karen Alexandra Ballesteros Contreras</v>
      </c>
      <c r="G340" t="str">
        <f ca="1"/>
        <v>DLO*UBER RIDE          CIUDAD DE MEX MEX</v>
      </c>
      <c r="H340" t="str">
        <f ca="1"/>
        <v>Uber</v>
      </c>
      <c r="I340">
        <f ca="1"/>
        <v>0</v>
      </c>
      <c r="J340">
        <f ca="1"/>
        <v>0</v>
      </c>
      <c r="K340">
        <f ca="1"/>
        <v>0</v>
      </c>
      <c r="L340" t="str">
        <f ca="1">VLOOKUP(B340,[1]Total!$B:$Q,16,0)</f>
        <v>603.81.006 Gastos Administativos de venta</v>
      </c>
      <c r="M340">
        <f t="shared" ca="1" si="11"/>
        <v>95.83</v>
      </c>
      <c r="N340" t="str">
        <f t="shared" ca="1" si="12"/>
        <v xml:space="preserve">Karen Alexandra Ballesteros Contreras DLO*UBER RIDE          CIUDAD DE MEX MEX Uber 0 0 0 </v>
      </c>
    </row>
    <row r="341" spans="1:14">
      <c r="A341" t="str">
        <f ca="1"/>
        <v>TRX1204</v>
      </c>
      <c r="B341" t="str">
        <f ca="1"/>
        <v>#26</v>
      </c>
      <c r="C341">
        <f ca="1"/>
        <v>46079.416666666599</v>
      </c>
      <c r="D341">
        <f ca="1"/>
        <v>199.96</v>
      </c>
      <c r="E341" t="str">
        <f ca="1"/>
        <v>MXN</v>
      </c>
      <c r="F341" t="str">
        <f ca="1"/>
        <v>Karen Alexandra Ballesteros Contreras</v>
      </c>
      <c r="G341" t="str">
        <f ca="1"/>
        <v>DLO*Uber               CDMX          MEX</v>
      </c>
      <c r="H341" t="str">
        <f ca="1"/>
        <v>Uber</v>
      </c>
      <c r="I341">
        <f ca="1"/>
        <v>0</v>
      </c>
      <c r="J341">
        <f ca="1"/>
        <v>0</v>
      </c>
      <c r="K341">
        <f ca="1"/>
        <v>0</v>
      </c>
      <c r="L341" t="str">
        <f ca="1">VLOOKUP(B341,[1]Total!$B:$Q,16,0)</f>
        <v>603.81.006 Gastos Administativos de venta</v>
      </c>
      <c r="M341">
        <f t="shared" ca="1" si="11"/>
        <v>199.96</v>
      </c>
      <c r="N341" t="str">
        <f t="shared" ca="1" si="12"/>
        <v xml:space="preserve">Karen Alexandra Ballesteros Contreras DLO*Uber               CDMX          MEX Uber 0 0 0 </v>
      </c>
    </row>
    <row r="342" spans="1:14">
      <c r="A342" t="str">
        <f ca="1"/>
        <v>TRX1210</v>
      </c>
      <c r="B342" t="str">
        <f ca="1"/>
        <v>#26</v>
      </c>
      <c r="C342">
        <f ca="1"/>
        <v>46079.417361111096</v>
      </c>
      <c r="D342">
        <f ca="1"/>
        <v>462</v>
      </c>
      <c r="E342" t="str">
        <f ca="1"/>
        <v>MXN</v>
      </c>
      <c r="F342" t="str">
        <f ca="1"/>
        <v>Karen Alexandra Ballesteros Contreras</v>
      </c>
      <c r="G342" t="str">
        <f ca="1"/>
        <v>VIPS COFRADIAS         CUAUTITLAN IZ MEX</v>
      </c>
      <c r="H342" t="str">
        <f ca="1"/>
        <v>Vips Cofradias Cuautitlan Iz Mex</v>
      </c>
      <c r="I342">
        <f ca="1"/>
        <v>0</v>
      </c>
      <c r="J342">
        <f ca="1"/>
        <v>0</v>
      </c>
      <c r="K342">
        <f ca="1"/>
        <v>0</v>
      </c>
      <c r="L342" t="str">
        <f ca="1">VLOOKUP(B342,[1]Total!$B:$Q,16,0)</f>
        <v>603.81.006 Gastos Administativos de venta</v>
      </c>
      <c r="M342">
        <f t="shared" ca="1" si="11"/>
        <v>462</v>
      </c>
      <c r="N342" t="str">
        <f t="shared" ca="1" si="12"/>
        <v xml:space="preserve">Karen Alexandra Ballesteros Contreras VIPS COFRADIAS         CUAUTITLAN IZ MEX Vips Cofradias Cuautitlan Iz Mex 0 0 0 </v>
      </c>
    </row>
    <row r="343" spans="1:14">
      <c r="A343" t="str">
        <f ca="1"/>
        <v>TRX1226</v>
      </c>
      <c r="B343" t="str">
        <f ca="1"/>
        <v>#26</v>
      </c>
      <c r="C343">
        <f ca="1"/>
        <v>46080.416666666599</v>
      </c>
      <c r="D343">
        <f ca="1"/>
        <v>210</v>
      </c>
      <c r="E343" t="str">
        <f ca="1"/>
        <v>MXN</v>
      </c>
      <c r="F343" t="str">
        <f ca="1"/>
        <v>Karen Alexandra Ballesteros Contreras</v>
      </c>
      <c r="G343" t="str">
        <f ca="1"/>
        <v>MERCADOPAGO *PASE      MIGUEL HIDALG MEX</v>
      </c>
      <c r="H343" t="str">
        <f ca="1"/>
        <v>Mercadopago</v>
      </c>
      <c r="I343">
        <f ca="1"/>
        <v>0</v>
      </c>
      <c r="J343">
        <f ca="1"/>
        <v>0</v>
      </c>
      <c r="K343">
        <f ca="1"/>
        <v>0</v>
      </c>
      <c r="L343" t="str">
        <f ca="1">VLOOKUP(B343,[1]Total!$B:$Q,16,0)</f>
        <v>603.81.006 Gastos Administativos de venta</v>
      </c>
      <c r="M343">
        <f t="shared" ca="1" si="11"/>
        <v>210</v>
      </c>
      <c r="N343" t="str">
        <f t="shared" ca="1" si="12"/>
        <v xml:space="preserve">Karen Alexandra Ballesteros Contreras MERCADOPAGO *PASE      MIGUEL HIDALG MEX Mercadopago 0 0 0 </v>
      </c>
    </row>
    <row r="344" spans="1:14">
      <c r="A344" t="str">
        <f ca="1"/>
        <v>TRX1227</v>
      </c>
      <c r="B344" t="str">
        <f ca="1"/>
        <v>#26</v>
      </c>
      <c r="C344">
        <f ca="1"/>
        <v>46080.416666666599</v>
      </c>
      <c r="D344">
        <f ca="1"/>
        <v>341.83</v>
      </c>
      <c r="E344" t="str">
        <f ca="1"/>
        <v>MXN</v>
      </c>
      <c r="F344" t="str">
        <f ca="1"/>
        <v>Karen Alexandra Ballesteros Contreras</v>
      </c>
      <c r="G344" t="str">
        <f ca="1"/>
        <v>DLO*UBER RIDES         CIUDAD DE MEX MEX</v>
      </c>
      <c r="H344" t="str">
        <f ca="1"/>
        <v>Uber</v>
      </c>
      <c r="I344">
        <f ca="1"/>
        <v>0</v>
      </c>
      <c r="J344">
        <f ca="1"/>
        <v>0</v>
      </c>
      <c r="K344">
        <f ca="1"/>
        <v>0</v>
      </c>
      <c r="L344" t="str">
        <f ca="1">VLOOKUP(B344,[1]Total!$B:$Q,16,0)</f>
        <v>603.81.006 Gastos Administativos de venta</v>
      </c>
      <c r="M344">
        <f t="shared" ca="1" si="11"/>
        <v>341.83</v>
      </c>
      <c r="N344" t="str">
        <f t="shared" ca="1" si="12"/>
        <v xml:space="preserve">Karen Alexandra Ballesteros Contreras DLO*UBER RIDES         CIUDAD DE MEX MEX Uber 0 0 0 </v>
      </c>
    </row>
    <row r="345" spans="1:14">
      <c r="A345" t="str">
        <f ca="1"/>
        <v>TRX1228</v>
      </c>
      <c r="B345" t="str">
        <f ca="1"/>
        <v>#26</v>
      </c>
      <c r="C345">
        <f ca="1"/>
        <v>46080.416666666599</v>
      </c>
      <c r="D345">
        <f ca="1"/>
        <v>62.25</v>
      </c>
      <c r="E345" t="str">
        <f ca="1"/>
        <v>MXN</v>
      </c>
      <c r="F345" t="str">
        <f ca="1"/>
        <v>Karen Alexandra Ballesteros Contreras</v>
      </c>
      <c r="G345" t="str">
        <f ca="1"/>
        <v>DLO DIDI RIDES MX      CIUDAD DE MEX MEX</v>
      </c>
      <c r="H345" t="str">
        <f ca="1"/>
        <v>Didi Chuxing</v>
      </c>
      <c r="I345">
        <f ca="1"/>
        <v>0</v>
      </c>
      <c r="J345">
        <f ca="1"/>
        <v>0</v>
      </c>
      <c r="K345">
        <f ca="1"/>
        <v>0</v>
      </c>
      <c r="L345" t="str">
        <f ca="1">VLOOKUP(B345,[1]Total!$B:$Q,16,0)</f>
        <v>603.81.006 Gastos Administativos de venta</v>
      </c>
      <c r="M345">
        <f t="shared" ca="1" si="11"/>
        <v>62.25</v>
      </c>
      <c r="N345" t="str">
        <f t="shared" ca="1" si="12"/>
        <v xml:space="preserve">Karen Alexandra Ballesteros Contreras DLO DIDI RIDES MX      CIUDAD DE MEX MEX Didi Chuxing 0 0 0 </v>
      </c>
    </row>
    <row r="346" spans="1:14">
      <c r="A346" t="str">
        <f ca="1"/>
        <v>TRX1229</v>
      </c>
      <c r="B346" t="str">
        <f ca="1"/>
        <v>#26</v>
      </c>
      <c r="C346">
        <f ca="1"/>
        <v>46080.416666666599</v>
      </c>
      <c r="D346">
        <f ca="1"/>
        <v>99.74</v>
      </c>
      <c r="E346" t="str">
        <f ca="1"/>
        <v>MXN</v>
      </c>
      <c r="F346" t="str">
        <f ca="1"/>
        <v>Karen Alexandra Ballesteros Contreras</v>
      </c>
      <c r="G346" t="str">
        <f ca="1"/>
        <v>DLO DIDI RIDES MX      CIUDAD DE MEX MEX</v>
      </c>
      <c r="H346" t="str">
        <f ca="1"/>
        <v>Didi Chuxing</v>
      </c>
      <c r="I346">
        <f ca="1"/>
        <v>0</v>
      </c>
      <c r="J346">
        <f ca="1"/>
        <v>0</v>
      </c>
      <c r="K346">
        <f ca="1"/>
        <v>0</v>
      </c>
      <c r="L346" t="str">
        <f ca="1">VLOOKUP(B346,[1]Total!$B:$Q,16,0)</f>
        <v>603.81.006 Gastos Administativos de venta</v>
      </c>
      <c r="M346">
        <f t="shared" ca="1" si="11"/>
        <v>99.74</v>
      </c>
      <c r="N346" t="str">
        <f t="shared" ca="1" si="12"/>
        <v xml:space="preserve">Karen Alexandra Ballesteros Contreras DLO DIDI RIDES MX      CIUDAD DE MEX MEX Didi Chuxing 0 0 0 </v>
      </c>
    </row>
    <row r="347" spans="1:14">
      <c r="A347" t="str">
        <f ca="1"/>
        <v>TRX1230</v>
      </c>
      <c r="B347" t="str">
        <f ca="1"/>
        <v>#26</v>
      </c>
      <c r="C347">
        <f ca="1"/>
        <v>46080.416666666599</v>
      </c>
      <c r="D347">
        <f ca="1"/>
        <v>56.09</v>
      </c>
      <c r="E347" t="str">
        <f ca="1"/>
        <v>MXN</v>
      </c>
      <c r="F347" t="str">
        <f ca="1"/>
        <v>Karen Alexandra Ballesteros Contreras</v>
      </c>
      <c r="G347" t="str">
        <f ca="1"/>
        <v>DLO DIDI RIDES MX      CIUDAD DE MEX MEX</v>
      </c>
      <c r="H347" t="str">
        <f ca="1"/>
        <v>Didi Chuxing</v>
      </c>
      <c r="I347">
        <f ca="1"/>
        <v>0</v>
      </c>
      <c r="J347">
        <f ca="1"/>
        <v>0</v>
      </c>
      <c r="K347">
        <f ca="1"/>
        <v>0</v>
      </c>
      <c r="L347" t="str">
        <f ca="1">VLOOKUP(B347,[1]Total!$B:$Q,16,0)</f>
        <v>603.81.006 Gastos Administativos de venta</v>
      </c>
      <c r="M347">
        <f t="shared" ca="1" si="11"/>
        <v>56.09</v>
      </c>
      <c r="N347" t="str">
        <f t="shared" ca="1" si="12"/>
        <v xml:space="preserve">Karen Alexandra Ballesteros Contreras DLO DIDI RIDES MX      CIUDAD DE MEX MEX Didi Chuxing 0 0 0 </v>
      </c>
    </row>
    <row r="348" spans="1:14">
      <c r="A348" t="str">
        <f ca="1"/>
        <v>TRX1231</v>
      </c>
      <c r="B348" t="str">
        <f ca="1"/>
        <v>#26</v>
      </c>
      <c r="C348">
        <f ca="1"/>
        <v>46080.416666666599</v>
      </c>
      <c r="D348">
        <f ca="1"/>
        <v>318</v>
      </c>
      <c r="E348" t="str">
        <f ca="1"/>
        <v>MXN</v>
      </c>
      <c r="F348" t="str">
        <f ca="1"/>
        <v>Karen Alexandra Ballesteros Contreras</v>
      </c>
      <c r="G348" t="str">
        <f ca="1"/>
        <v>KFC 230 XOLA           CIUDAD DE MEX MEX</v>
      </c>
      <c r="H348" t="str">
        <f ca="1"/>
        <v>Kentucky Fried Chicken</v>
      </c>
      <c r="I348">
        <f ca="1"/>
        <v>0</v>
      </c>
      <c r="J348">
        <f ca="1"/>
        <v>0</v>
      </c>
      <c r="K348">
        <f ca="1"/>
        <v>0</v>
      </c>
      <c r="L348" t="str">
        <f ca="1">VLOOKUP(B348,[1]Total!$B:$Q,16,0)</f>
        <v>603.81.006 Gastos Administativos de venta</v>
      </c>
      <c r="M348">
        <f t="shared" ca="1" si="11"/>
        <v>318</v>
      </c>
      <c r="N348" t="str">
        <f t="shared" ca="1" si="12"/>
        <v xml:space="preserve">Karen Alexandra Ballesteros Contreras KFC 230 XOLA           CIUDAD DE MEX MEX Kentucky Fried Chicken 0 0 0 </v>
      </c>
    </row>
    <row r="349" spans="1:14">
      <c r="A349" t="str">
        <f ca="1"/>
        <v>TRX1235</v>
      </c>
      <c r="B349" t="str">
        <f ca="1"/>
        <v>#26</v>
      </c>
      <c r="C349">
        <f ca="1"/>
        <v>46080.416666666599</v>
      </c>
      <c r="D349">
        <f ca="1"/>
        <v>193</v>
      </c>
      <c r="E349" t="str">
        <f ca="1"/>
        <v>MXN</v>
      </c>
      <c r="F349" t="str">
        <f ca="1"/>
        <v>Karen Alexandra Ballesteros Contreras</v>
      </c>
      <c r="G349" t="str">
        <f ca="1"/>
        <v>D LOCAL*DIDI RIDES     CIUDAD DE MEX MEX</v>
      </c>
      <c r="H349" t="str">
        <f ca="1"/>
        <v>Didi Chuxing</v>
      </c>
      <c r="I349">
        <f ca="1"/>
        <v>0</v>
      </c>
      <c r="J349">
        <f ca="1"/>
        <v>0</v>
      </c>
      <c r="K349">
        <f ca="1"/>
        <v>0</v>
      </c>
      <c r="L349" t="str">
        <f ca="1">VLOOKUP(B349,[1]Total!$B:$Q,16,0)</f>
        <v>603.81.006 Gastos Administativos de venta</v>
      </c>
      <c r="M349">
        <f t="shared" ca="1" si="11"/>
        <v>193</v>
      </c>
      <c r="N349" t="str">
        <f t="shared" ca="1" si="12"/>
        <v xml:space="preserve">Karen Alexandra Ballesteros Contreras D LOCAL*DIDI RIDES     CIUDAD DE MEX MEX Didi Chuxing 0 0 0 </v>
      </c>
    </row>
    <row r="350" spans="1:14">
      <c r="A350" t="str">
        <f ca="1"/>
        <v>TRX1247</v>
      </c>
      <c r="B350" t="str">
        <f ca="1"/>
        <v>#26</v>
      </c>
      <c r="C350">
        <f ca="1"/>
        <v>46080.417361111096</v>
      </c>
      <c r="D350">
        <f ca="1"/>
        <v>228</v>
      </c>
      <c r="E350" t="str">
        <f ca="1"/>
        <v>MXN</v>
      </c>
      <c r="F350" t="str">
        <f ca="1"/>
        <v>Karen Alexandra Ballesteros Contreras</v>
      </c>
      <c r="G350" t="str">
        <f ca="1"/>
        <v>WM EXPRESS DLVALL NORT CIUDAD DE MEX MEX</v>
      </c>
      <c r="H350" t="str">
        <f ca="1"/>
        <v>Wm Express Dlvall Nort Ciudad De Mex Mex</v>
      </c>
      <c r="I350">
        <f ca="1"/>
        <v>0</v>
      </c>
      <c r="J350">
        <f ca="1"/>
        <v>0</v>
      </c>
      <c r="K350">
        <f ca="1"/>
        <v>0</v>
      </c>
      <c r="L350" t="str">
        <f ca="1">VLOOKUP(B350,[1]Total!$B:$Q,16,0)</f>
        <v>603.81.006 Gastos Administativos de venta</v>
      </c>
      <c r="M350">
        <f t="shared" ca="1" si="11"/>
        <v>228</v>
      </c>
      <c r="N350" t="str">
        <f t="shared" ca="1" si="12"/>
        <v xml:space="preserve">Karen Alexandra Ballesteros Contreras WM EXPRESS DLVALL NORT CIUDAD DE MEX MEX Wm Express Dlvall Nort Ciudad De Mex Mex 0 0 0 </v>
      </c>
    </row>
    <row r="351" spans="1:14">
      <c r="A351" t="str">
        <f ca="1"/>
        <v>TRX1261</v>
      </c>
      <c r="B351" t="str">
        <f ca="1"/>
        <v>#26</v>
      </c>
      <c r="C351">
        <f ca="1"/>
        <v>46081.416666666599</v>
      </c>
      <c r="D351">
        <f ca="1"/>
        <v>910</v>
      </c>
      <c r="E351" t="str">
        <f ca="1"/>
        <v>MXN</v>
      </c>
      <c r="F351" t="str">
        <f ca="1"/>
        <v>Karen Alexandra Ballesteros Contreras</v>
      </c>
      <c r="G351" t="str">
        <f ca="1"/>
        <v>MERCADOPAGO *PASE      MIGUEL HIDALG MEX</v>
      </c>
      <c r="H351" t="str">
        <f ca="1"/>
        <v>Mercadopago</v>
      </c>
      <c r="I351">
        <f ca="1"/>
        <v>0</v>
      </c>
      <c r="J351">
        <f ca="1"/>
        <v>0</v>
      </c>
      <c r="K351">
        <f ca="1"/>
        <v>0</v>
      </c>
      <c r="L351" t="str">
        <f ca="1">VLOOKUP(B351,[1]Total!$B:$Q,16,0)</f>
        <v>603.81.006 Gastos Administativos de venta</v>
      </c>
      <c r="M351">
        <f t="shared" ca="1" si="11"/>
        <v>910</v>
      </c>
      <c r="N351" t="str">
        <f t="shared" ca="1" si="12"/>
        <v xml:space="preserve">Karen Alexandra Ballesteros Contreras MERCADOPAGO *PASE      MIGUEL HIDALG MEX Mercadopago 0 0 0 </v>
      </c>
    </row>
    <row r="352" spans="1:14">
      <c r="A352" t="str">
        <f ca="1"/>
        <v>TRX1263</v>
      </c>
      <c r="B352" t="str">
        <f ca="1"/>
        <v>#26</v>
      </c>
      <c r="C352">
        <f ca="1"/>
        <v>46081.416666666599</v>
      </c>
      <c r="D352">
        <f ca="1"/>
        <v>1010</v>
      </c>
      <c r="E352" t="str">
        <f ca="1"/>
        <v>MXN</v>
      </c>
      <c r="F352" t="str">
        <f ca="1"/>
        <v>Karen Alexandra Ballesteros Contreras</v>
      </c>
      <c r="G352" t="str">
        <f ca="1"/>
        <v>MERCADOPAGO *PASE      MIGUEL HIDALG MEX</v>
      </c>
      <c r="H352" t="str">
        <f ca="1"/>
        <v>Mercadopago</v>
      </c>
      <c r="I352">
        <f ca="1"/>
        <v>0</v>
      </c>
      <c r="J352">
        <f ca="1"/>
        <v>0</v>
      </c>
      <c r="K352">
        <f ca="1"/>
        <v>0</v>
      </c>
      <c r="L352" t="str">
        <f ca="1">VLOOKUP(B352,[1]Total!$B:$Q,16,0)</f>
        <v>603.81.006 Gastos Administativos de venta</v>
      </c>
      <c r="M352">
        <f t="shared" ca="1" si="11"/>
        <v>1010</v>
      </c>
      <c r="N352" t="str">
        <f t="shared" ca="1" si="12"/>
        <v xml:space="preserve">Karen Alexandra Ballesteros Contreras MERCADOPAGO *PASE      MIGUEL HIDALG MEX Mercadopago 0 0 0 </v>
      </c>
    </row>
    <row r="353" spans="1:14">
      <c r="A353" t="str">
        <f ca="1"/>
        <v>TRX1264</v>
      </c>
      <c r="B353" t="str">
        <f ca="1"/>
        <v>#26</v>
      </c>
      <c r="C353">
        <f ca="1"/>
        <v>46081.416666666599</v>
      </c>
      <c r="D353">
        <f ca="1"/>
        <v>456</v>
      </c>
      <c r="E353" t="str">
        <f ca="1"/>
        <v>MXN</v>
      </c>
      <c r="F353" t="str">
        <f ca="1"/>
        <v>Karen Alexandra Ballesteros Contreras</v>
      </c>
      <c r="G353" t="str">
        <f ca="1"/>
        <v>MERCADOPAGO *FARMACIA  Cuautitlan Iz MEX</v>
      </c>
      <c r="H353" t="str">
        <f ca="1"/>
        <v>Mercadopago</v>
      </c>
      <c r="I353">
        <f ca="1"/>
        <v>0</v>
      </c>
      <c r="J353">
        <f ca="1"/>
        <v>0</v>
      </c>
      <c r="K353">
        <f ca="1"/>
        <v>0</v>
      </c>
      <c r="L353" t="str">
        <f ca="1">VLOOKUP(B353,[1]Total!$B:$Q,16,0)</f>
        <v>603.81.006 Gastos Administativos de venta</v>
      </c>
      <c r="M353">
        <f t="shared" ca="1" si="11"/>
        <v>456</v>
      </c>
      <c r="N353" t="str">
        <f t="shared" ca="1" si="12"/>
        <v xml:space="preserve">Karen Alexandra Ballesteros Contreras MERCADOPAGO *FARMACIA  Cuautitlan Iz MEX Mercadopago 0 0 0 </v>
      </c>
    </row>
    <row r="354" spans="1:14">
      <c r="A354" t="str">
        <f ca="1"/>
        <v>TRX1265</v>
      </c>
      <c r="B354" t="str">
        <f ca="1"/>
        <v>#26</v>
      </c>
      <c r="C354">
        <f ca="1"/>
        <v>46081.416666666599</v>
      </c>
      <c r="D354">
        <f ca="1"/>
        <v>507</v>
      </c>
      <c r="E354" t="str">
        <f ca="1"/>
        <v>MXN</v>
      </c>
      <c r="F354" t="str">
        <f ca="1"/>
        <v>Karen Alexandra Ballesteros Contreras</v>
      </c>
      <c r="G354" t="str">
        <f ca="1"/>
        <v>MISC PITS TOL ZIT      ALMOLOYA DE J MEX</v>
      </c>
      <c r="H354" t="str">
        <f ca="1"/>
        <v>Misc Pits Tol Zit Almoloya De J Mex</v>
      </c>
      <c r="I354">
        <f ca="1"/>
        <v>0</v>
      </c>
      <c r="J354">
        <f ca="1"/>
        <v>0</v>
      </c>
      <c r="K354">
        <f ca="1"/>
        <v>0</v>
      </c>
      <c r="L354" t="str">
        <f ca="1">VLOOKUP(B354,[1]Total!$B:$Q,16,0)</f>
        <v>603.81.006 Gastos Administativos de venta</v>
      </c>
      <c r="M354">
        <f t="shared" ca="1" si="11"/>
        <v>507</v>
      </c>
      <c r="N354" t="str">
        <f t="shared" ca="1" si="12"/>
        <v xml:space="preserve">Karen Alexandra Ballesteros Contreras MISC PITS TOL ZIT      ALMOLOYA DE J MEX Misc Pits Tol Zit Almoloya De J Mex 0 0 0 </v>
      </c>
    </row>
    <row r="355" spans="1:14">
      <c r="A355" t="str">
        <f ca="1"/>
        <v>TRX1266</v>
      </c>
      <c r="B355" t="str">
        <f ca="1"/>
        <v>#26</v>
      </c>
      <c r="C355">
        <f ca="1"/>
        <v>46081.416666666599</v>
      </c>
      <c r="D355">
        <f ca="1"/>
        <v>13299.4</v>
      </c>
      <c r="E355" t="str">
        <f ca="1"/>
        <v>MXN</v>
      </c>
      <c r="F355" t="str">
        <f ca="1"/>
        <v>Karen Alexandra Ballesteros Contreras</v>
      </c>
      <c r="G355" t="str">
        <f ca="1"/>
        <v>CLIP MX*MED CLEAN DIAG APODACA       MEX</v>
      </c>
      <c r="H355" t="str">
        <f ca="1"/>
        <v>Clip Mx Med Clean Diag Apodaca Mex</v>
      </c>
      <c r="I355">
        <f ca="1"/>
        <v>0</v>
      </c>
      <c r="J355">
        <f ca="1"/>
        <v>0</v>
      </c>
      <c r="K355">
        <f ca="1"/>
        <v>0</v>
      </c>
      <c r="L355" t="str">
        <f ca="1">VLOOKUP(B355,[1]Total!$B:$Q,16,0)</f>
        <v>603.81.006 Gastos Administativos de venta</v>
      </c>
      <c r="M355">
        <f t="shared" ca="1" si="11"/>
        <v>13299.4</v>
      </c>
      <c r="N355" t="str">
        <f t="shared" ca="1" si="12"/>
        <v xml:space="preserve">Karen Alexandra Ballesteros Contreras CLIP MX*MED CLEAN DIAG APODACA       MEX Clip Mx Med Clean Diag Apodaca Mex 0 0 0 </v>
      </c>
    </row>
    <row r="356" spans="1:14">
      <c r="A356" t="str">
        <f ca="1"/>
        <v>TRX1276</v>
      </c>
      <c r="B356" t="str">
        <f ca="1"/>
        <v>#26</v>
      </c>
      <c r="C356">
        <f ca="1"/>
        <v>46081.416666666599</v>
      </c>
      <c r="D356">
        <f ca="1"/>
        <v>726</v>
      </c>
      <c r="E356" t="str">
        <f ca="1"/>
        <v>MXN</v>
      </c>
      <c r="F356" t="str">
        <f ca="1"/>
        <v>Karen Alexandra Ballesteros Contreras</v>
      </c>
      <c r="G356" t="str">
        <f ca="1"/>
        <v>SUSHI ROLL VALLE DE BR VALLE DE BRAV MEX</v>
      </c>
      <c r="H356" t="str">
        <f ca="1"/>
        <v>Sushi Roll Valle De Br Valle De Brav Mex</v>
      </c>
      <c r="I356">
        <f ca="1"/>
        <v>0</v>
      </c>
      <c r="J356">
        <f ca="1"/>
        <v>0</v>
      </c>
      <c r="K356">
        <f ca="1"/>
        <v>0</v>
      </c>
      <c r="L356" t="str">
        <f ca="1">VLOOKUP(B356,[1]Total!$B:$Q,16,0)</f>
        <v>603.81.006 Gastos Administativos de venta</v>
      </c>
      <c r="M356">
        <f t="shared" ca="1" si="11"/>
        <v>726</v>
      </c>
      <c r="N356" t="str">
        <f t="shared" ca="1" si="12"/>
        <v xml:space="preserve">Karen Alexandra Ballesteros Contreras SUSHI ROLL VALLE DE BR VALLE DE BRAV MEX Sushi Roll Valle De Br Valle De Brav Mex 0 0 0 </v>
      </c>
    </row>
    <row r="357" spans="1:14">
      <c r="A357" t="str">
        <f ca="1"/>
        <v>TRX1252</v>
      </c>
      <c r="B357" t="str">
        <f ca="1"/>
        <v>#28</v>
      </c>
      <c r="C357">
        <f ca="1"/>
        <v>46058.416666666599</v>
      </c>
      <c r="D357">
        <f ca="1"/>
        <v>79.959999999999994</v>
      </c>
      <c r="E357" t="str">
        <f ca="1"/>
        <v>MXN</v>
      </c>
      <c r="F357" t="str">
        <f ca="1"/>
        <v>Fernando Villalobos Lara</v>
      </c>
      <c r="G357" t="str">
        <f ca="1"/>
        <v>UBER * PENDING         CMX           MEX</v>
      </c>
      <c r="H357" t="str">
        <f ca="1"/>
        <v>Uber</v>
      </c>
      <c r="I357" t="str">
        <f ca="1"/>
        <v>Transaction cost</v>
      </c>
      <c r="J357" t="str">
        <f ca="1"/>
        <v>PO 1505 - Uber oficinas Arha</v>
      </c>
      <c r="K357">
        <f ca="1"/>
        <v>0</v>
      </c>
      <c r="L357" t="str">
        <f ca="1">VLOOKUP(B357,[1]Total!$B:$Q,16,0)</f>
        <v>603.81.004 Gastos de Oficina</v>
      </c>
      <c r="M357">
        <f t="shared" ca="1" si="11"/>
        <v>79.959999999999994</v>
      </c>
      <c r="N357" t="str">
        <f t="shared" ca="1" si="12"/>
        <v xml:space="preserve">Fernando Villalobos Lara UBER * PENDING         CMX           MEX Uber Transaction cost PO 1505 - Uber oficinas Arha 0 </v>
      </c>
    </row>
    <row r="358" spans="1:14">
      <c r="A358" t="str">
        <f ca="1"/>
        <v>TRX1432</v>
      </c>
      <c r="B358" t="str">
        <f ca="1"/>
        <v>#28</v>
      </c>
      <c r="C358">
        <f ca="1"/>
        <v>46060.417361111096</v>
      </c>
      <c r="D358">
        <f ca="1"/>
        <v>361.14</v>
      </c>
      <c r="E358" t="str">
        <f ca="1"/>
        <v>USD</v>
      </c>
      <c r="F358" t="str">
        <f ca="1"/>
        <v>Fernando Villalobos Lara</v>
      </c>
      <c r="G358" t="str">
        <f ca="1"/>
        <v>OPENAI *CHATGPT SUBSCR SAN FRANCISCO USA</v>
      </c>
      <c r="H358" t="str">
        <f ca="1"/>
        <v>Openai</v>
      </c>
      <c r="I358" t="str">
        <f ca="1"/>
        <v>Tech&amp;Product</v>
      </c>
      <c r="J358" t="str">
        <f ca="1"/>
        <v>Subcripción ChatGPT</v>
      </c>
      <c r="K358">
        <f ca="1"/>
        <v>0</v>
      </c>
      <c r="L358" t="str">
        <f ca="1">VLOOKUP(B358,[1]Total!$B:$Q,16,0)</f>
        <v>603.81.004 Gastos de Oficina</v>
      </c>
      <c r="M358">
        <f t="shared" ca="1" si="11"/>
        <v>361.14</v>
      </c>
      <c r="N358" t="str">
        <f t="shared" ca="1" si="12"/>
        <v xml:space="preserve">Fernando Villalobos Lara OPENAI *CHATGPT SUBSCR SAN FRANCISCO USA Openai Tech&amp;Product Subcripción ChatGPT 0 </v>
      </c>
    </row>
    <row r="359" spans="1:14">
      <c r="A359" t="str">
        <f ca="1"/>
        <v>TRX1230</v>
      </c>
      <c r="B359" t="str">
        <f ca="1"/>
        <v>#28</v>
      </c>
      <c r="C359">
        <f ca="1"/>
        <v>46060.417361111096</v>
      </c>
      <c r="D359">
        <f ca="1"/>
        <v>495</v>
      </c>
      <c r="E359" t="str">
        <f ca="1"/>
        <v>MXN</v>
      </c>
      <c r="F359" t="str">
        <f ca="1"/>
        <v>Fernando Villalobos Lara</v>
      </c>
      <c r="G359" t="str">
        <f ca="1"/>
        <v>PASTELERIA LOS TULIPAN CIUDAD DE MEX MEX</v>
      </c>
      <c r="H359" t="str">
        <f ca="1"/>
        <v>Pasteleria Los Tulipan Ciudad De Mex Mex</v>
      </c>
      <c r="I359" t="str">
        <f ca="1"/>
        <v>Office expenses</v>
      </c>
      <c r="J359" t="str">
        <f ca="1"/>
        <v>Pastel 4 años Prima</v>
      </c>
      <c r="K359">
        <f ca="1"/>
        <v>0</v>
      </c>
      <c r="L359" t="str">
        <f ca="1">VLOOKUP(B359,[1]Total!$B:$Q,16,0)</f>
        <v>603.81.004 Gastos de Oficina</v>
      </c>
      <c r="M359">
        <f t="shared" ca="1" si="11"/>
        <v>495</v>
      </c>
      <c r="N359" t="str">
        <f t="shared" ca="1" si="12"/>
        <v xml:space="preserve">Fernando Villalobos Lara PASTELERIA LOS TULIPAN CIUDAD DE MEX MEX Pasteleria Los Tulipan Ciudad De Mex Mex Office expenses Pastel 4 años Prima 0 </v>
      </c>
    </row>
    <row r="360" spans="1:14">
      <c r="A360" t="str">
        <f ca="1"/>
        <v>TRX1065</v>
      </c>
      <c r="B360" t="str">
        <f ca="1"/>
        <v>#28</v>
      </c>
      <c r="C360">
        <f ca="1"/>
        <v>46075.416666666599</v>
      </c>
      <c r="D360">
        <f ca="1"/>
        <v>600</v>
      </c>
      <c r="E360" t="str">
        <f ca="1"/>
        <v>MXN</v>
      </c>
      <c r="F360" t="str">
        <f ca="1"/>
        <v>Fernando Villalobos Lara</v>
      </c>
      <c r="G360" t="str">
        <f ca="1"/>
        <v>RECARGA PASE TUTAG     CIUDAD DE MEX MEX</v>
      </c>
      <c r="H360" t="str">
        <f ca="1"/>
        <v>Recarga Pase Tutag Ciudad De Mex Mex</v>
      </c>
      <c r="I360" t="str">
        <f ca="1"/>
        <v>Transaction cost</v>
      </c>
      <c r="J360" t="str">
        <f ca="1"/>
        <v>PO 1777 - Visita Proveedor</v>
      </c>
      <c r="K360" t="str">
        <f ca="1"/>
        <v>B57D0045-67CE-48A3-AA50-FE746732BB12</v>
      </c>
      <c r="L360" t="str">
        <f ca="1">VLOOKUP(B360,[1]Total!$B:$Q,16,0)</f>
        <v>603.81.004 Gastos de Oficina</v>
      </c>
      <c r="M360">
        <f t="shared" ca="1" si="11"/>
        <v>600</v>
      </c>
      <c r="N360" t="str">
        <f t="shared" ca="1" si="12"/>
        <v xml:space="preserve">Fernando Villalobos Lara RECARGA PASE TUTAG     CIUDAD DE MEX MEX Recarga Pase Tutag Ciudad De Mex Mex Transaction cost PO 1777 - Visita Proveedor B57D0045-67CE-48A3-AA50-FE746732BB12 </v>
      </c>
    </row>
    <row r="361" spans="1:14">
      <c r="A361" t="str">
        <f ca="1"/>
        <v>TRX1284</v>
      </c>
      <c r="B361" t="str">
        <f ca="1"/>
        <v>#28</v>
      </c>
      <c r="C361">
        <f ca="1"/>
        <v>46081.417361111096</v>
      </c>
      <c r="D361">
        <f ca="1"/>
        <v>359.78</v>
      </c>
      <c r="E361" t="str">
        <f ca="1"/>
        <v>USD</v>
      </c>
      <c r="F361" t="str">
        <f ca="1"/>
        <v>Fernando Villalobos Lara</v>
      </c>
      <c r="G361" t="str">
        <f ca="1"/>
        <v>CLAUDE.AI SUBSCRIPTION SAN FRANCISCO USA</v>
      </c>
      <c r="H361" t="str">
        <f ca="1"/>
        <v>Claude.ai</v>
      </c>
      <c r="I361" t="str">
        <f ca="1"/>
        <v>Tech&amp;Product</v>
      </c>
      <c r="J361" t="str">
        <f ca="1"/>
        <v>Pruba CLAUDE</v>
      </c>
      <c r="K361">
        <f ca="1"/>
        <v>0</v>
      </c>
      <c r="L361" t="str">
        <f ca="1">VLOOKUP(B361,[1]Total!$B:$Q,16,0)</f>
        <v>603.81.004 Gastos de Oficina</v>
      </c>
      <c r="M361">
        <f t="shared" ca="1" si="11"/>
        <v>359.78</v>
      </c>
      <c r="N361" t="str">
        <f t="shared" ca="1" si="12"/>
        <v xml:space="preserve">Fernando Villalobos Lara CLAUDE.AI SUBSCRIPTION SAN FRANCISCO USA Claude.ai Tech&amp;Product Pruba CLAUDE 0 </v>
      </c>
    </row>
    <row r="362" spans="1:14">
      <c r="A362" t="str">
        <f ca="1"/>
        <v>TRX1270</v>
      </c>
      <c r="B362" t="str">
        <f ca="1"/>
        <v>#30</v>
      </c>
      <c r="C362">
        <f ca="1"/>
        <v>46057.416666666599</v>
      </c>
      <c r="D362">
        <f ca="1"/>
        <v>907.88</v>
      </c>
      <c r="E362" t="str">
        <f ca="1"/>
        <v>USD</v>
      </c>
      <c r="F362" t="str">
        <f ca="1"/>
        <v>Manuel Ibarra Cebreros</v>
      </c>
      <c r="G362" t="str">
        <f ca="1"/>
        <v>SONESTA SIMPLY SUITES  LAS VEGAS     USA</v>
      </c>
      <c r="H362" t="str">
        <f ca="1"/>
        <v>Simply Vegas Real Estate</v>
      </c>
      <c r="I362" t="str">
        <f ca="1"/>
        <v>Sales</v>
      </c>
      <c r="J362" t="str">
        <f ca="1"/>
        <v>Expo AHR Las Vegas</v>
      </c>
      <c r="K362">
        <f ca="1"/>
        <v>0</v>
      </c>
      <c r="L362" t="str">
        <f ca="1">VLOOKUP(B362,[1]Total!$B:$Q,16,0)</f>
        <v>603.81.006 Gastos Administativos de venta</v>
      </c>
      <c r="M362">
        <f t="shared" ca="1" si="11"/>
        <v>907.88</v>
      </c>
      <c r="N362" t="str">
        <f t="shared" ca="1" si="12"/>
        <v xml:space="preserve">Manuel Ibarra Cebreros SONESTA SIMPLY SUITES  LAS VEGAS     USA Simply Vegas Real Estate Sales Expo AHR Las Vegas 0 </v>
      </c>
    </row>
    <row r="363" spans="1:14">
      <c r="A363" t="str">
        <f ca="1"/>
        <v>TRX1723</v>
      </c>
      <c r="B363" t="str">
        <f ca="1"/>
        <v>#30</v>
      </c>
      <c r="C363">
        <f ca="1"/>
        <v>46059.417361111096</v>
      </c>
      <c r="D363">
        <f ca="1"/>
        <v>187.02</v>
      </c>
      <c r="E363" t="str">
        <f ca="1"/>
        <v>USD</v>
      </c>
      <c r="F363" t="str">
        <f ca="1"/>
        <v>Manuel Ibarra Cebreros</v>
      </c>
      <c r="G363" t="str">
        <f ca="1"/>
        <v>LAS VEGAS CONVENTION C LAS VEGAS     USA</v>
      </c>
      <c r="H363" t="str">
        <f ca="1"/>
        <v>Las Vegas Convention C Las Vegas USA</v>
      </c>
      <c r="I363" t="str">
        <f ca="1"/>
        <v>Sales</v>
      </c>
      <c r="J363" t="str">
        <f ca="1"/>
        <v>Expo AHR Las Vegas</v>
      </c>
      <c r="K363">
        <f ca="1"/>
        <v>0</v>
      </c>
      <c r="L363" t="str">
        <f ca="1">VLOOKUP(B363,[1]Total!$B:$Q,16,0)</f>
        <v>603.81.006 Gastos Administativos de venta</v>
      </c>
      <c r="M363">
        <f t="shared" ca="1" si="11"/>
        <v>187.02</v>
      </c>
      <c r="N363" t="str">
        <f t="shared" ca="1" si="12"/>
        <v xml:space="preserve">Manuel Ibarra Cebreros LAS VEGAS CONVENTION C LAS VEGAS     USA Las Vegas Convention C Las Vegas USA Sales Expo AHR Las Vegas 0 </v>
      </c>
    </row>
    <row r="364" spans="1:14">
      <c r="A364" t="str">
        <f ca="1"/>
        <v>TRX1719</v>
      </c>
      <c r="B364" t="str">
        <f ca="1"/>
        <v>#30</v>
      </c>
      <c r="C364">
        <f ca="1"/>
        <v>46060.417361111096</v>
      </c>
      <c r="D364">
        <f ca="1"/>
        <v>1255.06</v>
      </c>
      <c r="E364" t="str">
        <f ca="1"/>
        <v>USD</v>
      </c>
      <c r="F364" t="str">
        <f ca="1"/>
        <v>Manuel Ibarra Cebreros</v>
      </c>
      <c r="G364" t="str">
        <f ca="1"/>
        <v>DENNY'S #9686          Las Vegas     USA</v>
      </c>
      <c r="H364" t="str">
        <f ca="1"/>
        <v>Dennys</v>
      </c>
      <c r="I364" t="str">
        <f ca="1"/>
        <v>Sales</v>
      </c>
      <c r="J364" t="str">
        <f ca="1"/>
        <v>Expo AHR Las Vegas</v>
      </c>
      <c r="K364">
        <f ca="1"/>
        <v>0</v>
      </c>
      <c r="L364" t="str">
        <f ca="1">VLOOKUP(B364,[1]Total!$B:$Q,16,0)</f>
        <v>603.81.006 Gastos Administativos de venta</v>
      </c>
      <c r="M364">
        <f t="shared" ca="1" si="11"/>
        <v>1255.06</v>
      </c>
      <c r="N364" t="str">
        <f t="shared" ca="1" si="12"/>
        <v xml:space="preserve">Manuel Ibarra Cebreros DENNY'S #9686          Las Vegas     USA Dennys Sales Expo AHR Las Vegas 0 </v>
      </c>
    </row>
    <row r="365" spans="1:14">
      <c r="A365" t="str">
        <f ca="1"/>
        <v>TRX1568</v>
      </c>
      <c r="B365" t="str">
        <f ca="1"/>
        <v>#30</v>
      </c>
      <c r="C365">
        <f ca="1"/>
        <v>46060.417361111096</v>
      </c>
      <c r="D365">
        <f ca="1"/>
        <v>866.55</v>
      </c>
      <c r="E365" t="str">
        <f ca="1"/>
        <v>USD</v>
      </c>
      <c r="F365" t="str">
        <f ca="1"/>
        <v>Manuel Ibarra Cebreros</v>
      </c>
      <c r="G365" t="str">
        <f ca="1"/>
        <v>20260204T00:00:00/SONESTA SIMPLY SUITES\4034 PARADISE RD\LAS VEGAS    \89169     NV USA</v>
      </c>
      <c r="H365" t="str">
        <f ca="1"/>
        <v>Simply Vegas Real Estate</v>
      </c>
      <c r="I365" t="str">
        <f ca="1"/>
        <v>Sales</v>
      </c>
      <c r="J365" t="str">
        <f ca="1"/>
        <v>Expo AHR Las Vegas</v>
      </c>
      <c r="K365">
        <f ca="1"/>
        <v>0</v>
      </c>
      <c r="L365" t="str">
        <f ca="1">VLOOKUP(B365,[1]Total!$B:$Q,16,0)</f>
        <v>603.81.006 Gastos Administativos de venta</v>
      </c>
      <c r="M365">
        <f t="shared" ca="1" si="11"/>
        <v>866.55</v>
      </c>
      <c r="N365" t="str">
        <f t="shared" ca="1" si="12"/>
        <v xml:space="preserve">Manuel Ibarra Cebreros 20260204T00:00:00/SONESTA SIMPLY SUITES\4034 PARADISE RD\LAS VEGAS    \89169     NV USA Simply Vegas Real Estate Sales Expo AHR Las Vegas 0 </v>
      </c>
    </row>
    <row r="366" spans="1:14">
      <c r="A366" t="str">
        <f ca="1"/>
        <v>TRX1077</v>
      </c>
      <c r="B366" t="str">
        <f ca="1"/>
        <v>#30</v>
      </c>
      <c r="C366">
        <f ca="1"/>
        <v>46065.416666666599</v>
      </c>
      <c r="D366">
        <f ca="1"/>
        <v>300</v>
      </c>
      <c r="E366" t="str">
        <f ca="1"/>
        <v>MXN</v>
      </c>
      <c r="F366" t="str">
        <f ca="1"/>
        <v>Manuel Ibarra Cebreros</v>
      </c>
      <c r="G366" t="str">
        <f ca="1"/>
        <v>RECARGA PASE TUTAG     CIUDAD DE MEX MEX</v>
      </c>
      <c r="H366" t="str">
        <f ca="1"/>
        <v>Recarga Pase Tutag Ciudad De Mex Mex</v>
      </c>
      <c r="I366" t="str">
        <f ca="1"/>
        <v>Transaction cost</v>
      </c>
      <c r="J366" t="str">
        <f ca="1"/>
        <v>PO 2230 - Visita IMESA</v>
      </c>
      <c r="K366">
        <f ca="1"/>
        <v>0</v>
      </c>
      <c r="L366" t="str">
        <f ca="1">VLOOKUP(B366,[1]Total!$B:$Q,16,0)</f>
        <v>603.81.006 Gastos Administativos de venta</v>
      </c>
      <c r="M366">
        <f t="shared" ca="1" si="11"/>
        <v>300</v>
      </c>
      <c r="N366" t="str">
        <f t="shared" ca="1" si="12"/>
        <v xml:space="preserve">Manuel Ibarra Cebreros RECARGA PASE TUTAG     CIUDAD DE MEX MEX Recarga Pase Tutag Ciudad De Mex Mex Transaction cost PO 2230 - Visita IMESA 0 </v>
      </c>
    </row>
    <row r="367" spans="1:14">
      <c r="A367" t="str">
        <f ca="1"/>
        <v>TRX1659</v>
      </c>
      <c r="B367" t="str">
        <f ca="1"/>
        <v>#30</v>
      </c>
      <c r="C367">
        <f ca="1"/>
        <v>46065.417361111096</v>
      </c>
      <c r="D367">
        <f ca="1"/>
        <v>500</v>
      </c>
      <c r="E367" t="str">
        <f ca="1"/>
        <v>MXN</v>
      </c>
      <c r="F367" t="str">
        <f ca="1"/>
        <v>Manuel Ibarra Cebreros</v>
      </c>
      <c r="G367" t="str">
        <f ca="1"/>
        <v>PMX*GAS PALACIO ATIZPN ATIZAPAN DE Z MEX</v>
      </c>
      <c r="H367" t="str">
        <f ca="1"/>
        <v>Pmx Gas Palacio Atizpn Atizapan De Z Mex</v>
      </c>
      <c r="I367" t="str">
        <f ca="1"/>
        <v>Transaction cost</v>
      </c>
      <c r="J367" t="str">
        <f ca="1"/>
        <v>PO 2230 - Visita IMESA</v>
      </c>
      <c r="K367">
        <f ca="1"/>
        <v>0</v>
      </c>
      <c r="L367" t="str">
        <f ca="1">VLOOKUP(B367,[1]Total!$B:$Q,16,0)</f>
        <v>603.81.006 Gastos Administativos de venta</v>
      </c>
      <c r="M367">
        <f t="shared" ca="1" si="11"/>
        <v>500</v>
      </c>
      <c r="N367" t="str">
        <f t="shared" ca="1" si="12"/>
        <v xml:space="preserve">Manuel Ibarra Cebreros PMX*GAS PALACIO ATIZPN ATIZAPAN DE Z MEX Pmx Gas Palacio Atizpn Atizapan De Z Mex Transaction cost PO 2230 - Visita IMESA 0 </v>
      </c>
    </row>
    <row r="368" spans="1:14">
      <c r="A368" t="str">
        <f ca="1"/>
        <v>TRX1713</v>
      </c>
      <c r="B368" t="str">
        <f ca="1"/>
        <v>#30</v>
      </c>
      <c r="C368">
        <f ca="1"/>
        <v>46066.416666666599</v>
      </c>
      <c r="D368">
        <f ca="1"/>
        <v>165.6</v>
      </c>
      <c r="E368" t="str">
        <f ca="1"/>
        <v>MXN</v>
      </c>
      <c r="F368" t="str">
        <f ca="1"/>
        <v>Manuel Ibarra Cebreros</v>
      </c>
      <c r="G368" t="str">
        <f ca="1"/>
        <v>OFFICE DEPOT PATRIOTIS CIUDAD DE MEX MEX</v>
      </c>
      <c r="H368" t="str">
        <f ca="1"/>
        <v>Office Depot</v>
      </c>
      <c r="I368" t="str">
        <f ca="1"/>
        <v>Sales</v>
      </c>
      <c r="J368" t="str">
        <f ca="1"/>
        <v>Visita posible cliente Wilo QRO</v>
      </c>
      <c r="K368">
        <f ca="1"/>
        <v>0</v>
      </c>
      <c r="L368" t="str">
        <f ca="1">VLOOKUP(B368,[1]Total!$B:$Q,16,0)</f>
        <v>603.81.006 Gastos Administativos de venta</v>
      </c>
      <c r="M368">
        <f t="shared" ca="1" si="11"/>
        <v>165.6</v>
      </c>
      <c r="N368" t="str">
        <f t="shared" ca="1" si="12"/>
        <v xml:space="preserve">Manuel Ibarra Cebreros OFFICE DEPOT PATRIOTIS CIUDAD DE MEX MEX Office Depot Sales Visita posible cliente Wilo QRO 0 </v>
      </c>
    </row>
    <row r="369" spans="1:14">
      <c r="A369" t="str">
        <f ca="1"/>
        <v>TRX1182</v>
      </c>
      <c r="B369" t="str">
        <f ca="1"/>
        <v>#30</v>
      </c>
      <c r="C369">
        <f ca="1"/>
        <v>46079.416666666599</v>
      </c>
      <c r="D369">
        <f ca="1"/>
        <v>300</v>
      </c>
      <c r="E369" t="str">
        <f ca="1"/>
        <v>MXN</v>
      </c>
      <c r="F369" t="str">
        <f ca="1"/>
        <v>Manuel Ibarra Cebreros</v>
      </c>
      <c r="G369" t="str">
        <f ca="1"/>
        <v>RECARGA PASE TUTAG     CIUDAD DE MEX MEX</v>
      </c>
      <c r="H369" t="str">
        <f ca="1"/>
        <v>Recarga Pase Tutag Ciudad De Mex Mex</v>
      </c>
      <c r="I369" t="str">
        <f ca="1"/>
        <v>Transaction cost</v>
      </c>
      <c r="J369" t="str">
        <f ca="1"/>
        <v>PO 2041 - Visita IMESA</v>
      </c>
      <c r="K369">
        <f ca="1"/>
        <v>0</v>
      </c>
      <c r="L369" t="str">
        <f ca="1">VLOOKUP(B369,[1]Total!$B:$Q,16,0)</f>
        <v>603.81.006 Gastos Administativos de venta</v>
      </c>
      <c r="M369">
        <f t="shared" ca="1" si="11"/>
        <v>300</v>
      </c>
      <c r="N369" t="str">
        <f t="shared" ca="1" si="12"/>
        <v xml:space="preserve">Manuel Ibarra Cebreros RECARGA PASE TUTAG     CIUDAD DE MEX MEX Recarga Pase Tutag Ciudad De Mex Mex Transaction cost PO 2041 - Visita IMESA 0 </v>
      </c>
    </row>
    <row r="370" spans="1:14">
      <c r="A370" t="str">
        <f ca="1"/>
        <v>TRX1171</v>
      </c>
      <c r="B370" t="str">
        <f ca="1"/>
        <v>#31</v>
      </c>
      <c r="C370">
        <f ca="1"/>
        <v>46059.416666666599</v>
      </c>
      <c r="D370">
        <f ca="1"/>
        <v>61.2</v>
      </c>
      <c r="E370" t="str">
        <f ca="1"/>
        <v>MXN</v>
      </c>
      <c r="F370" t="str">
        <f ca="1"/>
        <v>Emiliano Cavazos</v>
      </c>
      <c r="G370" t="str">
        <f ca="1"/>
        <v>REA AUTOPISTA GPE      CADEREYTA JIM MEX</v>
      </c>
      <c r="H370" t="str">
        <f ca="1"/>
        <v>Rea Autopista Gpe Cadereyta Jim Mex</v>
      </c>
      <c r="I370" t="str">
        <f ca="1"/>
        <v>Office expenses</v>
      </c>
      <c r="J370" t="str">
        <f ca="1"/>
        <v>All Hands Enero - Pizzas y Cocas</v>
      </c>
      <c r="K370">
        <f ca="1"/>
        <v>0</v>
      </c>
      <c r="L370" t="str">
        <f ca="1">VLOOKUP(B370,[1]Total!$B:$Q,16,0)</f>
        <v>173.01.002 Gastos por inspecciones de calidad</v>
      </c>
      <c r="M370">
        <f t="shared" ca="1" si="11"/>
        <v>61.2</v>
      </c>
      <c r="N370" t="str">
        <f t="shared" ca="1" si="12"/>
        <v xml:space="preserve">Emiliano Cavazos REA AUTOPISTA GPE      CADEREYTA JIM MEX Rea Autopista Gpe Cadereyta Jim Mex Office expenses All Hands Enero - Pizzas y Cocas 0 </v>
      </c>
    </row>
    <row r="371" spans="1:14">
      <c r="A371" t="str">
        <f ca="1"/>
        <v>TRX1972</v>
      </c>
      <c r="B371" t="str">
        <f ca="1"/>
        <v>#31</v>
      </c>
      <c r="C371">
        <f ca="1"/>
        <v>46059.417361111096</v>
      </c>
      <c r="D371">
        <f ca="1"/>
        <v>61.2</v>
      </c>
      <c r="E371" t="str">
        <f ca="1"/>
        <v>MXN</v>
      </c>
      <c r="F371" t="str">
        <f ca="1"/>
        <v>Emiliano Cavazos</v>
      </c>
      <c r="G371" t="str">
        <f ca="1"/>
        <v>REA AUTOPISTA GPE      CADEREYTA JIM MEX</v>
      </c>
      <c r="H371" t="str">
        <f ca="1"/>
        <v>Rea Autopista Gpe Cadereyta Jim Mex</v>
      </c>
      <c r="I371" t="str">
        <f ca="1"/>
        <v>Transaction cost</v>
      </c>
      <c r="J371" t="str">
        <f ca="1"/>
        <v>PO: 1242 - Gas visita a MP</v>
      </c>
      <c r="K371">
        <f ca="1"/>
        <v>0</v>
      </c>
      <c r="L371" t="str">
        <f ca="1">VLOOKUP(B371,[1]Total!$B:$Q,16,0)</f>
        <v>173.01.002 Gastos por inspecciones de calidad</v>
      </c>
      <c r="M371">
        <f t="shared" ca="1" si="11"/>
        <v>61.2</v>
      </c>
      <c r="N371" t="str">
        <f t="shared" ca="1" si="12"/>
        <v xml:space="preserve">Emiliano Cavazos REA AUTOPISTA GPE      CADEREYTA JIM MEX Rea Autopista Gpe Cadereyta Jim Mex Transaction cost PO: 1242 - Gas visita a MP 0 </v>
      </c>
    </row>
    <row r="372" spans="1:14">
      <c r="A372" t="str">
        <f ca="1"/>
        <v>TRX1923</v>
      </c>
      <c r="B372" t="str">
        <f ca="1"/>
        <v>#31</v>
      </c>
      <c r="C372">
        <f ca="1"/>
        <v>46060.417361111096</v>
      </c>
      <c r="D372">
        <f ca="1"/>
        <v>358.67</v>
      </c>
      <c r="E372" t="str">
        <f ca="1"/>
        <v>MXN</v>
      </c>
      <c r="F372" t="str">
        <f ca="1"/>
        <v>Emiliano Cavazos</v>
      </c>
      <c r="G372" t="str">
        <f ca="1"/>
        <v>PETRO7 GAS CORTIJO DEL MONTERREY NL  MEX</v>
      </c>
      <c r="H372" t="str">
        <f ca="1"/>
        <v>Petro7 Gas Cortijo Del Monterrey Nl Mex</v>
      </c>
      <c r="I372" t="str">
        <f ca="1"/>
        <v>Transaction cost</v>
      </c>
      <c r="J372" t="str">
        <f ca="1"/>
        <v>RFQ 3416 : Visita a Cliente Viva Aerobus</v>
      </c>
      <c r="K372">
        <f ca="1"/>
        <v>0</v>
      </c>
      <c r="L372" t="str">
        <f ca="1">VLOOKUP(B372,[1]Total!$B:$Q,16,0)</f>
        <v>173.01.002 Gastos por inspecciones de calidad</v>
      </c>
      <c r="M372">
        <f t="shared" ca="1" si="11"/>
        <v>358.67</v>
      </c>
      <c r="N372" t="str">
        <f t="shared" ca="1" si="12"/>
        <v xml:space="preserve">Emiliano Cavazos PETRO7 GAS CORTIJO DEL MONTERREY NL  MEX Petro7 Gas Cortijo Del Monterrey Nl Mex Transaction cost RFQ 3416 : Visita a Cliente Viva Aerobus 0 </v>
      </c>
    </row>
    <row r="373" spans="1:14">
      <c r="A373" t="str">
        <f ca="1"/>
        <v>TRX1736</v>
      </c>
      <c r="B373" t="str">
        <f ca="1"/>
        <v>#31</v>
      </c>
      <c r="C373">
        <f ca="1"/>
        <v>46064.416666666599</v>
      </c>
      <c r="D373">
        <f ca="1"/>
        <v>249.95</v>
      </c>
      <c r="E373" t="str">
        <f ca="1"/>
        <v>MXN</v>
      </c>
      <c r="F373" t="str">
        <f ca="1"/>
        <v>Emiliano Cavazos</v>
      </c>
      <c r="G373" t="str">
        <f ca="1"/>
        <v>UBER * PENDING         CMX           MEX</v>
      </c>
      <c r="H373" t="str">
        <f ca="1"/>
        <v>Uber</v>
      </c>
      <c r="I373" t="str">
        <f ca="1"/>
        <v>Transaction cost</v>
      </c>
      <c r="J373" t="str">
        <f ca="1"/>
        <v>RFQ 3416 : Visita a Cliente Viva Aerobus</v>
      </c>
      <c r="K373">
        <f ca="1"/>
        <v>0</v>
      </c>
      <c r="L373" t="str">
        <f ca="1">VLOOKUP(B373,[1]Total!$B:$Q,16,0)</f>
        <v>173.01.002 Gastos por inspecciones de calidad</v>
      </c>
      <c r="M373">
        <f t="shared" ca="1" si="11"/>
        <v>249.95</v>
      </c>
      <c r="N373" t="str">
        <f t="shared" ca="1" si="12"/>
        <v xml:space="preserve">Emiliano Cavazos UBER * PENDING         CMX           MEX Uber Transaction cost RFQ 3416 : Visita a Cliente Viva Aerobus 0 </v>
      </c>
    </row>
    <row r="374" spans="1:14">
      <c r="A374" t="str">
        <f ca="1"/>
        <v>TRX1212</v>
      </c>
      <c r="B374" t="str">
        <f ca="1"/>
        <v>#34</v>
      </c>
      <c r="C374">
        <f ca="1"/>
        <v>46058.417361111096</v>
      </c>
      <c r="D374">
        <f ca="1"/>
        <v>661.25</v>
      </c>
      <c r="E374" t="str">
        <f ca="1"/>
        <v>MXN</v>
      </c>
      <c r="F374" t="str">
        <f ca="1"/>
        <v>Juan Pablo Ramos Aranda</v>
      </c>
      <c r="G374" t="str">
        <f ca="1"/>
        <v>COME REST              MEXICO DF     MEX</v>
      </c>
      <c r="H374" t="str">
        <f ca="1"/>
        <v>Come Rest Mexico Df Mex</v>
      </c>
      <c r="I374" t="str">
        <f ca="1"/>
        <v/>
      </c>
      <c r="J374">
        <f ca="1"/>
        <v>0</v>
      </c>
      <c r="K374" t="str">
        <f ca="1"/>
        <v>.</v>
      </c>
      <c r="L374" t="str">
        <f ca="1">VLOOKUP(B374,[1]Total!$B:$Q,16,0)</f>
        <v>603.81.002 Gastos corporativos ND</v>
      </c>
      <c r="M374">
        <f t="shared" ca="1" si="11"/>
        <v>661.25</v>
      </c>
      <c r="N374" t="str">
        <f t="shared" ca="1" si="12"/>
        <v xml:space="preserve">Juan Pablo Ramos Aranda COME REST              MEXICO DF     MEX Come Rest Mexico Df Mex  0 . </v>
      </c>
    </row>
    <row r="375" spans="1:14">
      <c r="A375" t="str">
        <f ca="1"/>
        <v>TRX1937</v>
      </c>
      <c r="B375" t="str">
        <f ca="1"/>
        <v>#34</v>
      </c>
      <c r="C375">
        <f ca="1"/>
        <v>46060.416666666599</v>
      </c>
      <c r="D375">
        <f ca="1"/>
        <v>466.07</v>
      </c>
      <c r="E375" t="str">
        <f ca="1"/>
        <v>MXN</v>
      </c>
      <c r="F375" t="str">
        <f ca="1"/>
        <v>Juan Pablo Ramos Aranda</v>
      </c>
      <c r="G375" t="str">
        <f ca="1"/>
        <v>UBER * EATS PENDING    CMX           MEX</v>
      </c>
      <c r="H375" t="str">
        <f ca="1"/>
        <v>Uber Eats</v>
      </c>
      <c r="I375">
        <f ca="1"/>
        <v>0</v>
      </c>
      <c r="J375">
        <f ca="1"/>
        <v>0</v>
      </c>
      <c r="K375" t="str">
        <f ca="1"/>
        <v>.</v>
      </c>
      <c r="L375" t="str">
        <f ca="1">VLOOKUP(B375,[1]Total!$B:$Q,16,0)</f>
        <v>603.81.002 Gastos corporativos ND</v>
      </c>
      <c r="M375">
        <f t="shared" ca="1" si="11"/>
        <v>466.07</v>
      </c>
      <c r="N375" t="str">
        <f t="shared" ca="1" si="12"/>
        <v xml:space="preserve">Juan Pablo Ramos Aranda UBER * EATS PENDING    CMX           MEX Uber Eats 0 0 . </v>
      </c>
    </row>
    <row r="376" spans="1:14">
      <c r="A376" t="str">
        <f ca="1"/>
        <v>TRX1455</v>
      </c>
      <c r="B376" t="str">
        <f ca="1"/>
        <v>#34</v>
      </c>
      <c r="C376">
        <f ca="1"/>
        <v>46064.416666666599</v>
      </c>
      <c r="D376">
        <f ca="1"/>
        <v>519.79999999999995</v>
      </c>
      <c r="E376" t="str">
        <f ca="1"/>
        <v>MXN</v>
      </c>
      <c r="F376" t="str">
        <f ca="1"/>
        <v>Juan Pablo Ramos Aranda</v>
      </c>
      <c r="G376" t="str">
        <f ca="1"/>
        <v>PARIS 16 BISTRO        CIUDAD DE MEX MEX</v>
      </c>
      <c r="H376" t="str">
        <f ca="1"/>
        <v>Paris Bistro</v>
      </c>
      <c r="I376">
        <f ca="1"/>
        <v>0</v>
      </c>
      <c r="J376">
        <f ca="1"/>
        <v>0</v>
      </c>
      <c r="K376" t="str">
        <f ca="1"/>
        <v>.</v>
      </c>
      <c r="L376" t="str">
        <f ca="1">VLOOKUP(B376,[1]Total!$B:$Q,16,0)</f>
        <v>603.81.002 Gastos corporativos ND</v>
      </c>
      <c r="M376">
        <f t="shared" ca="1" si="11"/>
        <v>519.79999999999995</v>
      </c>
      <c r="N376" t="str">
        <f t="shared" ca="1" si="12"/>
        <v xml:space="preserve">Juan Pablo Ramos Aranda PARIS 16 BISTRO        CIUDAD DE MEX MEX Paris Bistro 0 0 . </v>
      </c>
    </row>
    <row r="377" spans="1:14">
      <c r="A377" t="str">
        <f ca="1"/>
        <v>TRX1653</v>
      </c>
      <c r="B377" t="str">
        <f ca="1"/>
        <v>#34</v>
      </c>
      <c r="C377">
        <f ca="1"/>
        <v>46072.416666666599</v>
      </c>
      <c r="D377">
        <f ca="1"/>
        <v>1020</v>
      </c>
      <c r="E377" t="str">
        <f ca="1"/>
        <v>MXN</v>
      </c>
      <c r="F377" t="str">
        <f ca="1"/>
        <v>Juan Pablo Ramos Aranda</v>
      </c>
      <c r="G377" t="str">
        <f ca="1"/>
        <v>REST LA ONDA           CIUDAD DE MEX MEX</v>
      </c>
      <c r="H377" t="str">
        <f ca="1"/>
        <v>Rest La Onda Ciudad De Mex Mex</v>
      </c>
      <c r="I377">
        <f ca="1"/>
        <v>0</v>
      </c>
      <c r="J377">
        <f ca="1"/>
        <v>0</v>
      </c>
      <c r="K377" t="str">
        <f ca="1"/>
        <v>.</v>
      </c>
      <c r="L377" t="str">
        <f ca="1">VLOOKUP(B377,[1]Total!$B:$Q,16,0)</f>
        <v>603.81.002 Gastos corporativos ND</v>
      </c>
      <c r="M377">
        <f t="shared" ca="1" si="11"/>
        <v>1020</v>
      </c>
      <c r="N377" t="str">
        <f t="shared" ca="1" si="12"/>
        <v xml:space="preserve">Juan Pablo Ramos Aranda REST LA ONDA           CIUDAD DE MEX MEX Rest La Onda Ciudad De Mex Mex 0 0 . </v>
      </c>
    </row>
    <row r="378" spans="1:14">
      <c r="A378" t="str">
        <f ca="1"/>
        <v>TRX1026</v>
      </c>
      <c r="B378" t="str">
        <f ca="1"/>
        <v>#34</v>
      </c>
      <c r="C378">
        <f ca="1"/>
        <v>46074.417361111096</v>
      </c>
      <c r="D378">
        <f ca="1"/>
        <v>309.98</v>
      </c>
      <c r="E378" t="str">
        <f ca="1"/>
        <v>MXN</v>
      </c>
      <c r="F378" t="str">
        <f ca="1"/>
        <v>Juan Pablo Ramos Aranda</v>
      </c>
      <c r="G378" t="str">
        <f ca="1"/>
        <v>UBER * PENDING         CMX           MEX</v>
      </c>
      <c r="H378" t="str">
        <f ca="1"/>
        <v>Uber</v>
      </c>
      <c r="I378">
        <f ca="1"/>
        <v>0</v>
      </c>
      <c r="J378">
        <f ca="1"/>
        <v>0</v>
      </c>
      <c r="K378" t="str">
        <f ca="1"/>
        <v>.</v>
      </c>
      <c r="L378" t="str">
        <f ca="1">VLOOKUP(B378,[1]Total!$B:$Q,16,0)</f>
        <v>603.81.002 Gastos corporativos ND</v>
      </c>
      <c r="M378">
        <f t="shared" ca="1" si="11"/>
        <v>309.98</v>
      </c>
      <c r="N378" t="str">
        <f t="shared" ca="1" si="12"/>
        <v xml:space="preserve">Juan Pablo Ramos Aranda UBER * PENDING         CMX           MEX Uber 0 0 . </v>
      </c>
    </row>
    <row r="379" spans="1:14">
      <c r="A379" t="str">
        <f ca="1"/>
        <v>TRX1105</v>
      </c>
      <c r="B379" t="str">
        <f ca="1"/>
        <v>#34</v>
      </c>
      <c r="C379">
        <f ca="1"/>
        <v>46076.416666666599</v>
      </c>
      <c r="D379">
        <f ca="1"/>
        <v>777.13</v>
      </c>
      <c r="E379" t="str">
        <f ca="1"/>
        <v>USD</v>
      </c>
      <c r="F379" t="str">
        <f ca="1"/>
        <v>Juan Pablo Ramos Aranda</v>
      </c>
      <c r="G379" t="str">
        <f ca="1"/>
        <v>UBER   * PENDING       SAN FRANCISCO USA</v>
      </c>
      <c r="H379" t="str">
        <f ca="1"/>
        <v>Uber</v>
      </c>
      <c r="I379">
        <f ca="1"/>
        <v>0</v>
      </c>
      <c r="J379">
        <f ca="1"/>
        <v>0</v>
      </c>
      <c r="K379" t="str">
        <f ca="1"/>
        <v>.</v>
      </c>
      <c r="L379" t="str">
        <f ca="1">VLOOKUP(B379,[1]Total!$B:$Q,16,0)</f>
        <v>603.81.002 Gastos corporativos ND</v>
      </c>
      <c r="M379">
        <f t="shared" ca="1" si="11"/>
        <v>777.13</v>
      </c>
      <c r="N379" t="str">
        <f t="shared" ca="1" si="12"/>
        <v xml:space="preserve">Juan Pablo Ramos Aranda UBER   * PENDING       SAN FRANCISCO USA Uber 0 0 . </v>
      </c>
    </row>
    <row r="380" spans="1:14">
      <c r="A380" t="str">
        <f ca="1"/>
        <v>TRX1283</v>
      </c>
      <c r="B380" t="str">
        <f ca="1"/>
        <v>#35</v>
      </c>
      <c r="C380">
        <f ca="1"/>
        <v>46056.416666666599</v>
      </c>
      <c r="D380">
        <f ca="1"/>
        <v>137.81</v>
      </c>
      <c r="E380" t="str">
        <f ca="1"/>
        <v>USD</v>
      </c>
      <c r="F380" t="str">
        <f ca="1"/>
        <v>Termis</v>
      </c>
      <c r="G380" t="str">
        <f ca="1"/>
        <v>FACEBK *Y8ZJ8FVSH2     DUBLIN 2      IRL</v>
      </c>
      <c r="H380" t="str">
        <f ca="1"/>
        <v>Meta</v>
      </c>
      <c r="I380" t="str">
        <f ca="1"/>
        <v>Tech&amp;Product</v>
      </c>
      <c r="J380" t="str">
        <f ca="1"/>
        <v>API whatsapp</v>
      </c>
      <c r="K380">
        <f ca="1"/>
        <v>0</v>
      </c>
      <c r="L380" t="str">
        <f ca="1">VLOOKUP(B380,[1]Total!$B:$Q,16,0)</f>
        <v>603.81.004 Gastos de Oficina</v>
      </c>
      <c r="M380">
        <f t="shared" ca="1" si="11"/>
        <v>137.81</v>
      </c>
      <c r="N380" t="str">
        <f t="shared" ca="1" si="12"/>
        <v xml:space="preserve">Termis FACEBK *Y8ZJ8FVSH2     DUBLIN 2      IRL Meta Tech&amp;Product API whatsapp 0 </v>
      </c>
    </row>
    <row r="381" spans="1:14">
      <c r="A381" t="str">
        <f ca="1"/>
        <v>TRX1282</v>
      </c>
      <c r="B381" t="str">
        <f ca="1"/>
        <v>#35</v>
      </c>
      <c r="C381">
        <f ca="1"/>
        <v>46056.416666666599</v>
      </c>
      <c r="D381">
        <f ca="1"/>
        <v>790</v>
      </c>
      <c r="E381" t="str">
        <f ca="1"/>
        <v>MXN</v>
      </c>
      <c r="F381" t="str">
        <f ca="1"/>
        <v>Termis</v>
      </c>
      <c r="G381" t="str">
        <f ca="1"/>
        <v>CBA*AUTODESK           COLOGNE       DEU</v>
      </c>
      <c r="H381" t="str">
        <f ca="1"/>
        <v>Autodesk</v>
      </c>
      <c r="I381" t="str">
        <f ca="1"/>
        <v>Tech&amp;Product</v>
      </c>
      <c r="J381" t="str">
        <f ca="1"/>
        <v>Software de Whatsapp para Raw Materials</v>
      </c>
      <c r="K381">
        <f ca="1"/>
        <v>0</v>
      </c>
      <c r="L381" t="str">
        <f ca="1">VLOOKUP(B381,[1]Total!$B:$Q,16,0)</f>
        <v>603.81.004 Gastos de Oficina</v>
      </c>
      <c r="M381">
        <f t="shared" ca="1" si="11"/>
        <v>790</v>
      </c>
      <c r="N381" t="str">
        <f t="shared" ca="1" si="12"/>
        <v xml:space="preserve">Termis CBA*AUTODESK           COLOGNE       DEU Autodesk Tech&amp;Product Software de Whatsapp para Raw Materials 0 </v>
      </c>
    </row>
    <row r="382" spans="1:14">
      <c r="A382" t="str">
        <f ca="1"/>
        <v>TRX1268</v>
      </c>
      <c r="B382" t="str">
        <f ca="1"/>
        <v>#35</v>
      </c>
      <c r="C382">
        <f ca="1"/>
        <v>46057.416666666599</v>
      </c>
      <c r="D382">
        <f ca="1"/>
        <v>635.34</v>
      </c>
      <c r="E382" t="str">
        <f ca="1"/>
        <v>USD</v>
      </c>
      <c r="F382" t="str">
        <f ca="1"/>
        <v>Termis</v>
      </c>
      <c r="G382" t="str">
        <f ca="1"/>
        <v>BLOOMBERG* B38899628   NEW YORK      USA</v>
      </c>
      <c r="H382" t="str">
        <f ca="1"/>
        <v>Bloomberg</v>
      </c>
      <c r="I382" t="str">
        <f ca="1"/>
        <v>Tech&amp;Product</v>
      </c>
      <c r="J382" t="str">
        <f ca="1"/>
        <v>FX rate para loan tape lendable</v>
      </c>
      <c r="K382">
        <f ca="1"/>
        <v>0</v>
      </c>
      <c r="L382" t="str">
        <f ca="1">VLOOKUP(B382,[1]Total!$B:$Q,16,0)</f>
        <v>603.81.004 Gastos de Oficina</v>
      </c>
      <c r="M382">
        <f t="shared" ca="1" si="11"/>
        <v>635.34</v>
      </c>
      <c r="N382" t="str">
        <f t="shared" ca="1" si="12"/>
        <v xml:space="preserve">Termis BLOOMBERG* B38899628   NEW YORK      USA Bloomberg Tech&amp;Product FX rate para loan tape lendable 0 </v>
      </c>
    </row>
    <row r="383" spans="1:14">
      <c r="A383" t="str">
        <f ca="1"/>
        <v>TRX1241</v>
      </c>
      <c r="B383" t="str">
        <f ca="1"/>
        <v>#35</v>
      </c>
      <c r="C383">
        <f ca="1"/>
        <v>46058.416666666599</v>
      </c>
      <c r="D383">
        <f ca="1"/>
        <v>1825.31</v>
      </c>
      <c r="E383" t="str">
        <f ca="1"/>
        <v>MXN</v>
      </c>
      <c r="F383" t="str">
        <f ca="1"/>
        <v>Termis</v>
      </c>
      <c r="G383" t="str">
        <f ca="1"/>
        <v>PAYU   *GOOGLE CLOUD   MIGUEL HIDALG MEX</v>
      </c>
      <c r="H383" t="str">
        <f ca="1"/>
        <v>Google Cloud</v>
      </c>
      <c r="I383" t="str">
        <f ca="1"/>
        <v>Tech&amp;Product</v>
      </c>
      <c r="J383" t="str">
        <f ca="1"/>
        <v>Chatgpt</v>
      </c>
      <c r="K383">
        <f ca="1"/>
        <v>0</v>
      </c>
      <c r="L383" t="str">
        <f ca="1">VLOOKUP(B383,[1]Total!$B:$Q,16,0)</f>
        <v>603.81.004 Gastos de Oficina</v>
      </c>
      <c r="M383">
        <f t="shared" ca="1" si="11"/>
        <v>1825.31</v>
      </c>
      <c r="N383" t="str">
        <f t="shared" ca="1" si="12"/>
        <v xml:space="preserve">Termis PAYU   *GOOGLE CLOUD   MIGUEL HIDALG MEX Google Cloud Tech&amp;Product Chatgpt 0 </v>
      </c>
    </row>
    <row r="384" spans="1:14">
      <c r="A384" t="str">
        <f ca="1"/>
        <v>TRX1438</v>
      </c>
      <c r="B384" t="str">
        <f ca="1"/>
        <v>#35</v>
      </c>
      <c r="C384">
        <f ca="1"/>
        <v>46059.417361111096</v>
      </c>
      <c r="D384">
        <f ca="1"/>
        <v>884.8</v>
      </c>
      <c r="E384" t="str">
        <f ca="1"/>
        <v>USD</v>
      </c>
      <c r="F384" t="str">
        <f ca="1"/>
        <v>Termis</v>
      </c>
      <c r="G384" t="str">
        <f ca="1"/>
        <v>WEBFLOW.COM            SAN FRANCISCO USA</v>
      </c>
      <c r="H384" t="str">
        <f ca="1"/>
        <v>Webflow</v>
      </c>
      <c r="I384">
        <f ca="1"/>
        <v>0</v>
      </c>
      <c r="J384" t="str">
        <f ca="1"/>
        <v>Nos va a caer el reembolso era el starlink que ya regrese</v>
      </c>
      <c r="K384">
        <f ca="1"/>
        <v>0</v>
      </c>
      <c r="L384" t="str">
        <f ca="1">VLOOKUP(B384,[1]Total!$B:$Q,16,0)</f>
        <v>603.81.004 Gastos de Oficina</v>
      </c>
      <c r="M384">
        <f t="shared" ca="1" si="11"/>
        <v>884.8</v>
      </c>
      <c r="N384" t="str">
        <f t="shared" ca="1" si="12"/>
        <v xml:space="preserve">Termis WEBFLOW.COM            SAN FRANCISCO USA Webflow 0 Nos va a caer el reembolso era el starlink que ya regrese 0 </v>
      </c>
    </row>
    <row r="385" spans="1:14">
      <c r="A385" t="str">
        <f ca="1"/>
        <v>TRX1168</v>
      </c>
      <c r="B385" t="str">
        <f ca="1"/>
        <v>#35</v>
      </c>
      <c r="C385">
        <f ca="1"/>
        <v>46065.417361111096</v>
      </c>
      <c r="D385">
        <f ca="1"/>
        <v>362.48</v>
      </c>
      <c r="E385" t="str">
        <f ca="1"/>
        <v>USD</v>
      </c>
      <c r="F385" t="str">
        <f ca="1"/>
        <v>Termis</v>
      </c>
      <c r="G385" t="str">
        <f ca="1"/>
        <v>OPENAI *CHATGPT SUBSCR SAN FRANCISCO USA</v>
      </c>
      <c r="H385" t="str">
        <f ca="1"/>
        <v>Openai</v>
      </c>
      <c r="I385" t="str">
        <f ca="1"/>
        <v>G&amp;A expenses</v>
      </c>
      <c r="J385" t="str">
        <f ca="1"/>
        <v>Hotel domingo a miercoles Karen y Pao</v>
      </c>
      <c r="K385" t="str">
        <f ca="1"/>
        <v>592CDC40-9C48-2046-B214-D7E8287334BB</v>
      </c>
      <c r="L385" t="str">
        <f ca="1">VLOOKUP(B385,[1]Total!$B:$Q,16,0)</f>
        <v>603.81.004 Gastos de Oficina</v>
      </c>
      <c r="M385">
        <f t="shared" ca="1" si="11"/>
        <v>362.48</v>
      </c>
      <c r="N385" t="str">
        <f t="shared" ca="1" si="12"/>
        <v xml:space="preserve">Termis OPENAI *CHATGPT SUBSCR SAN FRANCISCO USA Openai G&amp;A expenses Hotel domingo a miercoles Karen y Pao 592CDC40-9C48-2046-B214-D7E8287334BB </v>
      </c>
    </row>
    <row r="386" spans="1:14">
      <c r="A386" t="str">
        <f ca="1"/>
        <v>TRX1180</v>
      </c>
      <c r="B386" t="str">
        <f ca="1"/>
        <v>#35</v>
      </c>
      <c r="C386">
        <f ca="1"/>
        <v>46072.417361111096</v>
      </c>
      <c r="D386">
        <f ca="1"/>
        <v>1799.93</v>
      </c>
      <c r="E386" t="str">
        <f ca="1"/>
        <v>USD</v>
      </c>
      <c r="F386" t="str">
        <f ca="1"/>
        <v>Termis</v>
      </c>
      <c r="G386" t="str">
        <f ca="1"/>
        <v>CLAUDE.AI SUBSCRIPTION SAN FRANCISCO USA</v>
      </c>
      <c r="H386" t="str">
        <f ca="1"/>
        <v>Claude.ai</v>
      </c>
      <c r="I386" t="str">
        <f ca="1"/>
        <v>Tech&amp;Product</v>
      </c>
      <c r="J386" t="str">
        <f ca="1"/>
        <v>Evento del equipo de tech antes del offsite</v>
      </c>
      <c r="K386">
        <f ca="1"/>
        <v>0</v>
      </c>
      <c r="L386" t="str">
        <f ca="1">VLOOKUP(B386,[1]Total!$B:$Q,16,0)</f>
        <v>603.81.004 Gastos de Oficina</v>
      </c>
      <c r="M386">
        <f t="shared" ca="1" si="11"/>
        <v>1799.93</v>
      </c>
      <c r="N386" t="str">
        <f t="shared" ca="1" si="12"/>
        <v xml:space="preserve">Termis CLAUDE.AI SUBSCRIPTION SAN FRANCISCO USA Claude.ai Tech&amp;Product Evento del equipo de tech antes del offsite 0 </v>
      </c>
    </row>
    <row r="387" spans="1:14">
      <c r="A387" t="str">
        <f ca="1"/>
        <v>TRX1746</v>
      </c>
      <c r="B387" t="str">
        <f ca="1"/>
        <v>#35</v>
      </c>
      <c r="C387">
        <f ca="1"/>
        <v>46073.417361111096</v>
      </c>
      <c r="D387">
        <f ca="1"/>
        <v>4174.74</v>
      </c>
      <c r="E387" t="str">
        <f ca="1"/>
        <v>USD</v>
      </c>
      <c r="F387" t="str">
        <f ca="1"/>
        <v>Termis</v>
      </c>
      <c r="G387" t="str">
        <f ca="1"/>
        <v>FATHOM.VIDEO           SAN FRANCISCO USA</v>
      </c>
      <c r="H387" t="str">
        <f ca="1"/>
        <v>Fathom.video</v>
      </c>
      <c r="I387" t="str">
        <f ca="1"/>
        <v>Office expenses</v>
      </c>
      <c r="J387" t="str">
        <f ca="1"/>
        <v>Gasolina y casetas de visita de devs a Logrand</v>
      </c>
      <c r="K387">
        <f ca="1"/>
        <v>0</v>
      </c>
      <c r="L387" t="str">
        <f ca="1">VLOOKUP(B387,[1]Total!$B:$Q,16,0)</f>
        <v>603.81.004 Gastos de Oficina</v>
      </c>
      <c r="M387">
        <f t="shared" ref="M387:M450" ca="1" si="13">D387</f>
        <v>4174.74</v>
      </c>
      <c r="N387" t="str">
        <f t="shared" ref="N387:N450" ca="1" si="14">CONCATENATE(F387," ",G387," ",H387," ",I387," ",J387," ",K387," ")</f>
        <v xml:space="preserve">Termis FATHOM.VIDEO           SAN FRANCISCO USA Fathom.video Office expenses Gasolina y casetas de visita de devs a Logrand 0 </v>
      </c>
    </row>
    <row r="388" spans="1:14">
      <c r="A388" t="str">
        <f ca="1"/>
        <v>TRX1216</v>
      </c>
      <c r="B388" t="str">
        <f ca="1"/>
        <v>#35</v>
      </c>
      <c r="C388">
        <f ca="1"/>
        <v>46079.417361111096</v>
      </c>
      <c r="D388">
        <f ca="1"/>
        <v>790</v>
      </c>
      <c r="E388" t="str">
        <f ca="1"/>
        <v>MXN</v>
      </c>
      <c r="F388" t="str">
        <f ca="1"/>
        <v>Termis</v>
      </c>
      <c r="G388" t="str">
        <f ca="1"/>
        <v>CBA*AUTODESK           COLOGNE       DEU</v>
      </c>
      <c r="H388" t="str">
        <f ca="1"/>
        <v>Autodesk</v>
      </c>
      <c r="I388" t="str">
        <f ca="1"/>
        <v>G&amp;A expenses</v>
      </c>
      <c r="J388" t="str">
        <f ca="1"/>
        <v>Hotel viernes y sabado Karen y Pao</v>
      </c>
      <c r="K388" t="str">
        <f ca="1"/>
        <v>CB0A79F5-3B96-E342-8F84-7A302E69E034</v>
      </c>
      <c r="L388" t="str">
        <f ca="1">VLOOKUP(B388,[1]Total!$B:$Q,16,0)</f>
        <v>603.81.004 Gastos de Oficina</v>
      </c>
      <c r="M388">
        <f t="shared" ca="1" si="13"/>
        <v>790</v>
      </c>
      <c r="N388" t="str">
        <f t="shared" ca="1" si="14"/>
        <v xml:space="preserve">Termis CBA*AUTODESK           COLOGNE       DEU Autodesk G&amp;A expenses Hotel viernes y sabado Karen y Pao CB0A79F5-3B96-E342-8F84-7A302E69E034 </v>
      </c>
    </row>
    <row r="389" spans="1:14">
      <c r="A389" t="str">
        <f ca="1"/>
        <v>TRX1220</v>
      </c>
      <c r="B389" t="str">
        <f ca="1"/>
        <v>#40</v>
      </c>
      <c r="C389">
        <f ca="1"/>
        <v>46063.416666666599</v>
      </c>
      <c r="D389">
        <f ca="1"/>
        <v>1159.99</v>
      </c>
      <c r="E389" t="str">
        <f ca="1"/>
        <v>MXN</v>
      </c>
      <c r="F389" t="str">
        <f ca="1"/>
        <v>Gabriela Zacarias Aguirre</v>
      </c>
      <c r="G389" t="str">
        <f ca="1"/>
        <v>PPROMEX*LINKEDIN       CIUDAD DE MEX MEX</v>
      </c>
      <c r="H389" t="str">
        <f ca="1"/>
        <v>Linkedin</v>
      </c>
      <c r="I389" t="str">
        <f ca="1"/>
        <v>Sales</v>
      </c>
      <c r="J389">
        <f ca="1"/>
        <v>0</v>
      </c>
      <c r="K389" t="str">
        <f ca="1"/>
        <v>.</v>
      </c>
      <c r="L389" t="str">
        <f ca="1">VLOOKUP(B389,[1]Total!$B:$Q,16,0)</f>
        <v>603.81.006 Gastos Administativos de venta</v>
      </c>
      <c r="M389">
        <f t="shared" ca="1" si="13"/>
        <v>1159.99</v>
      </c>
      <c r="N389" t="str">
        <f t="shared" ca="1" si="14"/>
        <v xml:space="preserve">Gabriela Zacarias Aguirre PPROMEX*LINKEDIN       CIUDAD DE MEX MEX Linkedin Sales 0 . </v>
      </c>
    </row>
    <row r="390" spans="1:14">
      <c r="A390" t="str">
        <f ca="1"/>
        <v>TRX1301</v>
      </c>
      <c r="B390" t="str">
        <f ca="1"/>
        <v>#40</v>
      </c>
      <c r="C390">
        <f ca="1"/>
        <v>46065.416666666599</v>
      </c>
      <c r="D390">
        <f ca="1"/>
        <v>650</v>
      </c>
      <c r="E390" t="str">
        <f ca="1"/>
        <v>MXN</v>
      </c>
      <c r="F390" t="str">
        <f ca="1"/>
        <v>Gabriela Zacarias Aguirre</v>
      </c>
      <c r="G390" t="str">
        <f ca="1"/>
        <v>ZTL*TRANSPORTESEJECUTI MEXICO        MEX</v>
      </c>
      <c r="H390" t="str">
        <f ca="1"/>
        <v>Transportesejecuti Mexico Mex</v>
      </c>
      <c r="I390" t="str">
        <f ca="1"/>
        <v>Sales</v>
      </c>
      <c r="J390" t="str">
        <f ca="1"/>
        <v>Linkedin sales navigator para outreach</v>
      </c>
      <c r="K390" t="str">
        <f ca="1"/>
        <v>.</v>
      </c>
      <c r="L390" t="str">
        <f ca="1">VLOOKUP(B390,[1]Total!$B:$Q,16,0)</f>
        <v>603.81.006 Gastos Administativos de venta</v>
      </c>
      <c r="M390">
        <f t="shared" ca="1" si="13"/>
        <v>650</v>
      </c>
      <c r="N390" t="str">
        <f t="shared" ca="1" si="14"/>
        <v xml:space="preserve">Gabriela Zacarias Aguirre ZTL*TRANSPORTESEJECUTI MEXICO        MEX Transportesejecuti Mexico Mex Sales Linkedin sales navigator para outreach . </v>
      </c>
    </row>
    <row r="391" spans="1:14">
      <c r="A391" t="str">
        <f ca="1"/>
        <v>TRX1299</v>
      </c>
      <c r="B391" t="str">
        <f ca="1"/>
        <v>#40</v>
      </c>
      <c r="C391">
        <f ca="1"/>
        <v>46065.417361111096</v>
      </c>
      <c r="D391">
        <f ca="1"/>
        <v>477</v>
      </c>
      <c r="E391" t="str">
        <f ca="1"/>
        <v>MXN</v>
      </c>
      <c r="F391" t="str">
        <f ca="1"/>
        <v>Gabriela Zacarias Aguirre</v>
      </c>
      <c r="G391" t="str">
        <f ca="1"/>
        <v>REST LOCAL 16          CIUDAD DE MEX MEX</v>
      </c>
      <c r="H391" t="str">
        <f ca="1"/>
        <v>Rest Local 16 Ciudad De Mex Mex</v>
      </c>
      <c r="I391" t="str">
        <f ca="1"/>
        <v>Sales</v>
      </c>
      <c r="J391" t="str">
        <f ca="1"/>
        <v>Chat GPT 4 para canales y marketing</v>
      </c>
      <c r="K391" t="str">
        <f ca="1"/>
        <v>.</v>
      </c>
      <c r="L391" t="str">
        <f ca="1">VLOOKUP(B391,[1]Total!$B:$Q,16,0)</f>
        <v>603.81.006 Gastos Administativos de venta</v>
      </c>
      <c r="M391">
        <f t="shared" ca="1" si="13"/>
        <v>477</v>
      </c>
      <c r="N391" t="str">
        <f t="shared" ca="1" si="14"/>
        <v xml:space="preserve">Gabriela Zacarias Aguirre REST LOCAL 16          CIUDAD DE MEX MEX Rest Local 16 Ciudad De Mex Mex Sales Chat GPT 4 para canales y marketing . </v>
      </c>
    </row>
    <row r="392" spans="1:14">
      <c r="A392" t="str">
        <f ca="1"/>
        <v>TRX1935</v>
      </c>
      <c r="B392" t="str">
        <f ca="1"/>
        <v>#40</v>
      </c>
      <c r="C392">
        <f ca="1"/>
        <v>46066.417361111096</v>
      </c>
      <c r="D392">
        <f ca="1"/>
        <v>2139</v>
      </c>
      <c r="E392" t="str">
        <f ca="1"/>
        <v>MXN</v>
      </c>
      <c r="F392" t="str">
        <f ca="1"/>
        <v>Gabriela Zacarias Aguirre</v>
      </c>
      <c r="G392" t="str">
        <f ca="1"/>
        <v>REST OPER SHUF         CIUDAD DE MEX MEX</v>
      </c>
      <c r="H392" t="str">
        <f ca="1"/>
        <v>Rest Oper Shuf Ciudad De Mex Mex</v>
      </c>
      <c r="I392" t="str">
        <f ca="1"/>
        <v>Sales</v>
      </c>
      <c r="J392">
        <f ca="1"/>
        <v>0</v>
      </c>
      <c r="K392" t="str">
        <f ca="1"/>
        <v>.</v>
      </c>
      <c r="L392" t="str">
        <f ca="1">VLOOKUP(B392,[1]Total!$B:$Q,16,0)</f>
        <v>603.81.006 Gastos Administativos de venta</v>
      </c>
      <c r="M392">
        <f t="shared" ca="1" si="13"/>
        <v>2139</v>
      </c>
      <c r="N392" t="str">
        <f t="shared" ca="1" si="14"/>
        <v xml:space="preserve">Gabriela Zacarias Aguirre REST OPER SHUF         CIUDAD DE MEX MEX Rest Oper Shuf Ciudad De Mex Mex Sales 0 . </v>
      </c>
    </row>
    <row r="393" spans="1:14">
      <c r="A393" t="str">
        <f ca="1"/>
        <v>TRX1649</v>
      </c>
      <c r="B393" t="str">
        <f ca="1"/>
        <v>#40</v>
      </c>
      <c r="C393">
        <f ca="1"/>
        <v>46067.416666666599</v>
      </c>
      <c r="D393">
        <f ca="1"/>
        <v>680.8</v>
      </c>
      <c r="E393" t="str">
        <f ca="1"/>
        <v>MXN</v>
      </c>
      <c r="F393" t="str">
        <f ca="1"/>
        <v>Gabriela Zacarias Aguirre</v>
      </c>
      <c r="G393" t="str">
        <f ca="1"/>
        <v>CLIP MX*REST SAKS REFO MIGUEL HIDALG MEX</v>
      </c>
      <c r="H393" t="str">
        <f ca="1"/>
        <v>Clip Mx Rest Saks Refo Miguel Hidalg Mex</v>
      </c>
      <c r="I393" t="str">
        <f ca="1"/>
        <v>Sales</v>
      </c>
      <c r="J393">
        <f ca="1"/>
        <v>0</v>
      </c>
      <c r="K393" t="str">
        <f ca="1"/>
        <v>.</v>
      </c>
      <c r="L393" t="str">
        <f ca="1">VLOOKUP(B393,[1]Total!$B:$Q,16,0)</f>
        <v>603.81.006 Gastos Administativos de venta</v>
      </c>
      <c r="M393">
        <f t="shared" ca="1" si="13"/>
        <v>680.8</v>
      </c>
      <c r="N393" t="str">
        <f t="shared" ca="1" si="14"/>
        <v xml:space="preserve">Gabriela Zacarias Aguirre CLIP MX*REST SAKS REFO MIGUEL HIDALG MEX Clip Mx Rest Saks Refo Miguel Hidalg Mex Sales 0 . </v>
      </c>
    </row>
    <row r="394" spans="1:14">
      <c r="A394" t="str">
        <f ca="1"/>
        <v>TRX1806</v>
      </c>
      <c r="B394" t="str">
        <f ca="1"/>
        <v>#40</v>
      </c>
      <c r="C394">
        <f ca="1"/>
        <v>46068.417361111096</v>
      </c>
      <c r="D394">
        <f ca="1"/>
        <v>2508.27</v>
      </c>
      <c r="E394" t="str">
        <f ca="1"/>
        <v>USD</v>
      </c>
      <c r="F394" t="str">
        <f ca="1"/>
        <v>Gabriela Zacarias Aguirre</v>
      </c>
      <c r="G394" t="str">
        <f ca="1"/>
        <v>LinkedIn SN P111195019 LINKEDIN.COM  IRL</v>
      </c>
      <c r="H394" t="str">
        <f ca="1"/>
        <v>Linkedin</v>
      </c>
      <c r="I394">
        <f ca="1"/>
        <v>0</v>
      </c>
      <c r="J394">
        <f ca="1"/>
        <v>0</v>
      </c>
      <c r="K394" t="str">
        <f ca="1"/>
        <v>.</v>
      </c>
      <c r="L394" t="str">
        <f ca="1">VLOOKUP(B394,[1]Total!$B:$Q,16,0)</f>
        <v>603.81.006 Gastos Administativos de venta</v>
      </c>
      <c r="M394">
        <f t="shared" ca="1" si="13"/>
        <v>2508.27</v>
      </c>
      <c r="N394" t="str">
        <f t="shared" ca="1" si="14"/>
        <v xml:space="preserve">Gabriela Zacarias Aguirre LinkedIn SN P111195019 LINKEDIN.COM  IRL Linkedin 0 0 . </v>
      </c>
    </row>
    <row r="395" spans="1:14">
      <c r="A395" t="str">
        <f ca="1"/>
        <v>TRX1487</v>
      </c>
      <c r="B395" t="str">
        <f ca="1"/>
        <v>#40</v>
      </c>
      <c r="C395">
        <f ca="1"/>
        <v>46069.416666666599</v>
      </c>
      <c r="D395">
        <f ca="1"/>
        <v>359.99</v>
      </c>
      <c r="E395" t="str">
        <f ca="1"/>
        <v>USD</v>
      </c>
      <c r="F395" t="str">
        <f ca="1"/>
        <v>Gabriela Zacarias Aguirre</v>
      </c>
      <c r="G395" t="str">
        <f ca="1"/>
        <v>OPENAI *CHATGPT SUBSCR SAN FRANCISCO USA</v>
      </c>
      <c r="H395" t="str">
        <f ca="1"/>
        <v>Openai</v>
      </c>
      <c r="I395">
        <f ca="1"/>
        <v>0</v>
      </c>
      <c r="J395">
        <f ca="1"/>
        <v>0</v>
      </c>
      <c r="K395" t="str">
        <f ca="1"/>
        <v>.</v>
      </c>
      <c r="L395" t="str">
        <f ca="1">VLOOKUP(B395,[1]Total!$B:$Q,16,0)</f>
        <v>603.81.006 Gastos Administativos de venta</v>
      </c>
      <c r="M395">
        <f t="shared" ca="1" si="13"/>
        <v>359.99</v>
      </c>
      <c r="N395" t="str">
        <f t="shared" ca="1" si="14"/>
        <v xml:space="preserve">Gabriela Zacarias Aguirre OPENAI *CHATGPT SUBSCR SAN FRANCISCO USA Openai 0 0 . </v>
      </c>
    </row>
    <row r="396" spans="1:14">
      <c r="A396" t="str">
        <f ca="1"/>
        <v>TRX1182</v>
      </c>
      <c r="B396" t="str">
        <f ca="1"/>
        <v>#40</v>
      </c>
      <c r="C396">
        <f ca="1"/>
        <v>46070.416666666599</v>
      </c>
      <c r="D396">
        <f ca="1"/>
        <v>359.99</v>
      </c>
      <c r="E396" t="str">
        <f ca="1"/>
        <v>USD</v>
      </c>
      <c r="F396" t="str">
        <f ca="1"/>
        <v>Gabriela Zacarias Aguirre</v>
      </c>
      <c r="G396" t="str">
        <f ca="1"/>
        <v>OPENAI *CHATGPT SUBSCR SAN FRANCISCO USA</v>
      </c>
      <c r="H396" t="str">
        <f ca="1"/>
        <v>Openai</v>
      </c>
      <c r="I396">
        <f ca="1"/>
        <v>0</v>
      </c>
      <c r="J396">
        <f ca="1"/>
        <v>0</v>
      </c>
      <c r="K396" t="str">
        <f ca="1"/>
        <v>.</v>
      </c>
      <c r="L396" t="str">
        <f ca="1">VLOOKUP(B396,[1]Total!$B:$Q,16,0)</f>
        <v>603.81.006 Gastos Administativos de venta</v>
      </c>
      <c r="M396">
        <f t="shared" ca="1" si="13"/>
        <v>359.99</v>
      </c>
      <c r="N396" t="str">
        <f t="shared" ca="1" si="14"/>
        <v xml:space="preserve">Gabriela Zacarias Aguirre OPENAI *CHATGPT SUBSCR SAN FRANCISCO USA Openai 0 0 . </v>
      </c>
    </row>
    <row r="397" spans="1:14">
      <c r="A397" t="str">
        <f ca="1"/>
        <v>TRX1192</v>
      </c>
      <c r="B397" t="str">
        <f ca="1"/>
        <v>#40</v>
      </c>
      <c r="C397">
        <f ca="1"/>
        <v>46071.417361111096</v>
      </c>
      <c r="D397">
        <f ca="1"/>
        <v>206</v>
      </c>
      <c r="E397" t="str">
        <f ca="1"/>
        <v>MXN</v>
      </c>
      <c r="F397" t="str">
        <f ca="1"/>
        <v>Gabriela Zacarias Aguirre</v>
      </c>
      <c r="G397" t="str">
        <f ca="1"/>
        <v>MITSPUG*EST HOTEL HYAT MIGUEL HIDALG MEX</v>
      </c>
      <c r="H397" t="str">
        <f ca="1"/>
        <v>Mitspug Est Hotel Hyat Miguel Hidalg Mex</v>
      </c>
      <c r="I397">
        <f ca="1"/>
        <v>0</v>
      </c>
      <c r="J397">
        <f ca="1"/>
        <v>0</v>
      </c>
      <c r="K397" t="str">
        <f ca="1"/>
        <v>.</v>
      </c>
      <c r="L397" t="str">
        <f ca="1">VLOOKUP(B397,[1]Total!$B:$Q,16,0)</f>
        <v>603.81.006 Gastos Administativos de venta</v>
      </c>
      <c r="M397">
        <f t="shared" ca="1" si="13"/>
        <v>206</v>
      </c>
      <c r="N397" t="str">
        <f t="shared" ca="1" si="14"/>
        <v xml:space="preserve">Gabriela Zacarias Aguirre MITSPUG*EST HOTEL HYAT MIGUEL HIDALG MEX Mitspug Est Hotel Hyat Miguel Hidalg Mex 0 0 . </v>
      </c>
    </row>
    <row r="398" spans="1:14">
      <c r="A398" t="str">
        <f ca="1"/>
        <v>TRX1807</v>
      </c>
      <c r="B398" t="str">
        <f ca="1"/>
        <v>#40</v>
      </c>
      <c r="C398">
        <f ca="1"/>
        <v>46073.416666666599</v>
      </c>
      <c r="D398">
        <f ca="1"/>
        <v>2987</v>
      </c>
      <c r="E398" t="str">
        <f ca="1"/>
        <v>MXN</v>
      </c>
      <c r="F398" t="str">
        <f ca="1"/>
        <v>Gabriela Zacarias Aguirre</v>
      </c>
      <c r="G398" t="str">
        <f ca="1"/>
        <v>VOLARIS MOTO DEB 2     CIUDAD DE MEX MEX</v>
      </c>
      <c r="H398" t="str">
        <f ca="1"/>
        <v>Volaris</v>
      </c>
      <c r="I398">
        <f ca="1"/>
        <v>0</v>
      </c>
      <c r="J398">
        <f ca="1"/>
        <v>0</v>
      </c>
      <c r="K398" t="str">
        <f ca="1"/>
        <v>.</v>
      </c>
      <c r="L398" t="str">
        <f ca="1">VLOOKUP(B398,[1]Total!$B:$Q,16,0)</f>
        <v>603.81.006 Gastos Administativos de venta</v>
      </c>
      <c r="M398">
        <f t="shared" ca="1" si="13"/>
        <v>2987</v>
      </c>
      <c r="N398" t="str">
        <f t="shared" ca="1" si="14"/>
        <v xml:space="preserve">Gabriela Zacarias Aguirre VOLARIS MOTO DEB 2     CIUDAD DE MEX MEX Volaris 0 0 . </v>
      </c>
    </row>
    <row r="399" spans="1:14">
      <c r="A399" t="str">
        <f ca="1"/>
        <v>TRX1052</v>
      </c>
      <c r="B399" t="str">
        <f ca="1"/>
        <v>#40</v>
      </c>
      <c r="C399">
        <f ca="1"/>
        <v>46073.416666666599</v>
      </c>
      <c r="D399">
        <f ca="1"/>
        <v>13250</v>
      </c>
      <c r="E399" t="str">
        <f ca="1"/>
        <v>MXN</v>
      </c>
      <c r="F399" t="str">
        <f ca="1"/>
        <v>Gabriela Zacarias Aguirre</v>
      </c>
      <c r="G399" t="str">
        <f ca="1"/>
        <v>VOLARIS MOTO DEB 2     CIUDAD DE MEX MEX</v>
      </c>
      <c r="H399" t="str">
        <f ca="1"/>
        <v>Volaris</v>
      </c>
      <c r="I399">
        <f ca="1"/>
        <v>0</v>
      </c>
      <c r="J399">
        <f ca="1"/>
        <v>0</v>
      </c>
      <c r="K399" t="str">
        <f ca="1"/>
        <v>.</v>
      </c>
      <c r="L399" t="str">
        <f ca="1">VLOOKUP(B399,[1]Total!$B:$Q,16,0)</f>
        <v>603.81.006 Gastos Administativos de venta</v>
      </c>
      <c r="M399">
        <f t="shared" ca="1" si="13"/>
        <v>13250</v>
      </c>
      <c r="N399" t="str">
        <f t="shared" ca="1" si="14"/>
        <v xml:space="preserve">Gabriela Zacarias Aguirre VOLARIS MOTO DEB 2     CIUDAD DE MEX MEX Volaris 0 0 . </v>
      </c>
    </row>
    <row r="400" spans="1:14">
      <c r="A400" t="str">
        <f ca="1"/>
        <v>TRX1916</v>
      </c>
      <c r="B400" t="str">
        <f ca="1"/>
        <v>#41</v>
      </c>
      <c r="C400">
        <f ca="1"/>
        <v>46065.416666666599</v>
      </c>
      <c r="D400">
        <f ca="1"/>
        <v>1336</v>
      </c>
      <c r="E400" t="str">
        <f ca="1"/>
        <v>MXN</v>
      </c>
      <c r="F400" t="str">
        <f ca="1"/>
        <v>Jose Arechavala</v>
      </c>
      <c r="G400" t="str">
        <f ca="1"/>
        <v>ESTACION RAQUELITO     CIUDAD DE MEX MEX</v>
      </c>
      <c r="H400" t="str">
        <f ca="1"/>
        <v>Estacion Raquelito Ciudad De Mex Mex</v>
      </c>
      <c r="I400" t="str">
        <f ca="1"/>
        <v>Transaction cost</v>
      </c>
      <c r="J400" t="str">
        <f ca="1"/>
        <v>Viáticos Valle de Bravo, PO 1954</v>
      </c>
      <c r="K400" t="str">
        <f ca="1"/>
        <v>No se pudo facturar</v>
      </c>
      <c r="L400" t="str">
        <f ca="1">VLOOKUP(B400,[1]Total!$B:$Q,16,0)</f>
        <v>602.34.002 Gastos por visita tencica</v>
      </c>
      <c r="M400">
        <f t="shared" ca="1" si="13"/>
        <v>1336</v>
      </c>
      <c r="N400" t="str">
        <f t="shared" ca="1" si="14"/>
        <v xml:space="preserve">Jose Arechavala ESTACION RAQUELITO     CIUDAD DE MEX MEX Estacion Raquelito Ciudad De Mex Mex Transaction cost Viáticos Valle de Bravo, PO 1954 No se pudo facturar </v>
      </c>
    </row>
    <row r="401" spans="1:14">
      <c r="A401" t="str">
        <f ca="1"/>
        <v>TRX1664</v>
      </c>
      <c r="B401" t="str">
        <f ca="1"/>
        <v>#41</v>
      </c>
      <c r="C401">
        <f ca="1"/>
        <v>46065.416666666599</v>
      </c>
      <c r="D401">
        <f ca="1"/>
        <v>1000</v>
      </c>
      <c r="E401" t="str">
        <f ca="1"/>
        <v>MXN</v>
      </c>
      <c r="F401" t="str">
        <f ca="1"/>
        <v>Jose Arechavala</v>
      </c>
      <c r="G401" t="str">
        <f ca="1"/>
        <v>RECARGA PASE TUTAG     CIUDAD DE MEX MEX</v>
      </c>
      <c r="H401" t="str">
        <f ca="1"/>
        <v>Recarga Pase Tutag Ciudad De Mex Mex</v>
      </c>
      <c r="I401" t="str">
        <f ca="1"/>
        <v>Transaction cost</v>
      </c>
      <c r="J401" t="str">
        <f ca="1"/>
        <v>Viáticos Valle de Bravo, PO 1954</v>
      </c>
      <c r="K401" t="str">
        <f ca="1"/>
        <v>EEE2B6B7-98BE-400F-B10D-E6F21CC6A9D6</v>
      </c>
      <c r="L401" t="str">
        <f ca="1">VLOOKUP(B401,[1]Total!$B:$Q,16,0)</f>
        <v>602.34.002 Gastos por visita tencica</v>
      </c>
      <c r="M401">
        <f t="shared" ca="1" si="13"/>
        <v>1000</v>
      </c>
      <c r="N401" t="str">
        <f t="shared" ca="1" si="14"/>
        <v xml:space="preserve">Jose Arechavala RECARGA PASE TUTAG     CIUDAD DE MEX MEX Recarga Pase Tutag Ciudad De Mex Mex Transaction cost Viáticos Valle de Bravo, PO 1954 EEE2B6B7-98BE-400F-B10D-E6F21CC6A9D6 </v>
      </c>
    </row>
    <row r="402" spans="1:14">
      <c r="A402" t="str">
        <f ca="1"/>
        <v>TRX1017</v>
      </c>
      <c r="B402" t="str">
        <f ca="1"/>
        <v>#41</v>
      </c>
      <c r="C402">
        <f ca="1"/>
        <v>46067.416666666599</v>
      </c>
      <c r="D402">
        <f ca="1"/>
        <v>300.56</v>
      </c>
      <c r="E402" t="str">
        <f ca="1"/>
        <v>MXN</v>
      </c>
      <c r="F402" t="str">
        <f ca="1"/>
        <v>Jose Arechavala</v>
      </c>
      <c r="G402" t="str">
        <f ca="1"/>
        <v>UBER *TRIP HELP.UBER.C CMX           MEX</v>
      </c>
      <c r="H402" t="str">
        <f ca="1"/>
        <v>Uber</v>
      </c>
      <c r="I402" t="str">
        <f ca="1"/>
        <v>Sales</v>
      </c>
      <c r="J402" t="str">
        <f ca="1"/>
        <v>Visita showroom MP DIXY, sin PO</v>
      </c>
      <c r="K402" t="str">
        <f ca="1"/>
        <v>TU-0003190</v>
      </c>
      <c r="L402" t="str">
        <f ca="1">VLOOKUP(B402,[1]Total!$B:$Q,16,0)</f>
        <v>602.34.002 Gastos por visita tencica</v>
      </c>
      <c r="M402">
        <f t="shared" ca="1" si="13"/>
        <v>300.56</v>
      </c>
      <c r="N402" t="str">
        <f t="shared" ca="1" si="14"/>
        <v xml:space="preserve">Jose Arechavala UBER *TRIP HELP.UBER.C CMX           MEX Uber Sales Visita showroom MP DIXY, sin PO TU-0003190 </v>
      </c>
    </row>
    <row r="403" spans="1:14">
      <c r="A403" t="str">
        <f ca="1"/>
        <v>TRX1948</v>
      </c>
      <c r="B403" t="str">
        <f ca="1"/>
        <v>#41</v>
      </c>
      <c r="C403">
        <f ca="1"/>
        <v>46067.416666666599</v>
      </c>
      <c r="D403">
        <f ca="1"/>
        <v>179.97</v>
      </c>
      <c r="E403" t="str">
        <f ca="1"/>
        <v>MXN</v>
      </c>
      <c r="F403" t="str">
        <f ca="1"/>
        <v>Jose Arechavala</v>
      </c>
      <c r="G403" t="str">
        <f ca="1"/>
        <v>DLO*Uber               CDMX          MEX</v>
      </c>
      <c r="H403" t="str">
        <f ca="1"/>
        <v>Uber</v>
      </c>
      <c r="I403" t="str">
        <f ca="1"/>
        <v>Sales</v>
      </c>
      <c r="J403" t="str">
        <f ca="1"/>
        <v>Visita showroom MP DIXY, sin PO</v>
      </c>
      <c r="K403" t="str">
        <f ca="1"/>
        <v>XMWSDT-I-0000193</v>
      </c>
      <c r="L403" t="str">
        <f ca="1">VLOOKUP(B403,[1]Total!$B:$Q,16,0)</f>
        <v>602.34.002 Gastos por visita tencica</v>
      </c>
      <c r="M403">
        <f t="shared" ca="1" si="13"/>
        <v>179.97</v>
      </c>
      <c r="N403" t="str">
        <f t="shared" ca="1" si="14"/>
        <v xml:space="preserve">Jose Arechavala DLO*Uber               CDMX          MEX Uber Sales Visita showroom MP DIXY, sin PO XMWSDT-I-0000193 </v>
      </c>
    </row>
    <row r="404" spans="1:14">
      <c r="A404" t="str">
        <f ca="1"/>
        <v>TRX1007</v>
      </c>
      <c r="B404" t="str">
        <f ca="1"/>
        <v>#41</v>
      </c>
      <c r="C404">
        <f ca="1"/>
        <v>46071.416666666599</v>
      </c>
      <c r="D404">
        <f ca="1"/>
        <v>139.99</v>
      </c>
      <c r="E404" t="str">
        <f ca="1"/>
        <v>MXN</v>
      </c>
      <c r="F404" t="str">
        <f ca="1"/>
        <v>Jose Arechavala</v>
      </c>
      <c r="G404" t="str">
        <f ca="1"/>
        <v>UBER *TRIP HELP.UBER.C CMX           MEX</v>
      </c>
      <c r="H404" t="str">
        <f ca="1"/>
        <v>Uber</v>
      </c>
      <c r="I404" t="str">
        <f ca="1"/>
        <v>Transaction cost</v>
      </c>
      <c r="J404" t="str">
        <f ca="1"/>
        <v>Envío muestras a MP, PO 1954</v>
      </c>
      <c r="K404" t="str">
        <f ca="1"/>
        <v>CJKQMT-I-0000296</v>
      </c>
      <c r="L404" t="str">
        <f ca="1">VLOOKUP(B404,[1]Total!$B:$Q,16,0)</f>
        <v>602.34.002 Gastos por visita tencica</v>
      </c>
      <c r="M404">
        <f t="shared" ca="1" si="13"/>
        <v>139.99</v>
      </c>
      <c r="N404" t="str">
        <f t="shared" ca="1" si="14"/>
        <v xml:space="preserve">Jose Arechavala UBER *TRIP HELP.UBER.C CMX           MEX Uber Transaction cost Envío muestras a MP, PO 1954 CJKQMT-I-0000296 </v>
      </c>
    </row>
    <row r="405" spans="1:14">
      <c r="A405" t="str">
        <f ca="1"/>
        <v>TRX1170</v>
      </c>
      <c r="B405" t="str">
        <f ca="1"/>
        <v>#41</v>
      </c>
      <c r="C405">
        <f ca="1"/>
        <v>46072.416666666599</v>
      </c>
      <c r="D405">
        <f ca="1"/>
        <v>129.94999999999999</v>
      </c>
      <c r="E405" t="str">
        <f ca="1"/>
        <v>MXN</v>
      </c>
      <c r="F405" t="str">
        <f ca="1"/>
        <v>Jose Arechavala</v>
      </c>
      <c r="G405" t="str">
        <f ca="1"/>
        <v>UBER * PENDING         CMX           MEX</v>
      </c>
      <c r="H405" t="str">
        <f ca="1"/>
        <v>Uber</v>
      </c>
      <c r="I405" t="str">
        <f ca="1"/>
        <v>Transaction cost</v>
      </c>
      <c r="J405" t="str">
        <f ca="1"/>
        <v>Envío muestras de MP, PO 1954</v>
      </c>
      <c r="K405" t="str">
        <f ca="1"/>
        <v>JCGNJF-I-0000747</v>
      </c>
      <c r="L405" t="str">
        <f ca="1">VLOOKUP(B405,[1]Total!$B:$Q,16,0)</f>
        <v>602.34.002 Gastos por visita tencica</v>
      </c>
      <c r="M405">
        <f t="shared" ca="1" si="13"/>
        <v>129.94999999999999</v>
      </c>
      <c r="N405" t="str">
        <f t="shared" ca="1" si="14"/>
        <v xml:space="preserve">Jose Arechavala UBER * PENDING         CMX           MEX Uber Transaction cost Envío muestras de MP, PO 1954 JCGNJF-I-0000747 </v>
      </c>
    </row>
    <row r="406" spans="1:14">
      <c r="A406" t="str">
        <f ca="1"/>
        <v>TRX1561</v>
      </c>
      <c r="B406" t="str">
        <f ca="1"/>
        <v>#41</v>
      </c>
      <c r="C406">
        <f ca="1"/>
        <v>46074.416666666599</v>
      </c>
      <c r="D406">
        <f ca="1"/>
        <v>400</v>
      </c>
      <c r="E406" t="str">
        <f ca="1"/>
        <v>MXN</v>
      </c>
      <c r="F406" t="str">
        <f ca="1"/>
        <v>Jose Arechavala</v>
      </c>
      <c r="G406" t="str">
        <f ca="1"/>
        <v>PAY PAL*SOFIASALUDS SO CIUDAD DE MEX MEX</v>
      </c>
      <c r="H406" t="str">
        <f ca="1"/>
        <v>Pay Pal Sofiasaluds So Ciudad De Mex Mex</v>
      </c>
      <c r="I406" t="str">
        <f ca="1"/>
        <v>Transaction cost</v>
      </c>
      <c r="J406" t="str">
        <f ca="1"/>
        <v>Cobro por error, sin PO</v>
      </c>
      <c r="K406" t="str">
        <f ca="1"/>
        <v>N/A</v>
      </c>
      <c r="L406" t="str">
        <f ca="1">VLOOKUP(B406,[1]Total!$B:$Q,16,0)</f>
        <v>602.34.002 Gastos por visita tencica</v>
      </c>
      <c r="M406">
        <f t="shared" ca="1" si="13"/>
        <v>400</v>
      </c>
      <c r="N406" t="str">
        <f t="shared" ca="1" si="14"/>
        <v xml:space="preserve">Jose Arechavala PAY PAL*SOFIASALUDS SO CIUDAD DE MEX MEX Pay Pal Sofiasaluds So Ciudad De Mex Mex Transaction cost Cobro por error, sin PO N/A </v>
      </c>
    </row>
    <row r="407" spans="1:14">
      <c r="A407" t="str">
        <f ca="1"/>
        <v>TRX1051</v>
      </c>
      <c r="B407" t="str">
        <f ca="1"/>
        <v>#41</v>
      </c>
      <c r="C407">
        <f ca="1"/>
        <v>46075.416666666599</v>
      </c>
      <c r="D407">
        <f ca="1"/>
        <v>109.95</v>
      </c>
      <c r="E407" t="str">
        <f ca="1"/>
        <v>MXN</v>
      </c>
      <c r="F407" t="str">
        <f ca="1"/>
        <v>Jose Arechavala</v>
      </c>
      <c r="G407" t="str">
        <f ca="1"/>
        <v>UBER * PENDING         CMX           MEX</v>
      </c>
      <c r="H407" t="str">
        <f ca="1"/>
        <v>Uber</v>
      </c>
      <c r="I407" t="str">
        <f ca="1"/>
        <v>Transaction cost</v>
      </c>
      <c r="J407" t="str">
        <f ca="1"/>
        <v>Envío muestras de MP, PO 1954</v>
      </c>
      <c r="K407" t="str">
        <f ca="1"/>
        <v>TER-144207302</v>
      </c>
      <c r="L407" t="str">
        <f ca="1">VLOOKUP(B407,[1]Total!$B:$Q,16,0)</f>
        <v>602.34.002 Gastos por visita tencica</v>
      </c>
      <c r="M407">
        <f t="shared" ca="1" si="13"/>
        <v>109.95</v>
      </c>
      <c r="N407" t="str">
        <f t="shared" ca="1" si="14"/>
        <v xml:space="preserve">Jose Arechavala UBER * PENDING         CMX           MEX Uber Transaction cost Envío muestras de MP, PO 1954 TER-144207302 </v>
      </c>
    </row>
    <row r="408" spans="1:14">
      <c r="A408" t="str">
        <f ca="1"/>
        <v>TRX1215</v>
      </c>
      <c r="B408" t="str">
        <f ca="1"/>
        <v>#41</v>
      </c>
      <c r="C408">
        <f ca="1"/>
        <v>46079.417361111096</v>
      </c>
      <c r="D408">
        <f ca="1"/>
        <v>1802.67</v>
      </c>
      <c r="E408" t="str">
        <f ca="1"/>
        <v>MXN</v>
      </c>
      <c r="F408" t="str">
        <f ca="1"/>
        <v>Jose Arechavala</v>
      </c>
      <c r="G408" t="str">
        <f ca="1"/>
        <v>SERV VISTA HERMOSA     CIUDAD DE MEX MEX</v>
      </c>
      <c r="H408" t="str">
        <f ca="1"/>
        <v>Serv Vista Hermosa Ciudad De Mex Mex</v>
      </c>
      <c r="I408" t="str">
        <f ca="1"/>
        <v>Transaction cost</v>
      </c>
      <c r="J408" t="str">
        <f ca="1"/>
        <v>Viáticos Valle de Bravo, PO 1954</v>
      </c>
      <c r="K408" t="str">
        <f ca="1"/>
        <v>65e6c57d-ff69-4b42-8476-b8f9903e4ed3</v>
      </c>
      <c r="L408" t="str">
        <f ca="1">VLOOKUP(B408,[1]Total!$B:$Q,16,0)</f>
        <v>602.34.002 Gastos por visita tencica</v>
      </c>
      <c r="M408">
        <f t="shared" ca="1" si="13"/>
        <v>1802.67</v>
      </c>
      <c r="N408" t="str">
        <f t="shared" ca="1" si="14"/>
        <v xml:space="preserve">Jose Arechavala SERV VISTA HERMOSA     CIUDAD DE MEX MEX Serv Vista Hermosa Ciudad De Mex Mex Transaction cost Viáticos Valle de Bravo, PO 1954 65e6c57d-ff69-4b42-8476-b8f9903e4ed3 </v>
      </c>
    </row>
    <row r="409" spans="1:14">
      <c r="A409" t="str">
        <f ca="1"/>
        <v>TRX1220</v>
      </c>
      <c r="B409" t="str">
        <f ca="1"/>
        <v>#41</v>
      </c>
      <c r="C409">
        <f ca="1"/>
        <v>46080.416666666599</v>
      </c>
      <c r="D409">
        <f ca="1"/>
        <v>81</v>
      </c>
      <c r="E409" t="str">
        <f ca="1"/>
        <v>MXN</v>
      </c>
      <c r="F409" t="str">
        <f ca="1"/>
        <v>Jose Arechavala</v>
      </c>
      <c r="G409" t="str">
        <f ca="1"/>
        <v>UBER *TRIP HELP.UBER.C CMX           MEX</v>
      </c>
      <c r="H409" t="str">
        <f ca="1"/>
        <v>Uber</v>
      </c>
      <c r="I409" t="str">
        <f ca="1"/>
        <v>Transaction cost</v>
      </c>
      <c r="J409" t="str">
        <f ca="1"/>
        <v>Envío muestras de MP, PO 1954</v>
      </c>
      <c r="K409" t="str">
        <f ca="1"/>
        <v>TER-144787111</v>
      </c>
      <c r="L409" t="str">
        <f ca="1">VLOOKUP(B409,[1]Total!$B:$Q,16,0)</f>
        <v>602.34.002 Gastos por visita tencica</v>
      </c>
      <c r="M409">
        <f t="shared" ca="1" si="13"/>
        <v>81</v>
      </c>
      <c r="N409" t="str">
        <f t="shared" ca="1" si="14"/>
        <v xml:space="preserve">Jose Arechavala UBER *TRIP HELP.UBER.C CMX           MEX Uber Transaction cost Envío muestras de MP, PO 1954 TER-144787111 </v>
      </c>
    </row>
    <row r="410" spans="1:14">
      <c r="A410" t="str">
        <f ca="1"/>
        <v>TRX1274</v>
      </c>
      <c r="B410" t="str">
        <f ca="1"/>
        <v>#41</v>
      </c>
      <c r="C410">
        <f ca="1"/>
        <v>46081.416666666599</v>
      </c>
      <c r="D410">
        <f ca="1"/>
        <v>400</v>
      </c>
      <c r="E410" t="str">
        <f ca="1"/>
        <v>MXN</v>
      </c>
      <c r="F410" t="str">
        <f ca="1"/>
        <v>Jose Arechavala</v>
      </c>
      <c r="G410" t="str">
        <f ca="1"/>
        <v>PAY PAL*SOFIASALUDS SO CIUDAD DE MEX MEX</v>
      </c>
      <c r="H410" t="str">
        <f ca="1"/>
        <v>Pay Pal Sofiasaluds So Ciudad De Mex Mex</v>
      </c>
      <c r="I410" t="str">
        <f ca="1"/>
        <v>Transaction cost</v>
      </c>
      <c r="J410" t="str">
        <f ca="1"/>
        <v>Cobro por error, sin PO</v>
      </c>
      <c r="K410" t="str">
        <f ca="1"/>
        <v>N/A</v>
      </c>
      <c r="L410" t="str">
        <f ca="1">VLOOKUP(B410,[1]Total!$B:$Q,16,0)</f>
        <v>602.34.002 Gastos por visita tencica</v>
      </c>
      <c r="M410">
        <f t="shared" ca="1" si="13"/>
        <v>400</v>
      </c>
      <c r="N410" t="str">
        <f t="shared" ca="1" si="14"/>
        <v xml:space="preserve">Jose Arechavala PAY PAL*SOFIASALUDS SO CIUDAD DE MEX MEX Pay Pal Sofiasaluds So Ciudad De Mex Mex Transaction cost Cobro por error, sin PO N/A </v>
      </c>
    </row>
    <row r="411" spans="1:14" hidden="1">
      <c r="A411" t="str">
        <f ca="1"/>
        <v>#N/A</v>
      </c>
      <c r="B411">
        <f ca="1"/>
        <v>0</v>
      </c>
      <c r="C411">
        <f ca="1"/>
        <v>0</v>
      </c>
      <c r="D411" t="str">
        <f ca="1"/>
        <v>#N/A</v>
      </c>
      <c r="E411" t="str">
        <f ca="1"/>
        <v>#N/A</v>
      </c>
      <c r="F411" t="str">
        <f ca="1"/>
        <v>#N/A</v>
      </c>
      <c r="G411" t="str">
        <f ca="1"/>
        <v>#N/A</v>
      </c>
      <c r="H411">
        <f ca="1"/>
        <v>0</v>
      </c>
      <c r="I411" t="str">
        <f ca="1"/>
        <v/>
      </c>
      <c r="J411">
        <f ca="1"/>
        <v>0</v>
      </c>
      <c r="K411" t="str">
        <f ca="1"/>
        <v>.</v>
      </c>
      <c r="L411" t="e">
        <f ca="1">VLOOKUP(B411,[1]Total!$B:$Q,16,0)</f>
        <v>#N/A</v>
      </c>
      <c r="M411" t="str">
        <f t="shared" ca="1" si="13"/>
        <v>#N/A</v>
      </c>
      <c r="N411" t="str">
        <f t="shared" ca="1" si="14"/>
        <v xml:space="preserve">#N/A #N/A 0  0 . </v>
      </c>
    </row>
    <row r="412" spans="1:14" hidden="1">
      <c r="A412" t="str">
        <f ca="1"/>
        <v>#N/A</v>
      </c>
      <c r="B412">
        <f ca="1"/>
        <v>0</v>
      </c>
      <c r="C412">
        <f ca="1"/>
        <v>0</v>
      </c>
      <c r="D412" t="str">
        <f ca="1"/>
        <v>#N/A</v>
      </c>
      <c r="E412" t="str">
        <f ca="1"/>
        <v>#N/A</v>
      </c>
      <c r="F412" t="str">
        <f ca="1"/>
        <v>#N/A</v>
      </c>
      <c r="G412" t="str">
        <f ca="1"/>
        <v>#N/A</v>
      </c>
      <c r="H412">
        <f ca="1"/>
        <v>0</v>
      </c>
      <c r="I412" t="str">
        <f ca="1"/>
        <v>G&amp;A expenses</v>
      </c>
      <c r="J412" t="str">
        <f ca="1"/>
        <v>Llevamos a los Devs que vinieron para el offiste a conocer una obra de construcción</v>
      </c>
      <c r="K412" t="str">
        <f ca="1"/>
        <v>EE882B4E-120B-55CA-A3CE-A013564FCA94</v>
      </c>
      <c r="L412" t="e">
        <f ca="1">VLOOKUP(B412,[1]Total!$B:$Q,16,0)</f>
        <v>#N/A</v>
      </c>
      <c r="M412" t="str">
        <f t="shared" ca="1" si="13"/>
        <v>#N/A</v>
      </c>
      <c r="N412" t="str">
        <f t="shared" ca="1" si="14"/>
        <v xml:space="preserve">#N/A #N/A 0 G&amp;A expenses Llevamos a los Devs que vinieron para el offiste a conocer una obra de construcción EE882B4E-120B-55CA-A3CE-A013564FCA94 </v>
      </c>
    </row>
    <row r="413" spans="1:14" hidden="1">
      <c r="A413" t="str">
        <f ca="1"/>
        <v>#N/A</v>
      </c>
      <c r="B413">
        <f ca="1"/>
        <v>0</v>
      </c>
      <c r="C413">
        <f ca="1"/>
        <v>0</v>
      </c>
      <c r="D413" t="str">
        <f ca="1"/>
        <v>#N/A</v>
      </c>
      <c r="E413" t="str">
        <f ca="1"/>
        <v>#N/A</v>
      </c>
      <c r="F413" t="str">
        <f ca="1"/>
        <v>#N/A</v>
      </c>
      <c r="G413" t="str">
        <f ca="1"/>
        <v>#N/A</v>
      </c>
      <c r="H413">
        <f ca="1"/>
        <v>0</v>
      </c>
      <c r="I413" t="str">
        <f ca="1"/>
        <v>Transaction cost</v>
      </c>
      <c r="J413" t="str">
        <f ca="1"/>
        <v>PO-593 Accesorios para lavabo para FDA. Adquisición de mercancía,</v>
      </c>
      <c r="K413" t="str">
        <f ca="1"/>
        <v>A - 14972</v>
      </c>
      <c r="L413" t="e">
        <f ca="1">VLOOKUP(B413,[1]Total!$B:$Q,16,0)</f>
        <v>#N/A</v>
      </c>
      <c r="M413" t="str">
        <f t="shared" ca="1" si="13"/>
        <v>#N/A</v>
      </c>
      <c r="N413" t="str">
        <f t="shared" ca="1" si="14"/>
        <v xml:space="preserve">#N/A #N/A 0 Transaction cost PO-593 Accesorios para lavabo para FDA. Adquisición de mercancía, A - 14972 </v>
      </c>
    </row>
    <row r="414" spans="1:14" hidden="1">
      <c r="A414" t="str">
        <f ca="1"/>
        <v>#N/A</v>
      </c>
      <c r="B414">
        <f ca="1"/>
        <v>0</v>
      </c>
      <c r="C414">
        <f ca="1"/>
        <v>0</v>
      </c>
      <c r="D414" t="str">
        <f ca="1"/>
        <v>#N/A</v>
      </c>
      <c r="E414" t="str">
        <f ca="1"/>
        <v>#N/A</v>
      </c>
      <c r="F414" t="str">
        <f ca="1"/>
        <v>#N/A</v>
      </c>
      <c r="G414" t="str">
        <f ca="1"/>
        <v>#N/A</v>
      </c>
      <c r="H414">
        <f ca="1"/>
        <v>0</v>
      </c>
      <c r="I414" t="str">
        <f ca="1"/>
        <v>Sales</v>
      </c>
      <c r="J414" t="str">
        <f ca="1"/>
        <v>Expo AHR Las Vegas</v>
      </c>
      <c r="K414">
        <f ca="1"/>
        <v>0</v>
      </c>
      <c r="L414" t="e">
        <f ca="1">VLOOKUP(B414,[1]Total!$B:$Q,16,0)</f>
        <v>#N/A</v>
      </c>
      <c r="M414" t="str">
        <f t="shared" ca="1" si="13"/>
        <v>#N/A</v>
      </c>
      <c r="N414" t="str">
        <f t="shared" ca="1" si="14"/>
        <v xml:space="preserve">#N/A #N/A 0 Sales Expo AHR Las Vegas 0 </v>
      </c>
    </row>
    <row r="415" spans="1:14" hidden="1">
      <c r="A415" t="str">
        <f ca="1"/>
        <v>#N/A</v>
      </c>
      <c r="B415">
        <f ca="1"/>
        <v>0</v>
      </c>
      <c r="C415">
        <f ca="1"/>
        <v>0</v>
      </c>
      <c r="D415" t="str">
        <f ca="1"/>
        <v>#N/A</v>
      </c>
      <c r="E415" t="str">
        <f ca="1"/>
        <v>#N/A</v>
      </c>
      <c r="F415" t="str">
        <f ca="1"/>
        <v>#N/A</v>
      </c>
      <c r="G415" t="str">
        <f ca="1"/>
        <v>#N/A</v>
      </c>
      <c r="H415">
        <f ca="1"/>
        <v>0</v>
      </c>
      <c r="I415" t="str">
        <f ca="1"/>
        <v>Tech&amp;Product</v>
      </c>
      <c r="J415" t="str">
        <f ca="1"/>
        <v>Buró de incidencias legales (Cordero)</v>
      </c>
      <c r="K415" t="str">
        <f ca="1"/>
        <v>.</v>
      </c>
      <c r="L415" t="e">
        <f ca="1">VLOOKUP(B415,[1]Total!$B:$Q,16,0)</f>
        <v>#N/A</v>
      </c>
      <c r="M415" t="str">
        <f t="shared" ca="1" si="13"/>
        <v>#N/A</v>
      </c>
      <c r="N415" t="str">
        <f t="shared" ca="1" si="14"/>
        <v xml:space="preserve">#N/A #N/A 0 Tech&amp;Product Buró de incidencias legales (Cordero) . </v>
      </c>
    </row>
    <row r="416" spans="1:14" hidden="1">
      <c r="A416" t="str">
        <f ca="1"/>
        <v>#N/A</v>
      </c>
      <c r="B416">
        <f ca="1"/>
        <v>0</v>
      </c>
      <c r="C416">
        <f ca="1"/>
        <v>0</v>
      </c>
      <c r="D416" t="str">
        <f ca="1"/>
        <v>#N/A</v>
      </c>
      <c r="E416" t="str">
        <f ca="1"/>
        <v>#N/A</v>
      </c>
      <c r="F416" t="str">
        <f ca="1"/>
        <v>#N/A</v>
      </c>
      <c r="G416" t="str">
        <f ca="1"/>
        <v>#N/A</v>
      </c>
      <c r="H416">
        <f ca="1"/>
        <v>0</v>
      </c>
      <c r="I416" t="str">
        <f ca="1"/>
        <v/>
      </c>
      <c r="J416" t="str">
        <f ca="1"/>
        <v>Sales</v>
      </c>
      <c r="K416" t="str">
        <f ca="1"/>
        <v>Uber regreso. Sin RFQ</v>
      </c>
      <c r="L416" t="e">
        <f ca="1">VLOOKUP(B416,[1]Total!$B:$Q,16,0)</f>
        <v>#N/A</v>
      </c>
      <c r="M416" t="str">
        <f t="shared" ca="1" si="13"/>
        <v>#N/A</v>
      </c>
      <c r="N416" t="str">
        <f t="shared" ca="1" si="14"/>
        <v xml:space="preserve">#N/A #N/A 0  Sales Uber regreso. Sin RFQ </v>
      </c>
    </row>
    <row r="417" spans="1:14" hidden="1">
      <c r="A417" t="str">
        <f ca="1"/>
        <v>#N/A</v>
      </c>
      <c r="B417">
        <f ca="1"/>
        <v>0</v>
      </c>
      <c r="C417">
        <f ca="1"/>
        <v>0</v>
      </c>
      <c r="D417" t="str">
        <f ca="1"/>
        <v>#N/A</v>
      </c>
      <c r="E417" t="str">
        <f ca="1"/>
        <v>#N/A</v>
      </c>
      <c r="F417" t="str">
        <f ca="1"/>
        <v>#N/A</v>
      </c>
      <c r="G417" t="str">
        <f ca="1"/>
        <v>#N/A</v>
      </c>
      <c r="H417">
        <f ca="1"/>
        <v>0</v>
      </c>
      <c r="I417" t="str">
        <f ca="1"/>
        <v>Sales</v>
      </c>
      <c r="J417" t="str">
        <f ca="1"/>
        <v>Email Marketing</v>
      </c>
      <c r="K417" t="str">
        <f ca="1"/>
        <v>Factura de clientes_40925_20240902_153532.pdf</v>
      </c>
      <c r="L417" t="e">
        <f ca="1">VLOOKUP(B417,[1]Total!$B:$Q,16,0)</f>
        <v>#N/A</v>
      </c>
      <c r="M417" t="str">
        <f t="shared" ca="1" si="13"/>
        <v>#N/A</v>
      </c>
      <c r="N417" t="str">
        <f t="shared" ca="1" si="14"/>
        <v xml:space="preserve">#N/A #N/A 0 Sales Email Marketing Factura de clientes_40925_20240902_153532.pdf </v>
      </c>
    </row>
    <row r="418" spans="1:14" hidden="1">
      <c r="A418" t="str">
        <f ca="1"/>
        <v>#N/A</v>
      </c>
      <c r="B418">
        <f ca="1"/>
        <v>0</v>
      </c>
      <c r="C418">
        <f ca="1"/>
        <v>0</v>
      </c>
      <c r="D418" t="str">
        <f ca="1"/>
        <v>#N/A</v>
      </c>
      <c r="E418" t="str">
        <f ca="1"/>
        <v>#N/A</v>
      </c>
      <c r="F418" t="str">
        <f ca="1"/>
        <v>#N/A</v>
      </c>
      <c r="G418" t="str">
        <f ca="1"/>
        <v>#N/A</v>
      </c>
      <c r="H418">
        <f ca="1"/>
        <v>0</v>
      </c>
      <c r="I418" t="str">
        <f ca="1"/>
        <v>Sales</v>
      </c>
      <c r="J418" t="str">
        <f ca="1"/>
        <v>Uber a MP</v>
      </c>
      <c r="K418" t="str">
        <f ca="1"/>
        <v>NA</v>
      </c>
      <c r="L418" t="e">
        <f ca="1">VLOOKUP(B418,[1]Total!$B:$Q,16,0)</f>
        <v>#N/A</v>
      </c>
      <c r="M418" t="str">
        <f t="shared" ca="1" si="13"/>
        <v>#N/A</v>
      </c>
      <c r="N418" t="str">
        <f t="shared" ca="1" si="14"/>
        <v xml:space="preserve">#N/A #N/A 0 Sales Uber a MP NA </v>
      </c>
    </row>
    <row r="419" spans="1:14">
      <c r="A419" t="str">
        <f ca="1"/>
        <v>TRX1467</v>
      </c>
      <c r="B419" t="str">
        <f ca="1"/>
        <v>#42</v>
      </c>
      <c r="C419">
        <f ca="1"/>
        <v>46064.417361111096</v>
      </c>
      <c r="D419">
        <f ca="1"/>
        <v>64.3</v>
      </c>
      <c r="E419" t="str">
        <f ca="1"/>
        <v>MXN</v>
      </c>
      <c r="F419" t="str">
        <f ca="1"/>
        <v>Rodrigo Perea</v>
      </c>
      <c r="G419" t="str">
        <f ca="1"/>
        <v>REA AUTOPISTA GPE      CADEREYTA JIM MEX</v>
      </c>
      <c r="H419" t="str">
        <f ca="1"/>
        <v>Rea Autopista Gpe Cadereyta Jim Mex</v>
      </c>
      <c r="I419" t="str">
        <f ca="1"/>
        <v>Sales</v>
      </c>
      <c r="J419" t="str">
        <f ca="1"/>
        <v>PO 1406_Comida con MP</v>
      </c>
      <c r="K419" t="str">
        <f ca="1"/>
        <v>N/A_Ticket</v>
      </c>
      <c r="L419" t="str">
        <f ca="1">VLOOKUP(B419,[1]Total!$B:$Q,16,0)</f>
        <v>173.01.002 Gastos por inspecciones de calidad</v>
      </c>
      <c r="M419">
        <f t="shared" ca="1" si="13"/>
        <v>64.3</v>
      </c>
      <c r="N419" t="str">
        <f t="shared" ca="1" si="14"/>
        <v xml:space="preserve">Rodrigo Perea REA AUTOPISTA GPE      CADEREYTA JIM MEX Rea Autopista Gpe Cadereyta Jim Mex Sales PO 1406_Comida con MP N/A_Ticket </v>
      </c>
    </row>
    <row r="420" spans="1:14">
      <c r="A420" t="str">
        <f ca="1"/>
        <v>TRX1207</v>
      </c>
      <c r="B420" t="str">
        <f ca="1"/>
        <v>#42</v>
      </c>
      <c r="C420">
        <f ca="1"/>
        <v>46064.417361111096</v>
      </c>
      <c r="D420">
        <f ca="1"/>
        <v>671</v>
      </c>
      <c r="E420" t="str">
        <f ca="1"/>
        <v>MXN</v>
      </c>
      <c r="F420" t="str">
        <f ca="1"/>
        <v>Rodrigo Perea</v>
      </c>
      <c r="G420" t="str">
        <f ca="1"/>
        <v>REST MAISON KAYSER     CANCUN QROO   MEX</v>
      </c>
      <c r="H420" t="str">
        <f ca="1"/>
        <v>Maison Eric Kayser</v>
      </c>
      <c r="I420" t="str">
        <f ca="1"/>
        <v>Sales</v>
      </c>
      <c r="J420" t="str">
        <f ca="1"/>
        <v>PO 1888_Gasolina</v>
      </c>
      <c r="K420" t="str">
        <f ca="1"/>
        <v>aae801bc-ea5a-45e0-97f3-3afbeab7fe78</v>
      </c>
      <c r="L420" t="str">
        <f ca="1">VLOOKUP(B420,[1]Total!$B:$Q,16,0)</f>
        <v>173.01.002 Gastos por inspecciones de calidad</v>
      </c>
      <c r="M420">
        <f t="shared" ca="1" si="13"/>
        <v>671</v>
      </c>
      <c r="N420" t="str">
        <f t="shared" ca="1" si="14"/>
        <v xml:space="preserve">Rodrigo Perea REST MAISON KAYSER     CANCUN QROO   MEX Maison Eric Kayser Sales PO 1888_Gasolina aae801bc-ea5a-45e0-97f3-3afbeab7fe78 </v>
      </c>
    </row>
    <row r="421" spans="1:14">
      <c r="A421" t="str">
        <f ca="1"/>
        <v>TRX1997</v>
      </c>
      <c r="B421" t="str">
        <f ca="1"/>
        <v>#42</v>
      </c>
      <c r="C421">
        <f ca="1"/>
        <v>46064.417361111096</v>
      </c>
      <c r="D421">
        <f ca="1"/>
        <v>109.5</v>
      </c>
      <c r="E421" t="str">
        <f ca="1"/>
        <v>MXN</v>
      </c>
      <c r="F421" t="str">
        <f ca="1"/>
        <v>Rodrigo Perea</v>
      </c>
      <c r="G421" t="str">
        <f ca="1"/>
        <v>7 ELEVEN PALMA GORDA   GUADALUPE NL  MEX</v>
      </c>
      <c r="H421" t="str">
        <f ca="1"/>
        <v>7 Eleven</v>
      </c>
      <c r="I421" t="str">
        <f ca="1"/>
        <v>Sales</v>
      </c>
      <c r="J421" t="str">
        <f ca="1"/>
        <v>PO 1406_Vuelo Mty</v>
      </c>
      <c r="K421" t="str">
        <f ca="1"/>
        <v>c7dde6a5-c3c5-4e96-b533-ec5258e98287</v>
      </c>
      <c r="L421" t="str">
        <f ca="1">VLOOKUP(B421,[1]Total!$B:$Q,16,0)</f>
        <v>173.01.002 Gastos por inspecciones de calidad</v>
      </c>
      <c r="M421">
        <f t="shared" ca="1" si="13"/>
        <v>109.5</v>
      </c>
      <c r="N421" t="str">
        <f t="shared" ca="1" si="14"/>
        <v xml:space="preserve">Rodrigo Perea 7 ELEVEN PALMA GORDA   GUADALUPE NL  MEX 7 Eleven Sales PO 1406_Vuelo Mty c7dde6a5-c3c5-4e96-b533-ec5258e98287 </v>
      </c>
    </row>
    <row r="422" spans="1:14">
      <c r="A422" t="str">
        <f ca="1"/>
        <v>TRX1335</v>
      </c>
      <c r="B422" t="str">
        <f ca="1"/>
        <v>#42</v>
      </c>
      <c r="C422">
        <f ca="1"/>
        <v>46065.416666666599</v>
      </c>
      <c r="D422">
        <f ca="1"/>
        <v>69</v>
      </c>
      <c r="E422" t="str">
        <f ca="1"/>
        <v>MXN</v>
      </c>
      <c r="F422" t="str">
        <f ca="1"/>
        <v>Rodrigo Perea</v>
      </c>
      <c r="G422" t="str">
        <f ca="1"/>
        <v>VTA A BORDO VAEROBUS   CIUDAD DE MEX MEX</v>
      </c>
      <c r="H422" t="str">
        <f ca="1"/>
        <v>Vta A Bordo Vaerobus Ciudad De Mex Mex</v>
      </c>
      <c r="I422" t="str">
        <f ca="1"/>
        <v>Sales</v>
      </c>
      <c r="J422" t="str">
        <f ca="1"/>
        <v>PO 1406_Hospedaje Mty</v>
      </c>
      <c r="K422" t="str">
        <f ca="1"/>
        <v>4FF3827A-C67D-4A45-B051-9B9D2C519AF6</v>
      </c>
      <c r="L422" t="str">
        <f ca="1">VLOOKUP(B422,[1]Total!$B:$Q,16,0)</f>
        <v>173.01.002 Gastos por inspecciones de calidad</v>
      </c>
      <c r="M422">
        <f t="shared" ca="1" si="13"/>
        <v>69</v>
      </c>
      <c r="N422" t="str">
        <f t="shared" ca="1" si="14"/>
        <v xml:space="preserve">Rodrigo Perea VTA A BORDO VAEROBUS   CIUDAD DE MEX MEX Vta A Bordo Vaerobus Ciudad De Mex Mex Sales PO 1406_Hospedaje Mty 4FF3827A-C67D-4A45-B051-9B9D2C519AF6 </v>
      </c>
    </row>
    <row r="423" spans="1:14">
      <c r="A423" t="str">
        <f ca="1"/>
        <v>TRX1151</v>
      </c>
      <c r="B423" t="str">
        <f ca="1"/>
        <v>#42</v>
      </c>
      <c r="C423">
        <f ca="1"/>
        <v>46065.417361111096</v>
      </c>
      <c r="D423">
        <f ca="1"/>
        <v>80.599999999999994</v>
      </c>
      <c r="E423" t="str">
        <f ca="1"/>
        <v>MXN</v>
      </c>
      <c r="F423" t="str">
        <f ca="1"/>
        <v>Rodrigo Perea</v>
      </c>
      <c r="G423" t="str">
        <f ca="1"/>
        <v>RED ESTATAL DE AUTOPIS APODACA NL    MEX</v>
      </c>
      <c r="H423" t="str">
        <f ca="1"/>
        <v>Red Estatal De Autopis Apodaca Nl Mex</v>
      </c>
      <c r="I423" t="str">
        <f ca="1"/>
        <v>Sales</v>
      </c>
      <c r="J423" t="str">
        <f ca="1"/>
        <v>PO 1406_Agua vuelo</v>
      </c>
      <c r="K423" t="str">
        <f ca="1"/>
        <v>A18FE38F-0D50-402F-955F-9B9D2C51B9AA</v>
      </c>
      <c r="L423" t="str">
        <f ca="1">VLOOKUP(B423,[1]Total!$B:$Q,16,0)</f>
        <v>173.01.002 Gastos por inspecciones de calidad</v>
      </c>
      <c r="M423">
        <f t="shared" ca="1" si="13"/>
        <v>80.599999999999994</v>
      </c>
      <c r="N423" t="str">
        <f t="shared" ca="1" si="14"/>
        <v xml:space="preserve">Rodrigo Perea RED ESTATAL DE AUTOPIS APODACA NL    MEX Red Estatal De Autopis Apodaca Nl Mex Sales PO 1406_Agua vuelo A18FE38F-0D50-402F-955F-9B9D2C51B9AA </v>
      </c>
    </row>
    <row r="424" spans="1:14">
      <c r="A424" t="str">
        <f ca="1"/>
        <v>TRX1970</v>
      </c>
      <c r="B424" t="str">
        <f ca="1"/>
        <v>#42</v>
      </c>
      <c r="C424">
        <f ca="1"/>
        <v>46065.417361111096</v>
      </c>
      <c r="D424">
        <f ca="1"/>
        <v>646</v>
      </c>
      <c r="E424" t="str">
        <f ca="1"/>
        <v>MXN</v>
      </c>
      <c r="F424" t="str">
        <f ca="1"/>
        <v>Rodrigo Perea</v>
      </c>
      <c r="G424" t="str">
        <f ca="1"/>
        <v>AICM TI 1              CIUDAD DE MEX MEX</v>
      </c>
      <c r="H424" t="str">
        <f ca="1"/>
        <v>Aicm Ti 1 Ciudad De Mex Mex</v>
      </c>
      <c r="I424" t="str">
        <f ca="1"/>
        <v>Sales</v>
      </c>
      <c r="J424" t="str">
        <f ca="1"/>
        <v>PO 1406_Comida aeropuerto</v>
      </c>
      <c r="K424" t="str">
        <f ca="1"/>
        <v>EB0467F7-4314-4891-9688-BE1F1CD18DAC</v>
      </c>
      <c r="L424" t="str">
        <f ca="1">VLOOKUP(B424,[1]Total!$B:$Q,16,0)</f>
        <v>173.01.002 Gastos por inspecciones de calidad</v>
      </c>
      <c r="M424">
        <f t="shared" ca="1" si="13"/>
        <v>646</v>
      </c>
      <c r="N424" t="str">
        <f t="shared" ca="1" si="14"/>
        <v xml:space="preserve">Rodrigo Perea AICM TI 1              CIUDAD DE MEX MEX Aicm Ti 1 Ciudad De Mex Mex Sales PO 1406_Comida aeropuerto EB0467F7-4314-4891-9688-BE1F1CD18DAC </v>
      </c>
    </row>
    <row r="425" spans="1:14">
      <c r="A425" t="str">
        <f ca="1"/>
        <v>TRX1027</v>
      </c>
      <c r="B425" t="str">
        <f ca="1"/>
        <v>#42</v>
      </c>
      <c r="C425">
        <f ca="1"/>
        <v>46065.417361111096</v>
      </c>
      <c r="D425">
        <f ca="1"/>
        <v>95</v>
      </c>
      <c r="E425" t="str">
        <f ca="1"/>
        <v>MXN</v>
      </c>
      <c r="F425" t="str">
        <f ca="1"/>
        <v>Rodrigo Perea</v>
      </c>
      <c r="G425" t="str">
        <f ca="1"/>
        <v>REST MAISON KAYSER     CANCUN QROO   MEX</v>
      </c>
      <c r="H425" t="str">
        <f ca="1"/>
        <v>Maison Eric Kayser</v>
      </c>
      <c r="I425" t="str">
        <f ca="1"/>
        <v>Sales</v>
      </c>
      <c r="J425" t="str">
        <f ca="1"/>
        <v>PO 1406_Renta auto Mty</v>
      </c>
      <c r="K425" t="str">
        <f ca="1"/>
        <v>36ca4c65-2824-4e0c-b2bd-4f42960964f9</v>
      </c>
      <c r="L425" t="str">
        <f ca="1">VLOOKUP(B425,[1]Total!$B:$Q,16,0)</f>
        <v>173.01.002 Gastos por inspecciones de calidad</v>
      </c>
      <c r="M425">
        <f t="shared" ca="1" si="13"/>
        <v>95</v>
      </c>
      <c r="N425" t="str">
        <f t="shared" ca="1" si="14"/>
        <v xml:space="preserve">Rodrigo Perea REST MAISON KAYSER     CANCUN QROO   MEX Maison Eric Kayser Sales PO 1406_Renta auto Mty 36ca4c65-2824-4e0c-b2bd-4f42960964f9 </v>
      </c>
    </row>
    <row r="426" spans="1:14">
      <c r="A426" t="str">
        <f ca="1"/>
        <v>TRX1591</v>
      </c>
      <c r="B426" t="str">
        <f ca="1"/>
        <v>#42</v>
      </c>
      <c r="C426">
        <f ca="1"/>
        <v>46065.417361111096</v>
      </c>
      <c r="D426">
        <f ca="1"/>
        <v>337.7</v>
      </c>
      <c r="E426" t="str">
        <f ca="1"/>
        <v>MXN</v>
      </c>
      <c r="F426" t="str">
        <f ca="1"/>
        <v>Rodrigo Perea</v>
      </c>
      <c r="G426" t="str">
        <f ca="1"/>
        <v>REST EL PAPALOTE       APODACA NL    MEX</v>
      </c>
      <c r="H426" t="str">
        <f ca="1"/>
        <v>Rest El Papalote Apodaca Nl Mex</v>
      </c>
      <c r="I426" t="str">
        <f ca="1"/>
        <v>Sales</v>
      </c>
      <c r="J426" t="str">
        <f ca="1"/>
        <v>PO 1406_Snacks obra Mty</v>
      </c>
      <c r="K426" t="str">
        <f ca="1"/>
        <v>8c671ccb-8db7-4d4e-87f1-3f310329b687</v>
      </c>
      <c r="L426" t="str">
        <f ca="1">VLOOKUP(B426,[1]Total!$B:$Q,16,0)</f>
        <v>173.01.002 Gastos por inspecciones de calidad</v>
      </c>
      <c r="M426">
        <f t="shared" ca="1" si="13"/>
        <v>337.7</v>
      </c>
      <c r="N426" t="str">
        <f t="shared" ca="1" si="14"/>
        <v xml:space="preserve">Rodrigo Perea REST EL PAPALOTE       APODACA NL    MEX Rest El Papalote Apodaca Nl Mex Sales PO 1406_Snacks obra Mty 8c671ccb-8db7-4d4e-87f1-3f310329b687 </v>
      </c>
    </row>
    <row r="427" spans="1:14">
      <c r="A427" t="str">
        <f ca="1"/>
        <v>TRX1001</v>
      </c>
      <c r="B427" t="str">
        <f ca="1"/>
        <v>#42</v>
      </c>
      <c r="C427">
        <f ca="1"/>
        <v>46066.416666666599</v>
      </c>
      <c r="D427">
        <f ca="1"/>
        <v>70</v>
      </c>
      <c r="E427" t="str">
        <f ca="1"/>
        <v>MXN</v>
      </c>
      <c r="F427" t="str">
        <f ca="1"/>
        <v>Rodrigo Perea</v>
      </c>
      <c r="G427" t="str">
        <f ca="1"/>
        <v>UBER * PENDING         CMX           MEX</v>
      </c>
      <c r="H427" t="str">
        <f ca="1"/>
        <v>Uber</v>
      </c>
      <c r="I427" t="str">
        <f ca="1"/>
        <v>Sales</v>
      </c>
      <c r="J427" t="str">
        <f ca="1"/>
        <v>PO 1406_Comida Mty</v>
      </c>
      <c r="K427" t="str">
        <f ca="1"/>
        <v>N/A_Ticket</v>
      </c>
      <c r="L427" t="str">
        <f ca="1">VLOOKUP(B427,[1]Total!$B:$Q,16,0)</f>
        <v>173.01.002 Gastos por inspecciones de calidad</v>
      </c>
      <c r="M427">
        <f t="shared" ca="1" si="13"/>
        <v>70</v>
      </c>
      <c r="N427" t="str">
        <f t="shared" ca="1" si="14"/>
        <v xml:space="preserve">Rodrigo Perea UBER * PENDING         CMX           MEX Uber Sales PO 1406_Comida Mty N/A_Ticket </v>
      </c>
    </row>
    <row r="428" spans="1:14">
      <c r="A428" t="str">
        <f ca="1"/>
        <v>TRX1055</v>
      </c>
      <c r="B428" t="str">
        <f ca="1"/>
        <v>#42</v>
      </c>
      <c r="C428">
        <f ca="1"/>
        <v>46067.417361111096</v>
      </c>
      <c r="D428">
        <f ca="1"/>
        <v>477.25</v>
      </c>
      <c r="E428" t="str">
        <f ca="1"/>
        <v>MXN</v>
      </c>
      <c r="F428" t="str">
        <f ca="1"/>
        <v>Rodrigo Perea</v>
      </c>
      <c r="G428" t="str">
        <f ca="1"/>
        <v>COM RAP MANOLITO PEDRE CIUDAD DE MEX MEX</v>
      </c>
      <c r="H428" t="str">
        <f ca="1"/>
        <v>Com Rap Manolito Pedre Ciudad De Mex Mex</v>
      </c>
      <c r="I428" t="str">
        <f ca="1"/>
        <v>Sales</v>
      </c>
      <c r="J428" t="str">
        <f ca="1"/>
        <v>PO 1406_Desayuno hotel Mty</v>
      </c>
      <c r="K428" t="str">
        <f ca="1"/>
        <v>N/A_Ticket</v>
      </c>
      <c r="L428" t="str">
        <f ca="1">VLOOKUP(B428,[1]Total!$B:$Q,16,0)</f>
        <v>173.01.002 Gastos por inspecciones de calidad</v>
      </c>
      <c r="M428">
        <f t="shared" ca="1" si="13"/>
        <v>477.25</v>
      </c>
      <c r="N428" t="str">
        <f t="shared" ca="1" si="14"/>
        <v xml:space="preserve">Rodrigo Perea COM RAP MANOLITO PEDRE CIUDAD DE MEX MEX Com Rap Manolito Pedre Ciudad De Mex Mex Sales PO 1406_Desayuno hotel Mty N/A_Ticket </v>
      </c>
    </row>
    <row r="429" spans="1:14">
      <c r="A429" t="str">
        <f ca="1"/>
        <v>TRX1231</v>
      </c>
      <c r="B429" t="str">
        <f ca="1"/>
        <v>#42</v>
      </c>
      <c r="C429">
        <f ca="1"/>
        <v>46069.416666666599</v>
      </c>
      <c r="D429">
        <f ca="1"/>
        <v>184.99</v>
      </c>
      <c r="E429" t="str">
        <f ca="1"/>
        <v>MXN</v>
      </c>
      <c r="F429" t="str">
        <f ca="1"/>
        <v>Rodrigo Perea</v>
      </c>
      <c r="G429" t="str">
        <f ca="1"/>
        <v>Microsoft*Microsoft 36 CMX           MEX</v>
      </c>
      <c r="H429" t="str">
        <f ca="1"/>
        <v>Microsoft</v>
      </c>
      <c r="I429" t="str">
        <f ca="1"/>
        <v>Sales</v>
      </c>
      <c r="J429" t="str">
        <f ca="1"/>
        <v>PO 1406_Café Mty</v>
      </c>
      <c r="K429" t="str">
        <f ca="1"/>
        <v>6f22ba90-163f-4f19-8d4f-eee934e8fe5a</v>
      </c>
      <c r="L429" t="str">
        <f ca="1">VLOOKUP(B429,[1]Total!$B:$Q,16,0)</f>
        <v>173.01.002 Gastos por inspecciones de calidad</v>
      </c>
      <c r="M429">
        <f t="shared" ca="1" si="13"/>
        <v>184.99</v>
      </c>
      <c r="N429" t="str">
        <f t="shared" ca="1" si="14"/>
        <v xml:space="preserve">Rodrigo Perea Microsoft*Microsoft 36 CMX           MEX Microsoft Sales PO 1406_Café Mty 6f22ba90-163f-4f19-8d4f-eee934e8fe5a </v>
      </c>
    </row>
    <row r="430" spans="1:14">
      <c r="A430" t="str">
        <f ca="1"/>
        <v>TRX1114</v>
      </c>
      <c r="B430" t="str">
        <f ca="1"/>
        <v>#42</v>
      </c>
      <c r="C430">
        <f ca="1"/>
        <v>46073.416666666599</v>
      </c>
      <c r="D430">
        <f ca="1"/>
        <v>50</v>
      </c>
      <c r="E430" t="str">
        <f ca="1"/>
        <v>MXN</v>
      </c>
      <c r="F430" t="str">
        <f ca="1"/>
        <v>Rodrigo Perea</v>
      </c>
      <c r="G430" t="str">
        <f ca="1"/>
        <v>MYT018 2202 HUD MXP    CIUDAD DE MEX MEX</v>
      </c>
      <c r="H430" t="str">
        <f ca="1"/>
        <v>Myt018 2202 Hud Mxp Ciudad De Mex Mex</v>
      </c>
      <c r="I430" t="str">
        <f ca="1"/>
        <v>Sales</v>
      </c>
      <c r="J430" t="str">
        <f ca="1"/>
        <v>PO 1406_Cambio Vuelo Mty</v>
      </c>
      <c r="K430" t="str">
        <f ca="1"/>
        <v>8775a906-b88f-425d-becf-569fb1db35c3</v>
      </c>
      <c r="L430" t="str">
        <f ca="1">VLOOKUP(B430,[1]Total!$B:$Q,16,0)</f>
        <v>173.01.002 Gastos por inspecciones de calidad</v>
      </c>
      <c r="M430">
        <f t="shared" ca="1" si="13"/>
        <v>50</v>
      </c>
      <c r="N430" t="str">
        <f t="shared" ca="1" si="14"/>
        <v xml:space="preserve">Rodrigo Perea MYT018 2202 HUD MXP    CIUDAD DE MEX MEX Myt018 2202 Hud Mxp Ciudad De Mex Mex Sales PO 1406_Cambio Vuelo Mty 8775a906-b88f-425d-becf-569fb1db35c3 </v>
      </c>
    </row>
    <row r="431" spans="1:14">
      <c r="A431" t="str">
        <f ca="1"/>
        <v>TRX1873</v>
      </c>
      <c r="B431" t="str">
        <f ca="1"/>
        <v>#42</v>
      </c>
      <c r="C431">
        <f ca="1"/>
        <v>46073.416666666599</v>
      </c>
      <c r="D431">
        <f ca="1"/>
        <v>143.34</v>
      </c>
      <c r="E431" t="str">
        <f ca="1"/>
        <v>MXN</v>
      </c>
      <c r="F431" t="str">
        <f ca="1"/>
        <v>Rodrigo Perea</v>
      </c>
      <c r="G431" t="str">
        <f ca="1"/>
        <v>UBER * PENDING         CMX           MEX</v>
      </c>
      <c r="H431" t="str">
        <f ca="1"/>
        <v>Uber</v>
      </c>
      <c r="I431" t="str">
        <f ca="1"/>
        <v>Sales</v>
      </c>
      <c r="J431" t="str">
        <f ca="1"/>
        <v>PO 1406_Peajes Mty</v>
      </c>
      <c r="K431" t="str">
        <f ca="1"/>
        <v>4aeaf6b5-bcda-4bb2-aea7-608f18f02957</v>
      </c>
      <c r="L431" t="str">
        <f ca="1">VLOOKUP(B431,[1]Total!$B:$Q,16,0)</f>
        <v>173.01.002 Gastos por inspecciones de calidad</v>
      </c>
      <c r="M431">
        <f t="shared" ca="1" si="13"/>
        <v>143.34</v>
      </c>
      <c r="N431" t="str">
        <f t="shared" ca="1" si="14"/>
        <v xml:space="preserve">Rodrigo Perea UBER * PENDING         CMX           MEX Uber Sales PO 1406_Peajes Mty 4aeaf6b5-bcda-4bb2-aea7-608f18f02957 </v>
      </c>
    </row>
    <row r="432" spans="1:14">
      <c r="A432" t="str">
        <f ca="1"/>
        <v>TRX1123</v>
      </c>
      <c r="B432" t="str">
        <f ca="1"/>
        <v>#42</v>
      </c>
      <c r="C432">
        <f ca="1"/>
        <v>46073.417361111096</v>
      </c>
      <c r="D432">
        <f ca="1"/>
        <v>1648.93</v>
      </c>
      <c r="E432" t="str">
        <f ca="1"/>
        <v>MXN</v>
      </c>
      <c r="F432" t="str">
        <f ca="1"/>
        <v>Rodrigo Perea</v>
      </c>
      <c r="G432" t="str">
        <f ca="1"/>
        <v>SMARTPY*HOTCITYCEVER   BLVD AVILA CA MEX</v>
      </c>
      <c r="H432" t="str">
        <f ca="1"/>
        <v>Smartpy Hotcitycever Blvd Avila Ca Mex</v>
      </c>
      <c r="I432" t="str">
        <f ca="1"/>
        <v>Sales</v>
      </c>
      <c r="J432" t="str">
        <f ca="1"/>
        <v>PO 1406_Comida Mty</v>
      </c>
      <c r="K432" t="str">
        <f ca="1"/>
        <v>0F7F778F-E221-4D62-9AD7-20CA0AF9F688</v>
      </c>
      <c r="L432" t="str">
        <f ca="1">VLOOKUP(B432,[1]Total!$B:$Q,16,0)</f>
        <v>173.01.002 Gastos por inspecciones de calidad</v>
      </c>
      <c r="M432">
        <f t="shared" ca="1" si="13"/>
        <v>1648.93</v>
      </c>
      <c r="N432" t="str">
        <f t="shared" ca="1" si="14"/>
        <v xml:space="preserve">Rodrigo Perea SMARTPY*HOTCITYCEVER   BLVD AVILA CA MEX Smartpy Hotcitycever Blvd Avila Ca Mex Sales PO 1406_Comida Mty 0F7F778F-E221-4D62-9AD7-20CA0AF9F688 </v>
      </c>
    </row>
    <row r="433" spans="1:14">
      <c r="A433" t="str">
        <f ca="1"/>
        <v>TRX1084</v>
      </c>
      <c r="B433" t="str">
        <f ca="1"/>
        <v>#42</v>
      </c>
      <c r="C433">
        <f ca="1"/>
        <v>46073.417361111096</v>
      </c>
      <c r="D433">
        <f ca="1"/>
        <v>378.35</v>
      </c>
      <c r="E433" t="str">
        <f ca="1"/>
        <v>MXN</v>
      </c>
      <c r="F433" t="str">
        <f ca="1"/>
        <v>Rodrigo Perea</v>
      </c>
      <c r="G433" t="str">
        <f ca="1"/>
        <v>REST NUTRIBIONICOS     VERACRUZ VER  MEX</v>
      </c>
      <c r="H433" t="str">
        <f ca="1"/>
        <v>Rest Nutribionicos Veracruz Ver Mex</v>
      </c>
      <c r="I433" t="str">
        <f ca="1"/>
        <v>Sales</v>
      </c>
      <c r="J433" t="str">
        <f ca="1"/>
        <v>PO 1406_Renta auto Mty</v>
      </c>
      <c r="K433" t="str">
        <f ca="1"/>
        <v>36ca4c65-2824-4e0c-b2bd-4f42960964f9</v>
      </c>
      <c r="L433" t="str">
        <f ca="1">VLOOKUP(B433,[1]Total!$B:$Q,16,0)</f>
        <v>173.01.002 Gastos por inspecciones de calidad</v>
      </c>
      <c r="M433">
        <f t="shared" ca="1" si="13"/>
        <v>378.35</v>
      </c>
      <c r="N433" t="str">
        <f t="shared" ca="1" si="14"/>
        <v xml:space="preserve">Rodrigo Perea REST NUTRIBIONICOS     VERACRUZ VER  MEX Rest Nutribionicos Veracruz Ver Mex Sales PO 1406_Renta auto Mty 36ca4c65-2824-4e0c-b2bd-4f42960964f9 </v>
      </c>
    </row>
    <row r="434" spans="1:14">
      <c r="A434" t="str">
        <f ca="1"/>
        <v>TRX1063</v>
      </c>
      <c r="B434" t="str">
        <f ca="1"/>
        <v>#42</v>
      </c>
      <c r="C434">
        <f ca="1"/>
        <v>46074.416666666599</v>
      </c>
      <c r="D434">
        <f ca="1"/>
        <v>317</v>
      </c>
      <c r="E434" t="str">
        <f ca="1"/>
        <v>MXN</v>
      </c>
      <c r="F434" t="str">
        <f ca="1"/>
        <v>Rodrigo Perea</v>
      </c>
      <c r="G434" t="str">
        <f ca="1"/>
        <v>REST QUINIENTOS DEL BO VERACRUZ VER  MEX</v>
      </c>
      <c r="H434" t="str">
        <f ca="1"/>
        <v>Rest Quinientos Del Bo Veracruz Ver Mex</v>
      </c>
      <c r="I434" t="str">
        <f ca="1"/>
        <v>Sales</v>
      </c>
      <c r="J434" t="str">
        <f ca="1"/>
        <v>PO 1406_Agua aeropuerto</v>
      </c>
      <c r="K434" t="str">
        <f ca="1"/>
        <v>7CF00AF5-856E-4A22-B5AC-5CA553DF957E</v>
      </c>
      <c r="L434" t="str">
        <f ca="1">VLOOKUP(B434,[1]Total!$B:$Q,16,0)</f>
        <v>173.01.002 Gastos por inspecciones de calidad</v>
      </c>
      <c r="M434">
        <f t="shared" ca="1" si="13"/>
        <v>317</v>
      </c>
      <c r="N434" t="str">
        <f t="shared" ca="1" si="14"/>
        <v xml:space="preserve">Rodrigo Perea REST QUINIENTOS DEL BO VERACRUZ VER  MEX Rest Quinientos Del Bo Veracruz Ver Mex Sales PO 1406_Agua aeropuerto 7CF00AF5-856E-4A22-B5AC-5CA553DF957E </v>
      </c>
    </row>
    <row r="435" spans="1:14">
      <c r="A435" t="str">
        <f ca="1"/>
        <v>TRX1364</v>
      </c>
      <c r="B435" t="str">
        <f ca="1"/>
        <v>#42</v>
      </c>
      <c r="C435">
        <f ca="1"/>
        <v>46074.416666666599</v>
      </c>
      <c r="D435">
        <f ca="1"/>
        <v>246.4</v>
      </c>
      <c r="E435" t="str">
        <f ca="1"/>
        <v>MXN</v>
      </c>
      <c r="F435" t="str">
        <f ca="1"/>
        <v>Rodrigo Perea</v>
      </c>
      <c r="G435" t="str">
        <f ca="1"/>
        <v>REST NUTRIBIONICOS     BOCA DEL RIO  MEX</v>
      </c>
      <c r="H435" t="str">
        <f ca="1"/>
        <v>Rest Nutribionicos Boca Del Rio Mex</v>
      </c>
      <c r="I435" t="str">
        <f ca="1"/>
        <v>Sales</v>
      </c>
      <c r="J435" t="str">
        <f ca="1"/>
        <v>PO 1406_Estacionamiento aeropuerto</v>
      </c>
      <c r="K435" t="str">
        <f ca="1"/>
        <v>ACFE3FD8-5B87-463D-B409-78C32684AB16</v>
      </c>
      <c r="L435" t="str">
        <f ca="1">VLOOKUP(B435,[1]Total!$B:$Q,16,0)</f>
        <v>173.01.002 Gastos por inspecciones de calidad</v>
      </c>
      <c r="M435">
        <f t="shared" ca="1" si="13"/>
        <v>246.4</v>
      </c>
      <c r="N435" t="str">
        <f t="shared" ca="1" si="14"/>
        <v xml:space="preserve">Rodrigo Perea REST NUTRIBIONICOS     BOCA DEL RIO  MEX Rest Nutribionicos Boca Del Rio Mex Sales PO 1406_Estacionamiento aeropuerto ACFE3FD8-5B87-463D-B409-78C32684AB16 </v>
      </c>
    </row>
    <row r="436" spans="1:14">
      <c r="A436" t="str">
        <f ca="1"/>
        <v>TRX1122</v>
      </c>
      <c r="B436" t="str">
        <f ca="1"/>
        <v>#42</v>
      </c>
      <c r="C436">
        <f ca="1"/>
        <v>46074.416666666599</v>
      </c>
      <c r="D436">
        <f ca="1"/>
        <v>253.81</v>
      </c>
      <c r="E436" t="str">
        <f ca="1"/>
        <v>MXN</v>
      </c>
      <c r="F436" t="str">
        <f ca="1"/>
        <v>Rodrigo Perea</v>
      </c>
      <c r="G436" t="str">
        <f ca="1"/>
        <v>DLO*Uber               CDMX          MEX</v>
      </c>
      <c r="H436" t="str">
        <f ca="1"/>
        <v>Uber</v>
      </c>
      <c r="I436" t="str">
        <f ca="1"/>
        <v>Sales</v>
      </c>
      <c r="J436" t="str">
        <f ca="1"/>
        <v>Cuota mes uber</v>
      </c>
      <c r="K436" t="str">
        <f ca="1"/>
        <v>N/A</v>
      </c>
      <c r="L436" t="str">
        <f ca="1">VLOOKUP(B436,[1]Total!$B:$Q,16,0)</f>
        <v>173.01.002 Gastos por inspecciones de calidad</v>
      </c>
      <c r="M436">
        <f t="shared" ca="1" si="13"/>
        <v>253.81</v>
      </c>
      <c r="N436" t="str">
        <f t="shared" ca="1" si="14"/>
        <v xml:space="preserve">Rodrigo Perea DLO*Uber               CDMX          MEX Uber Sales Cuota mes uber N/A </v>
      </c>
    </row>
    <row r="437" spans="1:14">
      <c r="A437" t="str">
        <f ca="1"/>
        <v>TRX1190</v>
      </c>
      <c r="B437" t="str">
        <f ca="1"/>
        <v>#42</v>
      </c>
      <c r="C437">
        <f ca="1"/>
        <v>46074.416666666599</v>
      </c>
      <c r="D437">
        <f ca="1"/>
        <v>51</v>
      </c>
      <c r="E437" t="str">
        <f ca="1"/>
        <v>MXN</v>
      </c>
      <c r="F437" t="str">
        <f ca="1"/>
        <v>Rodrigo Perea</v>
      </c>
      <c r="G437" t="str">
        <f ca="1"/>
        <v>ASUR C CONV SHOP 4     VERACRUZ VER  MEX</v>
      </c>
      <c r="H437" t="str">
        <f ca="1"/>
        <v>Asur C Conv Shop 4 Veracruz Ver Mex</v>
      </c>
      <c r="I437" t="str">
        <f ca="1"/>
        <v>Sales</v>
      </c>
      <c r="J437" t="str">
        <f ca="1"/>
        <v>PO 1406_Agua vuelo</v>
      </c>
      <c r="K437" t="str">
        <f ca="1"/>
        <v>N/A_Ticket</v>
      </c>
      <c r="L437" t="str">
        <f ca="1">VLOOKUP(B437,[1]Total!$B:$Q,16,0)</f>
        <v>173.01.002 Gastos por inspecciones de calidad</v>
      </c>
      <c r="M437">
        <f t="shared" ca="1" si="13"/>
        <v>51</v>
      </c>
      <c r="N437" t="str">
        <f t="shared" ca="1" si="14"/>
        <v xml:space="preserve">Rodrigo Perea ASUR C CONV SHOP 4     VERACRUZ VER  MEX Asur C Conv Shop 4 Veracruz Ver Mex Sales PO 1406_Agua vuelo N/A_Ticket </v>
      </c>
    </row>
    <row r="438" spans="1:14">
      <c r="A438" t="str">
        <f ca="1"/>
        <v>TRX1028</v>
      </c>
      <c r="B438" t="str">
        <f ca="1"/>
        <v>#42</v>
      </c>
      <c r="C438">
        <f ca="1"/>
        <v>46074.417361111096</v>
      </c>
      <c r="D438">
        <f ca="1"/>
        <v>1076.9000000000001</v>
      </c>
      <c r="E438" t="str">
        <f ca="1"/>
        <v>MXN</v>
      </c>
      <c r="F438" t="str">
        <f ca="1"/>
        <v>Rodrigo Perea</v>
      </c>
      <c r="G438" t="str">
        <f ca="1"/>
        <v>REST EL LECHERO        VERACRUZ VER  MEX</v>
      </c>
      <c r="H438" t="str">
        <f ca="1"/>
        <v>Rest El Lechero Veracruz Ver Mex</v>
      </c>
      <c r="I438" t="str">
        <f ca="1"/>
        <v>Sales</v>
      </c>
      <c r="J438" t="str">
        <f ca="1"/>
        <v>Mes office</v>
      </c>
      <c r="K438" t="str">
        <f ca="1"/>
        <v>N/A</v>
      </c>
      <c r="L438" t="str">
        <f ca="1">VLOOKUP(B438,[1]Total!$B:$Q,16,0)</f>
        <v>173.01.002 Gastos por inspecciones de calidad</v>
      </c>
      <c r="M438">
        <f t="shared" ca="1" si="13"/>
        <v>1076.9000000000001</v>
      </c>
      <c r="N438" t="str">
        <f t="shared" ca="1" si="14"/>
        <v xml:space="preserve">Rodrigo Perea REST EL LECHERO        VERACRUZ VER  MEX Rest El Lechero Veracruz Ver Mex Sales Mes office N/A </v>
      </c>
    </row>
    <row r="439" spans="1:14">
      <c r="A439" t="str">
        <f ca="1"/>
        <v>TRX1032</v>
      </c>
      <c r="B439" t="str">
        <f ca="1"/>
        <v>#42</v>
      </c>
      <c r="C439">
        <f ca="1"/>
        <v>46074.417361111096</v>
      </c>
      <c r="D439">
        <f ca="1"/>
        <v>35</v>
      </c>
      <c r="E439" t="str">
        <f ca="1"/>
        <v>MXN</v>
      </c>
      <c r="F439" t="str">
        <f ca="1"/>
        <v>Rodrigo Perea</v>
      </c>
      <c r="G439" t="str">
        <f ca="1"/>
        <v>OXXO 20 DE NOVIEMBRE V VERACRUZ VER  MEX</v>
      </c>
      <c r="H439" t="str">
        <f ca="1"/>
        <v>Oxxo</v>
      </c>
      <c r="I439" t="str">
        <f ca="1"/>
        <v>Sales</v>
      </c>
      <c r="J439" t="str">
        <f ca="1"/>
        <v>PO 1406_Vuelo Mty</v>
      </c>
      <c r="K439" t="str">
        <f ca="1"/>
        <v>b2c693c1-f125-4fcc-839c-2913c5eb986a</v>
      </c>
      <c r="L439" t="str">
        <f ca="1">VLOOKUP(B439,[1]Total!$B:$Q,16,0)</f>
        <v>173.01.002 Gastos por inspecciones de calidad</v>
      </c>
      <c r="M439">
        <f t="shared" ca="1" si="13"/>
        <v>35</v>
      </c>
      <c r="N439" t="str">
        <f t="shared" ca="1" si="14"/>
        <v xml:space="preserve">Rodrigo Perea OXXO 20 DE NOVIEMBRE V VERACRUZ VER  MEX Oxxo Sales PO 1406_Vuelo Mty b2c693c1-f125-4fcc-839c-2913c5eb986a </v>
      </c>
    </row>
    <row r="440" spans="1:14">
      <c r="A440" t="str">
        <f ca="1"/>
        <v>TRX1236</v>
      </c>
      <c r="B440" t="str">
        <f ca="1"/>
        <v>#42</v>
      </c>
      <c r="C440">
        <f ca="1"/>
        <v>46080.417361111096</v>
      </c>
      <c r="D440">
        <f ca="1"/>
        <v>842.17</v>
      </c>
      <c r="E440" t="str">
        <f ca="1"/>
        <v>MXN</v>
      </c>
      <c r="F440" t="str">
        <f ca="1"/>
        <v>Rodrigo Perea</v>
      </c>
      <c r="G440" t="str">
        <f ca="1"/>
        <v>GAS ARENAS             CIUDAD DE MEX MEX</v>
      </c>
      <c r="H440" t="str">
        <f ca="1"/>
        <v>Gas Arenas Ciudad De Mex Mex</v>
      </c>
      <c r="I440" t="str">
        <f ca="1"/>
        <v>Sales</v>
      </c>
      <c r="J440" t="str">
        <f ca="1"/>
        <v>PO 1406_Hospedaje Mty</v>
      </c>
      <c r="K440" t="str">
        <f ca="1"/>
        <v>BEDE37F2-0A33-473B-9B0C-9B9D2C51C4E5</v>
      </c>
      <c r="L440" t="str">
        <f ca="1">VLOOKUP(B440,[1]Total!$B:$Q,16,0)</f>
        <v>173.01.002 Gastos por inspecciones de calidad</v>
      </c>
      <c r="M440">
        <f t="shared" ca="1" si="13"/>
        <v>842.17</v>
      </c>
      <c r="N440" t="str">
        <f t="shared" ca="1" si="14"/>
        <v xml:space="preserve">Rodrigo Perea GAS ARENAS             CIUDAD DE MEX MEX Gas Arenas Ciudad De Mex Mex Sales PO 1406_Hospedaje Mty BEDE37F2-0A33-473B-9B0C-9B9D2C51C4E5 </v>
      </c>
    </row>
    <row r="441" spans="1:14">
      <c r="A441" t="str">
        <f ca="1"/>
        <v>TRX1262</v>
      </c>
      <c r="B441" t="str">
        <f ca="1"/>
        <v>#42</v>
      </c>
      <c r="C441">
        <f ca="1"/>
        <v>46081.416666666599</v>
      </c>
      <c r="D441">
        <f ca="1"/>
        <v>1000</v>
      </c>
      <c r="E441" t="str">
        <f ca="1"/>
        <v>MXN</v>
      </c>
      <c r="F441" t="str">
        <f ca="1"/>
        <v>Rodrigo Perea</v>
      </c>
      <c r="G441" t="str">
        <f ca="1"/>
        <v>RECARGA PASE TUTAG     CIUDAD DE MEX MEX</v>
      </c>
      <c r="H441" t="str">
        <f ca="1"/>
        <v>Recarga Pase Tutag Ciudad De Mex Mex</v>
      </c>
      <c r="I441" t="str">
        <f ca="1"/>
        <v>Sales</v>
      </c>
      <c r="J441" t="str">
        <f ca="1"/>
        <v>PO 1406_Desayuno aeropuerto Mty</v>
      </c>
      <c r="K441" t="str">
        <f ca="1"/>
        <v>E0DFD8C6-91A5-4625-9714-1B0FB73BA6BD</v>
      </c>
      <c r="L441" t="str">
        <f ca="1">VLOOKUP(B441,[1]Total!$B:$Q,16,0)</f>
        <v>173.01.002 Gastos por inspecciones de calidad</v>
      </c>
      <c r="M441">
        <f t="shared" ca="1" si="13"/>
        <v>1000</v>
      </c>
      <c r="N441" t="str">
        <f t="shared" ca="1" si="14"/>
        <v xml:space="preserve">Rodrigo Perea RECARGA PASE TUTAG     CIUDAD DE MEX MEX Recarga Pase Tutag Ciudad De Mex Mex Sales PO 1406_Desayuno aeropuerto Mty E0DFD8C6-91A5-4625-9714-1B0FB73BA6BD </v>
      </c>
    </row>
    <row r="442" spans="1:14" hidden="1">
      <c r="A442" t="str">
        <f ca="1"/>
        <v>#N/A</v>
      </c>
      <c r="B442">
        <f ca="1"/>
        <v>0</v>
      </c>
      <c r="C442">
        <f ca="1"/>
        <v>0</v>
      </c>
      <c r="D442" t="str">
        <f ca="1"/>
        <v>#N/A</v>
      </c>
      <c r="E442" t="str">
        <f ca="1"/>
        <v>#N/A</v>
      </c>
      <c r="F442" t="str">
        <f ca="1"/>
        <v>#N/A</v>
      </c>
      <c r="G442" t="str">
        <f ca="1"/>
        <v>#N/A</v>
      </c>
      <c r="H442">
        <f ca="1"/>
        <v>0</v>
      </c>
      <c r="I442" t="str">
        <f ca="1"/>
        <v/>
      </c>
      <c r="J442">
        <f ca="1"/>
        <v>0</v>
      </c>
      <c r="K442" t="str">
        <f ca="1"/>
        <v>.</v>
      </c>
      <c r="L442" t="e">
        <f ca="1">VLOOKUP(B442,[1]Total!$B:$Q,16,0)</f>
        <v>#N/A</v>
      </c>
      <c r="M442" t="str">
        <f t="shared" ca="1" si="13"/>
        <v>#N/A</v>
      </c>
      <c r="N442" t="str">
        <f t="shared" ca="1" si="14"/>
        <v xml:space="preserve">#N/A #N/A 0  0 . </v>
      </c>
    </row>
    <row r="443" spans="1:14">
      <c r="A443" t="str">
        <f ca="1"/>
        <v>TRX1489</v>
      </c>
      <c r="B443" t="str">
        <f ca="1"/>
        <v>#44</v>
      </c>
      <c r="C443">
        <f ca="1"/>
        <v>46066.416666666599</v>
      </c>
      <c r="D443">
        <f ca="1"/>
        <v>1570.01</v>
      </c>
      <c r="E443" t="str">
        <f ca="1"/>
        <v>MXN</v>
      </c>
      <c r="F443" t="str">
        <f ca="1"/>
        <v>JP Hammerstein</v>
      </c>
      <c r="G443" t="str">
        <f ca="1"/>
        <v>SERV LAS AMERICAS II   SAN ANDRES CH MEX</v>
      </c>
      <c r="H443" t="str">
        <f ca="1"/>
        <v>Serv Las Americas Ii San Andres Ch Mex</v>
      </c>
      <c r="I443" t="str">
        <f ca="1"/>
        <v>G&amp;A expenses</v>
      </c>
      <c r="J443" t="str">
        <f ca="1"/>
        <v>PO:  N/A
Visita a Colony House Reforma para All Hands</v>
      </c>
      <c r="K443" t="str">
        <f ca="1"/>
        <v>12EE7F3D-F1D0-444A-A686-DC4C25CADF92</v>
      </c>
      <c r="L443" t="str">
        <f ca="1">VLOOKUP(B443,[1]Total!$B:$Q,16,0)</f>
        <v>603.81.006 Gastos Administativos de venta</v>
      </c>
      <c r="M443">
        <f t="shared" ca="1" si="13"/>
        <v>1570.01</v>
      </c>
      <c r="N443" t="str">
        <f t="shared" ca="1" si="14"/>
        <v xml:space="preserve">JP Hammerstein SERV LAS AMERICAS II   SAN ANDRES CH MEX Serv Las Americas Ii San Andres Ch Mex G&amp;A expenses PO:  N/A
Visita a Colony House Reforma para All Hands 12EE7F3D-F1D0-444A-A686-DC4C25CADF92 </v>
      </c>
    </row>
    <row r="444" spans="1:14" hidden="1">
      <c r="A444" t="str">
        <f ca="1"/>
        <v>#N/A</v>
      </c>
      <c r="B444">
        <f ca="1"/>
        <v>0</v>
      </c>
      <c r="C444">
        <f ca="1"/>
        <v>0</v>
      </c>
      <c r="D444" t="str">
        <f ca="1"/>
        <v>#N/A</v>
      </c>
      <c r="E444" t="str">
        <f ca="1"/>
        <v>#N/A</v>
      </c>
      <c r="F444" t="str">
        <f ca="1"/>
        <v>#N/A</v>
      </c>
      <c r="G444" t="str">
        <f ca="1"/>
        <v>#N/A</v>
      </c>
      <c r="H444">
        <f ca="1"/>
        <v>0</v>
      </c>
      <c r="I444" t="str">
        <f ca="1"/>
        <v>Sales</v>
      </c>
      <c r="J444" t="str">
        <f ca="1"/>
        <v>Recarga Tag</v>
      </c>
      <c r="K444" t="str">
        <f ca="1"/>
        <v>BB0E52FB-2F81-11F0-8D9F-00155D014009</v>
      </c>
      <c r="L444" t="e">
        <f ca="1">VLOOKUP(B444,[1]Total!$B:$Q,16,0)</f>
        <v>#N/A</v>
      </c>
      <c r="M444" t="str">
        <f t="shared" ca="1" si="13"/>
        <v>#N/A</v>
      </c>
      <c r="N444" t="str">
        <f t="shared" ca="1" si="14"/>
        <v xml:space="preserve">#N/A #N/A 0 Sales Recarga Tag BB0E52FB-2F81-11F0-8D9F-00155D014009 </v>
      </c>
    </row>
    <row r="445" spans="1:14" hidden="1">
      <c r="A445" t="str">
        <f ca="1"/>
        <v>#N/A</v>
      </c>
      <c r="B445">
        <f ca="1"/>
        <v>0</v>
      </c>
      <c r="C445">
        <f ca="1"/>
        <v>0</v>
      </c>
      <c r="D445" t="str">
        <f ca="1"/>
        <v>#N/A</v>
      </c>
      <c r="E445" t="str">
        <f ca="1"/>
        <v>#N/A</v>
      </c>
      <c r="F445" t="str">
        <f ca="1"/>
        <v>#N/A</v>
      </c>
      <c r="G445" t="str">
        <f ca="1"/>
        <v>#N/A</v>
      </c>
      <c r="H445">
        <f ca="1"/>
        <v>0</v>
      </c>
      <c r="I445" t="str">
        <f ca="1"/>
        <v>Sales</v>
      </c>
      <c r="J445" t="str">
        <f ca="1"/>
        <v>Marketing platform</v>
      </c>
      <c r="K445" t="str">
        <f ca="1"/>
        <v>.</v>
      </c>
      <c r="L445" t="e">
        <f ca="1">VLOOKUP(B445,[1]Total!$B:$Q,16,0)</f>
        <v>#N/A</v>
      </c>
      <c r="M445" t="str">
        <f t="shared" ca="1" si="13"/>
        <v>#N/A</v>
      </c>
      <c r="N445" t="str">
        <f t="shared" ca="1" si="14"/>
        <v xml:space="preserve">#N/A #N/A 0 Sales Marketing platform . </v>
      </c>
    </row>
    <row r="446" spans="1:14" hidden="1">
      <c r="A446" t="str">
        <f ca="1"/>
        <v>#N/A</v>
      </c>
      <c r="B446">
        <f ca="1"/>
        <v>0</v>
      </c>
      <c r="C446">
        <f ca="1"/>
        <v>0</v>
      </c>
      <c r="D446" t="str">
        <f ca="1"/>
        <v>#N/A</v>
      </c>
      <c r="E446" t="str">
        <f ca="1"/>
        <v>#N/A</v>
      </c>
      <c r="F446" t="str">
        <f ca="1"/>
        <v>#N/A</v>
      </c>
      <c r="G446" t="str">
        <f ca="1"/>
        <v>#N/A</v>
      </c>
      <c r="H446">
        <f ca="1"/>
        <v>0</v>
      </c>
      <c r="I446" t="str">
        <f ca="1"/>
        <v>Transaction cost</v>
      </c>
      <c r="J446" t="str">
        <f ca="1"/>
        <v>PO 1825</v>
      </c>
      <c r="K446" t="str">
        <f ca="1"/>
        <v>TER-132383082</v>
      </c>
      <c r="L446" t="e">
        <f ca="1">VLOOKUP(B446,[1]Total!$B:$Q,16,0)</f>
        <v>#N/A</v>
      </c>
      <c r="M446" t="str">
        <f t="shared" ca="1" si="13"/>
        <v>#N/A</v>
      </c>
      <c r="N446" t="str">
        <f t="shared" ca="1" si="14"/>
        <v xml:space="preserve">#N/A #N/A 0 Transaction cost PO 1825 TER-132383082 </v>
      </c>
    </row>
    <row r="447" spans="1:14">
      <c r="A447" t="str">
        <f ca="1"/>
        <v>TRX1398</v>
      </c>
      <c r="B447" t="str">
        <f ca="1"/>
        <v>#49</v>
      </c>
      <c r="C447">
        <f ca="1"/>
        <v>46059.417361111096</v>
      </c>
      <c r="D447">
        <f ca="1"/>
        <v>287</v>
      </c>
      <c r="E447" t="str">
        <f ca="1"/>
        <v>MXN</v>
      </c>
      <c r="F447" t="str">
        <f ca="1"/>
        <v>Jahaziel Galan</v>
      </c>
      <c r="G447" t="str">
        <f ca="1"/>
        <v>POLLOS ANAHUAC         SN NICOLAS DE MEX</v>
      </c>
      <c r="H447" t="str">
        <f ca="1"/>
        <v>Pollos Anahuac Sn Nicolas De Mex</v>
      </c>
      <c r="I447" t="str">
        <f ca="1"/>
        <v>Transaction cost</v>
      </c>
      <c r="J447" t="str">
        <f ca="1"/>
        <v>Comida Expo Manufactura</v>
      </c>
      <c r="K447" t="str">
        <f ca="1"/>
        <v>bbe00efa-a380-4310-a835-6caf7278701b</v>
      </c>
      <c r="L447" t="str">
        <f ca="1">VLOOKUP(B447,[1]Total!$B:$Q,16,0)</f>
        <v>173.01.002 Gastos por inspecciones de calidad</v>
      </c>
      <c r="M447">
        <f t="shared" ca="1" si="13"/>
        <v>287</v>
      </c>
      <c r="N447" t="str">
        <f t="shared" ca="1" si="14"/>
        <v xml:space="preserve">Jahaziel Galan POLLOS ANAHUAC         SN NICOLAS DE MEX Pollos Anahuac Sn Nicolas De Mex Transaction cost Comida Expo Manufactura bbe00efa-a380-4310-a835-6caf7278701b </v>
      </c>
    </row>
    <row r="448" spans="1:14">
      <c r="A448" t="str">
        <f ca="1"/>
        <v>TRX1605</v>
      </c>
      <c r="B448" t="str">
        <f ca="1"/>
        <v>#49</v>
      </c>
      <c r="C448">
        <f ca="1"/>
        <v>46061.417361111096</v>
      </c>
      <c r="D448">
        <f ca="1"/>
        <v>1004.27</v>
      </c>
      <c r="E448" t="str">
        <f ca="1"/>
        <v>MXN</v>
      </c>
      <c r="F448" t="str">
        <f ca="1"/>
        <v>Jahaziel Galan</v>
      </c>
      <c r="G448" t="str">
        <f ca="1"/>
        <v>OXXO GASTALAVERNA MTD  GUADALUPE NL  MEX</v>
      </c>
      <c r="H448" t="str">
        <f ca="1"/>
        <v>Oxxo</v>
      </c>
      <c r="I448" t="str">
        <f ca="1"/>
        <v>Transaction cost</v>
      </c>
      <c r="J448" t="str">
        <f ca="1"/>
        <v>Gasolina visitas a MP PO 1242</v>
      </c>
      <c r="K448" t="str">
        <f ca="1"/>
        <v>3dd4b12c-bed5-4f60-b120-8a8a71c298f1</v>
      </c>
      <c r="L448" t="str">
        <f ca="1">VLOOKUP(B448,[1]Total!$B:$Q,16,0)</f>
        <v>173.01.002 Gastos por inspecciones de calidad</v>
      </c>
      <c r="M448">
        <f t="shared" ca="1" si="13"/>
        <v>1004.27</v>
      </c>
      <c r="N448" t="str">
        <f t="shared" ca="1" si="14"/>
        <v xml:space="preserve">Jahaziel Galan OXXO GASTALAVERNA MTD  GUADALUPE NL  MEX Oxxo Transaction cost Gasolina visitas a MP PO 1242 3dd4b12c-bed5-4f60-b120-8a8a71c298f1 </v>
      </c>
    </row>
    <row r="449" spans="1:14">
      <c r="A449" t="str">
        <f ca="1"/>
        <v>TRX1300</v>
      </c>
      <c r="B449" t="str">
        <f ca="1"/>
        <v>#49</v>
      </c>
      <c r="C449">
        <f ca="1"/>
        <v>46065.416666666599</v>
      </c>
      <c r="D449">
        <f ca="1"/>
        <v>110</v>
      </c>
      <c r="E449" t="str">
        <f ca="1"/>
        <v>MXN</v>
      </c>
      <c r="F449" t="str">
        <f ca="1"/>
        <v>Jahaziel Galan</v>
      </c>
      <c r="G449" t="str">
        <f ca="1"/>
        <v>SORIANA624 DIEGODIAZB  SAN NICOLAS D MEX</v>
      </c>
      <c r="H449" t="str">
        <f ca="1"/>
        <v>Soriana624 Diegodiazb San Nicolas D Mex</v>
      </c>
      <c r="I449" t="str">
        <f ca="1"/>
        <v>Transaction cost</v>
      </c>
      <c r="J449" t="str">
        <f ca="1"/>
        <v>Comida Jorge Ramirez - Jahaziel visita a MP PO 1242</v>
      </c>
      <c r="K449" t="str">
        <f ca="1"/>
        <v>a80ce969-ef74-4fe6-a148-f08e7474c13f</v>
      </c>
      <c r="L449" t="str">
        <f ca="1">VLOOKUP(B449,[1]Total!$B:$Q,16,0)</f>
        <v>173.01.002 Gastos por inspecciones de calidad</v>
      </c>
      <c r="M449">
        <f t="shared" ca="1" si="13"/>
        <v>110</v>
      </c>
      <c r="N449" t="str">
        <f t="shared" ca="1" si="14"/>
        <v xml:space="preserve">Jahaziel Galan SORIANA624 DIEGODIAZB  SAN NICOLAS D MEX Soriana624 Diegodiazb San Nicolas D Mex Transaction cost Comida Jorge Ramirez - Jahaziel visita a MP PO 1242 a80ce969-ef74-4fe6-a148-f08e7474c13f </v>
      </c>
    </row>
    <row r="450" spans="1:14">
      <c r="A450" t="str">
        <f ca="1"/>
        <v>TRX1431</v>
      </c>
      <c r="B450" t="str">
        <f ca="1"/>
        <v>#49</v>
      </c>
      <c r="C450">
        <f ca="1"/>
        <v>46065.417361111096</v>
      </c>
      <c r="D450">
        <f ca="1"/>
        <v>378</v>
      </c>
      <c r="E450" t="str">
        <f ca="1"/>
        <v>MXN</v>
      </c>
      <c r="F450" t="str">
        <f ca="1"/>
        <v>Jahaziel Galan</v>
      </c>
      <c r="G450" t="str">
        <f ca="1"/>
        <v>I LIKE PIZZA BOSQUES A GRAL ESCOBEDO MEX</v>
      </c>
      <c r="H450" t="str">
        <f ca="1"/>
        <v>I Like Pizza Bosques A Gral Escobedo Mex</v>
      </c>
      <c r="I450" t="str">
        <f ca="1"/>
        <v>Transaction cost</v>
      </c>
      <c r="J450" t="str">
        <f ca="1"/>
        <v>Comida Jorge Ramirez - Jahaziel visita a MP PO 1242</v>
      </c>
      <c r="K450" t="str">
        <f ca="1"/>
        <v>899BDAA6-C400-4565-AFFF-E6D7EA5E904C</v>
      </c>
      <c r="L450" t="str">
        <f ca="1">VLOOKUP(B450,[1]Total!$B:$Q,16,0)</f>
        <v>173.01.002 Gastos por inspecciones de calidad</v>
      </c>
      <c r="M450">
        <f t="shared" ca="1" si="13"/>
        <v>378</v>
      </c>
      <c r="N450" t="str">
        <f t="shared" ca="1" si="14"/>
        <v xml:space="preserve">Jahaziel Galan I LIKE PIZZA BOSQUES A GRAL ESCOBEDO MEX I Like Pizza Bosques A Gral Escobedo Mex Transaction cost Comida Jorge Ramirez - Jahaziel visita a MP PO 1242 899BDAA6-C400-4565-AFFF-E6D7EA5E904C </v>
      </c>
    </row>
    <row r="451" spans="1:14">
      <c r="A451" t="str">
        <f ca="1"/>
        <v>TRX1594</v>
      </c>
      <c r="B451" t="str">
        <f ca="1"/>
        <v>#49</v>
      </c>
      <c r="C451">
        <f ca="1"/>
        <v>46066.417361111096</v>
      </c>
      <c r="D451">
        <f ca="1"/>
        <v>2055</v>
      </c>
      <c r="E451" t="str">
        <f ca="1"/>
        <v>MXN</v>
      </c>
      <c r="F451" t="str">
        <f ca="1"/>
        <v>Jahaziel Galan</v>
      </c>
      <c r="G451" t="str">
        <f ca="1"/>
        <v>REST PAPALOTE LV       MONTERREY NL  MEX</v>
      </c>
      <c r="H451" t="str">
        <f ca="1"/>
        <v>Rest Papalote Lv Monterrey Nl Mex</v>
      </c>
      <c r="I451" t="str">
        <f ca="1"/>
        <v>Transaction cost</v>
      </c>
      <c r="J451" t="str">
        <f ca="1"/>
        <v>Comida consultor GR Tooling PO 1242</v>
      </c>
      <c r="K451" t="str">
        <f ca="1"/>
        <v>50399173-A5FE-4BCA-814A-712F01255234</v>
      </c>
      <c r="L451" t="str">
        <f ca="1">VLOOKUP(B451,[1]Total!$B:$Q,16,0)</f>
        <v>173.01.002 Gastos por inspecciones de calidad</v>
      </c>
      <c r="M451">
        <f t="shared" ref="M451:M514" ca="1" si="15">D451</f>
        <v>2055</v>
      </c>
      <c r="N451" t="str">
        <f t="shared" ref="N451:N514" ca="1" si="16">CONCATENATE(F451," ",G451," ",H451," ",I451," ",J451," ",K451," ")</f>
        <v xml:space="preserve">Jahaziel Galan REST PAPALOTE LV       MONTERREY NL  MEX Rest Papalote Lv Monterrey Nl Mex Transaction cost Comida consultor GR Tooling PO 1242 50399173-A5FE-4BCA-814A-712F01255234 </v>
      </c>
    </row>
    <row r="452" spans="1:14">
      <c r="A452" t="str">
        <f ca="1"/>
        <v>TRX1409</v>
      </c>
      <c r="B452" t="str">
        <f ca="1"/>
        <v>#49</v>
      </c>
      <c r="C452">
        <f ca="1"/>
        <v>46068.416666666599</v>
      </c>
      <c r="D452">
        <f ca="1"/>
        <v>189</v>
      </c>
      <c r="E452" t="str">
        <f ca="1"/>
        <v>MXN</v>
      </c>
      <c r="F452" t="str">
        <f ca="1"/>
        <v>Jahaziel Galan</v>
      </c>
      <c r="G452" t="str">
        <f ca="1"/>
        <v>MERCADOPAGO *ANDREACA  Guadalupe     MEX</v>
      </c>
      <c r="H452" t="str">
        <f ca="1"/>
        <v>Mercadopago</v>
      </c>
      <c r="I452" t="str">
        <f ca="1"/>
        <v>Transaction cost</v>
      </c>
      <c r="J452" t="str">
        <f ca="1"/>
        <v>Comida visita a MP embarque PO 1242</v>
      </c>
      <c r="K452">
        <f ca="1"/>
        <v>0</v>
      </c>
      <c r="L452" t="str">
        <f ca="1">VLOOKUP(B452,[1]Total!$B:$Q,16,0)</f>
        <v>173.01.002 Gastos por inspecciones de calidad</v>
      </c>
      <c r="M452">
        <f t="shared" ca="1" si="15"/>
        <v>189</v>
      </c>
      <c r="N452" t="str">
        <f t="shared" ca="1" si="16"/>
        <v xml:space="preserve">Jahaziel Galan MERCADOPAGO *ANDREACA  Guadalupe     MEX Mercadopago Transaction cost Comida visita a MP embarque PO 1242 0 </v>
      </c>
    </row>
    <row r="453" spans="1:14">
      <c r="A453" t="str">
        <f ca="1"/>
        <v>TRX1556</v>
      </c>
      <c r="B453" t="str">
        <f ca="1"/>
        <v>#49</v>
      </c>
      <c r="C453">
        <f ca="1"/>
        <v>46069.416666666599</v>
      </c>
      <c r="D453">
        <f ca="1"/>
        <v>1060.24</v>
      </c>
      <c r="E453" t="str">
        <f ca="1"/>
        <v>MXN</v>
      </c>
      <c r="F453" t="str">
        <f ca="1"/>
        <v>Jahaziel Galan</v>
      </c>
      <c r="G453" t="str">
        <f ca="1"/>
        <v>ORSAN DEL NORTE EST 36 MONTERREY NL  MEX</v>
      </c>
      <c r="H453" t="str">
        <f ca="1"/>
        <v>Orsan Del Norte Est 36 Monterrey Nl Mex</v>
      </c>
      <c r="I453" t="str">
        <f ca="1"/>
        <v>Transaction cost</v>
      </c>
      <c r="J453" t="str">
        <f ca="1"/>
        <v>Gasolina visitas a MP PO 1242</v>
      </c>
      <c r="K453" t="str">
        <f ca="1"/>
        <v>F516011E-77ED-465D-9809-D11825ED21C7</v>
      </c>
      <c r="L453" t="str">
        <f ca="1">VLOOKUP(B453,[1]Total!$B:$Q,16,0)</f>
        <v>173.01.002 Gastos por inspecciones de calidad</v>
      </c>
      <c r="M453">
        <f t="shared" ca="1" si="15"/>
        <v>1060.24</v>
      </c>
      <c r="N453" t="str">
        <f t="shared" ca="1" si="16"/>
        <v xml:space="preserve">Jahaziel Galan ORSAN DEL NORTE EST 36 MONTERREY NL  MEX Orsan Del Norte Est 36 Monterrey Nl Mex Transaction cost Gasolina visitas a MP PO 1242 F516011E-77ED-465D-9809-D11825ED21C7 </v>
      </c>
    </row>
    <row r="454" spans="1:14">
      <c r="A454" t="str">
        <f ca="1"/>
        <v>TRX1030</v>
      </c>
      <c r="B454" t="str">
        <f ca="1"/>
        <v>#49</v>
      </c>
      <c r="C454">
        <f ca="1"/>
        <v>46074.417361111096</v>
      </c>
      <c r="D454">
        <f ca="1"/>
        <v>329</v>
      </c>
      <c r="E454" t="str">
        <f ca="1"/>
        <v>MXN</v>
      </c>
      <c r="F454" t="str">
        <f ca="1"/>
        <v>Jahaziel Galan</v>
      </c>
      <c r="G454" t="str">
        <f ca="1"/>
        <v>POLLO LOCO ADN         CIENEGA DE FL MEX</v>
      </c>
      <c r="H454" t="str">
        <f ca="1"/>
        <v>Pollo Loco Adn Cienega De Fl Mex</v>
      </c>
      <c r="I454" t="str">
        <f ca="1"/>
        <v>Transaction cost</v>
      </c>
      <c r="J454" t="str">
        <f ca="1"/>
        <v>Comida visita a MP embarque PO 1242</v>
      </c>
      <c r="K454">
        <f ca="1"/>
        <v>0</v>
      </c>
      <c r="L454" t="str">
        <f ca="1">VLOOKUP(B454,[1]Total!$B:$Q,16,0)</f>
        <v>173.01.002 Gastos por inspecciones de calidad</v>
      </c>
      <c r="M454">
        <f t="shared" ca="1" si="15"/>
        <v>329</v>
      </c>
      <c r="N454" t="str">
        <f t="shared" ca="1" si="16"/>
        <v xml:space="preserve">Jahaziel Galan POLLO LOCO ADN         CIENEGA DE FL MEX Pollo Loco Adn Cienega De Fl Mex Transaction cost Comida visita a MP embarque PO 1242 0 </v>
      </c>
    </row>
    <row r="455" spans="1:14">
      <c r="A455" t="str">
        <f ca="1"/>
        <v>TRX1101</v>
      </c>
      <c r="B455" t="str">
        <f ca="1"/>
        <v>#49</v>
      </c>
      <c r="C455">
        <f ca="1"/>
        <v>46076.416666666599</v>
      </c>
      <c r="D455">
        <f ca="1"/>
        <v>1033.01</v>
      </c>
      <c r="E455" t="str">
        <f ca="1"/>
        <v>MXN</v>
      </c>
      <c r="F455" t="str">
        <f ca="1"/>
        <v>Jahaziel Galan</v>
      </c>
      <c r="G455" t="str">
        <f ca="1"/>
        <v>OXXO GASTALAVERNA MTD  GUADALUPE NL  MEX</v>
      </c>
      <c r="H455" t="str">
        <f ca="1"/>
        <v>Oxxo</v>
      </c>
      <c r="I455" t="str">
        <f ca="1"/>
        <v>Transaction cost</v>
      </c>
      <c r="J455" t="str">
        <f ca="1"/>
        <v>Gasolina visitas a MP PO 1242</v>
      </c>
      <c r="K455" t="str">
        <f ca="1"/>
        <v>b3518e0a-b171-4608-88ce-a0f8ef3374ce</v>
      </c>
      <c r="L455" t="str">
        <f ca="1">VLOOKUP(B455,[1]Total!$B:$Q,16,0)</f>
        <v>173.01.002 Gastos por inspecciones de calidad</v>
      </c>
      <c r="M455">
        <f t="shared" ca="1" si="15"/>
        <v>1033.01</v>
      </c>
      <c r="N455" t="str">
        <f t="shared" ca="1" si="16"/>
        <v xml:space="preserve">Jahaziel Galan OXXO GASTALAVERNA MTD  GUADALUPE NL  MEX Oxxo Transaction cost Gasolina visitas a MP PO 1242 b3518e0a-b171-4608-88ce-a0f8ef3374ce </v>
      </c>
    </row>
    <row r="456" spans="1:14">
      <c r="A456" t="str">
        <f ca="1"/>
        <v>TRX1259</v>
      </c>
      <c r="B456" t="str">
        <f ca="1"/>
        <v>#49</v>
      </c>
      <c r="C456">
        <f ca="1"/>
        <v>46081.416666666599</v>
      </c>
      <c r="D456">
        <f ca="1"/>
        <v>174</v>
      </c>
      <c r="E456" t="str">
        <f ca="1"/>
        <v>MXN</v>
      </c>
      <c r="F456" t="str">
        <f ca="1"/>
        <v>Jahaziel Galan</v>
      </c>
      <c r="G456" t="str">
        <f ca="1"/>
        <v>MERCADOPAGO *ANDREACA  Guadalupe     MEX</v>
      </c>
      <c r="H456" t="str">
        <f ca="1"/>
        <v>Mercadopago</v>
      </c>
      <c r="I456" t="str">
        <f ca="1"/>
        <v>Transaction cost</v>
      </c>
      <c r="J456" t="str">
        <f ca="1"/>
        <v>Comida visita a MP embarque PO 1242</v>
      </c>
      <c r="K456">
        <f ca="1"/>
        <v>0</v>
      </c>
      <c r="L456" t="str">
        <f ca="1">VLOOKUP(B456,[1]Total!$B:$Q,16,0)</f>
        <v>173.01.002 Gastos por inspecciones de calidad</v>
      </c>
      <c r="M456">
        <f t="shared" ca="1" si="15"/>
        <v>174</v>
      </c>
      <c r="N456" t="str">
        <f t="shared" ca="1" si="16"/>
        <v xml:space="preserve">Jahaziel Galan MERCADOPAGO *ANDREACA  Guadalupe     MEX Mercadopago Transaction cost Comida visita a MP embarque PO 1242 0 </v>
      </c>
    </row>
    <row r="457" spans="1:14">
      <c r="A457" t="str">
        <f ca="1"/>
        <v>TRX1267</v>
      </c>
      <c r="B457" t="str">
        <f ca="1"/>
        <v>#52</v>
      </c>
      <c r="C457">
        <f ca="1"/>
        <v>46057.416666666599</v>
      </c>
      <c r="D457">
        <f ca="1"/>
        <v>1051.8699999999999</v>
      </c>
      <c r="E457" t="str">
        <f ca="1"/>
        <v>USD</v>
      </c>
      <c r="F457" t="str">
        <f ca="1"/>
        <v>Tommaso Rivetti Vinea</v>
      </c>
      <c r="G457" t="str">
        <f ca="1"/>
        <v>TST* ADAIR DOWNTOWN    HOUSTON       USA</v>
      </c>
      <c r="H457" t="str">
        <f ca="1"/>
        <v>Adair Downtown Houston USA</v>
      </c>
      <c r="I457" t="str">
        <f ca="1"/>
        <v>Capex</v>
      </c>
      <c r="J457" t="str">
        <f ca="1"/>
        <v>Comida TRV - PO1966</v>
      </c>
      <c r="K457" t="str">
        <f ca="1"/>
        <v>N/A</v>
      </c>
      <c r="L457" t="str">
        <f ca="1">VLOOKUP(B457,[1]Total!$B:$Q,16,0)</f>
        <v>602.34.002 Gastos por visita tencica</v>
      </c>
      <c r="M457">
        <f t="shared" ca="1" si="15"/>
        <v>1051.8699999999999</v>
      </c>
      <c r="N457" t="str">
        <f t="shared" ca="1" si="16"/>
        <v xml:space="preserve">Tommaso Rivetti Vinea TST* ADAIR DOWNTOWN    HOUSTON       USA Adair Downtown Houston USA Capex Comida TRV - PO1966 N/A </v>
      </c>
    </row>
    <row r="458" spans="1:14">
      <c r="A458" t="str">
        <f ca="1"/>
        <v>TRX1266</v>
      </c>
      <c r="B458" t="str">
        <f ca="1"/>
        <v>#52</v>
      </c>
      <c r="C458">
        <f ca="1"/>
        <v>46057.416666666599</v>
      </c>
      <c r="D458">
        <f ca="1"/>
        <v>520.04</v>
      </c>
      <c r="E458" t="str">
        <f ca="1"/>
        <v>USD</v>
      </c>
      <c r="F458" t="str">
        <f ca="1"/>
        <v>Tommaso Rivetti Vinea</v>
      </c>
      <c r="G458" t="str">
        <f ca="1"/>
        <v>UBER   * EATS PENDING  SAN FRANCISCO USA</v>
      </c>
      <c r="H458" t="str">
        <f ca="1"/>
        <v>Uber Eats</v>
      </c>
      <c r="I458" t="str">
        <f ca="1"/>
        <v>Capex</v>
      </c>
      <c r="J458" t="str">
        <f ca="1"/>
        <v>Uber TRV - PO1966</v>
      </c>
      <c r="K458" t="str">
        <f ca="1"/>
        <v>N/A</v>
      </c>
      <c r="L458" t="str">
        <f ca="1">VLOOKUP(B458,[1]Total!$B:$Q,16,0)</f>
        <v>602.34.002 Gastos por visita tencica</v>
      </c>
      <c r="M458">
        <f t="shared" ca="1" si="15"/>
        <v>520.04</v>
      </c>
      <c r="N458" t="str">
        <f t="shared" ca="1" si="16"/>
        <v xml:space="preserve">Tommaso Rivetti Vinea UBER   * EATS PENDING  SAN FRANCISCO USA Uber Eats Capex Uber TRV - PO1966 N/A </v>
      </c>
    </row>
    <row r="459" spans="1:14">
      <c r="A459" t="str">
        <f ca="1"/>
        <v>TRX1186</v>
      </c>
      <c r="B459" t="str">
        <f ca="1"/>
        <v>#52</v>
      </c>
      <c r="C459">
        <f ca="1"/>
        <v>46058.418055555499</v>
      </c>
      <c r="D459">
        <f ca="1"/>
        <v>307.95</v>
      </c>
      <c r="E459" t="str">
        <f ca="1"/>
        <v>USD</v>
      </c>
      <c r="F459" t="str">
        <f ca="1"/>
        <v>Tommaso Rivetti Vinea</v>
      </c>
      <c r="G459" t="str">
        <f ca="1"/>
        <v>UBER   * PENDING       SAN FRANCISCO USA</v>
      </c>
      <c r="H459" t="str">
        <f ca="1"/>
        <v>Uber</v>
      </c>
      <c r="I459" t="str">
        <f ca="1"/>
        <v>Capex</v>
      </c>
      <c r="J459" t="str">
        <f ca="1"/>
        <v>Uber TRV - PO1966</v>
      </c>
      <c r="K459" t="str">
        <f ca="1"/>
        <v>N/A</v>
      </c>
      <c r="L459" t="str">
        <f ca="1">VLOOKUP(B459,[1]Total!$B:$Q,16,0)</f>
        <v>602.34.002 Gastos por visita tencica</v>
      </c>
      <c r="M459">
        <f t="shared" ca="1" si="15"/>
        <v>307.95</v>
      </c>
      <c r="N459" t="str">
        <f t="shared" ca="1" si="16"/>
        <v xml:space="preserve">Tommaso Rivetti Vinea UBER   * PENDING       SAN FRANCISCO USA Uber Capex Uber TRV - PO1966 N/A </v>
      </c>
    </row>
    <row r="460" spans="1:14">
      <c r="A460" t="str">
        <f ca="1"/>
        <v>TRX1733</v>
      </c>
      <c r="B460" t="str">
        <f ca="1"/>
        <v>#52</v>
      </c>
      <c r="C460">
        <f ca="1"/>
        <v>46059.417361111096</v>
      </c>
      <c r="D460">
        <f ca="1"/>
        <v>54.47</v>
      </c>
      <c r="E460" t="str">
        <f ca="1"/>
        <v>USD</v>
      </c>
      <c r="F460" t="str">
        <f ca="1"/>
        <v>Tommaso Rivetti Vinea</v>
      </c>
      <c r="G460" t="str">
        <f ca="1"/>
        <v>UBER   *TRIP           SAN FRANCISCO USA</v>
      </c>
      <c r="H460" t="str">
        <f ca="1"/>
        <v>Uber</v>
      </c>
      <c r="I460" t="str">
        <f ca="1"/>
        <v>Capex</v>
      </c>
      <c r="J460" t="str">
        <f ca="1"/>
        <v>Uber TRV - PO1966</v>
      </c>
      <c r="K460" t="str">
        <f ca="1"/>
        <v>N/A</v>
      </c>
      <c r="L460" t="str">
        <f ca="1">VLOOKUP(B460,[1]Total!$B:$Q,16,0)</f>
        <v>602.34.002 Gastos por visita tencica</v>
      </c>
      <c r="M460">
        <f t="shared" ca="1" si="15"/>
        <v>54.47</v>
      </c>
      <c r="N460" t="str">
        <f t="shared" ca="1" si="16"/>
        <v xml:space="preserve">Tommaso Rivetti Vinea UBER   *TRIP           SAN FRANCISCO USA Uber Capex Uber TRV - PO1966 N/A </v>
      </c>
    </row>
    <row r="461" spans="1:14">
      <c r="A461" t="str">
        <f ca="1"/>
        <v>TRX1110</v>
      </c>
      <c r="B461" t="str">
        <f ca="1"/>
        <v>#52</v>
      </c>
      <c r="C461">
        <f ca="1"/>
        <v>46059.417361111096</v>
      </c>
      <c r="D461">
        <f ca="1"/>
        <v>398.38</v>
      </c>
      <c r="E461" t="str">
        <f ca="1"/>
        <v>USD</v>
      </c>
      <c r="F461" t="str">
        <f ca="1"/>
        <v>Tommaso Rivetti Vinea</v>
      </c>
      <c r="G461" t="str">
        <f ca="1"/>
        <v>UBER   * PENDING       SAN FRANCISCO USA</v>
      </c>
      <c r="H461" t="str">
        <f ca="1"/>
        <v>Uber</v>
      </c>
      <c r="I461" t="str">
        <f ca="1"/>
        <v>Capex</v>
      </c>
      <c r="J461" t="str">
        <f ca="1"/>
        <v>Uber TRV - PO1966</v>
      </c>
      <c r="K461" t="str">
        <f ca="1"/>
        <v>N/A</v>
      </c>
      <c r="L461" t="str">
        <f ca="1">VLOOKUP(B461,[1]Total!$B:$Q,16,0)</f>
        <v>602.34.002 Gastos por visita tencica</v>
      </c>
      <c r="M461">
        <f t="shared" ca="1" si="15"/>
        <v>398.38</v>
      </c>
      <c r="N461" t="str">
        <f t="shared" ca="1" si="16"/>
        <v xml:space="preserve">Tommaso Rivetti Vinea UBER   * PENDING       SAN FRANCISCO USA Uber Capex Uber TRV - PO1966 N/A </v>
      </c>
    </row>
    <row r="462" spans="1:14">
      <c r="A462" t="str">
        <f ca="1"/>
        <v>TRX1804</v>
      </c>
      <c r="B462" t="str">
        <f ca="1"/>
        <v>#52</v>
      </c>
      <c r="C462">
        <f ca="1"/>
        <v>46059.417361111096</v>
      </c>
      <c r="D462">
        <f ca="1"/>
        <v>402.19</v>
      </c>
      <c r="E462" t="str">
        <f ca="1"/>
        <v>USD</v>
      </c>
      <c r="F462" t="str">
        <f ca="1"/>
        <v>Tommaso Rivetti Vinea</v>
      </c>
      <c r="G462" t="str">
        <f ca="1"/>
        <v>SQ *MONKEY NEST COFFEE Austin        USA</v>
      </c>
      <c r="H462" t="str">
        <f ca="1"/>
        <v>Monkey Nest Coffee Austin USA</v>
      </c>
      <c r="I462" t="str">
        <f ca="1"/>
        <v>Capex</v>
      </c>
      <c r="J462" t="str">
        <f ca="1"/>
        <v>Comida TRV - PO1966</v>
      </c>
      <c r="K462" t="str">
        <f ca="1"/>
        <v>N/A</v>
      </c>
      <c r="L462" t="str">
        <f ca="1">VLOOKUP(B462,[1]Total!$B:$Q,16,0)</f>
        <v>602.34.002 Gastos por visita tencica</v>
      </c>
      <c r="M462">
        <f t="shared" ca="1" si="15"/>
        <v>402.19</v>
      </c>
      <c r="N462" t="str">
        <f t="shared" ca="1" si="16"/>
        <v xml:space="preserve">Tommaso Rivetti Vinea SQ *MONKEY NEST COFFEE Austin        USA Monkey Nest Coffee Austin USA Capex Comida TRV - PO1966 N/A </v>
      </c>
    </row>
    <row r="463" spans="1:14">
      <c r="A463" t="str">
        <f ca="1"/>
        <v>TRX1071</v>
      </c>
      <c r="B463" t="str">
        <f ca="1"/>
        <v>#52</v>
      </c>
      <c r="C463">
        <f ca="1"/>
        <v>46059.417361111096</v>
      </c>
      <c r="D463">
        <f ca="1"/>
        <v>462.48</v>
      </c>
      <c r="E463" t="str">
        <f ca="1"/>
        <v>USD</v>
      </c>
      <c r="F463" t="str">
        <f ca="1"/>
        <v>Tommaso Rivetti Vinea</v>
      </c>
      <c r="G463" t="str">
        <f ca="1"/>
        <v>UBER   *JASONSDELI     SAN FRANCISCO USA</v>
      </c>
      <c r="H463" t="str">
        <f ca="1"/>
        <v>Uber</v>
      </c>
      <c r="I463" t="str">
        <f ca="1"/>
        <v>Capex</v>
      </c>
      <c r="J463" t="str">
        <f ca="1"/>
        <v>Uber TRV - PO1966</v>
      </c>
      <c r="K463" t="str">
        <f ca="1"/>
        <v>N/A</v>
      </c>
      <c r="L463" t="str">
        <f ca="1">VLOOKUP(B463,[1]Total!$B:$Q,16,0)</f>
        <v>602.34.002 Gastos por visita tencica</v>
      </c>
      <c r="M463">
        <f t="shared" ca="1" si="15"/>
        <v>462.48</v>
      </c>
      <c r="N463" t="str">
        <f t="shared" ca="1" si="16"/>
        <v xml:space="preserve">Tommaso Rivetti Vinea UBER   *JASONSDELI     SAN FRANCISCO USA Uber Capex Uber TRV - PO1966 N/A </v>
      </c>
    </row>
    <row r="464" spans="1:14">
      <c r="A464" t="str">
        <f ca="1"/>
        <v>TRX1058</v>
      </c>
      <c r="B464" t="str">
        <f ca="1"/>
        <v>#52</v>
      </c>
      <c r="C464">
        <f ca="1"/>
        <v>46059.417361111096</v>
      </c>
      <c r="D464">
        <f ca="1"/>
        <v>235.32</v>
      </c>
      <c r="E464" t="str">
        <f ca="1"/>
        <v>USD</v>
      </c>
      <c r="F464" t="str">
        <f ca="1"/>
        <v>Tommaso Rivetti Vinea</v>
      </c>
      <c r="G464" t="str">
        <f ca="1"/>
        <v>UBER   *TRIP           SAN FRANCISCO USA</v>
      </c>
      <c r="H464" t="str">
        <f ca="1"/>
        <v>Uber</v>
      </c>
      <c r="I464" t="str">
        <f ca="1"/>
        <v>Capex</v>
      </c>
      <c r="J464" t="str">
        <f ca="1"/>
        <v>Uber TRV - PO1966</v>
      </c>
      <c r="K464" t="str">
        <f ca="1"/>
        <v>N/A</v>
      </c>
      <c r="L464" t="str">
        <f ca="1">VLOOKUP(B464,[1]Total!$B:$Q,16,0)</f>
        <v>602.34.002 Gastos por visita tencica</v>
      </c>
      <c r="M464">
        <f t="shared" ca="1" si="15"/>
        <v>235.32</v>
      </c>
      <c r="N464" t="str">
        <f t="shared" ca="1" si="16"/>
        <v xml:space="preserve">Tommaso Rivetti Vinea UBER   *TRIP           SAN FRANCISCO USA Uber Capex Uber TRV - PO1966 N/A </v>
      </c>
    </row>
    <row r="465" spans="1:14">
      <c r="A465" t="str">
        <f ca="1"/>
        <v>TRX1252</v>
      </c>
      <c r="B465" t="str">
        <f ca="1"/>
        <v>#52</v>
      </c>
      <c r="C465">
        <f ca="1"/>
        <v>46059.417361111096</v>
      </c>
      <c r="D465">
        <f ca="1"/>
        <v>592.63</v>
      </c>
      <c r="E465" t="str">
        <f ca="1"/>
        <v>USD</v>
      </c>
      <c r="F465" t="str">
        <f ca="1"/>
        <v>Tommaso Rivetti Vinea</v>
      </c>
      <c r="G465" t="str">
        <f ca="1"/>
        <v>UBER   * EATS PENDING  SAN FRANCISCO USA</v>
      </c>
      <c r="H465" t="str">
        <f ca="1"/>
        <v>Uber Eats</v>
      </c>
      <c r="I465" t="str">
        <f ca="1"/>
        <v>Capex</v>
      </c>
      <c r="J465" t="str">
        <f ca="1"/>
        <v>Uber TRV - PO1966</v>
      </c>
      <c r="K465" t="str">
        <f ca="1"/>
        <v>N/A</v>
      </c>
      <c r="L465" t="str">
        <f ca="1">VLOOKUP(B465,[1]Total!$B:$Q,16,0)</f>
        <v>602.34.002 Gastos por visita tencica</v>
      </c>
      <c r="M465">
        <f t="shared" ca="1" si="15"/>
        <v>592.63</v>
      </c>
      <c r="N465" t="str">
        <f t="shared" ca="1" si="16"/>
        <v xml:space="preserve">Tommaso Rivetti Vinea UBER   * EATS PENDING  SAN FRANCISCO USA Uber Eats Capex Uber TRV - PO1966 N/A </v>
      </c>
    </row>
    <row r="466" spans="1:14">
      <c r="A466" t="str">
        <f ca="1"/>
        <v>TRX1724</v>
      </c>
      <c r="B466" t="str">
        <f ca="1"/>
        <v>#52</v>
      </c>
      <c r="C466">
        <f ca="1"/>
        <v>46060.417361111096</v>
      </c>
      <c r="D466">
        <f ca="1"/>
        <v>381.73</v>
      </c>
      <c r="E466" t="str">
        <f ca="1"/>
        <v>USD</v>
      </c>
      <c r="F466" t="str">
        <f ca="1"/>
        <v>Tommaso Rivetti Vinea</v>
      </c>
      <c r="G466" t="str">
        <f ca="1"/>
        <v>UBER   * EATS PENDING  SAN FRANCISCO USA</v>
      </c>
      <c r="H466" t="str">
        <f ca="1"/>
        <v>Uber Eats</v>
      </c>
      <c r="I466" t="str">
        <f ca="1"/>
        <v>Capex</v>
      </c>
      <c r="J466" t="str">
        <f ca="1"/>
        <v>Uber TRV - PO1966</v>
      </c>
      <c r="K466" t="str">
        <f ca="1"/>
        <v>N/A</v>
      </c>
      <c r="L466" t="str">
        <f ca="1">VLOOKUP(B466,[1]Total!$B:$Q,16,0)</f>
        <v>602.34.002 Gastos por visita tencica</v>
      </c>
      <c r="M466">
        <f t="shared" ca="1" si="15"/>
        <v>381.73</v>
      </c>
      <c r="N466" t="str">
        <f t="shared" ca="1" si="16"/>
        <v xml:space="preserve">Tommaso Rivetti Vinea UBER   * EATS PENDING  SAN FRANCISCO USA Uber Eats Capex Uber TRV - PO1966 N/A </v>
      </c>
    </row>
    <row r="467" spans="1:14">
      <c r="A467" t="str">
        <f ca="1"/>
        <v>TRX1074</v>
      </c>
      <c r="B467" t="str">
        <f ca="1"/>
        <v>#52</v>
      </c>
      <c r="C467">
        <f ca="1"/>
        <v>46061.416666666599</v>
      </c>
      <c r="D467">
        <f ca="1"/>
        <v>369.95</v>
      </c>
      <c r="E467" t="str">
        <f ca="1"/>
        <v>MXN</v>
      </c>
      <c r="F467" t="str">
        <f ca="1"/>
        <v>Tommaso Rivetti Vinea</v>
      </c>
      <c r="G467" t="str">
        <f ca="1"/>
        <v>UBER * PENDING         CMX           MEX</v>
      </c>
      <c r="H467" t="str">
        <f ca="1"/>
        <v>Uber</v>
      </c>
      <c r="I467" t="str">
        <f ca="1"/>
        <v>Capex</v>
      </c>
      <c r="J467" t="str">
        <f ca="1"/>
        <v>Uber TRV - PO1966</v>
      </c>
      <c r="K467">
        <f ca="1"/>
        <v>0</v>
      </c>
      <c r="L467" t="str">
        <f ca="1">VLOOKUP(B467,[1]Total!$B:$Q,16,0)</f>
        <v>602.34.002 Gastos por visita tencica</v>
      </c>
      <c r="M467">
        <f t="shared" ca="1" si="15"/>
        <v>369.95</v>
      </c>
      <c r="N467" t="str">
        <f t="shared" ca="1" si="16"/>
        <v xml:space="preserve">Tommaso Rivetti Vinea UBER * PENDING         CMX           MEX Uber Capex Uber TRV - PO1966 0 </v>
      </c>
    </row>
    <row r="468" spans="1:14">
      <c r="A468" t="str">
        <f ca="1"/>
        <v>TRX1425</v>
      </c>
      <c r="B468" t="str">
        <f ca="1"/>
        <v>#52</v>
      </c>
      <c r="C468">
        <f ca="1"/>
        <v>46061.416666666599</v>
      </c>
      <c r="D468">
        <f ca="1"/>
        <v>10</v>
      </c>
      <c r="E468" t="str">
        <f ca="1"/>
        <v>MXN</v>
      </c>
      <c r="F468" t="str">
        <f ca="1"/>
        <v>Tommaso Rivetti Vinea</v>
      </c>
      <c r="G468" t="str">
        <f ca="1"/>
        <v>UBER *TRIP HELP.UBER.C CMX           MEX</v>
      </c>
      <c r="H468" t="str">
        <f ca="1"/>
        <v>Uber</v>
      </c>
      <c r="I468" t="str">
        <f ca="1"/>
        <v>Capex</v>
      </c>
      <c r="J468" t="str">
        <f ca="1"/>
        <v>Uber TRV - PO1966</v>
      </c>
      <c r="K468">
        <f ca="1"/>
        <v>0</v>
      </c>
      <c r="L468" t="str">
        <f ca="1">VLOOKUP(B468,[1]Total!$B:$Q,16,0)</f>
        <v>602.34.002 Gastos por visita tencica</v>
      </c>
      <c r="M468">
        <f t="shared" ca="1" si="15"/>
        <v>10</v>
      </c>
      <c r="N468" t="str">
        <f t="shared" ca="1" si="16"/>
        <v xml:space="preserve">Tommaso Rivetti Vinea UBER *TRIP HELP.UBER.C CMX           MEX Uber Capex Uber TRV - PO1966 0 </v>
      </c>
    </row>
    <row r="469" spans="1:14">
      <c r="A469" t="str">
        <f ca="1"/>
        <v>TRX1097</v>
      </c>
      <c r="B469" t="str">
        <f ca="1"/>
        <v>#52</v>
      </c>
      <c r="C469">
        <f ca="1"/>
        <v>46061.417361111096</v>
      </c>
      <c r="D469">
        <f ca="1"/>
        <v>72.47</v>
      </c>
      <c r="E469" t="str">
        <f ca="1"/>
        <v>USD</v>
      </c>
      <c r="F469" t="str">
        <f ca="1"/>
        <v>Tommaso Rivetti Vinea</v>
      </c>
      <c r="G469" t="str">
        <f ca="1"/>
        <v>UBER   *TRIP           SAN FRANCISCO USA</v>
      </c>
      <c r="H469" t="str">
        <f ca="1"/>
        <v>Uber</v>
      </c>
      <c r="I469" t="str">
        <f ca="1"/>
        <v>Capex</v>
      </c>
      <c r="J469" t="str">
        <f ca="1"/>
        <v>Uber TRV - PO1966</v>
      </c>
      <c r="K469" t="str">
        <f ca="1"/>
        <v>N/A</v>
      </c>
      <c r="L469" t="str">
        <f ca="1">VLOOKUP(B469,[1]Total!$B:$Q,16,0)</f>
        <v>602.34.002 Gastos por visita tencica</v>
      </c>
      <c r="M469">
        <f t="shared" ca="1" si="15"/>
        <v>72.47</v>
      </c>
      <c r="N469" t="str">
        <f t="shared" ca="1" si="16"/>
        <v xml:space="preserve">Tommaso Rivetti Vinea UBER   *TRIP           SAN FRANCISCO USA Uber Capex Uber TRV - PO1966 N/A </v>
      </c>
    </row>
    <row r="470" spans="1:14">
      <c r="A470" t="str">
        <f ca="1"/>
        <v>TRX1973</v>
      </c>
      <c r="B470" t="str">
        <f ca="1"/>
        <v>#52</v>
      </c>
      <c r="C470">
        <f ca="1"/>
        <v>46061.417361111096</v>
      </c>
      <c r="D470">
        <f ca="1"/>
        <v>379.56</v>
      </c>
      <c r="E470" t="str">
        <f ca="1"/>
        <v>USD</v>
      </c>
      <c r="F470" t="str">
        <f ca="1"/>
        <v>Tommaso Rivetti Vinea</v>
      </c>
      <c r="G470" t="str">
        <f ca="1"/>
        <v>UBER   * PENDING       SAN FRANCISCO USA</v>
      </c>
      <c r="H470" t="str">
        <f ca="1"/>
        <v>Uber</v>
      </c>
      <c r="I470" t="str">
        <f ca="1"/>
        <v>Capex</v>
      </c>
      <c r="J470" t="str">
        <f ca="1"/>
        <v>Uber TRV - PO1966</v>
      </c>
      <c r="K470" t="str">
        <f ca="1"/>
        <v>N/A</v>
      </c>
      <c r="L470" t="str">
        <f ca="1">VLOOKUP(B470,[1]Total!$B:$Q,16,0)</f>
        <v>602.34.002 Gastos por visita tencica</v>
      </c>
      <c r="M470">
        <f t="shared" ca="1" si="15"/>
        <v>379.56</v>
      </c>
      <c r="N470" t="str">
        <f t="shared" ca="1" si="16"/>
        <v xml:space="preserve">Tommaso Rivetti Vinea UBER   * PENDING       SAN FRANCISCO USA Uber Capex Uber TRV - PO1966 N/A </v>
      </c>
    </row>
    <row r="471" spans="1:14">
      <c r="A471" t="str">
        <f ca="1"/>
        <v>TRX1258</v>
      </c>
      <c r="B471" t="str">
        <f ca="1"/>
        <v>#52</v>
      </c>
      <c r="C471">
        <f ca="1"/>
        <v>46061.417361111096</v>
      </c>
      <c r="D471">
        <f ca="1"/>
        <v>54.35</v>
      </c>
      <c r="E471" t="str">
        <f ca="1"/>
        <v>USD</v>
      </c>
      <c r="F471" t="str">
        <f ca="1"/>
        <v>Tommaso Rivetti Vinea</v>
      </c>
      <c r="G471" t="str">
        <f ca="1"/>
        <v>UBER   *TRIP           SAN FRANCISCO USA</v>
      </c>
      <c r="H471" t="str">
        <f ca="1"/>
        <v>Uber</v>
      </c>
      <c r="I471" t="str">
        <f ca="1"/>
        <v>Capex</v>
      </c>
      <c r="J471" t="str">
        <f ca="1"/>
        <v>Uber TRV - PO1966</v>
      </c>
      <c r="K471" t="str">
        <f ca="1"/>
        <v>N/A</v>
      </c>
      <c r="L471" t="str">
        <f ca="1">VLOOKUP(B471,[1]Total!$B:$Q,16,0)</f>
        <v>602.34.002 Gastos por visita tencica</v>
      </c>
      <c r="M471">
        <f t="shared" ca="1" si="15"/>
        <v>54.35</v>
      </c>
      <c r="N471" t="str">
        <f t="shared" ca="1" si="16"/>
        <v xml:space="preserve">Tommaso Rivetti Vinea UBER   *TRIP           SAN FRANCISCO USA Uber Capex Uber TRV - PO1966 N/A </v>
      </c>
    </row>
    <row r="472" spans="1:14">
      <c r="A472" t="str">
        <f ca="1"/>
        <v>TRX1703</v>
      </c>
      <c r="B472" t="str">
        <f ca="1"/>
        <v>#52</v>
      </c>
      <c r="C472">
        <f ca="1"/>
        <v>46061.417361111096</v>
      </c>
      <c r="D472">
        <f ca="1"/>
        <v>560.54999999999995</v>
      </c>
      <c r="E472" t="str">
        <f ca="1"/>
        <v>USD</v>
      </c>
      <c r="F472" t="str">
        <f ca="1"/>
        <v>Tommaso Rivetti Vinea</v>
      </c>
      <c r="G472" t="str">
        <f ca="1"/>
        <v>UBER   * PENDING       SAN FRANCISCO USA</v>
      </c>
      <c r="H472" t="str">
        <f ca="1"/>
        <v>Uber</v>
      </c>
      <c r="I472" t="str">
        <f ca="1"/>
        <v>Capex</v>
      </c>
      <c r="J472" t="str">
        <f ca="1"/>
        <v>Uber TRV - PO1966</v>
      </c>
      <c r="K472" t="str">
        <f ca="1"/>
        <v>N/A</v>
      </c>
      <c r="L472" t="str">
        <f ca="1">VLOOKUP(B472,[1]Total!$B:$Q,16,0)</f>
        <v>602.34.002 Gastos por visita tencica</v>
      </c>
      <c r="M472">
        <f t="shared" ca="1" si="15"/>
        <v>560.54999999999995</v>
      </c>
      <c r="N472" t="str">
        <f t="shared" ca="1" si="16"/>
        <v xml:space="preserve">Tommaso Rivetti Vinea UBER   * PENDING       SAN FRANCISCO USA Uber Capex Uber TRV - PO1966 N/A </v>
      </c>
    </row>
    <row r="473" spans="1:14">
      <c r="A473" t="str">
        <f ca="1"/>
        <v>TRX1519</v>
      </c>
      <c r="B473" t="str">
        <f ca="1"/>
        <v>#52</v>
      </c>
      <c r="C473">
        <f ca="1"/>
        <v>46061.417361111096</v>
      </c>
      <c r="D473">
        <f ca="1"/>
        <v>252.37</v>
      </c>
      <c r="E473" t="str">
        <f ca="1"/>
        <v>USD</v>
      </c>
      <c r="F473" t="str">
        <f ca="1"/>
        <v>Tommaso Rivetti Vinea</v>
      </c>
      <c r="G473" t="str">
        <f ca="1"/>
        <v>UBER   * PENDING       SAN FRANCISCO USA</v>
      </c>
      <c r="H473" t="str">
        <f ca="1"/>
        <v>Uber</v>
      </c>
      <c r="I473" t="str">
        <f ca="1"/>
        <v>Capex</v>
      </c>
      <c r="J473" t="str">
        <f ca="1"/>
        <v>Uber TRV - PO1966</v>
      </c>
      <c r="K473" t="str">
        <f ca="1"/>
        <v>N/A</v>
      </c>
      <c r="L473" t="str">
        <f ca="1">VLOOKUP(B473,[1]Total!$B:$Q,16,0)</f>
        <v>602.34.002 Gastos por visita tencica</v>
      </c>
      <c r="M473">
        <f t="shared" ca="1" si="15"/>
        <v>252.37</v>
      </c>
      <c r="N473" t="str">
        <f t="shared" ca="1" si="16"/>
        <v xml:space="preserve">Tommaso Rivetti Vinea UBER   * PENDING       SAN FRANCISCO USA Uber Capex Uber TRV - PO1966 N/A </v>
      </c>
    </row>
    <row r="474" spans="1:14">
      <c r="A474" t="str">
        <f ca="1"/>
        <v>TRX1905</v>
      </c>
      <c r="B474" t="str">
        <f ca="1"/>
        <v>#52</v>
      </c>
      <c r="C474">
        <f ca="1"/>
        <v>46062.416666666599</v>
      </c>
      <c r="D474">
        <f ca="1"/>
        <v>2456.19</v>
      </c>
      <c r="E474" t="str">
        <f ca="1"/>
        <v>USD</v>
      </c>
      <c r="F474" t="str">
        <f ca="1"/>
        <v>Tommaso Rivetti Vinea</v>
      </c>
      <c r="G474" t="str">
        <f ca="1"/>
        <v>COURTYARD BY MARRIOT   AUSTIN        USA</v>
      </c>
      <c r="H474" t="str">
        <f ca="1"/>
        <v>Courtyard</v>
      </c>
      <c r="I474" t="str">
        <f ca="1"/>
        <v>Capex</v>
      </c>
      <c r="J474" t="str">
        <f ca="1"/>
        <v>Hotel TRV - PO1966</v>
      </c>
      <c r="K474" t="str">
        <f ca="1"/>
        <v>N/A</v>
      </c>
      <c r="L474" t="str">
        <f ca="1">VLOOKUP(B474,[1]Total!$B:$Q,16,0)</f>
        <v>602.34.002 Gastos por visita tencica</v>
      </c>
      <c r="M474">
        <f t="shared" ca="1" si="15"/>
        <v>2456.19</v>
      </c>
      <c r="N474" t="str">
        <f t="shared" ca="1" si="16"/>
        <v xml:space="preserve">Tommaso Rivetti Vinea COURTYARD BY MARRIOT   AUSTIN        USA Courtyard Capex Hotel TRV - PO1966 N/A </v>
      </c>
    </row>
    <row r="475" spans="1:14">
      <c r="A475" t="str">
        <f ca="1"/>
        <v>TRX1329</v>
      </c>
      <c r="B475" t="str">
        <f ca="1"/>
        <v>#52</v>
      </c>
      <c r="C475">
        <f ca="1"/>
        <v>46062.416666666599</v>
      </c>
      <c r="D475">
        <f ca="1"/>
        <v>885.03</v>
      </c>
      <c r="E475" t="str">
        <f ca="1"/>
        <v>USD</v>
      </c>
      <c r="F475" t="str">
        <f ca="1"/>
        <v>Tommaso Rivetti Vinea</v>
      </c>
      <c r="G475" t="str">
        <f ca="1"/>
        <v>JIM'S #11              AUSTIN        USA</v>
      </c>
      <c r="H475" t="str">
        <f ca="1"/>
        <v>Jim's Austin USA</v>
      </c>
      <c r="I475" t="str">
        <f ca="1"/>
        <v>Capex</v>
      </c>
      <c r="J475" t="str">
        <f ca="1"/>
        <v>Comida TRV - PO1966</v>
      </c>
      <c r="K475" t="str">
        <f ca="1"/>
        <v>N/A</v>
      </c>
      <c r="L475" t="str">
        <f ca="1">VLOOKUP(B475,[1]Total!$B:$Q,16,0)</f>
        <v>602.34.002 Gastos por visita tencica</v>
      </c>
      <c r="M475">
        <f t="shared" ca="1" si="15"/>
        <v>885.03</v>
      </c>
      <c r="N475" t="str">
        <f t="shared" ca="1" si="16"/>
        <v xml:space="preserve">Tommaso Rivetti Vinea JIM'S #11              AUSTIN        USA Jim's Austin USA Capex Comida TRV - PO1966 N/A </v>
      </c>
    </row>
    <row r="476" spans="1:14">
      <c r="A476" t="str">
        <f ca="1"/>
        <v>TRX1119</v>
      </c>
      <c r="B476" t="str">
        <f ca="1"/>
        <v>#52</v>
      </c>
      <c r="C476">
        <f ca="1"/>
        <v>46066.416666666599</v>
      </c>
      <c r="D476">
        <f ca="1"/>
        <v>64.930000000000007</v>
      </c>
      <c r="E476" t="str">
        <f ca="1"/>
        <v>MXN</v>
      </c>
      <c r="F476" t="str">
        <f ca="1"/>
        <v>Tommaso Rivetti Vinea</v>
      </c>
      <c r="G476" t="str">
        <f ca="1"/>
        <v>UBER *TRIP HELP.UBER.C CMX           MEX</v>
      </c>
      <c r="H476" t="str">
        <f ca="1"/>
        <v>Uber</v>
      </c>
      <c r="I476" t="str">
        <f ca="1"/>
        <v>Capex</v>
      </c>
      <c r="J476" t="str">
        <f ca="1"/>
        <v>Uber TRV - PO1966</v>
      </c>
      <c r="K476">
        <f ca="1"/>
        <v>0</v>
      </c>
      <c r="L476" t="str">
        <f ca="1">VLOOKUP(B476,[1]Total!$B:$Q,16,0)</f>
        <v>602.34.002 Gastos por visita tencica</v>
      </c>
      <c r="M476">
        <f t="shared" ca="1" si="15"/>
        <v>64.930000000000007</v>
      </c>
      <c r="N476" t="str">
        <f t="shared" ca="1" si="16"/>
        <v xml:space="preserve">Tommaso Rivetti Vinea UBER *TRIP HELP.UBER.C CMX           MEX Uber Capex Uber TRV - PO1966 0 </v>
      </c>
    </row>
    <row r="477" spans="1:14">
      <c r="A477" t="str">
        <f ca="1"/>
        <v>TRX1266</v>
      </c>
      <c r="B477" t="str">
        <f ca="1"/>
        <v>#52</v>
      </c>
      <c r="C477">
        <f ca="1"/>
        <v>46069.416666666599</v>
      </c>
      <c r="D477">
        <f ca="1"/>
        <v>7761</v>
      </c>
      <c r="E477" t="str">
        <f ca="1"/>
        <v>MXN</v>
      </c>
      <c r="F477" t="str">
        <f ca="1"/>
        <v>Tommaso Rivetti Vinea</v>
      </c>
      <c r="G477" t="str">
        <f ca="1"/>
        <v>AEROMEXICO CC PN       CIUDAD DE MEX MEX</v>
      </c>
      <c r="H477" t="str">
        <f ca="1"/>
        <v>Aeromexico</v>
      </c>
      <c r="I477" t="str">
        <f ca="1"/>
        <v>Capex</v>
      </c>
      <c r="J477" t="str">
        <f ca="1"/>
        <v>Vuelo TRV - PO1066</v>
      </c>
      <c r="K477" t="str">
        <f ca="1"/>
        <v>F - 1392162943416</v>
      </c>
      <c r="L477" t="str">
        <f ca="1">VLOOKUP(B477,[1]Total!$B:$Q,16,0)</f>
        <v>602.34.002 Gastos por visita tencica</v>
      </c>
      <c r="M477">
        <f t="shared" ca="1" si="15"/>
        <v>7761</v>
      </c>
      <c r="N477" t="str">
        <f t="shared" ca="1" si="16"/>
        <v xml:space="preserve">Tommaso Rivetti Vinea AEROMEXICO CC PN       CIUDAD DE MEX MEX Aeromexico Capex Vuelo TRV - PO1066 F - 1392162943416 </v>
      </c>
    </row>
    <row r="478" spans="1:14">
      <c r="A478" t="str">
        <f ca="1"/>
        <v>TRX1812</v>
      </c>
      <c r="B478" t="str">
        <f ca="1"/>
        <v>#52</v>
      </c>
      <c r="C478">
        <f ca="1"/>
        <v>46069.416666666599</v>
      </c>
      <c r="D478">
        <f ca="1"/>
        <v>5517</v>
      </c>
      <c r="E478" t="str">
        <f ca="1"/>
        <v>MXN</v>
      </c>
      <c r="F478" t="str">
        <f ca="1"/>
        <v>Tommaso Rivetti Vinea</v>
      </c>
      <c r="G478" t="str">
        <f ca="1"/>
        <v>AEROMEXICO CC PN       CIUDAD DE MEX MEX</v>
      </c>
      <c r="H478" t="str">
        <f ca="1"/>
        <v>Aeromexico</v>
      </c>
      <c r="I478" t="str">
        <f ca="1"/>
        <v>Capex</v>
      </c>
      <c r="J478" t="str">
        <f ca="1"/>
        <v>Vuelo TRV - PO1066</v>
      </c>
      <c r="K478" t="str">
        <f ca="1"/>
        <v>F - 1392162943288</v>
      </c>
      <c r="L478" t="str">
        <f ca="1">VLOOKUP(B478,[1]Total!$B:$Q,16,0)</f>
        <v>602.34.002 Gastos por visita tencica</v>
      </c>
      <c r="M478">
        <f t="shared" ca="1" si="15"/>
        <v>5517</v>
      </c>
      <c r="N478" t="str">
        <f t="shared" ca="1" si="16"/>
        <v xml:space="preserve">Tommaso Rivetti Vinea AEROMEXICO CC PN       CIUDAD DE MEX MEX Aeromexico Capex Vuelo TRV - PO1066 F - 1392162943288 </v>
      </c>
    </row>
    <row r="479" spans="1:14">
      <c r="A479" t="str">
        <f ca="1"/>
        <v>TRX1410</v>
      </c>
      <c r="B479" t="str">
        <f ca="1"/>
        <v>#52</v>
      </c>
      <c r="C479">
        <f ca="1"/>
        <v>46071.416666666599</v>
      </c>
      <c r="D479">
        <f ca="1"/>
        <v>369.96</v>
      </c>
      <c r="E479" t="str">
        <f ca="1"/>
        <v>MXN</v>
      </c>
      <c r="F479" t="str">
        <f ca="1"/>
        <v>Tommaso Rivetti Vinea</v>
      </c>
      <c r="G479" t="str">
        <f ca="1"/>
        <v>UBER * PENDING         CMX           MEX</v>
      </c>
      <c r="H479" t="str">
        <f ca="1"/>
        <v>Uber</v>
      </c>
      <c r="I479" t="str">
        <f ca="1"/>
        <v>Capex</v>
      </c>
      <c r="J479" t="str">
        <f ca="1"/>
        <v>Uber TRV - PO1966</v>
      </c>
      <c r="K479">
        <f ca="1"/>
        <v>0</v>
      </c>
      <c r="L479" t="str">
        <f ca="1">VLOOKUP(B479,[1]Total!$B:$Q,16,0)</f>
        <v>602.34.002 Gastos por visita tencica</v>
      </c>
      <c r="M479">
        <f t="shared" ca="1" si="15"/>
        <v>369.96</v>
      </c>
      <c r="N479" t="str">
        <f t="shared" ca="1" si="16"/>
        <v xml:space="preserve">Tommaso Rivetti Vinea UBER * PENDING         CMX           MEX Uber Capex Uber TRV - PO1966 0 </v>
      </c>
    </row>
    <row r="480" spans="1:14">
      <c r="A480" t="str">
        <f ca="1"/>
        <v>TRX1486</v>
      </c>
      <c r="B480" t="str">
        <f ca="1"/>
        <v>#52</v>
      </c>
      <c r="C480">
        <f ca="1"/>
        <v>46072.416666666599</v>
      </c>
      <c r="D480">
        <f ca="1"/>
        <v>10</v>
      </c>
      <c r="E480" t="str">
        <f ca="1"/>
        <v>MXN</v>
      </c>
      <c r="F480" t="str">
        <f ca="1"/>
        <v>Tommaso Rivetti Vinea</v>
      </c>
      <c r="G480" t="str">
        <f ca="1"/>
        <v>UBER *TRIP HELP.UBER.C CMX           MEX</v>
      </c>
      <c r="H480" t="str">
        <f ca="1"/>
        <v>Uber</v>
      </c>
      <c r="I480" t="str">
        <f ca="1"/>
        <v>Capex</v>
      </c>
      <c r="J480" t="str">
        <f ca="1"/>
        <v>Uber TRV - PO1966</v>
      </c>
      <c r="K480">
        <f ca="1"/>
        <v>0</v>
      </c>
      <c r="L480" t="str">
        <f ca="1">VLOOKUP(B480,[1]Total!$B:$Q,16,0)</f>
        <v>602.34.002 Gastos por visita tencica</v>
      </c>
      <c r="M480">
        <f t="shared" ca="1" si="15"/>
        <v>10</v>
      </c>
      <c r="N480" t="str">
        <f t="shared" ca="1" si="16"/>
        <v xml:space="preserve">Tommaso Rivetti Vinea UBER *TRIP HELP.UBER.C CMX           MEX Uber Capex Uber TRV - PO1966 0 </v>
      </c>
    </row>
    <row r="481" spans="1:14">
      <c r="A481" t="str">
        <f ca="1"/>
        <v>TRX1440</v>
      </c>
      <c r="B481" t="str">
        <f ca="1"/>
        <v>#52</v>
      </c>
      <c r="C481">
        <f ca="1"/>
        <v>46073.417361111096</v>
      </c>
      <c r="D481">
        <f ca="1"/>
        <v>2644.74</v>
      </c>
      <c r="E481" t="str">
        <f ca="1"/>
        <v>USD</v>
      </c>
      <c r="F481" t="str">
        <f ca="1"/>
        <v>Tommaso Rivetti Vinea</v>
      </c>
      <c r="G481" t="str">
        <f ca="1"/>
        <v>VONLANE                DALLAS        USA</v>
      </c>
      <c r="H481" t="str">
        <f ca="1"/>
        <v>Vonlane Dallas USA</v>
      </c>
      <c r="I481" t="str">
        <f ca="1"/>
        <v>Capex</v>
      </c>
      <c r="J481" t="str">
        <f ca="1"/>
        <v>Bus TEV - PO1966</v>
      </c>
      <c r="K481" t="str">
        <f ca="1"/>
        <v>N/A</v>
      </c>
      <c r="L481" t="str">
        <f ca="1">VLOOKUP(B481,[1]Total!$B:$Q,16,0)</f>
        <v>602.34.002 Gastos por visita tencica</v>
      </c>
      <c r="M481">
        <f t="shared" ca="1" si="15"/>
        <v>2644.74</v>
      </c>
      <c r="N481" t="str">
        <f t="shared" ca="1" si="16"/>
        <v xml:space="preserve">Tommaso Rivetti Vinea VONLANE                DALLAS        USA Vonlane Dallas USA Capex Bus TEV - PO1966 N/A </v>
      </c>
    </row>
    <row r="482" spans="1:14">
      <c r="A482" t="str">
        <f ca="1"/>
        <v>TRX1037</v>
      </c>
      <c r="B482" t="str">
        <f ca="1"/>
        <v>#52</v>
      </c>
      <c r="C482">
        <f ca="1"/>
        <v>46073.417361111096</v>
      </c>
      <c r="D482">
        <f ca="1"/>
        <v>1709.48</v>
      </c>
      <c r="E482" t="str">
        <f ca="1"/>
        <v>USD</v>
      </c>
      <c r="F482" t="str">
        <f ca="1"/>
        <v>Tommaso Rivetti Vinea</v>
      </c>
      <c r="G482" t="str">
        <f ca="1"/>
        <v>DFW MINORITY BUS DEV C DALLAS        USA</v>
      </c>
      <c r="H482" t="str">
        <f ca="1"/>
        <v>Dfw Minority Bus Dev C Dallas USA</v>
      </c>
      <c r="I482" t="str">
        <f ca="1"/>
        <v>Capex</v>
      </c>
      <c r="J482" t="str">
        <f ca="1"/>
        <v>Expo GCs Dallas - PO1966</v>
      </c>
      <c r="K482" t="str">
        <f ca="1"/>
        <v>N/A</v>
      </c>
      <c r="L482" t="str">
        <f ca="1">VLOOKUP(B482,[1]Total!$B:$Q,16,0)</f>
        <v>602.34.002 Gastos por visita tencica</v>
      </c>
      <c r="M482">
        <f t="shared" ca="1" si="15"/>
        <v>1709.48</v>
      </c>
      <c r="N482" t="str">
        <f t="shared" ca="1" si="16"/>
        <v xml:space="preserve">Tommaso Rivetti Vinea DFW MINORITY BUS DEV C DALLAS        USA Dfw Minority Bus Dev C Dallas USA Capex Expo GCs Dallas - PO1966 N/A </v>
      </c>
    </row>
    <row r="483" spans="1:14">
      <c r="A483" t="str">
        <f ca="1"/>
        <v>TRX1039</v>
      </c>
      <c r="B483" t="str">
        <f ca="1"/>
        <v>#52</v>
      </c>
      <c r="C483">
        <f ca="1"/>
        <v>46074.417361111096</v>
      </c>
      <c r="D483">
        <f ca="1"/>
        <v>981.25</v>
      </c>
      <c r="E483" t="str">
        <f ca="1"/>
        <v>USD</v>
      </c>
      <c r="F483" t="str">
        <f ca="1"/>
        <v>Tommaso Rivetti Vinea</v>
      </c>
      <c r="G483" t="str">
        <f ca="1"/>
        <v>TST*LAYERED            McKinney      USA</v>
      </c>
      <c r="H483" t="str">
        <f ca="1"/>
        <v>Layered Mckinney USA</v>
      </c>
      <c r="I483" t="str">
        <f ca="1"/>
        <v>Capex</v>
      </c>
      <c r="J483" t="str">
        <f ca="1"/>
        <v>Comida TRV - PO1966</v>
      </c>
      <c r="K483" t="str">
        <f ca="1"/>
        <v>N/A</v>
      </c>
      <c r="L483" t="str">
        <f ca="1">VLOOKUP(B483,[1]Total!$B:$Q,16,0)</f>
        <v>602.34.002 Gastos por visita tencica</v>
      </c>
      <c r="M483">
        <f t="shared" ca="1" si="15"/>
        <v>981.25</v>
      </c>
      <c r="N483" t="str">
        <f t="shared" ca="1" si="16"/>
        <v xml:space="preserve">Tommaso Rivetti Vinea TST*LAYERED            McKinney      USA Layered Mckinney USA Capex Comida TRV - PO1966 N/A </v>
      </c>
    </row>
    <row r="484" spans="1:14">
      <c r="A484" t="str">
        <f ca="1"/>
        <v>TRX1041</v>
      </c>
      <c r="B484" t="str">
        <f ca="1"/>
        <v>#52</v>
      </c>
      <c r="C484">
        <f ca="1"/>
        <v>46074.418055555499</v>
      </c>
      <c r="D484">
        <f ca="1"/>
        <v>5086.8999999999996</v>
      </c>
      <c r="E484" t="str">
        <f ca="1"/>
        <v>USD</v>
      </c>
      <c r="F484" t="str">
        <f ca="1"/>
        <v>Tommaso Rivetti Vinea</v>
      </c>
      <c r="G484" t="str">
        <f ca="1"/>
        <v>GRAND HOTEL MCK TX     MCKINNEY      USA</v>
      </c>
      <c r="H484" t="str">
        <f ca="1"/>
        <v>Grand Hotel Mck Tx Mckinney USA</v>
      </c>
      <c r="I484" t="str">
        <f ca="1"/>
        <v>Capex</v>
      </c>
      <c r="J484" t="str">
        <f ca="1"/>
        <v>Hotel TRV - PO1966</v>
      </c>
      <c r="K484" t="str">
        <f ca="1"/>
        <v>N/A</v>
      </c>
      <c r="L484" t="str">
        <f ca="1">VLOOKUP(B484,[1]Total!$B:$Q,16,0)</f>
        <v>602.34.002 Gastos por visita tencica</v>
      </c>
      <c r="M484">
        <f t="shared" ca="1" si="15"/>
        <v>5086.8999999999996</v>
      </c>
      <c r="N484" t="str">
        <f t="shared" ca="1" si="16"/>
        <v xml:space="preserve">Tommaso Rivetti Vinea GRAND HOTEL MCK TX     MCKINNEY      USA Grand Hotel Mck Tx Mckinney USA Capex Hotel TRV - PO1966 N/A </v>
      </c>
    </row>
    <row r="485" spans="1:14">
      <c r="A485" t="str">
        <f ca="1"/>
        <v>TRX1043</v>
      </c>
      <c r="B485" t="str">
        <f ca="1"/>
        <v>#52</v>
      </c>
      <c r="C485">
        <f ca="1"/>
        <v>46074.418055555499</v>
      </c>
      <c r="D485">
        <f ca="1"/>
        <v>791.94</v>
      </c>
      <c r="E485" t="str">
        <f ca="1"/>
        <v>USD</v>
      </c>
      <c r="F485" t="str">
        <f ca="1"/>
        <v>Tommaso Rivetti Vinea</v>
      </c>
      <c r="G485" t="str">
        <f ca="1"/>
        <v>UBER   * EATS PENDING  SAN FRANCISCO USA</v>
      </c>
      <c r="H485" t="str">
        <f ca="1"/>
        <v>Uber Eats</v>
      </c>
      <c r="I485" t="str">
        <f ca="1"/>
        <v>Capex</v>
      </c>
      <c r="J485" t="str">
        <f ca="1"/>
        <v>Uber TRV - PO1966</v>
      </c>
      <c r="K485" t="str">
        <f ca="1"/>
        <v>N/A</v>
      </c>
      <c r="L485" t="str">
        <f ca="1">VLOOKUP(B485,[1]Total!$B:$Q,16,0)</f>
        <v>602.34.002 Gastos por visita tencica</v>
      </c>
      <c r="M485">
        <f t="shared" ca="1" si="15"/>
        <v>791.94</v>
      </c>
      <c r="N485" t="str">
        <f t="shared" ca="1" si="16"/>
        <v xml:space="preserve">Tommaso Rivetti Vinea UBER   * EATS PENDING  SAN FRANCISCO USA Uber Eats Capex Uber TRV - PO1966 N/A </v>
      </c>
    </row>
    <row r="486" spans="1:14">
      <c r="A486" t="str">
        <f ca="1"/>
        <v>TRX1044</v>
      </c>
      <c r="B486" t="str">
        <f ca="1"/>
        <v>#52</v>
      </c>
      <c r="C486">
        <f ca="1"/>
        <v>46074.418055555499</v>
      </c>
      <c r="D486">
        <f ca="1"/>
        <v>531.88</v>
      </c>
      <c r="E486" t="str">
        <f ca="1"/>
        <v>USD</v>
      </c>
      <c r="F486" t="str">
        <f ca="1"/>
        <v>Tommaso Rivetti Vinea</v>
      </c>
      <c r="G486" t="str">
        <f ca="1"/>
        <v>UBER   * EATS PENDING  SAN FRANCISCO USA</v>
      </c>
      <c r="H486" t="str">
        <f ca="1"/>
        <v>Uber Eats</v>
      </c>
      <c r="I486" t="str">
        <f ca="1"/>
        <v>Capex</v>
      </c>
      <c r="J486" t="str">
        <f ca="1"/>
        <v>Uber TRV - PO1966</v>
      </c>
      <c r="K486" t="str">
        <f ca="1"/>
        <v>N/A</v>
      </c>
      <c r="L486" t="str">
        <f ca="1">VLOOKUP(B486,[1]Total!$B:$Q,16,0)</f>
        <v>602.34.002 Gastos por visita tencica</v>
      </c>
      <c r="M486">
        <f t="shared" ca="1" si="15"/>
        <v>531.88</v>
      </c>
      <c r="N486" t="str">
        <f t="shared" ca="1" si="16"/>
        <v xml:space="preserve">Tommaso Rivetti Vinea UBER   * EATS PENDING  SAN FRANCISCO USA Uber Eats Capex Uber TRV - PO1966 N/A </v>
      </c>
    </row>
    <row r="487" spans="1:14">
      <c r="A487" t="str">
        <f ca="1"/>
        <v>TRX1045</v>
      </c>
      <c r="B487" t="str">
        <f ca="1"/>
        <v>#52</v>
      </c>
      <c r="C487">
        <f ca="1"/>
        <v>46074.418055555499</v>
      </c>
      <c r="D487">
        <f ca="1"/>
        <v>96.45</v>
      </c>
      <c r="E487" t="str">
        <f ca="1"/>
        <v>USD</v>
      </c>
      <c r="F487" t="str">
        <f ca="1"/>
        <v>Tommaso Rivetti Vinea</v>
      </c>
      <c r="G487" t="str">
        <f ca="1"/>
        <v>HILTON FORT WORTH FB   FORT WORTH    USA</v>
      </c>
      <c r="H487" t="str">
        <f ca="1"/>
        <v>Hilton Fort Worth Fb Fort Worth USA</v>
      </c>
      <c r="I487" t="str">
        <f ca="1"/>
        <v>Capex</v>
      </c>
      <c r="J487" t="str">
        <f ca="1"/>
        <v>Comida TRV - PO1966</v>
      </c>
      <c r="K487" t="str">
        <f ca="1"/>
        <v>N/A</v>
      </c>
      <c r="L487" t="str">
        <f ca="1">VLOOKUP(B487,[1]Total!$B:$Q,16,0)</f>
        <v>602.34.002 Gastos por visita tencica</v>
      </c>
      <c r="M487">
        <f t="shared" ca="1" si="15"/>
        <v>96.45</v>
      </c>
      <c r="N487" t="str">
        <f t="shared" ca="1" si="16"/>
        <v xml:space="preserve">Tommaso Rivetti Vinea HILTON FORT WORTH FB   FORT WORTH    USA Hilton Fort Worth Fb Fort Worth USA Capex Comida TRV - PO1966 N/A </v>
      </c>
    </row>
    <row r="488" spans="1:14">
      <c r="A488" t="str">
        <f ca="1"/>
        <v>TRX1046</v>
      </c>
      <c r="B488" t="str">
        <f ca="1"/>
        <v>#52</v>
      </c>
      <c r="C488">
        <f ca="1"/>
        <v>46074.418055555499</v>
      </c>
      <c r="D488">
        <f ca="1"/>
        <v>215.22</v>
      </c>
      <c r="E488" t="str">
        <f ca="1"/>
        <v>USD</v>
      </c>
      <c r="F488" t="str">
        <f ca="1"/>
        <v>Tommaso Rivetti Vinea</v>
      </c>
      <c r="G488" t="str">
        <f ca="1"/>
        <v>UBER   * PENDING       SAN FRANCISCO USA</v>
      </c>
      <c r="H488" t="str">
        <f ca="1"/>
        <v>Uber</v>
      </c>
      <c r="I488" t="str">
        <f ca="1"/>
        <v>Capex</v>
      </c>
      <c r="J488" t="str">
        <f ca="1"/>
        <v>Uber TRV - PO1966</v>
      </c>
      <c r="K488" t="str">
        <f ca="1"/>
        <v>N/A</v>
      </c>
      <c r="L488" t="str">
        <f ca="1">VLOOKUP(B488,[1]Total!$B:$Q,16,0)</f>
        <v>602.34.002 Gastos por visita tencica</v>
      </c>
      <c r="M488">
        <f t="shared" ca="1" si="15"/>
        <v>215.22</v>
      </c>
      <c r="N488" t="str">
        <f t="shared" ca="1" si="16"/>
        <v xml:space="preserve">Tommaso Rivetti Vinea UBER   * PENDING       SAN FRANCISCO USA Uber Capex Uber TRV - PO1966 N/A </v>
      </c>
    </row>
    <row r="489" spans="1:14">
      <c r="A489" t="str">
        <f ca="1"/>
        <v>TRX1055</v>
      </c>
      <c r="B489" t="str">
        <f ca="1"/>
        <v>#52</v>
      </c>
      <c r="C489">
        <f ca="1"/>
        <v>46075.416666666599</v>
      </c>
      <c r="D489">
        <f ca="1"/>
        <v>10</v>
      </c>
      <c r="E489" t="str">
        <f ca="1"/>
        <v>MXN</v>
      </c>
      <c r="F489" t="str">
        <f ca="1"/>
        <v>Tommaso Rivetti Vinea</v>
      </c>
      <c r="G489" t="str">
        <f ca="1"/>
        <v>UBER *TRIP HELP.UBER.C CMX           MEX</v>
      </c>
      <c r="H489" t="str">
        <f ca="1"/>
        <v>Uber</v>
      </c>
      <c r="I489" t="str">
        <f ca="1"/>
        <v>Capex</v>
      </c>
      <c r="J489" t="str">
        <f ca="1"/>
        <v>Uber TRV - PO1966</v>
      </c>
      <c r="K489" t="str">
        <f ca="1"/>
        <v>KEHAAZ-I-0000442</v>
      </c>
      <c r="L489" t="str">
        <f ca="1">VLOOKUP(B489,[1]Total!$B:$Q,16,0)</f>
        <v>602.34.002 Gastos por visita tencica</v>
      </c>
      <c r="M489">
        <f t="shared" ca="1" si="15"/>
        <v>10</v>
      </c>
      <c r="N489" t="str">
        <f t="shared" ca="1" si="16"/>
        <v xml:space="preserve">Tommaso Rivetti Vinea UBER *TRIP HELP.UBER.C CMX           MEX Uber Capex Uber TRV - PO1966 KEHAAZ-I-0000442 </v>
      </c>
    </row>
    <row r="490" spans="1:14">
      <c r="A490" t="str">
        <f ca="1"/>
        <v>TRX1057</v>
      </c>
      <c r="B490" t="str">
        <f ca="1"/>
        <v>#52</v>
      </c>
      <c r="C490">
        <f ca="1"/>
        <v>46075.416666666599</v>
      </c>
      <c r="D490">
        <f ca="1"/>
        <v>599.94000000000005</v>
      </c>
      <c r="E490" t="str">
        <f ca="1"/>
        <v>MXN</v>
      </c>
      <c r="F490" t="str">
        <f ca="1"/>
        <v>Tommaso Rivetti Vinea</v>
      </c>
      <c r="G490" t="str">
        <f ca="1"/>
        <v>UBER * PENDING         CMX           MEX</v>
      </c>
      <c r="H490" t="str">
        <f ca="1"/>
        <v>Uber</v>
      </c>
      <c r="I490" t="str">
        <f ca="1"/>
        <v>Capex</v>
      </c>
      <c r="J490" t="str">
        <f ca="1"/>
        <v>Uber TRV - PO1966</v>
      </c>
      <c r="K490" t="str">
        <f ca="1"/>
        <v>KEHAAZ-I-0000442</v>
      </c>
      <c r="L490" t="str">
        <f ca="1">VLOOKUP(B490,[1]Total!$B:$Q,16,0)</f>
        <v>602.34.002 Gastos por visita tencica</v>
      </c>
      <c r="M490">
        <f t="shared" ca="1" si="15"/>
        <v>599.94000000000005</v>
      </c>
      <c r="N490" t="str">
        <f t="shared" ca="1" si="16"/>
        <v xml:space="preserve">Tommaso Rivetti Vinea UBER * PENDING         CMX           MEX Uber Capex Uber TRV - PO1966 KEHAAZ-I-0000442 </v>
      </c>
    </row>
    <row r="491" spans="1:14">
      <c r="A491" t="str">
        <f ca="1"/>
        <v>TRX1090</v>
      </c>
      <c r="B491" t="str">
        <f ca="1"/>
        <v>#52</v>
      </c>
      <c r="C491">
        <f ca="1"/>
        <v>46075.417361111096</v>
      </c>
      <c r="D491">
        <f ca="1"/>
        <v>55.49</v>
      </c>
      <c r="E491" t="str">
        <f ca="1"/>
        <v>USD</v>
      </c>
      <c r="F491" t="str">
        <f ca="1"/>
        <v>Tommaso Rivetti Vinea</v>
      </c>
      <c r="G491" t="str">
        <f ca="1"/>
        <v>UBER   *TRIP           SAN FRANCISCO USA</v>
      </c>
      <c r="H491" t="str">
        <f ca="1"/>
        <v>Uber</v>
      </c>
      <c r="I491" t="str">
        <f ca="1"/>
        <v>Capex</v>
      </c>
      <c r="J491" t="str">
        <f ca="1"/>
        <v>Uber TRV - PO1966</v>
      </c>
      <c r="K491" t="str">
        <f ca="1"/>
        <v>N/A</v>
      </c>
      <c r="L491" t="str">
        <f ca="1">VLOOKUP(B491,[1]Total!$B:$Q,16,0)</f>
        <v>602.34.002 Gastos por visita tencica</v>
      </c>
      <c r="M491">
        <f t="shared" ca="1" si="15"/>
        <v>55.49</v>
      </c>
      <c r="N491" t="str">
        <f t="shared" ca="1" si="16"/>
        <v xml:space="preserve">Tommaso Rivetti Vinea UBER   *TRIP           SAN FRANCISCO USA Uber Capex Uber TRV - PO1966 N/A </v>
      </c>
    </row>
    <row r="492" spans="1:14">
      <c r="A492" t="str">
        <f ca="1"/>
        <v>TRX1091</v>
      </c>
      <c r="B492" t="str">
        <f ca="1"/>
        <v>#52</v>
      </c>
      <c r="C492">
        <f ca="1"/>
        <v>46075.417361111096</v>
      </c>
      <c r="D492">
        <f ca="1"/>
        <v>580.01</v>
      </c>
      <c r="E492" t="str">
        <f ca="1"/>
        <v>USD</v>
      </c>
      <c r="F492" t="str">
        <f ca="1"/>
        <v>Tommaso Rivetti Vinea</v>
      </c>
      <c r="G492" t="str">
        <f ca="1"/>
        <v>UBER   *TRIP           SAN FRANCISCO USA</v>
      </c>
      <c r="H492" t="str">
        <f ca="1"/>
        <v>Uber</v>
      </c>
      <c r="I492" t="str">
        <f ca="1"/>
        <v>Capex</v>
      </c>
      <c r="J492" t="str">
        <f ca="1"/>
        <v>Uber TRV - PO1966</v>
      </c>
      <c r="K492" t="str">
        <f ca="1"/>
        <v>N/A</v>
      </c>
      <c r="L492" t="str">
        <f ca="1">VLOOKUP(B492,[1]Total!$B:$Q,16,0)</f>
        <v>602.34.002 Gastos por visita tencica</v>
      </c>
      <c r="M492">
        <f t="shared" ca="1" si="15"/>
        <v>580.01</v>
      </c>
      <c r="N492" t="str">
        <f t="shared" ca="1" si="16"/>
        <v xml:space="preserve">Tommaso Rivetti Vinea UBER   *TRIP           SAN FRANCISCO USA Uber Capex Uber TRV - PO1966 N/A </v>
      </c>
    </row>
    <row r="493" spans="1:14">
      <c r="A493" t="str">
        <f ca="1"/>
        <v>TRX1102</v>
      </c>
      <c r="B493" t="str">
        <f ca="1"/>
        <v>#52</v>
      </c>
      <c r="C493">
        <f ca="1"/>
        <v>46076.416666666599</v>
      </c>
      <c r="D493">
        <f ca="1"/>
        <v>2268.4</v>
      </c>
      <c r="E493" t="str">
        <f ca="1"/>
        <v>USD</v>
      </c>
      <c r="F493" t="str">
        <f ca="1"/>
        <v>Tommaso Rivetti Vinea</v>
      </c>
      <c r="G493" t="str">
        <f ca="1"/>
        <v>FAIRFIELD INN &amp; SUIT   AUSTIN        USA</v>
      </c>
      <c r="H493" t="str">
        <f ca="1"/>
        <v>Fairfield Inn Suites</v>
      </c>
      <c r="I493" t="str">
        <f ca="1"/>
        <v>Capex</v>
      </c>
      <c r="J493" t="str">
        <f ca="1"/>
        <v>Uber TRV - PO1966</v>
      </c>
      <c r="K493" t="str">
        <f ca="1"/>
        <v>N/A</v>
      </c>
      <c r="L493" t="str">
        <f ca="1">VLOOKUP(B493,[1]Total!$B:$Q,16,0)</f>
        <v>602.34.002 Gastos por visita tencica</v>
      </c>
      <c r="M493">
        <f t="shared" ca="1" si="15"/>
        <v>2268.4</v>
      </c>
      <c r="N493" t="str">
        <f t="shared" ca="1" si="16"/>
        <v xml:space="preserve">Tommaso Rivetti Vinea FAIRFIELD INN &amp; SUIT   AUSTIN        USA Fairfield Inn Suites Capex Uber TRV - PO1966 N/A </v>
      </c>
    </row>
    <row r="494" spans="1:14" hidden="1">
      <c r="A494" t="str">
        <f ca="1"/>
        <v>#N/A</v>
      </c>
      <c r="B494">
        <f ca="1"/>
        <v>0</v>
      </c>
      <c r="C494">
        <f ca="1"/>
        <v>0</v>
      </c>
      <c r="D494" t="str">
        <f ca="1"/>
        <v>#N/A</v>
      </c>
      <c r="E494" t="str">
        <f ca="1"/>
        <v>#N/A</v>
      </c>
      <c r="F494" t="str">
        <f ca="1"/>
        <v>#N/A</v>
      </c>
      <c r="G494" t="str">
        <f ca="1"/>
        <v>#N/A</v>
      </c>
      <c r="H494">
        <f ca="1"/>
        <v>0</v>
      </c>
      <c r="I494" t="str">
        <f ca="1"/>
        <v>Transaction cost</v>
      </c>
      <c r="J494" t="str">
        <f ca="1"/>
        <v>PO 1801 VISITA A GRAJALES</v>
      </c>
      <c r="K494">
        <f ca="1"/>
        <v>0</v>
      </c>
      <c r="L494" t="e">
        <f ca="1">VLOOKUP(B494,[1]Total!$B:$Q,16,0)</f>
        <v>#N/A</v>
      </c>
      <c r="M494" t="str">
        <f t="shared" ca="1" si="15"/>
        <v>#N/A</v>
      </c>
      <c r="N494" t="str">
        <f t="shared" ca="1" si="16"/>
        <v xml:space="preserve">#N/A #N/A 0 Transaction cost PO 1801 VISITA A GRAJALES 0 </v>
      </c>
    </row>
    <row r="495" spans="1:14" hidden="1">
      <c r="A495" t="str">
        <f ca="1"/>
        <v>#N/A</v>
      </c>
      <c r="B495">
        <f ca="1"/>
        <v>0</v>
      </c>
      <c r="C495">
        <f ca="1"/>
        <v>0</v>
      </c>
      <c r="D495" t="str">
        <f ca="1"/>
        <v>#N/A</v>
      </c>
      <c r="E495" t="str">
        <f ca="1"/>
        <v>#N/A</v>
      </c>
      <c r="F495" t="str">
        <f ca="1"/>
        <v>#N/A</v>
      </c>
      <c r="G495" t="str">
        <f ca="1"/>
        <v>#N/A</v>
      </c>
      <c r="H495">
        <f ca="1"/>
        <v>0</v>
      </c>
      <c r="I495" t="str">
        <f ca="1"/>
        <v>Sales</v>
      </c>
      <c r="J495" t="str">
        <f ca="1"/>
        <v>CANCELADO</v>
      </c>
      <c r="K495" t="str">
        <f ca="1"/>
        <v>NA</v>
      </c>
      <c r="L495" t="e">
        <f ca="1">VLOOKUP(B495,[1]Total!$B:$Q,16,0)</f>
        <v>#N/A</v>
      </c>
      <c r="M495" t="str">
        <f t="shared" ca="1" si="15"/>
        <v>#N/A</v>
      </c>
      <c r="N495" t="str">
        <f t="shared" ca="1" si="16"/>
        <v xml:space="preserve">#N/A #N/A 0 Sales CANCELADO NA </v>
      </c>
    </row>
    <row r="496" spans="1:14" hidden="1">
      <c r="A496" t="str">
        <f ca="1"/>
        <v>#N/A</v>
      </c>
      <c r="B496">
        <f ca="1"/>
        <v>0</v>
      </c>
      <c r="C496">
        <f ca="1"/>
        <v>0</v>
      </c>
      <c r="D496" t="str">
        <f ca="1"/>
        <v>#N/A</v>
      </c>
      <c r="E496" t="str">
        <f ca="1"/>
        <v>#N/A</v>
      </c>
      <c r="F496" t="str">
        <f ca="1"/>
        <v>#N/A</v>
      </c>
      <c r="G496" t="str">
        <f ca="1"/>
        <v>#N/A</v>
      </c>
      <c r="H496">
        <f ca="1"/>
        <v>0</v>
      </c>
      <c r="I496" t="str">
        <f ca="1"/>
        <v>Sales</v>
      </c>
      <c r="J496" t="str">
        <f ca="1"/>
        <v>Hotel para la vista en la expo acero</v>
      </c>
      <c r="K496" t="str">
        <f ca="1"/>
        <v>59ad28ac-202c-455c-a500-23358de1b2cb</v>
      </c>
      <c r="L496" t="e">
        <f ca="1">VLOOKUP(B496,[1]Total!$B:$Q,16,0)</f>
        <v>#N/A</v>
      </c>
      <c r="M496" t="str">
        <f t="shared" ca="1" si="15"/>
        <v>#N/A</v>
      </c>
      <c r="N496" t="str">
        <f t="shared" ca="1" si="16"/>
        <v xml:space="preserve">#N/A #N/A 0 Sales Hotel para la vista en la expo acero 59ad28ac-202c-455c-a500-23358de1b2cb </v>
      </c>
    </row>
    <row r="497" spans="1:14">
      <c r="A497" t="str">
        <f ca="1"/>
        <v>TRX1114</v>
      </c>
      <c r="B497" t="str">
        <f ca="1"/>
        <v>#53</v>
      </c>
      <c r="C497">
        <f ca="1"/>
        <v>46077.416666666599</v>
      </c>
      <c r="D497">
        <f ca="1"/>
        <v>4269</v>
      </c>
      <c r="E497" t="str">
        <f ca="1"/>
        <v>MXN</v>
      </c>
      <c r="F497" t="str">
        <f ca="1"/>
        <v>Monserrat Benitez</v>
      </c>
      <c r="G497" t="str">
        <f ca="1"/>
        <v>PPROMEX*LINKEDIN       CIUDAD DE MEX MEX</v>
      </c>
      <c r="H497" t="str">
        <f ca="1"/>
        <v>Linkedin</v>
      </c>
      <c r="I497" t="str">
        <f ca="1"/>
        <v>G&amp;A expenses</v>
      </c>
      <c r="J497" t="str">
        <f ca="1"/>
        <v>LinkedIn Premium</v>
      </c>
      <c r="K497" t="str">
        <f ca="1"/>
        <v>1392148662342, 1392148662343, 1392148662344, 1392148662345, 1392148662346</v>
      </c>
      <c r="L497" t="str">
        <f ca="1">VLOOKUP(B497,[1]Total!$B:$Q,16,0)</f>
        <v>603.32.001 Reclutamiento</v>
      </c>
      <c r="M497">
        <f t="shared" ca="1" si="15"/>
        <v>4269</v>
      </c>
      <c r="N497" t="str">
        <f t="shared" ca="1" si="16"/>
        <v xml:space="preserve">Monserrat Benitez PPROMEX*LINKEDIN       CIUDAD DE MEX MEX Linkedin G&amp;A expenses LinkedIn Premium 1392148662342, 1392148662343, 1392148662344, 1392148662345, 1392148662346 </v>
      </c>
    </row>
    <row r="498" spans="1:14">
      <c r="A498" t="str">
        <f ca="1"/>
        <v>TRX1247</v>
      </c>
      <c r="B498" t="str">
        <f ca="1"/>
        <v>#55</v>
      </c>
      <c r="C498">
        <f ca="1"/>
        <v>46058.416666666599</v>
      </c>
      <c r="D498">
        <f ca="1"/>
        <v>147.93</v>
      </c>
      <c r="E498" t="str">
        <f ca="1"/>
        <v>MXN</v>
      </c>
      <c r="F498" t="str">
        <f ca="1"/>
        <v>Gerardo Madrid</v>
      </c>
      <c r="G498" t="str">
        <f ca="1"/>
        <v>UBER *TRIP HELP.UBER.C CMX           MEX</v>
      </c>
      <c r="H498" t="str">
        <f ca="1"/>
        <v>Uber</v>
      </c>
      <c r="I498" t="str">
        <f ca="1"/>
        <v>Sales</v>
      </c>
      <c r="J498">
        <f ca="1"/>
        <v>0</v>
      </c>
      <c r="K498">
        <f ca="1"/>
        <v>0</v>
      </c>
      <c r="L498" t="s">
        <v>2020</v>
      </c>
      <c r="M498">
        <f t="shared" ca="1" si="15"/>
        <v>147.93</v>
      </c>
      <c r="N498" t="str">
        <f t="shared" ca="1" si="16"/>
        <v xml:space="preserve">Gerardo Madrid UBER *TRIP HELP.UBER.C CMX           MEX Uber Sales 0 0 </v>
      </c>
    </row>
    <row r="499" spans="1:14">
      <c r="A499" t="str">
        <f ca="1"/>
        <v>TRX1199</v>
      </c>
      <c r="B499" t="str">
        <f ca="1"/>
        <v>#55</v>
      </c>
      <c r="C499">
        <f ca="1"/>
        <v>46058.417361111096</v>
      </c>
      <c r="D499">
        <f ca="1"/>
        <v>210</v>
      </c>
      <c r="E499" t="str">
        <f ca="1"/>
        <v>MXN</v>
      </c>
      <c r="F499" t="str">
        <f ca="1"/>
        <v>Gerardo Madrid</v>
      </c>
      <c r="G499" t="str">
        <f ca="1"/>
        <v>FIX EL CERRITO         CUAUTITLAN IZ MEX</v>
      </c>
      <c r="H499" t="str">
        <f ca="1"/>
        <v>Fix El Cerrito Cuautitlan Iz Mex</v>
      </c>
      <c r="I499" t="str">
        <f ca="1"/>
        <v>Sales</v>
      </c>
      <c r="J499">
        <f ca="1"/>
        <v>0</v>
      </c>
      <c r="K499">
        <f ca="1"/>
        <v>0</v>
      </c>
      <c r="L499" t="s">
        <v>2020</v>
      </c>
      <c r="M499">
        <f t="shared" ca="1" si="15"/>
        <v>210</v>
      </c>
      <c r="N499" t="str">
        <f t="shared" ca="1" si="16"/>
        <v xml:space="preserve">Gerardo Madrid FIX EL CERRITO         CUAUTITLAN IZ MEX Fix El Cerrito Cuautitlan Iz Mex Sales 0 0 </v>
      </c>
    </row>
    <row r="500" spans="1:14">
      <c r="A500" t="str">
        <f ca="1"/>
        <v>TRX1167</v>
      </c>
      <c r="B500" t="str">
        <f ca="1"/>
        <v>#55</v>
      </c>
      <c r="C500">
        <f ca="1"/>
        <v>46059.416666666599</v>
      </c>
      <c r="D500">
        <f ca="1"/>
        <v>2377.29</v>
      </c>
      <c r="E500" t="str">
        <f ca="1"/>
        <v>MXN</v>
      </c>
      <c r="F500" t="str">
        <f ca="1"/>
        <v>Gerardo Madrid</v>
      </c>
      <c r="G500" t="str">
        <f ca="1"/>
        <v>Amazon Mexico          CMX           MEX</v>
      </c>
      <c r="H500" t="str">
        <f ca="1"/>
        <v>Amazon</v>
      </c>
      <c r="I500" t="str">
        <f ca="1"/>
        <v>Sales</v>
      </c>
      <c r="J500">
        <f ca="1"/>
        <v>0</v>
      </c>
      <c r="K500">
        <f ca="1"/>
        <v>0</v>
      </c>
      <c r="L500" t="s">
        <v>2020</v>
      </c>
      <c r="M500">
        <f t="shared" ca="1" si="15"/>
        <v>2377.29</v>
      </c>
      <c r="N500" t="str">
        <f t="shared" ca="1" si="16"/>
        <v xml:space="preserve">Gerardo Madrid Amazon Mexico          CMX           MEX Amazon Sales 0 0 </v>
      </c>
    </row>
    <row r="501" spans="1:14">
      <c r="A501" t="str">
        <f ca="1"/>
        <v>TRX1672</v>
      </c>
      <c r="B501" t="str">
        <f ca="1"/>
        <v>#55</v>
      </c>
      <c r="C501">
        <f ca="1"/>
        <v>46060.417361111096</v>
      </c>
      <c r="D501">
        <f ca="1"/>
        <v>998.02</v>
      </c>
      <c r="E501" t="str">
        <f ca="1"/>
        <v>MXN</v>
      </c>
      <c r="F501" t="str">
        <f ca="1"/>
        <v>Gerardo Madrid</v>
      </c>
      <c r="G501" t="str">
        <f ca="1"/>
        <v>ELECT STEREN           CIUDAD DE MEX MEX</v>
      </c>
      <c r="H501" t="str">
        <f ca="1"/>
        <v>Elect Steren Ciudad De Mex Mex</v>
      </c>
      <c r="I501" t="str">
        <f ca="1"/>
        <v>Sales</v>
      </c>
      <c r="J501">
        <f ca="1"/>
        <v>0</v>
      </c>
      <c r="K501">
        <f ca="1"/>
        <v>0</v>
      </c>
      <c r="L501" t="s">
        <v>2020</v>
      </c>
      <c r="M501">
        <f t="shared" ca="1" si="15"/>
        <v>998.02</v>
      </c>
      <c r="N501" t="str">
        <f t="shared" ca="1" si="16"/>
        <v xml:space="preserve">Gerardo Madrid ELECT STEREN           CIUDAD DE MEX MEX Elect Steren Ciudad De Mex Mex Sales 0 0 </v>
      </c>
    </row>
    <row r="502" spans="1:14">
      <c r="A502" t="str">
        <f ca="1"/>
        <v>TRX1752</v>
      </c>
      <c r="B502" t="str">
        <f ca="1"/>
        <v>#55</v>
      </c>
      <c r="C502">
        <f ca="1"/>
        <v>46063.335416666603</v>
      </c>
      <c r="D502">
        <f ca="1"/>
        <v>0.01</v>
      </c>
      <c r="E502" t="str">
        <f ca="1"/>
        <v>MXN</v>
      </c>
      <c r="F502" t="str">
        <f ca="1"/>
        <v>Gerardo Madrid</v>
      </c>
      <c r="G502" t="str">
        <f ca="1"/>
        <v>20260208T01:01:01/PALACIO RENT A CAR\UNKNOWN\TIJUANA BCN\22404        MEX</v>
      </c>
      <c r="H502" t="str">
        <f ca="1"/>
        <v>T :01/Palacio Rent A Car\Unknown\Tijuana Bcn\22404 Mex</v>
      </c>
      <c r="I502" t="str">
        <f ca="1"/>
        <v>Sales</v>
      </c>
      <c r="J502">
        <f ca="1"/>
        <v>0</v>
      </c>
      <c r="K502">
        <f ca="1"/>
        <v>0</v>
      </c>
      <c r="L502" t="s">
        <v>2020</v>
      </c>
      <c r="M502">
        <f t="shared" ca="1" si="15"/>
        <v>0.01</v>
      </c>
      <c r="N502" t="str">
        <f t="shared" ca="1" si="16"/>
        <v xml:space="preserve">Gerardo Madrid 20260208T01:01:01/PALACIO RENT A CAR\UNKNOWN\TIJUANA BCN\22404        MEX T :01/Palacio Rent A Car\Unknown\Tijuana Bcn\22404 Mex Sales 0 0 </v>
      </c>
    </row>
    <row r="503" spans="1:14">
      <c r="A503" t="str">
        <f ca="1"/>
        <v>TRX1253</v>
      </c>
      <c r="B503" t="str">
        <f ca="1"/>
        <v>#55</v>
      </c>
      <c r="C503">
        <f ca="1"/>
        <v>46064.416666666599</v>
      </c>
      <c r="D503">
        <f ca="1"/>
        <v>149.94999999999999</v>
      </c>
      <c r="E503" t="str">
        <f ca="1"/>
        <v>MXN</v>
      </c>
      <c r="F503" t="str">
        <f ca="1"/>
        <v>Gerardo Madrid</v>
      </c>
      <c r="G503" t="str">
        <f ca="1"/>
        <v>UBER * PENDING         CMX           MEX</v>
      </c>
      <c r="H503" t="str">
        <f ca="1"/>
        <v>Uber</v>
      </c>
      <c r="I503" t="str">
        <f ca="1"/>
        <v>Sales</v>
      </c>
      <c r="J503">
        <f ca="1"/>
        <v>0</v>
      </c>
      <c r="K503">
        <f ca="1"/>
        <v>0</v>
      </c>
      <c r="L503" t="s">
        <v>2020</v>
      </c>
      <c r="M503">
        <f t="shared" ca="1" si="15"/>
        <v>149.94999999999999</v>
      </c>
      <c r="N503" t="str">
        <f t="shared" ca="1" si="16"/>
        <v xml:space="preserve">Gerardo Madrid UBER * PENDING         CMX           MEX Uber Sales 0 0 </v>
      </c>
    </row>
    <row r="504" spans="1:14">
      <c r="A504" t="str">
        <f ca="1"/>
        <v>TRX1463</v>
      </c>
      <c r="B504" t="str">
        <f ca="1"/>
        <v>#55</v>
      </c>
      <c r="C504">
        <f ca="1"/>
        <v>46065.416666666599</v>
      </c>
      <c r="D504">
        <f ca="1"/>
        <v>1075</v>
      </c>
      <c r="E504" t="str">
        <f ca="1"/>
        <v>MXN</v>
      </c>
      <c r="F504" t="str">
        <f ca="1"/>
        <v>Gerardo Madrid</v>
      </c>
      <c r="G504" t="str">
        <f ca="1"/>
        <v>SERV JARDINES DEL PEDR CIUDAD DE MEX MEX</v>
      </c>
      <c r="H504" t="str">
        <f ca="1"/>
        <v>Serv Jardines Del Pedr Ciudad De Mex Mex</v>
      </c>
      <c r="I504" t="str">
        <f ca="1"/>
        <v>Sales</v>
      </c>
      <c r="J504">
        <f ca="1"/>
        <v>0</v>
      </c>
      <c r="K504">
        <f ca="1"/>
        <v>0</v>
      </c>
      <c r="L504" t="s">
        <v>2020</v>
      </c>
      <c r="M504">
        <f t="shared" ca="1" si="15"/>
        <v>1075</v>
      </c>
      <c r="N504" t="str">
        <f t="shared" ca="1" si="16"/>
        <v xml:space="preserve">Gerardo Madrid SERV JARDINES DEL PEDR CIUDAD DE MEX MEX Serv Jardines Del Pedr Ciudad De Mex Mex Sales 0 0 </v>
      </c>
    </row>
    <row r="505" spans="1:14">
      <c r="A505" t="str">
        <f ca="1"/>
        <v>TRX1820</v>
      </c>
      <c r="B505" t="str">
        <f ca="1"/>
        <v>#55</v>
      </c>
      <c r="C505">
        <f ca="1"/>
        <v>46066.416666666599</v>
      </c>
      <c r="D505">
        <f ca="1"/>
        <v>170.51</v>
      </c>
      <c r="E505" t="str">
        <f ca="1"/>
        <v>MXN</v>
      </c>
      <c r="F505" t="str">
        <f ca="1"/>
        <v>Gerardo Madrid</v>
      </c>
      <c r="G505" t="str">
        <f ca="1"/>
        <v>UBER *TRIP HELP.UBER.C CMX           MEX</v>
      </c>
      <c r="H505" t="str">
        <f ca="1"/>
        <v>Uber</v>
      </c>
      <c r="I505" t="str">
        <f ca="1"/>
        <v>Sales</v>
      </c>
      <c r="J505">
        <f ca="1"/>
        <v>0</v>
      </c>
      <c r="K505">
        <f ca="1"/>
        <v>0</v>
      </c>
      <c r="L505" t="s">
        <v>2020</v>
      </c>
      <c r="M505">
        <f t="shared" ca="1" si="15"/>
        <v>170.51</v>
      </c>
      <c r="N505" t="str">
        <f t="shared" ca="1" si="16"/>
        <v xml:space="preserve">Gerardo Madrid UBER *TRIP HELP.UBER.C CMX           MEX Uber Sales 0 0 </v>
      </c>
    </row>
    <row r="506" spans="1:14">
      <c r="A506" t="str">
        <f ca="1"/>
        <v>TRX1727</v>
      </c>
      <c r="B506" t="str">
        <f ca="1"/>
        <v>#55</v>
      </c>
      <c r="C506">
        <f ca="1"/>
        <v>46067.416666666599</v>
      </c>
      <c r="D506">
        <f ca="1"/>
        <v>256.25</v>
      </c>
      <c r="E506" t="str">
        <f ca="1"/>
        <v>MXN</v>
      </c>
      <c r="F506" t="str">
        <f ca="1"/>
        <v>Gerardo Madrid</v>
      </c>
      <c r="G506" t="str">
        <f ca="1"/>
        <v>UBER *TRIP HELP.UBER.C CMX           MEX</v>
      </c>
      <c r="H506" t="str">
        <f ca="1"/>
        <v>Uber</v>
      </c>
      <c r="I506" t="str">
        <f ca="1"/>
        <v>Sales</v>
      </c>
      <c r="J506">
        <f ca="1"/>
        <v>0</v>
      </c>
      <c r="K506">
        <f ca="1"/>
        <v>0</v>
      </c>
      <c r="L506" t="s">
        <v>2020</v>
      </c>
      <c r="M506">
        <f t="shared" ca="1" si="15"/>
        <v>256.25</v>
      </c>
      <c r="N506" t="str">
        <f t="shared" ca="1" si="16"/>
        <v xml:space="preserve">Gerardo Madrid UBER *TRIP HELP.UBER.C CMX           MEX Uber Sales 0 0 </v>
      </c>
    </row>
    <row r="507" spans="1:14">
      <c r="A507" t="str">
        <f ca="1"/>
        <v>TRX1564</v>
      </c>
      <c r="B507" t="str">
        <f ca="1"/>
        <v>#55</v>
      </c>
      <c r="C507">
        <f ca="1"/>
        <v>46067.416666666599</v>
      </c>
      <c r="D507">
        <f ca="1"/>
        <v>43.95</v>
      </c>
      <c r="E507" t="str">
        <f ca="1"/>
        <v>MXN</v>
      </c>
      <c r="F507" t="str">
        <f ca="1"/>
        <v>Gerardo Madrid</v>
      </c>
      <c r="G507" t="str">
        <f ca="1"/>
        <v>UBER * PENDING         CMX           MEX</v>
      </c>
      <c r="H507" t="str">
        <f ca="1"/>
        <v>Uber</v>
      </c>
      <c r="I507" t="str">
        <f ca="1"/>
        <v>Sales</v>
      </c>
      <c r="J507">
        <f ca="1"/>
        <v>0</v>
      </c>
      <c r="K507">
        <f ca="1"/>
        <v>0</v>
      </c>
      <c r="L507" t="s">
        <v>2020</v>
      </c>
      <c r="M507">
        <f t="shared" ca="1" si="15"/>
        <v>43.95</v>
      </c>
      <c r="N507" t="str">
        <f t="shared" ca="1" si="16"/>
        <v xml:space="preserve">Gerardo Madrid UBER * PENDING         CMX           MEX Uber Sales 0 0 </v>
      </c>
    </row>
    <row r="508" spans="1:14">
      <c r="A508" t="str">
        <f ca="1"/>
        <v>TRX1041</v>
      </c>
      <c r="B508" t="str">
        <f ca="1"/>
        <v>#55</v>
      </c>
      <c r="C508">
        <f ca="1"/>
        <v>46068.416666666599</v>
      </c>
      <c r="D508">
        <f ca="1"/>
        <v>844.65</v>
      </c>
      <c r="E508" t="str">
        <f ca="1"/>
        <v>MXN</v>
      </c>
      <c r="F508" t="str">
        <f ca="1"/>
        <v>Gerardo Madrid</v>
      </c>
      <c r="G508" t="str">
        <f ca="1"/>
        <v>MERPAGO*MERCADOLIBRE   Ciudad de Mex MEX</v>
      </c>
      <c r="H508" t="str">
        <f ca="1"/>
        <v>Merpago Mercadolibre Ciudad De Mex Mex</v>
      </c>
      <c r="I508" t="str">
        <f ca="1"/>
        <v>Sales</v>
      </c>
      <c r="J508">
        <f ca="1"/>
        <v>0</v>
      </c>
      <c r="K508">
        <f ca="1"/>
        <v>0</v>
      </c>
      <c r="L508" t="s">
        <v>2020</v>
      </c>
      <c r="M508">
        <f t="shared" ca="1" si="15"/>
        <v>844.65</v>
      </c>
      <c r="N508" t="str">
        <f t="shared" ca="1" si="16"/>
        <v xml:space="preserve">Gerardo Madrid MERPAGO*MERCADOLIBRE   Ciudad de Mex MEX Merpago Mercadolibre Ciudad De Mex Mex Sales 0 0 </v>
      </c>
    </row>
    <row r="509" spans="1:14">
      <c r="A509" t="str">
        <f ca="1"/>
        <v>TRX1773</v>
      </c>
      <c r="B509" t="str">
        <f ca="1"/>
        <v>#55</v>
      </c>
      <c r="C509">
        <f ca="1"/>
        <v>46073.416666666599</v>
      </c>
      <c r="D509">
        <f ca="1"/>
        <v>161.38999999999999</v>
      </c>
      <c r="E509" t="str">
        <f ca="1"/>
        <v>MXN</v>
      </c>
      <c r="F509" t="str">
        <f ca="1"/>
        <v>Gerardo Madrid</v>
      </c>
      <c r="G509" t="str">
        <f ca="1"/>
        <v>UBER *TRIP HELP.UBER.C CMX           MEX</v>
      </c>
      <c r="H509" t="str">
        <f ca="1"/>
        <v>Uber</v>
      </c>
      <c r="I509" t="str">
        <f ca="1"/>
        <v>Sales</v>
      </c>
      <c r="J509">
        <f ca="1"/>
        <v>0</v>
      </c>
      <c r="K509">
        <f ca="1"/>
        <v>0</v>
      </c>
      <c r="L509" t="s">
        <v>2020</v>
      </c>
      <c r="M509">
        <f t="shared" ca="1" si="15"/>
        <v>161.38999999999999</v>
      </c>
      <c r="N509" t="str">
        <f t="shared" ca="1" si="16"/>
        <v xml:space="preserve">Gerardo Madrid UBER *TRIP HELP.UBER.C CMX           MEX Uber Sales 0 0 </v>
      </c>
    </row>
    <row r="510" spans="1:14">
      <c r="A510" t="str">
        <f ca="1"/>
        <v>TRX1792</v>
      </c>
      <c r="B510" t="str">
        <f ca="1"/>
        <v>#55</v>
      </c>
      <c r="C510">
        <f ca="1"/>
        <v>46073.416666666599</v>
      </c>
      <c r="D510">
        <f ca="1"/>
        <v>623.54999999999995</v>
      </c>
      <c r="E510" t="str">
        <f ca="1"/>
        <v>MXN</v>
      </c>
      <c r="F510" t="str">
        <f ca="1"/>
        <v>Gerardo Madrid</v>
      </c>
      <c r="G510" t="str">
        <f ca="1"/>
        <v>UBER *TRIP HELP.UBER.C CMX           MEX</v>
      </c>
      <c r="H510" t="str">
        <f ca="1"/>
        <v>Uber</v>
      </c>
      <c r="I510" t="str">
        <f ca="1"/>
        <v>Sales</v>
      </c>
      <c r="J510">
        <f ca="1"/>
        <v>0</v>
      </c>
      <c r="K510">
        <f ca="1"/>
        <v>0</v>
      </c>
      <c r="L510" t="s">
        <v>2020</v>
      </c>
      <c r="M510">
        <f t="shared" ca="1" si="15"/>
        <v>623.54999999999995</v>
      </c>
      <c r="N510" t="str">
        <f t="shared" ca="1" si="16"/>
        <v xml:space="preserve">Gerardo Madrid UBER *TRIP HELP.UBER.C CMX           MEX Uber Sales 0 0 </v>
      </c>
    </row>
    <row r="511" spans="1:14">
      <c r="A511" t="str">
        <f ca="1"/>
        <v>TRX1811</v>
      </c>
      <c r="B511" t="str">
        <f ca="1"/>
        <v>#55</v>
      </c>
      <c r="C511">
        <f ca="1"/>
        <v>46073.416666666599</v>
      </c>
      <c r="D511">
        <f ca="1"/>
        <v>50</v>
      </c>
      <c r="E511" t="str">
        <f ca="1"/>
        <v>MXN</v>
      </c>
      <c r="F511" t="str">
        <f ca="1"/>
        <v>Gerardo Madrid</v>
      </c>
      <c r="G511" t="str">
        <f ca="1"/>
        <v>UBER * PENDING         CMX           MEX</v>
      </c>
      <c r="H511" t="str">
        <f ca="1"/>
        <v>Uber</v>
      </c>
      <c r="I511" t="str">
        <f ca="1"/>
        <v>Sales</v>
      </c>
      <c r="J511">
        <f ca="1"/>
        <v>0</v>
      </c>
      <c r="K511">
        <f ca="1"/>
        <v>0</v>
      </c>
      <c r="L511" t="s">
        <v>2020</v>
      </c>
      <c r="M511">
        <f t="shared" ca="1" si="15"/>
        <v>50</v>
      </c>
      <c r="N511" t="str">
        <f t="shared" ca="1" si="16"/>
        <v xml:space="preserve">Gerardo Madrid UBER * PENDING         CMX           MEX Uber Sales 0 0 </v>
      </c>
    </row>
    <row r="512" spans="1:14">
      <c r="A512" t="str">
        <f ca="1"/>
        <v>TRX1035</v>
      </c>
      <c r="B512" t="str">
        <f ca="1"/>
        <v>#55</v>
      </c>
      <c r="C512">
        <f ca="1"/>
        <v>46074.417361111096</v>
      </c>
      <c r="D512">
        <f ca="1"/>
        <v>1028.8399999999999</v>
      </c>
      <c r="E512" t="str">
        <f ca="1"/>
        <v>MXN</v>
      </c>
      <c r="F512" t="str">
        <f ca="1"/>
        <v>Gerardo Madrid</v>
      </c>
      <c r="G512" t="str">
        <f ca="1"/>
        <v>GAS SERV BP            CUAUTITLAN IZ MEX</v>
      </c>
      <c r="H512" t="str">
        <f ca="1"/>
        <v>Gas Serv Bp Cuautitlan Iz Mex</v>
      </c>
      <c r="I512" t="str">
        <f ca="1"/>
        <v>Sales</v>
      </c>
      <c r="J512">
        <f ca="1"/>
        <v>0</v>
      </c>
      <c r="K512">
        <f ca="1"/>
        <v>0</v>
      </c>
      <c r="L512" t="s">
        <v>2020</v>
      </c>
      <c r="M512">
        <f t="shared" ca="1" si="15"/>
        <v>1028.8399999999999</v>
      </c>
      <c r="N512" t="str">
        <f t="shared" ca="1" si="16"/>
        <v xml:space="preserve">Gerardo Madrid GAS SERV BP            CUAUTITLAN IZ MEX Gas Serv Bp Cuautitlan Iz Mex Sales 0 0 </v>
      </c>
    </row>
    <row r="513" spans="1:14">
      <c r="A513" t="str">
        <f ca="1"/>
        <v>TRX1050</v>
      </c>
      <c r="B513" t="str">
        <f ca="1"/>
        <v>#55</v>
      </c>
      <c r="C513">
        <f ca="1"/>
        <v>46075.416666666599</v>
      </c>
      <c r="D513">
        <f ca="1"/>
        <v>71.790000000000006</v>
      </c>
      <c r="E513" t="str">
        <f ca="1"/>
        <v>MXN</v>
      </c>
      <c r="F513" t="str">
        <f ca="1"/>
        <v>Gerardo Madrid</v>
      </c>
      <c r="G513" t="str">
        <f ca="1"/>
        <v>UBER *TRIP HELP.UBER.C CMX           MEX</v>
      </c>
      <c r="H513" t="str">
        <f ca="1"/>
        <v>Uber</v>
      </c>
      <c r="I513" t="str">
        <f ca="1"/>
        <v>Sales</v>
      </c>
      <c r="J513">
        <f ca="1"/>
        <v>0</v>
      </c>
      <c r="K513">
        <f ca="1"/>
        <v>0</v>
      </c>
      <c r="L513" t="s">
        <v>2020</v>
      </c>
      <c r="M513">
        <f t="shared" ca="1" si="15"/>
        <v>71.790000000000006</v>
      </c>
      <c r="N513" t="str">
        <f t="shared" ca="1" si="16"/>
        <v xml:space="preserve">Gerardo Madrid UBER *TRIP HELP.UBER.C CMX           MEX Uber Sales 0 0 </v>
      </c>
    </row>
    <row r="514" spans="1:14">
      <c r="A514" t="str">
        <f ca="1"/>
        <v>TRX1062</v>
      </c>
      <c r="B514" t="str">
        <f ca="1"/>
        <v>#55</v>
      </c>
      <c r="C514">
        <f ca="1"/>
        <v>46075.416666666599</v>
      </c>
      <c r="D514">
        <f ca="1"/>
        <v>2417.9299999999998</v>
      </c>
      <c r="E514" t="str">
        <f ca="1"/>
        <v>MXN</v>
      </c>
      <c r="F514" t="str">
        <f ca="1"/>
        <v>Gerardo Madrid</v>
      </c>
      <c r="G514" t="str">
        <f ca="1"/>
        <v>Amazon Mexico          CMX           MEX</v>
      </c>
      <c r="H514" t="str">
        <f ca="1"/>
        <v>Amazon</v>
      </c>
      <c r="I514" t="str">
        <f ca="1"/>
        <v>Sales</v>
      </c>
      <c r="J514">
        <f ca="1"/>
        <v>0</v>
      </c>
      <c r="K514">
        <f ca="1"/>
        <v>0</v>
      </c>
      <c r="L514" t="s">
        <v>2020</v>
      </c>
      <c r="M514">
        <f t="shared" ca="1" si="15"/>
        <v>2417.9299999999998</v>
      </c>
      <c r="N514" t="str">
        <f t="shared" ca="1" si="16"/>
        <v xml:space="preserve">Gerardo Madrid Amazon Mexico          CMX           MEX Amazon Sales 0 0 </v>
      </c>
    </row>
    <row r="515" spans="1:14">
      <c r="A515" t="str">
        <f ca="1"/>
        <v>TRX1111</v>
      </c>
      <c r="B515" t="str">
        <f ca="1"/>
        <v>#55</v>
      </c>
      <c r="C515">
        <f ca="1"/>
        <v>46077.416666666599</v>
      </c>
      <c r="D515">
        <f ca="1"/>
        <v>3111.25</v>
      </c>
      <c r="E515" t="str">
        <f ca="1"/>
        <v>MXN</v>
      </c>
      <c r="F515" t="str">
        <f ca="1"/>
        <v>Gerardo Madrid</v>
      </c>
      <c r="G515" t="str">
        <f ca="1"/>
        <v>MERPAGO*MERCADOLIBRE   Ciudad de Mex MEX</v>
      </c>
      <c r="H515" t="str">
        <f ca="1"/>
        <v>Merpago Mercadolibre Ciudad De Mex Mex</v>
      </c>
      <c r="I515" t="str">
        <f ca="1"/>
        <v>Sales</v>
      </c>
      <c r="J515">
        <f ca="1"/>
        <v>0</v>
      </c>
      <c r="K515">
        <f ca="1"/>
        <v>0</v>
      </c>
      <c r="L515" t="s">
        <v>2020</v>
      </c>
      <c r="M515">
        <f t="shared" ref="M515:M578" ca="1" si="17">D515</f>
        <v>3111.25</v>
      </c>
      <c r="N515" t="str">
        <f t="shared" ref="N515:N578" ca="1" si="18">CONCATENATE(F515," ",G515," ",H515," ",I515," ",J515," ",K515," ")</f>
        <v xml:space="preserve">Gerardo Madrid MERPAGO*MERCADOLIBRE   Ciudad de Mex MEX Merpago Mercadolibre Ciudad De Mex Mex Sales 0 0 </v>
      </c>
    </row>
    <row r="516" spans="1:14">
      <c r="A516" t="str">
        <f ca="1"/>
        <v>TRX1140</v>
      </c>
      <c r="B516" t="str">
        <f ca="1"/>
        <v>#55</v>
      </c>
      <c r="C516">
        <f ca="1"/>
        <v>46078.416666666599</v>
      </c>
      <c r="D516">
        <f ca="1"/>
        <v>282</v>
      </c>
      <c r="E516" t="str">
        <f ca="1"/>
        <v>MXN</v>
      </c>
      <c r="F516" t="str">
        <f ca="1"/>
        <v>Gerardo Madrid</v>
      </c>
      <c r="G516" t="str">
        <f ca="1"/>
        <v>DLO*UBER RIDES         CIUDAD DE MEX MEX</v>
      </c>
      <c r="H516" t="str">
        <f ca="1"/>
        <v>Uber</v>
      </c>
      <c r="I516" t="str">
        <f ca="1"/>
        <v>Sales</v>
      </c>
      <c r="J516">
        <f ca="1"/>
        <v>0</v>
      </c>
      <c r="K516">
        <f ca="1"/>
        <v>0</v>
      </c>
      <c r="L516" t="s">
        <v>2020</v>
      </c>
      <c r="M516">
        <f t="shared" ca="1" si="17"/>
        <v>282</v>
      </c>
      <c r="N516" t="str">
        <f t="shared" ca="1" si="18"/>
        <v xml:space="preserve">Gerardo Madrid DLO*UBER RIDES         CIUDAD DE MEX MEX Uber Sales 0 0 </v>
      </c>
    </row>
    <row r="517" spans="1:14">
      <c r="A517" t="str">
        <f ca="1"/>
        <v>TRX1234</v>
      </c>
      <c r="B517" t="str">
        <f ca="1"/>
        <v>#55</v>
      </c>
      <c r="C517">
        <f ca="1"/>
        <v>46080.416666666599</v>
      </c>
      <c r="D517">
        <f ca="1"/>
        <v>1017.79</v>
      </c>
      <c r="E517" t="str">
        <f ca="1"/>
        <v>MXN</v>
      </c>
      <c r="F517" t="str">
        <f ca="1"/>
        <v>Gerardo Madrid</v>
      </c>
      <c r="G517" t="str">
        <f ca="1"/>
        <v>SERVEL NUEVO PEDREGAL  CIUDAD DE MEX MEX</v>
      </c>
      <c r="H517" t="str">
        <f ca="1"/>
        <v>Servel Nuevo Pedregal Ciudad De Mex Mex</v>
      </c>
      <c r="I517" t="str">
        <f ca="1"/>
        <v>Sales</v>
      </c>
      <c r="J517">
        <f ca="1"/>
        <v>0</v>
      </c>
      <c r="K517">
        <f ca="1"/>
        <v>0</v>
      </c>
      <c r="L517" t="s">
        <v>2020</v>
      </c>
      <c r="M517">
        <f t="shared" ca="1" si="17"/>
        <v>1017.79</v>
      </c>
      <c r="N517" t="str">
        <f t="shared" ca="1" si="18"/>
        <v xml:space="preserve">Gerardo Madrid SERVEL NUEVO PEDREGAL  CIUDAD DE MEX MEX Servel Nuevo Pedregal Ciudad De Mex Mex Sales 0 0 </v>
      </c>
    </row>
    <row r="518" spans="1:14">
      <c r="A518" t="str">
        <f ca="1"/>
        <v>TRX1274</v>
      </c>
      <c r="B518" t="str">
        <f ca="1"/>
        <v>#56</v>
      </c>
      <c r="C518">
        <f ca="1"/>
        <v>46057.416666666599</v>
      </c>
      <c r="D518">
        <f ca="1"/>
        <v>429.98</v>
      </c>
      <c r="E518" t="str">
        <f ca="1"/>
        <v>MXN</v>
      </c>
      <c r="F518" t="str">
        <f ca="1"/>
        <v>Carlos Ivan Gonzalez Merino</v>
      </c>
      <c r="G518" t="str">
        <f ca="1"/>
        <v>UBER * PENDING         CMX           MEX</v>
      </c>
      <c r="H518" t="str">
        <f ca="1"/>
        <v>Uber</v>
      </c>
      <c r="I518" t="str">
        <f ca="1"/>
        <v>G&amp;A expenses</v>
      </c>
      <c r="J518" t="str">
        <f ca="1"/>
        <v>PO_2009 ASIPONA_TRASLADO</v>
      </c>
      <c r="K518">
        <f ca="1"/>
        <v>0</v>
      </c>
      <c r="L518" t="str">
        <f ca="1">VLOOKUP(B518,[1]Total!$B:$Q,16,0)</f>
        <v>602.34.002 Gastos por visita tencica</v>
      </c>
      <c r="M518">
        <f t="shared" ca="1" si="17"/>
        <v>429.98</v>
      </c>
      <c r="N518" t="str">
        <f t="shared" ca="1" si="18"/>
        <v xml:space="preserve">Carlos Ivan Gonzalez Merino UBER * PENDING         CMX           MEX Uber G&amp;A expenses PO_2009 ASIPONA_TRASLADO 0 </v>
      </c>
    </row>
    <row r="519" spans="1:14">
      <c r="A519" t="str">
        <f ca="1"/>
        <v>TRX1256</v>
      </c>
      <c r="B519" t="str">
        <f ca="1"/>
        <v>#56</v>
      </c>
      <c r="C519">
        <f ca="1"/>
        <v>46058.416666666599</v>
      </c>
      <c r="D519">
        <f ca="1"/>
        <v>280</v>
      </c>
      <c r="E519" t="str">
        <f ca="1"/>
        <v>MXN</v>
      </c>
      <c r="F519" t="str">
        <f ca="1"/>
        <v>Carlos Ivan Gonzalez Merino</v>
      </c>
      <c r="G519" t="str">
        <f ca="1"/>
        <v>ADO SUC AEROPUERTO     VERACRUZ VER  MEX</v>
      </c>
      <c r="H519" t="str">
        <f ca="1"/>
        <v>Ado Suc Aeropuerto Veracruz Ver Mex</v>
      </c>
      <c r="I519" t="str">
        <f ca="1"/>
        <v>G&amp;A expenses</v>
      </c>
      <c r="J519" t="str">
        <f ca="1"/>
        <v>PO_2009 ASIPONA_TRASLADO</v>
      </c>
      <c r="K519">
        <f ca="1"/>
        <v>0</v>
      </c>
      <c r="L519" t="str">
        <f ca="1">VLOOKUP(B519,[1]Total!$B:$Q,16,0)</f>
        <v>602.34.002 Gastos por visita tencica</v>
      </c>
      <c r="M519">
        <f t="shared" ca="1" si="17"/>
        <v>280</v>
      </c>
      <c r="N519" t="str">
        <f t="shared" ca="1" si="18"/>
        <v xml:space="preserve">Carlos Ivan Gonzalez Merino ADO SUC AEROPUERTO     VERACRUZ VER  MEX Ado Suc Aeropuerto Veracruz Ver Mex G&amp;A expenses PO_2009 ASIPONA_TRASLADO 0 </v>
      </c>
    </row>
    <row r="520" spans="1:14">
      <c r="A520" t="str">
        <f ca="1"/>
        <v>TRX1249</v>
      </c>
      <c r="B520" t="str">
        <f ca="1"/>
        <v>#56</v>
      </c>
      <c r="C520">
        <f ca="1"/>
        <v>46058.416666666599</v>
      </c>
      <c r="D520">
        <f ca="1"/>
        <v>276</v>
      </c>
      <c r="E520" t="str">
        <f ca="1"/>
        <v>MXN</v>
      </c>
      <c r="F520" t="str">
        <f ca="1"/>
        <v>Carlos Ivan Gonzalez Merino</v>
      </c>
      <c r="G520" t="str">
        <f ca="1"/>
        <v>Starbucks              CMX           MEX</v>
      </c>
      <c r="H520" t="str">
        <f ca="1"/>
        <v>Starbucks</v>
      </c>
      <c r="I520" t="str">
        <f ca="1"/>
        <v>G&amp;A expenses</v>
      </c>
      <c r="J520" t="str">
        <f ca="1"/>
        <v>PO_2009 ASIPONA_COMIDA</v>
      </c>
      <c r="K520">
        <f ca="1"/>
        <v>0</v>
      </c>
      <c r="L520" t="str">
        <f ca="1">VLOOKUP(B520,[1]Total!$B:$Q,16,0)</f>
        <v>602.34.002 Gastos por visita tencica</v>
      </c>
      <c r="M520">
        <f t="shared" ca="1" si="17"/>
        <v>276</v>
      </c>
      <c r="N520" t="str">
        <f t="shared" ca="1" si="18"/>
        <v xml:space="preserve">Carlos Ivan Gonzalez Merino Starbucks              CMX           MEX Starbucks G&amp;A expenses PO_2009 ASIPONA_COMIDA 0 </v>
      </c>
    </row>
    <row r="521" spans="1:14">
      <c r="A521" t="str">
        <f ca="1"/>
        <v>TRX1208</v>
      </c>
      <c r="B521" t="str">
        <f ca="1"/>
        <v>#56</v>
      </c>
      <c r="C521">
        <f ca="1"/>
        <v>46058.417361111096</v>
      </c>
      <c r="D521">
        <f ca="1"/>
        <v>122</v>
      </c>
      <c r="E521" t="str">
        <f ca="1"/>
        <v>MXN</v>
      </c>
      <c r="F521" t="str">
        <f ca="1"/>
        <v>Carlos Ivan Gonzalez Merino</v>
      </c>
      <c r="G521" t="str">
        <f ca="1"/>
        <v>DLO*DIDI RIDES         MEXICO        MEX</v>
      </c>
      <c r="H521" t="str">
        <f ca="1"/>
        <v>Didi Chuxing</v>
      </c>
      <c r="I521" t="str">
        <f ca="1"/>
        <v>G&amp;A expenses</v>
      </c>
      <c r="J521" t="str">
        <f ca="1"/>
        <v>PO_2009 ASIPONA_TRASLADO</v>
      </c>
      <c r="K521">
        <f ca="1"/>
        <v>0</v>
      </c>
      <c r="L521" t="str">
        <f ca="1">VLOOKUP(B521,[1]Total!$B:$Q,16,0)</f>
        <v>602.34.002 Gastos por visita tencica</v>
      </c>
      <c r="M521">
        <f t="shared" ca="1" si="17"/>
        <v>122</v>
      </c>
      <c r="N521" t="str">
        <f t="shared" ca="1" si="18"/>
        <v xml:space="preserve">Carlos Ivan Gonzalez Merino DLO*DIDI RIDES         MEXICO        MEX Didi Chuxing G&amp;A expenses PO_2009 ASIPONA_TRASLADO 0 </v>
      </c>
    </row>
    <row r="522" spans="1:14">
      <c r="A522" t="str">
        <f ca="1"/>
        <v>TRX1207</v>
      </c>
      <c r="B522" t="str">
        <f ca="1"/>
        <v>#56</v>
      </c>
      <c r="C522">
        <f ca="1"/>
        <v>46058.417361111096</v>
      </c>
      <c r="D522">
        <f ca="1"/>
        <v>133</v>
      </c>
      <c r="E522" t="str">
        <f ca="1"/>
        <v>MXN</v>
      </c>
      <c r="F522" t="str">
        <f ca="1"/>
        <v>Carlos Ivan Gonzalez Merino</v>
      </c>
      <c r="G522" t="str">
        <f ca="1"/>
        <v>DLO*DIDI RIDES         MEXICO        MEX</v>
      </c>
      <c r="H522" t="str">
        <f ca="1"/>
        <v>Didi Chuxing</v>
      </c>
      <c r="I522" t="str">
        <f ca="1"/>
        <v>G&amp;A expenses</v>
      </c>
      <c r="J522" t="str">
        <f ca="1"/>
        <v>PO_2009 ASIPONA_TRASLADO</v>
      </c>
      <c r="K522">
        <f ca="1"/>
        <v>0</v>
      </c>
      <c r="L522" t="str">
        <f ca="1">VLOOKUP(B522,[1]Total!$B:$Q,16,0)</f>
        <v>602.34.002 Gastos por visita tencica</v>
      </c>
      <c r="M522">
        <f t="shared" ca="1" si="17"/>
        <v>133</v>
      </c>
      <c r="N522" t="str">
        <f t="shared" ca="1" si="18"/>
        <v xml:space="preserve">Carlos Ivan Gonzalez Merino DLO*DIDI RIDES         MEXICO        MEX Didi Chuxing G&amp;A expenses PO_2009 ASIPONA_TRASLADO 0 </v>
      </c>
    </row>
    <row r="523" spans="1:14">
      <c r="A523" t="str">
        <f ca="1"/>
        <v>TRX1204</v>
      </c>
      <c r="B523" t="str">
        <f ca="1"/>
        <v>#56</v>
      </c>
      <c r="C523">
        <f ca="1"/>
        <v>46058.417361111096</v>
      </c>
      <c r="D523">
        <f ca="1"/>
        <v>438</v>
      </c>
      <c r="E523" t="str">
        <f ca="1"/>
        <v>MXN</v>
      </c>
      <c r="F523" t="str">
        <f ca="1"/>
        <v>Carlos Ivan Gonzalez Merino</v>
      </c>
      <c r="G523" t="str">
        <f ca="1"/>
        <v>REST EL LECHERO        VERACRUZ VER  MEX</v>
      </c>
      <c r="H523" t="str">
        <f ca="1"/>
        <v>Rest El Lechero Veracruz Ver Mex</v>
      </c>
      <c r="I523" t="str">
        <f ca="1"/>
        <v>G&amp;A expenses</v>
      </c>
      <c r="J523" t="str">
        <f ca="1"/>
        <v>PO_2009 ASIPONA_COMIDA</v>
      </c>
      <c r="K523">
        <f ca="1"/>
        <v>0</v>
      </c>
      <c r="L523" t="str">
        <f ca="1">VLOOKUP(B523,[1]Total!$B:$Q,16,0)</f>
        <v>602.34.002 Gastos por visita tencica</v>
      </c>
      <c r="M523">
        <f t="shared" ca="1" si="17"/>
        <v>438</v>
      </c>
      <c r="N523" t="str">
        <f t="shared" ca="1" si="18"/>
        <v xml:space="preserve">Carlos Ivan Gonzalez Merino REST EL LECHERO        VERACRUZ VER  MEX Rest El Lechero Veracruz Ver Mex G&amp;A expenses PO_2009 ASIPONA_COMIDA 0 </v>
      </c>
    </row>
    <row r="524" spans="1:14">
      <c r="A524" t="str">
        <f ca="1"/>
        <v>TRX1183</v>
      </c>
      <c r="B524" t="str">
        <f ca="1"/>
        <v>#56</v>
      </c>
      <c r="C524">
        <f ca="1"/>
        <v>46059.416666666599</v>
      </c>
      <c r="D524">
        <f ca="1"/>
        <v>196</v>
      </c>
      <c r="E524" t="str">
        <f ca="1"/>
        <v>MXN</v>
      </c>
      <c r="F524" t="str">
        <f ca="1"/>
        <v>Carlos Ivan Gonzalez Merino</v>
      </c>
      <c r="G524" t="str">
        <f ca="1"/>
        <v>COM RAP BOL D ORO RU C BOCA DEL RIO  MEX</v>
      </c>
      <c r="H524" t="str">
        <f ca="1"/>
        <v>Com Rap Bol D Oro Ru C Boca Del Rio Mex</v>
      </c>
      <c r="I524" t="str">
        <f ca="1"/>
        <v>G&amp;A expenses</v>
      </c>
      <c r="J524" t="str">
        <f ca="1"/>
        <v>PO_2009 ASIPONA_COMIDA</v>
      </c>
      <c r="K524">
        <f ca="1"/>
        <v>0</v>
      </c>
      <c r="L524" t="str">
        <f ca="1">VLOOKUP(B524,[1]Total!$B:$Q,16,0)</f>
        <v>602.34.002 Gastos por visita tencica</v>
      </c>
      <c r="M524">
        <f t="shared" ca="1" si="17"/>
        <v>196</v>
      </c>
      <c r="N524" t="str">
        <f t="shared" ca="1" si="18"/>
        <v xml:space="preserve">Carlos Ivan Gonzalez Merino COM RAP BOL D ORO RU C BOCA DEL RIO  MEX Com Rap Bol D Oro Ru C Boca Del Rio Mex G&amp;A expenses PO_2009 ASIPONA_COMIDA 0 </v>
      </c>
    </row>
    <row r="525" spans="1:14">
      <c r="A525" t="str">
        <f ca="1"/>
        <v>TRX1168</v>
      </c>
      <c r="B525" t="str">
        <f ca="1"/>
        <v>#56</v>
      </c>
      <c r="C525">
        <f ca="1"/>
        <v>46059.416666666599</v>
      </c>
      <c r="D525">
        <f ca="1"/>
        <v>151</v>
      </c>
      <c r="E525" t="str">
        <f ca="1"/>
        <v>MXN</v>
      </c>
      <c r="F525" t="str">
        <f ca="1"/>
        <v>Carlos Ivan Gonzalez Merino</v>
      </c>
      <c r="G525" t="str">
        <f ca="1"/>
        <v>DLO*DIDI RIDES         MEXICO        MEX</v>
      </c>
      <c r="H525" t="str">
        <f ca="1"/>
        <v>Didi Chuxing</v>
      </c>
      <c r="I525" t="str">
        <f ca="1"/>
        <v>G&amp;A expenses</v>
      </c>
      <c r="J525" t="str">
        <f ca="1"/>
        <v>PO_2009 ASIPONA_TRASLADO</v>
      </c>
      <c r="K525">
        <f ca="1"/>
        <v>0</v>
      </c>
      <c r="L525" t="str">
        <f ca="1">VLOOKUP(B525,[1]Total!$B:$Q,16,0)</f>
        <v>602.34.002 Gastos por visita tencica</v>
      </c>
      <c r="M525">
        <f t="shared" ca="1" si="17"/>
        <v>151</v>
      </c>
      <c r="N525" t="str">
        <f t="shared" ca="1" si="18"/>
        <v xml:space="preserve">Carlos Ivan Gonzalez Merino DLO*DIDI RIDES         MEXICO        MEX Didi Chuxing G&amp;A expenses PO_2009 ASIPONA_TRASLADO 0 </v>
      </c>
    </row>
    <row r="526" spans="1:14">
      <c r="A526" t="str">
        <f ca="1"/>
        <v>TRX1161</v>
      </c>
      <c r="B526" t="str">
        <f ca="1"/>
        <v>#56</v>
      </c>
      <c r="C526">
        <f ca="1"/>
        <v>46059.416666666599</v>
      </c>
      <c r="D526">
        <f ca="1"/>
        <v>2639</v>
      </c>
      <c r="E526" t="str">
        <f ca="1"/>
        <v>MXN</v>
      </c>
      <c r="F526" t="str">
        <f ca="1"/>
        <v>Carlos Ivan Gonzalez Merino</v>
      </c>
      <c r="G526" t="str">
        <f ca="1"/>
        <v>HOME DEPOT             VERACRUZ VER  MEX</v>
      </c>
      <c r="H526" t="str">
        <f ca="1"/>
        <v>The Home Depot</v>
      </c>
      <c r="I526" t="str">
        <f ca="1"/>
        <v>G&amp;A expenses</v>
      </c>
      <c r="J526" t="str">
        <f ca="1"/>
        <v>PO_2009 ASIPONA_COMIDA</v>
      </c>
      <c r="K526">
        <f ca="1"/>
        <v>0</v>
      </c>
      <c r="L526" t="str">
        <f ca="1">VLOOKUP(B526,[1]Total!$B:$Q,16,0)</f>
        <v>602.34.002 Gastos por visita tencica</v>
      </c>
      <c r="M526">
        <f t="shared" ca="1" si="17"/>
        <v>2639</v>
      </c>
      <c r="N526" t="str">
        <f t="shared" ca="1" si="18"/>
        <v xml:space="preserve">Carlos Ivan Gonzalez Merino HOME DEPOT             VERACRUZ VER  MEX The Home Depot G&amp;A expenses PO_2009 ASIPONA_COMIDA 0 </v>
      </c>
    </row>
    <row r="527" spans="1:14">
      <c r="A527" t="str">
        <f ca="1"/>
        <v>TRX1154</v>
      </c>
      <c r="B527" t="str">
        <f ca="1"/>
        <v>#56</v>
      </c>
      <c r="C527">
        <f ca="1"/>
        <v>46059.417361111096</v>
      </c>
      <c r="D527">
        <f ca="1"/>
        <v>90</v>
      </c>
      <c r="E527" t="str">
        <f ca="1"/>
        <v>MXN</v>
      </c>
      <c r="F527" t="str">
        <f ca="1"/>
        <v>Carlos Ivan Gonzalez Merino</v>
      </c>
      <c r="G527" t="str">
        <f ca="1"/>
        <v>DLO*DIDI RIDES         MEXICO        MEX</v>
      </c>
      <c r="H527" t="str">
        <f ca="1"/>
        <v>Didi Chuxing</v>
      </c>
      <c r="I527" t="str">
        <f ca="1"/>
        <v>G&amp;A expenses</v>
      </c>
      <c r="J527" t="str">
        <f ca="1"/>
        <v>PO_2009 ASIPONA_TRASLADO</v>
      </c>
      <c r="K527">
        <f ca="1"/>
        <v>0</v>
      </c>
      <c r="L527" t="str">
        <f ca="1">VLOOKUP(B527,[1]Total!$B:$Q,16,0)</f>
        <v>602.34.002 Gastos por visita tencica</v>
      </c>
      <c r="M527">
        <f t="shared" ca="1" si="17"/>
        <v>90</v>
      </c>
      <c r="N527" t="str">
        <f t="shared" ca="1" si="18"/>
        <v xml:space="preserve">Carlos Ivan Gonzalez Merino DLO*DIDI RIDES         MEXICO        MEX Didi Chuxing G&amp;A expenses PO_2009 ASIPONA_TRASLADO 0 </v>
      </c>
    </row>
    <row r="528" spans="1:14">
      <c r="A528" t="str">
        <f ca="1"/>
        <v>TRX1069</v>
      </c>
      <c r="B528" t="str">
        <f ca="1"/>
        <v>#56</v>
      </c>
      <c r="C528">
        <f ca="1"/>
        <v>46059.417361111096</v>
      </c>
      <c r="D528">
        <f ca="1"/>
        <v>374</v>
      </c>
      <c r="E528" t="str">
        <f ca="1"/>
        <v>MXN</v>
      </c>
      <c r="F528" t="str">
        <f ca="1"/>
        <v>Carlos Ivan Gonzalez Merino</v>
      </c>
      <c r="G528" t="str">
        <f ca="1"/>
        <v>REST TACOS FE BOLIVAR  VERACRUZ VER  MEX</v>
      </c>
      <c r="H528" t="str">
        <f ca="1"/>
        <v>Rest Tacos Fe Bolivar Veracruz Ver Mex</v>
      </c>
      <c r="I528" t="str">
        <f ca="1"/>
        <v>G&amp;A expenses</v>
      </c>
      <c r="J528" t="str">
        <f ca="1"/>
        <v>PO_2009 ASIPONA_COMIDA</v>
      </c>
      <c r="K528">
        <f ca="1"/>
        <v>0</v>
      </c>
      <c r="L528" t="str">
        <f ca="1">VLOOKUP(B528,[1]Total!$B:$Q,16,0)</f>
        <v>602.34.002 Gastos por visita tencica</v>
      </c>
      <c r="M528">
        <f t="shared" ca="1" si="17"/>
        <v>374</v>
      </c>
      <c r="N528" t="str">
        <f t="shared" ca="1" si="18"/>
        <v xml:space="preserve">Carlos Ivan Gonzalez Merino REST TACOS FE BOLIVAR  VERACRUZ VER  MEX Rest Tacos Fe Bolivar Veracruz Ver Mex G&amp;A expenses PO_2009 ASIPONA_COMIDA 0 </v>
      </c>
    </row>
    <row r="529" spans="1:14">
      <c r="A529" t="str">
        <f ca="1"/>
        <v>TRX1883</v>
      </c>
      <c r="B529" t="str">
        <f ca="1"/>
        <v>#56</v>
      </c>
      <c r="C529">
        <f ca="1"/>
        <v>46060.416666666599</v>
      </c>
      <c r="D529">
        <f ca="1"/>
        <v>113</v>
      </c>
      <c r="E529" t="str">
        <f ca="1"/>
        <v>MXN</v>
      </c>
      <c r="F529" t="str">
        <f ca="1"/>
        <v>Carlos Ivan Gonzalez Merino</v>
      </c>
      <c r="G529" t="str">
        <f ca="1"/>
        <v>DLO*DIDI RIDES         MEXICO        MEX</v>
      </c>
      <c r="H529" t="str">
        <f ca="1"/>
        <v>Didi Chuxing</v>
      </c>
      <c r="I529" t="str">
        <f ca="1"/>
        <v>G&amp;A expenses</v>
      </c>
      <c r="J529" t="str">
        <f ca="1"/>
        <v>PO_2009 ASIPONA_TRASLADO</v>
      </c>
      <c r="K529">
        <f ca="1"/>
        <v>0</v>
      </c>
      <c r="L529" t="str">
        <f ca="1">VLOOKUP(B529,[1]Total!$B:$Q,16,0)</f>
        <v>602.34.002 Gastos por visita tencica</v>
      </c>
      <c r="M529">
        <f t="shared" ca="1" si="17"/>
        <v>113</v>
      </c>
      <c r="N529" t="str">
        <f t="shared" ca="1" si="18"/>
        <v xml:space="preserve">Carlos Ivan Gonzalez Merino DLO*DIDI RIDES         MEXICO        MEX Didi Chuxing G&amp;A expenses PO_2009 ASIPONA_TRASLADO 0 </v>
      </c>
    </row>
    <row r="530" spans="1:14">
      <c r="A530" t="str">
        <f ca="1"/>
        <v>TRX1686</v>
      </c>
      <c r="B530" t="str">
        <f ca="1"/>
        <v>#56</v>
      </c>
      <c r="C530">
        <f ca="1"/>
        <v>46060.417361111096</v>
      </c>
      <c r="D530">
        <f ca="1"/>
        <v>893</v>
      </c>
      <c r="E530" t="str">
        <f ca="1"/>
        <v>MXN</v>
      </c>
      <c r="F530" t="str">
        <f ca="1"/>
        <v>Carlos Ivan Gonzalez Merino</v>
      </c>
      <c r="G530" t="str">
        <f ca="1"/>
        <v>CAFE PARROQ VERACRUZ   VERACRUZ VER  MEX</v>
      </c>
      <c r="H530" t="str">
        <f ca="1"/>
        <v>Cafe Parroq Veracruz Veracruz Ver Mex</v>
      </c>
      <c r="I530" t="str">
        <f ca="1"/>
        <v>G&amp;A expenses</v>
      </c>
      <c r="J530" t="str">
        <f ca="1"/>
        <v>PO_2009 ASIPONA_COMIDA</v>
      </c>
      <c r="K530">
        <f ca="1"/>
        <v>0</v>
      </c>
      <c r="L530" t="str">
        <f ca="1">VLOOKUP(B530,[1]Total!$B:$Q,16,0)</f>
        <v>602.34.002 Gastos por visita tencica</v>
      </c>
      <c r="M530">
        <f t="shared" ca="1" si="17"/>
        <v>893</v>
      </c>
      <c r="N530" t="str">
        <f t="shared" ca="1" si="18"/>
        <v xml:space="preserve">Carlos Ivan Gonzalez Merino CAFE PARROQ VERACRUZ   VERACRUZ VER  MEX Cafe Parroq Veracruz Veracruz Ver Mex G&amp;A expenses PO_2009 ASIPONA_COMIDA 0 </v>
      </c>
    </row>
    <row r="531" spans="1:14">
      <c r="A531" t="str">
        <f ca="1"/>
        <v>TRX1240</v>
      </c>
      <c r="B531" t="str">
        <f ca="1"/>
        <v>#56</v>
      </c>
      <c r="C531">
        <f ca="1"/>
        <v>46060.417361111096</v>
      </c>
      <c r="D531">
        <f ca="1"/>
        <v>115</v>
      </c>
      <c r="E531" t="str">
        <f ca="1"/>
        <v>MXN</v>
      </c>
      <c r="F531" t="str">
        <f ca="1"/>
        <v>Carlos Ivan Gonzalez Merino</v>
      </c>
      <c r="G531" t="str">
        <f ca="1"/>
        <v>DLO*DIDI RIDES         MEXICO        MEX</v>
      </c>
      <c r="H531" t="str">
        <f ca="1"/>
        <v>Didi Chuxing</v>
      </c>
      <c r="I531" t="str">
        <f ca="1"/>
        <v>G&amp;A expenses</v>
      </c>
      <c r="J531" t="str">
        <f ca="1"/>
        <v>PO_2009 ASIPONA_TRASLADO</v>
      </c>
      <c r="K531">
        <f ca="1"/>
        <v>0</v>
      </c>
      <c r="L531" t="str">
        <f ca="1">VLOOKUP(B531,[1]Total!$B:$Q,16,0)</f>
        <v>602.34.002 Gastos por visita tencica</v>
      </c>
      <c r="M531">
        <f t="shared" ca="1" si="17"/>
        <v>115</v>
      </c>
      <c r="N531" t="str">
        <f t="shared" ca="1" si="18"/>
        <v xml:space="preserve">Carlos Ivan Gonzalez Merino DLO*DIDI RIDES         MEXICO        MEX Didi Chuxing G&amp;A expenses PO_2009 ASIPONA_TRASLADO 0 </v>
      </c>
    </row>
    <row r="532" spans="1:14">
      <c r="A532" t="str">
        <f ca="1"/>
        <v>TRX1370</v>
      </c>
      <c r="B532" t="str">
        <f ca="1"/>
        <v>#56</v>
      </c>
      <c r="C532">
        <f ca="1"/>
        <v>46060.417361111096</v>
      </c>
      <c r="D532">
        <f ca="1"/>
        <v>229.68</v>
      </c>
      <c r="E532" t="str">
        <f ca="1"/>
        <v>MXN</v>
      </c>
      <c r="F532" t="str">
        <f ca="1"/>
        <v>Carlos Ivan Gonzalez Merino</v>
      </c>
      <c r="G532" t="str">
        <f ca="1"/>
        <v>D LOCAL*REST DIDIFOOD  CIUDAD DE MEX MEX</v>
      </c>
      <c r="H532" t="str">
        <f ca="1"/>
        <v>D Local Rest Didifood Ciudad De Mex Mex</v>
      </c>
      <c r="I532" t="str">
        <f ca="1"/>
        <v>G&amp;A expenses</v>
      </c>
      <c r="J532" t="str">
        <f ca="1"/>
        <v>PO_2009 ASIPONA_COMIDA</v>
      </c>
      <c r="K532">
        <f ca="1"/>
        <v>0</v>
      </c>
      <c r="L532" t="str">
        <f ca="1">VLOOKUP(B532,[1]Total!$B:$Q,16,0)</f>
        <v>602.34.002 Gastos por visita tencica</v>
      </c>
      <c r="M532">
        <f t="shared" ca="1" si="17"/>
        <v>229.68</v>
      </c>
      <c r="N532" t="str">
        <f t="shared" ca="1" si="18"/>
        <v xml:space="preserve">Carlos Ivan Gonzalez Merino D LOCAL*REST DIDIFOOD  CIUDAD DE MEX MEX D Local Rest Didifood Ciudad De Mex Mex G&amp;A expenses PO_2009 ASIPONA_COMIDA 0 </v>
      </c>
    </row>
    <row r="533" spans="1:14">
      <c r="A533" t="str">
        <f ca="1"/>
        <v>TRX1113</v>
      </c>
      <c r="B533" t="str">
        <f ca="1"/>
        <v>#56</v>
      </c>
      <c r="C533">
        <f ca="1"/>
        <v>46062.416666666599</v>
      </c>
      <c r="D533">
        <f ca="1"/>
        <v>292.17</v>
      </c>
      <c r="E533" t="str">
        <f ca="1"/>
        <v>MXN</v>
      </c>
      <c r="F533" t="str">
        <f ca="1"/>
        <v>Carlos Ivan Gonzalez Merino</v>
      </c>
      <c r="G533" t="str">
        <f ca="1"/>
        <v>UBER * EATS PENDING    CMX           MEX</v>
      </c>
      <c r="H533" t="str">
        <f ca="1"/>
        <v>Uber Eats</v>
      </c>
      <c r="I533" t="str">
        <f ca="1"/>
        <v>G&amp;A expenses</v>
      </c>
      <c r="J533" t="str">
        <f ca="1"/>
        <v>PO_2009 ASIPONA_COMIDA</v>
      </c>
      <c r="K533">
        <f ca="1"/>
        <v>0</v>
      </c>
      <c r="L533" t="str">
        <f ca="1">VLOOKUP(B533,[1]Total!$B:$Q,16,0)</f>
        <v>602.34.002 Gastos por visita tencica</v>
      </c>
      <c r="M533">
        <f t="shared" ca="1" si="17"/>
        <v>292.17</v>
      </c>
      <c r="N533" t="str">
        <f t="shared" ca="1" si="18"/>
        <v xml:space="preserve">Carlos Ivan Gonzalez Merino UBER * EATS PENDING    CMX           MEX Uber Eats G&amp;A expenses PO_2009 ASIPONA_COMIDA 0 </v>
      </c>
    </row>
    <row r="534" spans="1:14">
      <c r="A534" t="str">
        <f ca="1"/>
        <v>TRX1505</v>
      </c>
      <c r="B534" t="str">
        <f ca="1"/>
        <v>#56</v>
      </c>
      <c r="C534">
        <f ca="1"/>
        <v>46062.416666666599</v>
      </c>
      <c r="D534">
        <f ca="1"/>
        <v>120</v>
      </c>
      <c r="E534" t="str">
        <f ca="1"/>
        <v>MXN</v>
      </c>
      <c r="F534" t="str">
        <f ca="1"/>
        <v>Carlos Ivan Gonzalez Merino</v>
      </c>
      <c r="G534" t="str">
        <f ca="1"/>
        <v>DLO*DIDI RIDES         MEXICO        MEX</v>
      </c>
      <c r="H534" t="str">
        <f ca="1"/>
        <v>Didi Chuxing</v>
      </c>
      <c r="I534" t="str">
        <f ca="1"/>
        <v>G&amp;A expenses</v>
      </c>
      <c r="J534" t="str">
        <f ca="1"/>
        <v>PO_2009 ASIPONA_TRASLADO</v>
      </c>
      <c r="K534">
        <f ca="1"/>
        <v>0</v>
      </c>
      <c r="L534" t="str">
        <f ca="1">VLOOKUP(B534,[1]Total!$B:$Q,16,0)</f>
        <v>602.34.002 Gastos por visita tencica</v>
      </c>
      <c r="M534">
        <f t="shared" ca="1" si="17"/>
        <v>120</v>
      </c>
      <c r="N534" t="str">
        <f t="shared" ca="1" si="18"/>
        <v xml:space="preserve">Carlos Ivan Gonzalez Merino DLO*DIDI RIDES         MEXICO        MEX Didi Chuxing G&amp;A expenses PO_2009 ASIPONA_TRASLADO 0 </v>
      </c>
    </row>
    <row r="535" spans="1:14">
      <c r="A535" t="str">
        <f ca="1"/>
        <v>TRX1395</v>
      </c>
      <c r="B535" t="str">
        <f ca="1"/>
        <v>#56</v>
      </c>
      <c r="C535">
        <f ca="1"/>
        <v>46063.416666666599</v>
      </c>
      <c r="D535">
        <f ca="1"/>
        <v>139.19999999999999</v>
      </c>
      <c r="E535" t="str">
        <f ca="1"/>
        <v>MXN</v>
      </c>
      <c r="F535" t="str">
        <f ca="1"/>
        <v>Carlos Ivan Gonzalez Merino</v>
      </c>
      <c r="G535" t="str">
        <f ca="1"/>
        <v>ODM ORIZABA            ORIZABA VER   MEX</v>
      </c>
      <c r="H535" t="str">
        <f ca="1"/>
        <v>Odm Orizaba Orizaba Ver Mex</v>
      </c>
      <c r="I535" t="str">
        <f ca="1"/>
        <v>G&amp;A expenses</v>
      </c>
      <c r="J535" t="str">
        <f ca="1"/>
        <v>PO_2009 ASIPONA_COMIDA</v>
      </c>
      <c r="K535">
        <f ca="1"/>
        <v>0</v>
      </c>
      <c r="L535" t="str">
        <f ca="1">VLOOKUP(B535,[1]Total!$B:$Q,16,0)</f>
        <v>602.34.002 Gastos por visita tencica</v>
      </c>
      <c r="M535">
        <f t="shared" ca="1" si="17"/>
        <v>139.19999999999999</v>
      </c>
      <c r="N535" t="str">
        <f t="shared" ca="1" si="18"/>
        <v xml:space="preserve">Carlos Ivan Gonzalez Merino ODM ORIZABA            ORIZABA VER   MEX Odm Orizaba Orizaba Ver Mex G&amp;A expenses PO_2009 ASIPONA_COMIDA 0 </v>
      </c>
    </row>
    <row r="536" spans="1:14">
      <c r="A536" t="str">
        <f ca="1"/>
        <v>TRX1601</v>
      </c>
      <c r="B536" t="str">
        <f ca="1"/>
        <v>#56</v>
      </c>
      <c r="C536">
        <f ca="1"/>
        <v>46063.416666666599</v>
      </c>
      <c r="D536">
        <f ca="1"/>
        <v>282.27</v>
      </c>
      <c r="E536" t="str">
        <f ca="1"/>
        <v>MXN</v>
      </c>
      <c r="F536" t="str">
        <f ca="1"/>
        <v>Carlos Ivan Gonzalez Merino</v>
      </c>
      <c r="G536" t="str">
        <f ca="1"/>
        <v>D LOCAL*REST DIDIFOOD  CIUDAD DE MEX MEX</v>
      </c>
      <c r="H536" t="str">
        <f ca="1"/>
        <v>D Local Rest Didifood Ciudad De Mex Mex</v>
      </c>
      <c r="I536" t="str">
        <f ca="1"/>
        <v>G&amp;A expenses</v>
      </c>
      <c r="J536" t="str">
        <f ca="1"/>
        <v>PO_2009 ASIPONA_COMIDA</v>
      </c>
      <c r="K536">
        <f ca="1"/>
        <v>0</v>
      </c>
      <c r="L536" t="str">
        <f ca="1">VLOOKUP(B536,[1]Total!$B:$Q,16,0)</f>
        <v>602.34.002 Gastos por visita tencica</v>
      </c>
      <c r="M536">
        <f t="shared" ca="1" si="17"/>
        <v>282.27</v>
      </c>
      <c r="N536" t="str">
        <f t="shared" ca="1" si="18"/>
        <v xml:space="preserve">Carlos Ivan Gonzalez Merino D LOCAL*REST DIDIFOOD  CIUDAD DE MEX MEX D Local Rest Didifood Ciudad De Mex Mex G&amp;A expenses PO_2009 ASIPONA_COMIDA 0 </v>
      </c>
    </row>
    <row r="537" spans="1:14">
      <c r="A537" t="str">
        <f ca="1"/>
        <v>TRX1126</v>
      </c>
      <c r="B537" t="str">
        <f ca="1"/>
        <v>#56</v>
      </c>
      <c r="C537">
        <f ca="1"/>
        <v>46064.416666666599</v>
      </c>
      <c r="D537">
        <f ca="1"/>
        <v>111</v>
      </c>
      <c r="E537" t="str">
        <f ca="1"/>
        <v>MXN</v>
      </c>
      <c r="F537" t="str">
        <f ca="1"/>
        <v>Carlos Ivan Gonzalez Merino</v>
      </c>
      <c r="G537" t="str">
        <f ca="1"/>
        <v>DLO*DIDI RIDES         MEXICO        MEX</v>
      </c>
      <c r="H537" t="str">
        <f ca="1"/>
        <v>Didi Chuxing</v>
      </c>
      <c r="I537" t="str">
        <f ca="1"/>
        <v>G&amp;A expenses</v>
      </c>
      <c r="J537" t="str">
        <f ca="1"/>
        <v>PO_2009 ASIPONA_TRASLADO</v>
      </c>
      <c r="K537">
        <f ca="1"/>
        <v>0</v>
      </c>
      <c r="L537" t="str">
        <f ca="1">VLOOKUP(B537,[1]Total!$B:$Q,16,0)</f>
        <v>602.34.002 Gastos por visita tencica</v>
      </c>
      <c r="M537">
        <f t="shared" ca="1" si="17"/>
        <v>111</v>
      </c>
      <c r="N537" t="str">
        <f t="shared" ca="1" si="18"/>
        <v xml:space="preserve">Carlos Ivan Gonzalez Merino DLO*DIDI RIDES         MEXICO        MEX Didi Chuxing G&amp;A expenses PO_2009 ASIPONA_TRASLADO 0 </v>
      </c>
    </row>
    <row r="538" spans="1:14">
      <c r="A538" t="str">
        <f ca="1"/>
        <v>TRX1880</v>
      </c>
      <c r="B538" t="str">
        <f ca="1"/>
        <v>#56</v>
      </c>
      <c r="C538">
        <f ca="1"/>
        <v>46064.416666666599</v>
      </c>
      <c r="D538">
        <f ca="1"/>
        <v>259</v>
      </c>
      <c r="E538" t="str">
        <f ca="1"/>
        <v>MXN</v>
      </c>
      <c r="F538" t="str">
        <f ca="1"/>
        <v>Carlos Ivan Gonzalez Merino</v>
      </c>
      <c r="G538" t="str">
        <f ca="1"/>
        <v>REST GRAN CAFE DE LA P VERACRUZ VER  MEX</v>
      </c>
      <c r="H538" t="str">
        <f ca="1"/>
        <v>Rest Gran Cafe De La P Veracruz Ver Mex</v>
      </c>
      <c r="I538" t="str">
        <f ca="1"/>
        <v>G&amp;A expenses</v>
      </c>
      <c r="J538" t="str">
        <f ca="1"/>
        <v>PO_2009 ASIPONA_COMIDA</v>
      </c>
      <c r="K538">
        <f ca="1"/>
        <v>0</v>
      </c>
      <c r="L538" t="str">
        <f ca="1">VLOOKUP(B538,[1]Total!$B:$Q,16,0)</f>
        <v>602.34.002 Gastos por visita tencica</v>
      </c>
      <c r="M538">
        <f t="shared" ca="1" si="17"/>
        <v>259</v>
      </c>
      <c r="N538" t="str">
        <f t="shared" ca="1" si="18"/>
        <v xml:space="preserve">Carlos Ivan Gonzalez Merino REST GRAN CAFE DE LA P VERACRUZ VER  MEX Rest Gran Cafe De La P Veracruz Ver Mex G&amp;A expenses PO_2009 ASIPONA_COMIDA 0 </v>
      </c>
    </row>
    <row r="539" spans="1:14">
      <c r="A539" t="str">
        <f ca="1"/>
        <v>TRX1910</v>
      </c>
      <c r="B539" t="str">
        <f ca="1"/>
        <v>#56</v>
      </c>
      <c r="C539">
        <f ca="1"/>
        <v>46064.416666666599</v>
      </c>
      <c r="D539">
        <f ca="1"/>
        <v>74</v>
      </c>
      <c r="E539" t="str">
        <f ca="1"/>
        <v>MXN</v>
      </c>
      <c r="F539" t="str">
        <f ca="1"/>
        <v>Carlos Ivan Gonzalez Merino</v>
      </c>
      <c r="G539" t="str">
        <f ca="1"/>
        <v>DLO*DIDI RIDES         MEXICO        MEX</v>
      </c>
      <c r="H539" t="str">
        <f ca="1"/>
        <v>Didi Chuxing</v>
      </c>
      <c r="I539" t="str">
        <f ca="1"/>
        <v>G&amp;A expenses</v>
      </c>
      <c r="J539" t="str">
        <f ca="1"/>
        <v>PO_2009 ASIPONA_TRASLADO</v>
      </c>
      <c r="K539">
        <f ca="1"/>
        <v>0</v>
      </c>
      <c r="L539" t="str">
        <f ca="1">VLOOKUP(B539,[1]Total!$B:$Q,16,0)</f>
        <v>602.34.002 Gastos por visita tencica</v>
      </c>
      <c r="M539">
        <f t="shared" ca="1" si="17"/>
        <v>74</v>
      </c>
      <c r="N539" t="str">
        <f t="shared" ca="1" si="18"/>
        <v xml:space="preserve">Carlos Ivan Gonzalez Merino DLO*DIDI RIDES         MEXICO        MEX Didi Chuxing G&amp;A expenses PO_2009 ASIPONA_TRASLADO 0 </v>
      </c>
    </row>
    <row r="540" spans="1:14">
      <c r="A540" t="str">
        <f ca="1"/>
        <v>TRX1492</v>
      </c>
      <c r="B540" t="str">
        <f ca="1"/>
        <v>#56</v>
      </c>
      <c r="C540">
        <f ca="1"/>
        <v>46065.416666666599</v>
      </c>
      <c r="D540">
        <f ca="1"/>
        <v>309.93</v>
      </c>
      <c r="E540" t="str">
        <f ca="1"/>
        <v>MXN</v>
      </c>
      <c r="F540" t="str">
        <f ca="1"/>
        <v>Carlos Ivan Gonzalez Merino</v>
      </c>
      <c r="G540" t="str">
        <f ca="1"/>
        <v>UBER * PENDING         CMX           MEX</v>
      </c>
      <c r="H540" t="str">
        <f ca="1"/>
        <v>Uber</v>
      </c>
      <c r="I540" t="str">
        <f ca="1"/>
        <v>G&amp;A expenses</v>
      </c>
      <c r="J540" t="str">
        <f ca="1"/>
        <v>PO_2009 ASIPONA_TRASLADO</v>
      </c>
      <c r="K540">
        <f ca="1"/>
        <v>0</v>
      </c>
      <c r="L540" t="str">
        <f ca="1">VLOOKUP(B540,[1]Total!$B:$Q,16,0)</f>
        <v>602.34.002 Gastos por visita tencica</v>
      </c>
      <c r="M540">
        <f t="shared" ca="1" si="17"/>
        <v>309.93</v>
      </c>
      <c r="N540" t="str">
        <f t="shared" ca="1" si="18"/>
        <v xml:space="preserve">Carlos Ivan Gonzalez Merino UBER * PENDING         CMX           MEX Uber G&amp;A expenses PO_2009 ASIPONA_TRASLADO 0 </v>
      </c>
    </row>
    <row r="541" spans="1:14">
      <c r="A541" t="str">
        <f ca="1"/>
        <v>TRX1244</v>
      </c>
      <c r="B541" t="str">
        <f ca="1"/>
        <v>#56</v>
      </c>
      <c r="C541">
        <f ca="1"/>
        <v>46065.417361111096</v>
      </c>
      <c r="D541">
        <f ca="1"/>
        <v>104</v>
      </c>
      <c r="E541" t="str">
        <f ca="1"/>
        <v>MXN</v>
      </c>
      <c r="F541" t="str">
        <f ca="1"/>
        <v>Carlos Ivan Gonzalez Merino</v>
      </c>
      <c r="G541" t="str">
        <f ca="1"/>
        <v>DLO*DIDI RIDES         MEXICO        MEX</v>
      </c>
      <c r="H541" t="str">
        <f ca="1"/>
        <v>Didi Chuxing</v>
      </c>
      <c r="I541" t="str">
        <f ca="1"/>
        <v>G&amp;A expenses</v>
      </c>
      <c r="J541" t="str">
        <f ca="1"/>
        <v>PO_2009 ASIPONA_TRASLADO</v>
      </c>
      <c r="K541">
        <f ca="1"/>
        <v>0</v>
      </c>
      <c r="L541" t="str">
        <f ca="1">VLOOKUP(B541,[1]Total!$B:$Q,16,0)</f>
        <v>602.34.002 Gastos por visita tencica</v>
      </c>
      <c r="M541">
        <f t="shared" ca="1" si="17"/>
        <v>104</v>
      </c>
      <c r="N541" t="str">
        <f t="shared" ca="1" si="18"/>
        <v xml:space="preserve">Carlos Ivan Gonzalez Merino DLO*DIDI RIDES         MEXICO        MEX Didi Chuxing G&amp;A expenses PO_2009 ASIPONA_TRASLADO 0 </v>
      </c>
    </row>
    <row r="542" spans="1:14">
      <c r="A542" t="str">
        <f ca="1"/>
        <v>TRX1316</v>
      </c>
      <c r="B542" t="str">
        <f ca="1"/>
        <v>#56</v>
      </c>
      <c r="C542">
        <f ca="1"/>
        <v>46065.417361111096</v>
      </c>
      <c r="D542">
        <f ca="1"/>
        <v>1413.5</v>
      </c>
      <c r="E542" t="str">
        <f ca="1"/>
        <v>MXN</v>
      </c>
      <c r="F542" t="str">
        <f ca="1"/>
        <v>Carlos Ivan Gonzalez Merino</v>
      </c>
      <c r="G542" t="str">
        <f ca="1"/>
        <v>GRAN CAFE DE LA PARROQ VERACRUZ VER  MEX</v>
      </c>
      <c r="H542" t="str">
        <f ca="1"/>
        <v>Gran Cafe De La Parroq Veracruz Ver Mex</v>
      </c>
      <c r="I542" t="str">
        <f ca="1"/>
        <v>G&amp;A expenses</v>
      </c>
      <c r="J542" t="str">
        <f ca="1"/>
        <v>PO_2009 ASIPONA_COMIDA</v>
      </c>
      <c r="K542">
        <f ca="1"/>
        <v>0</v>
      </c>
      <c r="L542" t="str">
        <f ca="1">VLOOKUP(B542,[1]Total!$B:$Q,16,0)</f>
        <v>602.34.002 Gastos por visita tencica</v>
      </c>
      <c r="M542">
        <f t="shared" ca="1" si="17"/>
        <v>1413.5</v>
      </c>
      <c r="N542" t="str">
        <f t="shared" ca="1" si="18"/>
        <v xml:space="preserve">Carlos Ivan Gonzalez Merino GRAN CAFE DE LA PARROQ VERACRUZ VER  MEX Gran Cafe De La Parroq Veracruz Ver Mex G&amp;A expenses PO_2009 ASIPONA_COMIDA 0 </v>
      </c>
    </row>
    <row r="543" spans="1:14">
      <c r="A543" t="str">
        <f ca="1"/>
        <v>TRX1264</v>
      </c>
      <c r="B543" t="str">
        <f ca="1"/>
        <v>#56</v>
      </c>
      <c r="C543">
        <f ca="1"/>
        <v>46065.417361111096</v>
      </c>
      <c r="D543">
        <f ca="1"/>
        <v>110</v>
      </c>
      <c r="E543" t="str">
        <f ca="1"/>
        <v>MXN</v>
      </c>
      <c r="F543" t="str">
        <f ca="1"/>
        <v>Carlos Ivan Gonzalez Merino</v>
      </c>
      <c r="G543" t="str">
        <f ca="1"/>
        <v>DLO*DIDI RIDES         MEXICO        MEX</v>
      </c>
      <c r="H543" t="str">
        <f ca="1"/>
        <v>Didi Chuxing</v>
      </c>
      <c r="I543" t="str">
        <f ca="1"/>
        <v>G&amp;A expenses</v>
      </c>
      <c r="J543" t="str">
        <f ca="1"/>
        <v>PO_2009 ASIPONA_TRASLADO</v>
      </c>
      <c r="K543">
        <f ca="1"/>
        <v>0</v>
      </c>
      <c r="L543" t="str">
        <f ca="1">VLOOKUP(B543,[1]Total!$B:$Q,16,0)</f>
        <v>602.34.002 Gastos por visita tencica</v>
      </c>
      <c r="M543">
        <f t="shared" ca="1" si="17"/>
        <v>110</v>
      </c>
      <c r="N543" t="str">
        <f t="shared" ca="1" si="18"/>
        <v xml:space="preserve">Carlos Ivan Gonzalez Merino DLO*DIDI RIDES         MEXICO        MEX Didi Chuxing G&amp;A expenses PO_2009 ASIPONA_TRASLADO 0 </v>
      </c>
    </row>
    <row r="544" spans="1:14">
      <c r="A544" t="str">
        <f ca="1"/>
        <v>TRX1033</v>
      </c>
      <c r="B544" t="str">
        <f ca="1"/>
        <v>#56</v>
      </c>
      <c r="C544">
        <f ca="1"/>
        <v>46066.417361111096</v>
      </c>
      <c r="D544">
        <f ca="1"/>
        <v>3599</v>
      </c>
      <c r="E544" t="str">
        <f ca="1"/>
        <v>MXN</v>
      </c>
      <c r="F544" t="str">
        <f ca="1"/>
        <v>Carlos Ivan Gonzalez Merino</v>
      </c>
      <c r="G544" t="str">
        <f ca="1"/>
        <v>HOME DEPOT I           SN PEDRO GARZ MEX</v>
      </c>
      <c r="H544" t="str">
        <f ca="1"/>
        <v>The Home Depot</v>
      </c>
      <c r="I544" t="str">
        <f ca="1"/>
        <v>G&amp;A expenses</v>
      </c>
      <c r="J544" t="str">
        <f ca="1"/>
        <v>PO_2009 ASIPONA_LUMINARIA</v>
      </c>
      <c r="K544">
        <f ca="1"/>
        <v>0</v>
      </c>
      <c r="L544" t="str">
        <f ca="1">VLOOKUP(B544,[1]Total!$B:$Q,16,0)</f>
        <v>602.34.002 Gastos por visita tencica</v>
      </c>
      <c r="M544">
        <f t="shared" ca="1" si="17"/>
        <v>3599</v>
      </c>
      <c r="N544" t="str">
        <f t="shared" ca="1" si="18"/>
        <v xml:space="preserve">Carlos Ivan Gonzalez Merino HOME DEPOT I           SN PEDRO GARZ MEX The Home Depot G&amp;A expenses PO_2009 ASIPONA_LUMINARIA 0 </v>
      </c>
    </row>
    <row r="545" spans="1:14">
      <c r="A545" t="str">
        <f ca="1"/>
        <v>TRX1623</v>
      </c>
      <c r="B545" t="str">
        <f ca="1"/>
        <v>#56</v>
      </c>
      <c r="C545">
        <f ca="1"/>
        <v>46066.417361111096</v>
      </c>
      <c r="D545">
        <f ca="1"/>
        <v>362.83</v>
      </c>
      <c r="E545" t="str">
        <f ca="1"/>
        <v>MXN</v>
      </c>
      <c r="F545" t="str">
        <f ca="1"/>
        <v>Carlos Ivan Gonzalez Merino</v>
      </c>
      <c r="G545" t="str">
        <f ca="1"/>
        <v>DLO*DIDI FOODS         MEXICO        MEX</v>
      </c>
      <c r="H545" t="str">
        <f ca="1"/>
        <v>Dlo Didi Foods Mexico Mex</v>
      </c>
      <c r="I545" t="str">
        <f ca="1"/>
        <v>G&amp;A expenses</v>
      </c>
      <c r="J545" t="str">
        <f ca="1"/>
        <v>PO_2009 ASIPONA_COMIDA</v>
      </c>
      <c r="K545">
        <f ca="1"/>
        <v>0</v>
      </c>
      <c r="L545" t="str">
        <f ca="1">VLOOKUP(B545,[1]Total!$B:$Q,16,0)</f>
        <v>602.34.002 Gastos por visita tencica</v>
      </c>
      <c r="M545">
        <f t="shared" ca="1" si="17"/>
        <v>362.83</v>
      </c>
      <c r="N545" t="str">
        <f t="shared" ca="1" si="18"/>
        <v xml:space="preserve">Carlos Ivan Gonzalez Merino DLO*DIDI FOODS         MEXICO        MEX Dlo Didi Foods Mexico Mex G&amp;A expenses PO_2009 ASIPONA_COMIDA 0 </v>
      </c>
    </row>
    <row r="546" spans="1:14">
      <c r="A546" t="str">
        <f ca="1"/>
        <v>TRX1917</v>
      </c>
      <c r="B546" t="str">
        <f ca="1"/>
        <v>#56</v>
      </c>
      <c r="C546">
        <f ca="1"/>
        <v>46067.416666666599</v>
      </c>
      <c r="D546">
        <f ca="1"/>
        <v>349.99</v>
      </c>
      <c r="E546" t="str">
        <f ca="1"/>
        <v>MXN</v>
      </c>
      <c r="F546" t="str">
        <f ca="1"/>
        <v>Carlos Ivan Gonzalez Merino</v>
      </c>
      <c r="G546" t="str">
        <f ca="1"/>
        <v>UBER * PENDING         CMX           MEX</v>
      </c>
      <c r="H546" t="str">
        <f ca="1"/>
        <v>Uber</v>
      </c>
      <c r="I546" t="str">
        <f ca="1"/>
        <v>G&amp;A expenses</v>
      </c>
      <c r="J546" t="str">
        <f ca="1"/>
        <v>PO_2009 ASIPONA_TRASLADO</v>
      </c>
      <c r="K546">
        <f ca="1"/>
        <v>0</v>
      </c>
      <c r="L546" t="str">
        <f ca="1">VLOOKUP(B546,[1]Total!$B:$Q,16,0)</f>
        <v>602.34.002 Gastos por visita tencica</v>
      </c>
      <c r="M546">
        <f t="shared" ca="1" si="17"/>
        <v>349.99</v>
      </c>
      <c r="N546" t="str">
        <f t="shared" ca="1" si="18"/>
        <v xml:space="preserve">Carlos Ivan Gonzalez Merino UBER * PENDING         CMX           MEX Uber G&amp;A expenses PO_2009 ASIPONA_TRASLADO 0 </v>
      </c>
    </row>
    <row r="547" spans="1:14">
      <c r="A547" t="str">
        <f ca="1"/>
        <v>TRX1396</v>
      </c>
      <c r="B547" t="str">
        <f ca="1"/>
        <v>#56</v>
      </c>
      <c r="C547">
        <f ca="1"/>
        <v>46067.416666666599</v>
      </c>
      <c r="D547">
        <f ca="1"/>
        <v>189.99</v>
      </c>
      <c r="E547" t="str">
        <f ca="1"/>
        <v>MXN</v>
      </c>
      <c r="F547" t="str">
        <f ca="1"/>
        <v>Carlos Ivan Gonzalez Merino</v>
      </c>
      <c r="G547" t="str">
        <f ca="1"/>
        <v>UBER * PENDING         CMX           MEX</v>
      </c>
      <c r="H547" t="str">
        <f ca="1"/>
        <v>Uber</v>
      </c>
      <c r="I547" t="str">
        <f ca="1"/>
        <v>G&amp;A expenses</v>
      </c>
      <c r="J547" t="str">
        <f ca="1"/>
        <v>PO_2009 ASIPONA_AGUA</v>
      </c>
      <c r="K547">
        <f ca="1"/>
        <v>0</v>
      </c>
      <c r="L547" t="str">
        <f ca="1">VLOOKUP(B547,[1]Total!$B:$Q,16,0)</f>
        <v>602.34.002 Gastos por visita tencica</v>
      </c>
      <c r="M547">
        <f t="shared" ca="1" si="17"/>
        <v>189.99</v>
      </c>
      <c r="N547" t="str">
        <f t="shared" ca="1" si="18"/>
        <v xml:space="preserve">Carlos Ivan Gonzalez Merino UBER * PENDING         CMX           MEX Uber G&amp;A expenses PO_2009 ASIPONA_AGUA 0 </v>
      </c>
    </row>
    <row r="548" spans="1:14">
      <c r="A548" t="str">
        <f ca="1"/>
        <v>TRX1788</v>
      </c>
      <c r="B548" t="str">
        <f ca="1"/>
        <v>#56</v>
      </c>
      <c r="C548">
        <f ca="1"/>
        <v>46068.416666666599</v>
      </c>
      <c r="D548">
        <f ca="1"/>
        <v>5076.92</v>
      </c>
      <c r="E548" t="str">
        <f ca="1"/>
        <v>MXN</v>
      </c>
      <c r="F548" t="str">
        <f ca="1"/>
        <v>Carlos Ivan Gonzalez Merino</v>
      </c>
      <c r="G548" t="str">
        <f ca="1"/>
        <v>MERCADOPAGO *ESTANCIA  Benito jurez  MEX</v>
      </c>
      <c r="H548" t="str">
        <f ca="1"/>
        <v>Mercadopago</v>
      </c>
      <c r="I548" t="str">
        <f ca="1"/>
        <v>G&amp;A expenses</v>
      </c>
      <c r="J548" t="str">
        <f ca="1"/>
        <v>PO_2009 ASIPONA_TRASLADO OBRA</v>
      </c>
      <c r="K548">
        <f ca="1"/>
        <v>0</v>
      </c>
      <c r="L548" t="str">
        <f ca="1">VLOOKUP(B548,[1]Total!$B:$Q,16,0)</f>
        <v>602.34.002 Gastos por visita tencica</v>
      </c>
      <c r="M548">
        <f t="shared" ca="1" si="17"/>
        <v>5076.92</v>
      </c>
      <c r="N548" t="str">
        <f t="shared" ca="1" si="18"/>
        <v xml:space="preserve">Carlos Ivan Gonzalez Merino MERCADOPAGO *ESTANCIA  Benito jurez  MEX Mercadopago G&amp;A expenses PO_2009 ASIPONA_TRASLADO OBRA 0 </v>
      </c>
    </row>
    <row r="549" spans="1:14">
      <c r="A549" t="str">
        <f ca="1"/>
        <v>TRX2002</v>
      </c>
      <c r="B549" t="str">
        <f ca="1"/>
        <v>#56</v>
      </c>
      <c r="C549">
        <f ca="1"/>
        <v>46071.416666666599</v>
      </c>
      <c r="D549">
        <f ca="1"/>
        <v>289.99</v>
      </c>
      <c r="E549" t="str">
        <f ca="1"/>
        <v>MXN</v>
      </c>
      <c r="F549" t="str">
        <f ca="1"/>
        <v>Carlos Ivan Gonzalez Merino</v>
      </c>
      <c r="G549" t="str">
        <f ca="1"/>
        <v>UBER * PENDING         CMX           MEX</v>
      </c>
      <c r="H549" t="str">
        <f ca="1"/>
        <v>Uber</v>
      </c>
      <c r="I549" t="str">
        <f ca="1"/>
        <v>G&amp;A expenses</v>
      </c>
      <c r="J549" t="str">
        <f ca="1"/>
        <v>PO_2009 ASIPONA_TRASLADO</v>
      </c>
      <c r="K549">
        <f ca="1"/>
        <v>0</v>
      </c>
      <c r="L549" t="str">
        <f ca="1">VLOOKUP(B549,[1]Total!$B:$Q,16,0)</f>
        <v>602.34.002 Gastos por visita tencica</v>
      </c>
      <c r="M549">
        <f t="shared" ca="1" si="17"/>
        <v>289.99</v>
      </c>
      <c r="N549" t="str">
        <f t="shared" ca="1" si="18"/>
        <v xml:space="preserve">Carlos Ivan Gonzalez Merino UBER * PENDING         CMX           MEX Uber G&amp;A expenses PO_2009 ASIPONA_TRASLADO 0 </v>
      </c>
    </row>
    <row r="550" spans="1:14">
      <c r="A550" t="str">
        <f ca="1"/>
        <v>TRX1949</v>
      </c>
      <c r="B550" t="str">
        <f ca="1"/>
        <v>#56</v>
      </c>
      <c r="C550">
        <f ca="1"/>
        <v>46071.416666666599</v>
      </c>
      <c r="D550">
        <f ca="1"/>
        <v>431.2</v>
      </c>
      <c r="E550" t="str">
        <f ca="1"/>
        <v>MXN</v>
      </c>
      <c r="F550" t="str">
        <f ca="1"/>
        <v>Carlos Ivan Gonzalez Merino</v>
      </c>
      <c r="G550" t="str">
        <f ca="1"/>
        <v>REST WINGS SALA B      MEXICO DF     MEX</v>
      </c>
      <c r="H550" t="str">
        <f ca="1"/>
        <v>Rest Wings Sala B Mexico Df Mex</v>
      </c>
      <c r="I550" t="str">
        <f ca="1"/>
        <v>G&amp;A expenses</v>
      </c>
      <c r="J550" t="str">
        <f ca="1"/>
        <v>PO_2009 ASIPONA_COMIDA</v>
      </c>
      <c r="K550">
        <f ca="1"/>
        <v>0</v>
      </c>
      <c r="L550" t="str">
        <f ca="1">VLOOKUP(B550,[1]Total!$B:$Q,16,0)</f>
        <v>602.34.002 Gastos por visita tencica</v>
      </c>
      <c r="M550">
        <f t="shared" ca="1" si="17"/>
        <v>431.2</v>
      </c>
      <c r="N550" t="str">
        <f t="shared" ca="1" si="18"/>
        <v xml:space="preserve">Carlos Ivan Gonzalez Merino REST WINGS SALA B      MEXICO DF     MEX Rest Wings Sala B Mexico Df Mex G&amp;A expenses PO_2009 ASIPONA_COMIDA 0 </v>
      </c>
    </row>
    <row r="551" spans="1:14">
      <c r="A551" t="str">
        <f ca="1"/>
        <v>TRX1152</v>
      </c>
      <c r="B551" t="str">
        <f ca="1"/>
        <v>#56</v>
      </c>
      <c r="C551">
        <f ca="1"/>
        <v>46071.417361111096</v>
      </c>
      <c r="D551">
        <f ca="1"/>
        <v>280</v>
      </c>
      <c r="E551" t="str">
        <f ca="1"/>
        <v>MXN</v>
      </c>
      <c r="F551" t="str">
        <f ca="1"/>
        <v>Carlos Ivan Gonzalez Merino</v>
      </c>
      <c r="G551" t="str">
        <f ca="1"/>
        <v>TRANS TERR D PASAJ D A BOCA DEL RIO  MEX</v>
      </c>
      <c r="H551" t="str">
        <f ca="1"/>
        <v>Trans Terr D Pasaj D A Boca Del Rio Mex</v>
      </c>
      <c r="I551" t="str">
        <f ca="1"/>
        <v>G&amp;A expenses</v>
      </c>
      <c r="J551" t="str">
        <f ca="1"/>
        <v>PO_2009 ASIPONA_TRASLADO OBRA</v>
      </c>
      <c r="K551">
        <f ca="1"/>
        <v>0</v>
      </c>
      <c r="L551" t="str">
        <f ca="1">VLOOKUP(B551,[1]Total!$B:$Q,16,0)</f>
        <v>602.34.002 Gastos por visita tencica</v>
      </c>
      <c r="M551">
        <f t="shared" ca="1" si="17"/>
        <v>280</v>
      </c>
      <c r="N551" t="str">
        <f t="shared" ca="1" si="18"/>
        <v xml:space="preserve">Carlos Ivan Gonzalez Merino TRANS TERR D PASAJ D A BOCA DEL RIO  MEX Trans Terr D Pasaj D A Boca Del Rio Mex G&amp;A expenses PO_2009 ASIPONA_TRASLADO OBRA 0 </v>
      </c>
    </row>
    <row r="552" spans="1:14">
      <c r="A552" t="str">
        <f ca="1"/>
        <v>TRX1585</v>
      </c>
      <c r="B552" t="str">
        <f ca="1"/>
        <v>#56</v>
      </c>
      <c r="C552">
        <f ca="1"/>
        <v>46072.416666666599</v>
      </c>
      <c r="D552">
        <f ca="1"/>
        <v>165.01</v>
      </c>
      <c r="E552" t="str">
        <f ca="1"/>
        <v>MXN</v>
      </c>
      <c r="F552" t="str">
        <f ca="1"/>
        <v>Carlos Ivan Gonzalez Merino</v>
      </c>
      <c r="G552" t="str">
        <f ca="1"/>
        <v>D LOCAL*REST DIDIFOOD  CIUDAD DE MEX MEX</v>
      </c>
      <c r="H552" t="str">
        <f ca="1"/>
        <v>D Local Rest Didifood Ciudad De Mex Mex</v>
      </c>
      <c r="I552" t="str">
        <f ca="1"/>
        <v>G&amp;A expenses</v>
      </c>
      <c r="J552" t="str">
        <f ca="1"/>
        <v>PO_2009 ASIPONA_COMIDA</v>
      </c>
      <c r="K552">
        <f ca="1"/>
        <v>0</v>
      </c>
      <c r="L552" t="str">
        <f ca="1">VLOOKUP(B552,[1]Total!$B:$Q,16,0)</f>
        <v>602.34.002 Gastos por visita tencica</v>
      </c>
      <c r="M552">
        <f t="shared" ca="1" si="17"/>
        <v>165.01</v>
      </c>
      <c r="N552" t="str">
        <f t="shared" ca="1" si="18"/>
        <v xml:space="preserve">Carlos Ivan Gonzalez Merino D LOCAL*REST DIDIFOOD  CIUDAD DE MEX MEX D Local Rest Didifood Ciudad De Mex Mex G&amp;A expenses PO_2009 ASIPONA_COMIDA 0 </v>
      </c>
    </row>
    <row r="553" spans="1:14">
      <c r="A553" t="str">
        <f ca="1"/>
        <v>TRX1356</v>
      </c>
      <c r="B553" t="str">
        <f ca="1"/>
        <v>#56</v>
      </c>
      <c r="C553">
        <f ca="1"/>
        <v>46072.416666666599</v>
      </c>
      <c r="D553">
        <f ca="1"/>
        <v>159</v>
      </c>
      <c r="E553" t="str">
        <f ca="1"/>
        <v>MXN</v>
      </c>
      <c r="F553" t="str">
        <f ca="1"/>
        <v>Carlos Ivan Gonzalez Merino</v>
      </c>
      <c r="G553" t="str">
        <f ca="1"/>
        <v>DLO DIDI RIDES MX      CIUDAD DE MEX MEX</v>
      </c>
      <c r="H553" t="str">
        <f ca="1"/>
        <v>Didi Chuxing</v>
      </c>
      <c r="I553" t="str">
        <f ca="1"/>
        <v>G&amp;A expenses</v>
      </c>
      <c r="J553" t="str">
        <f ca="1"/>
        <v>PO_2009 ASIPONA_TRASLADO</v>
      </c>
      <c r="K553">
        <f ca="1"/>
        <v>0</v>
      </c>
      <c r="L553" t="str">
        <f ca="1">VLOOKUP(B553,[1]Total!$B:$Q,16,0)</f>
        <v>602.34.002 Gastos por visita tencica</v>
      </c>
      <c r="M553">
        <f t="shared" ca="1" si="17"/>
        <v>159</v>
      </c>
      <c r="N553" t="str">
        <f t="shared" ca="1" si="18"/>
        <v xml:space="preserve">Carlos Ivan Gonzalez Merino DLO DIDI RIDES MX      CIUDAD DE MEX MEX Didi Chuxing G&amp;A expenses PO_2009 ASIPONA_TRASLADO 0 </v>
      </c>
    </row>
    <row r="554" spans="1:14">
      <c r="A554" t="str">
        <f ca="1"/>
        <v>TRX1852</v>
      </c>
      <c r="B554" t="str">
        <f ca="1"/>
        <v>#56</v>
      </c>
      <c r="C554">
        <f ca="1"/>
        <v>46072.417361111096</v>
      </c>
      <c r="D554">
        <f ca="1"/>
        <v>340.93</v>
      </c>
      <c r="E554" t="str">
        <f ca="1"/>
        <v>MXN</v>
      </c>
      <c r="F554" t="str">
        <f ca="1"/>
        <v>Carlos Ivan Gonzalez Merino</v>
      </c>
      <c r="G554" t="str">
        <f ca="1"/>
        <v>D LOCAL*REST DIDIFOOD  CIUDAD DE MEX MEX</v>
      </c>
      <c r="H554" t="str">
        <f ca="1"/>
        <v>D Local Rest Didifood Ciudad De Mex Mex</v>
      </c>
      <c r="I554" t="str">
        <f ca="1"/>
        <v>G&amp;A expenses</v>
      </c>
      <c r="J554" t="str">
        <f ca="1"/>
        <v>PO_2009 ASIPONA_COMIDA</v>
      </c>
      <c r="K554">
        <f ca="1"/>
        <v>0</v>
      </c>
      <c r="L554" t="str">
        <f ca="1">VLOOKUP(B554,[1]Total!$B:$Q,16,0)</f>
        <v>602.34.002 Gastos por visita tencica</v>
      </c>
      <c r="M554">
        <f t="shared" ca="1" si="17"/>
        <v>340.93</v>
      </c>
      <c r="N554" t="str">
        <f t="shared" ca="1" si="18"/>
        <v xml:space="preserve">Carlos Ivan Gonzalez Merino D LOCAL*REST DIDIFOOD  CIUDAD DE MEX MEX D Local Rest Didifood Ciudad De Mex Mex G&amp;A expenses PO_2009 ASIPONA_COMIDA 0 </v>
      </c>
    </row>
    <row r="555" spans="1:14">
      <c r="A555" t="str">
        <f ca="1"/>
        <v>TRX1488</v>
      </c>
      <c r="B555" t="str">
        <f ca="1"/>
        <v>#56</v>
      </c>
      <c r="C555">
        <f ca="1"/>
        <v>46073.416666666599</v>
      </c>
      <c r="D555">
        <f ca="1"/>
        <v>159</v>
      </c>
      <c r="E555" t="str">
        <f ca="1"/>
        <v>MXN</v>
      </c>
      <c r="F555" t="str">
        <f ca="1"/>
        <v>Carlos Ivan Gonzalez Merino</v>
      </c>
      <c r="G555" t="str">
        <f ca="1"/>
        <v>DLO DIDI RIDES MX      CIUDAD DE MEX MEX</v>
      </c>
      <c r="H555" t="str">
        <f ca="1"/>
        <v>Didi Chuxing</v>
      </c>
      <c r="I555" t="str">
        <f ca="1"/>
        <v>G&amp;A expenses</v>
      </c>
      <c r="J555" t="str">
        <f ca="1"/>
        <v>PO_2009 ASIPONA_TRASLADO</v>
      </c>
      <c r="K555">
        <f ca="1"/>
        <v>0</v>
      </c>
      <c r="L555" t="str">
        <f ca="1">VLOOKUP(B555,[1]Total!$B:$Q,16,0)</f>
        <v>602.34.002 Gastos por visita tencica</v>
      </c>
      <c r="M555">
        <f t="shared" ca="1" si="17"/>
        <v>159</v>
      </c>
      <c r="N555" t="str">
        <f t="shared" ca="1" si="18"/>
        <v xml:space="preserve">Carlos Ivan Gonzalez Merino DLO DIDI RIDES MX      CIUDAD DE MEX MEX Didi Chuxing G&amp;A expenses PO_2009 ASIPONA_TRASLADO 0 </v>
      </c>
    </row>
    <row r="556" spans="1:14">
      <c r="A556" t="str">
        <f ca="1"/>
        <v>TRX2029</v>
      </c>
      <c r="B556" t="str">
        <f ca="1"/>
        <v>#56</v>
      </c>
      <c r="C556">
        <f ca="1"/>
        <v>46073.417361111096</v>
      </c>
      <c r="D556">
        <f ca="1"/>
        <v>346</v>
      </c>
      <c r="E556" t="str">
        <f ca="1"/>
        <v>MXN</v>
      </c>
      <c r="F556" t="str">
        <f ca="1"/>
        <v>Carlos Ivan Gonzalez Merino</v>
      </c>
      <c r="G556" t="str">
        <f ca="1"/>
        <v>LA PARRILLA VERACRUZAN BOCA DEL RIO  MEX</v>
      </c>
      <c r="H556" t="str">
        <f ca="1"/>
        <v>La Parilla Mexican Restaurant</v>
      </c>
      <c r="I556" t="str">
        <f ca="1"/>
        <v>G&amp;A expenses</v>
      </c>
      <c r="J556" t="str">
        <f ca="1"/>
        <v>PO_2009 ASIPONA_COMIDA</v>
      </c>
      <c r="K556">
        <f ca="1"/>
        <v>0</v>
      </c>
      <c r="L556" t="str">
        <f ca="1">VLOOKUP(B556,[1]Total!$B:$Q,16,0)</f>
        <v>602.34.002 Gastos por visita tencica</v>
      </c>
      <c r="M556">
        <f t="shared" ca="1" si="17"/>
        <v>346</v>
      </c>
      <c r="N556" t="str">
        <f t="shared" ca="1" si="18"/>
        <v xml:space="preserve">Carlos Ivan Gonzalez Merino LA PARRILLA VERACRUZAN BOCA DEL RIO  MEX La Parilla Mexican Restaurant G&amp;A expenses PO_2009 ASIPONA_COMIDA 0 </v>
      </c>
    </row>
    <row r="557" spans="1:14">
      <c r="A557" t="str">
        <f ca="1"/>
        <v>TRX1418</v>
      </c>
      <c r="B557" t="str">
        <f ca="1"/>
        <v>#56</v>
      </c>
      <c r="C557">
        <f ca="1"/>
        <v>46074.416666666599</v>
      </c>
      <c r="D557">
        <f ca="1"/>
        <v>449.95</v>
      </c>
      <c r="E557" t="str">
        <f ca="1"/>
        <v>MXN</v>
      </c>
      <c r="F557" t="str">
        <f ca="1"/>
        <v>Carlos Ivan Gonzalez Merino</v>
      </c>
      <c r="G557" t="str">
        <f ca="1"/>
        <v>UBER * PENDING         CMX           MEX</v>
      </c>
      <c r="H557" t="str">
        <f ca="1"/>
        <v>Uber</v>
      </c>
      <c r="I557" t="str">
        <f ca="1"/>
        <v>G&amp;A expenses</v>
      </c>
      <c r="J557" t="str">
        <f ca="1"/>
        <v>PO_2009 ASIPONA_TRASLADO</v>
      </c>
      <c r="K557">
        <f ca="1"/>
        <v>0</v>
      </c>
      <c r="L557" t="str">
        <f ca="1">VLOOKUP(B557,[1]Total!$B:$Q,16,0)</f>
        <v>602.34.002 Gastos por visita tencica</v>
      </c>
      <c r="M557">
        <f t="shared" ca="1" si="17"/>
        <v>449.95</v>
      </c>
      <c r="N557" t="str">
        <f t="shared" ca="1" si="18"/>
        <v xml:space="preserve">Carlos Ivan Gonzalez Merino UBER * PENDING         CMX           MEX Uber G&amp;A expenses PO_2009 ASIPONA_TRASLADO 0 </v>
      </c>
    </row>
    <row r="558" spans="1:14">
      <c r="A558" t="str">
        <f ca="1"/>
        <v>TRX1019</v>
      </c>
      <c r="B558" t="str">
        <f ca="1"/>
        <v>#56</v>
      </c>
      <c r="C558">
        <f ca="1"/>
        <v>46074.416666666599</v>
      </c>
      <c r="D558">
        <f ca="1"/>
        <v>254</v>
      </c>
      <c r="E558" t="str">
        <f ca="1"/>
        <v>MXN</v>
      </c>
      <c r="F558" t="str">
        <f ca="1"/>
        <v>Carlos Ivan Gonzalez Merino</v>
      </c>
      <c r="G558" t="str">
        <f ca="1"/>
        <v>CAFE LA PARROQUIA      VERACRUZ VER  MEX</v>
      </c>
      <c r="H558" t="str">
        <f ca="1"/>
        <v>Cafe La Parroquia Veracruz Ver Mex</v>
      </c>
      <c r="I558" t="str">
        <f ca="1"/>
        <v>G&amp;A expenses</v>
      </c>
      <c r="J558" t="str">
        <f ca="1"/>
        <v>PO_2009 ASIPONA_COMIDA</v>
      </c>
      <c r="K558">
        <f ca="1"/>
        <v>0</v>
      </c>
      <c r="L558" t="str">
        <f ca="1">VLOOKUP(B558,[1]Total!$B:$Q,16,0)</f>
        <v>602.34.002 Gastos por visita tencica</v>
      </c>
      <c r="M558">
        <f t="shared" ca="1" si="17"/>
        <v>254</v>
      </c>
      <c r="N558" t="str">
        <f t="shared" ca="1" si="18"/>
        <v xml:space="preserve">Carlos Ivan Gonzalez Merino CAFE LA PARROQUIA      VERACRUZ VER  MEX Cafe La Parroquia Veracruz Ver Mex G&amp;A expenses PO_2009 ASIPONA_COMIDA 0 </v>
      </c>
    </row>
    <row r="559" spans="1:14">
      <c r="A559" t="str">
        <f ca="1"/>
        <v>TRX1030</v>
      </c>
      <c r="B559" t="str">
        <f ca="1"/>
        <v>#56</v>
      </c>
      <c r="C559">
        <f ca="1"/>
        <v>46074.416666666599</v>
      </c>
      <c r="D559">
        <f ca="1"/>
        <v>50</v>
      </c>
      <c r="E559" t="str">
        <f ca="1"/>
        <v>MXN</v>
      </c>
      <c r="F559" t="str">
        <f ca="1"/>
        <v>Carlos Ivan Gonzalez Merino</v>
      </c>
      <c r="G559" t="str">
        <f ca="1"/>
        <v>DLO DIDI RIDES MX      CIUDAD DE MEX MEX</v>
      </c>
      <c r="H559" t="str">
        <f ca="1"/>
        <v>Didi Chuxing</v>
      </c>
      <c r="I559" t="str">
        <f ca="1"/>
        <v>G&amp;A expenses</v>
      </c>
      <c r="J559" t="str">
        <f ca="1"/>
        <v>PO_2009 ASIPONA_TRASLADO</v>
      </c>
      <c r="K559">
        <f ca="1"/>
        <v>0</v>
      </c>
      <c r="L559" t="str">
        <f ca="1">VLOOKUP(B559,[1]Total!$B:$Q,16,0)</f>
        <v>602.34.002 Gastos por visita tencica</v>
      </c>
      <c r="M559">
        <f t="shared" ca="1" si="17"/>
        <v>50</v>
      </c>
      <c r="N559" t="str">
        <f t="shared" ca="1" si="18"/>
        <v xml:space="preserve">Carlos Ivan Gonzalez Merino DLO DIDI RIDES MX      CIUDAD DE MEX MEX Didi Chuxing G&amp;A expenses PO_2009 ASIPONA_TRASLADO 0 </v>
      </c>
    </row>
    <row r="560" spans="1:14">
      <c r="A560" t="str">
        <f ca="1"/>
        <v>TRX1093</v>
      </c>
      <c r="B560" t="str">
        <f ca="1"/>
        <v>#56</v>
      </c>
      <c r="C560">
        <f ca="1"/>
        <v>46074.416666666599</v>
      </c>
      <c r="D560">
        <f ca="1"/>
        <v>181</v>
      </c>
      <c r="E560" t="str">
        <f ca="1"/>
        <v>MXN</v>
      </c>
      <c r="F560" t="str">
        <f ca="1"/>
        <v>Carlos Ivan Gonzalez Merino</v>
      </c>
      <c r="G560" t="str">
        <f ca="1"/>
        <v>DLO DIDI RIDES MX      CIUDAD DE MEX MEX</v>
      </c>
      <c r="H560" t="str">
        <f ca="1"/>
        <v>Didi Chuxing</v>
      </c>
      <c r="I560" t="str">
        <f ca="1"/>
        <v>G&amp;A expenses</v>
      </c>
      <c r="J560" t="str">
        <f ca="1"/>
        <v>PO_2009 ASIPONA_COMIDA</v>
      </c>
      <c r="K560">
        <f ca="1"/>
        <v>0</v>
      </c>
      <c r="L560" t="str">
        <f ca="1">VLOOKUP(B560,[1]Total!$B:$Q,16,0)</f>
        <v>602.34.002 Gastos por visita tencica</v>
      </c>
      <c r="M560">
        <f t="shared" ca="1" si="17"/>
        <v>181</v>
      </c>
      <c r="N560" t="str">
        <f t="shared" ca="1" si="18"/>
        <v xml:space="preserve">Carlos Ivan Gonzalez Merino DLO DIDI RIDES MX      CIUDAD DE MEX MEX Didi Chuxing G&amp;A expenses PO_2009 ASIPONA_COMIDA 0 </v>
      </c>
    </row>
    <row r="561" spans="1:14">
      <c r="A561" t="str">
        <f ca="1"/>
        <v>TRX1074</v>
      </c>
      <c r="B561" t="str">
        <f ca="1"/>
        <v>#56</v>
      </c>
      <c r="C561">
        <f ca="1"/>
        <v>46075.417361111096</v>
      </c>
      <c r="D561">
        <f ca="1"/>
        <v>327.8</v>
      </c>
      <c r="E561" t="str">
        <f ca="1"/>
        <v>MXN</v>
      </c>
      <c r="F561" t="str">
        <f ca="1"/>
        <v>Carlos Ivan Gonzalez Merino</v>
      </c>
      <c r="G561" t="str">
        <f ca="1"/>
        <v>DP 11036 LAS AGUILAS   MEXICO DF     MEX</v>
      </c>
      <c r="H561" t="str">
        <f ca="1"/>
        <v>Dp Las Aguilas Mexico Df Mex</v>
      </c>
      <c r="I561" t="str">
        <f ca="1"/>
        <v>G&amp;A expenses</v>
      </c>
      <c r="J561" t="str">
        <f ca="1"/>
        <v>PO_2009 ASIPONA_COMIDA</v>
      </c>
      <c r="K561">
        <f ca="1"/>
        <v>0</v>
      </c>
      <c r="L561" t="str">
        <f ca="1">VLOOKUP(B561,[1]Total!$B:$Q,16,0)</f>
        <v>602.34.002 Gastos por visita tencica</v>
      </c>
      <c r="M561">
        <f t="shared" ca="1" si="17"/>
        <v>327.8</v>
      </c>
      <c r="N561" t="str">
        <f t="shared" ca="1" si="18"/>
        <v xml:space="preserve">Carlos Ivan Gonzalez Merino DP 11036 LAS AGUILAS   MEXICO DF     MEX Dp Las Aguilas Mexico Df Mex G&amp;A expenses PO_2009 ASIPONA_COMIDA 0 </v>
      </c>
    </row>
    <row r="562" spans="1:14">
      <c r="A562" t="str">
        <f ca="1"/>
        <v>TRX1131</v>
      </c>
      <c r="B562" t="str">
        <f ca="1"/>
        <v>#56</v>
      </c>
      <c r="C562">
        <f ca="1"/>
        <v>46078.416666666599</v>
      </c>
      <c r="D562">
        <f ca="1"/>
        <v>239.99</v>
      </c>
      <c r="E562" t="str">
        <f ca="1"/>
        <v>MXN</v>
      </c>
      <c r="F562" t="str">
        <f ca="1"/>
        <v>Carlos Ivan Gonzalez Merino</v>
      </c>
      <c r="G562" t="str">
        <f ca="1"/>
        <v>UBER * PENDING         CMX           MEX</v>
      </c>
      <c r="H562" t="str">
        <f ca="1"/>
        <v>Uber</v>
      </c>
      <c r="I562" t="str">
        <f ca="1"/>
        <v>G&amp;A expenses</v>
      </c>
      <c r="J562" t="str">
        <f ca="1"/>
        <v>PO_2009 ASIPONA_TRASLADO</v>
      </c>
      <c r="K562">
        <f ca="1"/>
        <v>0</v>
      </c>
      <c r="L562" t="str">
        <f ca="1">VLOOKUP(B562,[1]Total!$B:$Q,16,0)</f>
        <v>602.34.002 Gastos por visita tencica</v>
      </c>
      <c r="M562">
        <f t="shared" ca="1" si="17"/>
        <v>239.99</v>
      </c>
      <c r="N562" t="str">
        <f t="shared" ca="1" si="18"/>
        <v xml:space="preserve">Carlos Ivan Gonzalez Merino UBER * PENDING         CMX           MEX Uber G&amp;A expenses PO_2009 ASIPONA_TRASLADO 0 </v>
      </c>
    </row>
    <row r="563" spans="1:14">
      <c r="A563" t="str">
        <f ca="1"/>
        <v>TRX1134</v>
      </c>
      <c r="B563" t="str">
        <f ca="1"/>
        <v>#56</v>
      </c>
      <c r="C563">
        <f ca="1"/>
        <v>46078.416666666599</v>
      </c>
      <c r="D563">
        <f ca="1"/>
        <v>189.99</v>
      </c>
      <c r="E563" t="str">
        <f ca="1"/>
        <v>MXN</v>
      </c>
      <c r="F563" t="str">
        <f ca="1"/>
        <v>Carlos Ivan Gonzalez Merino</v>
      </c>
      <c r="G563" t="str">
        <f ca="1"/>
        <v>UBER * PENDING         CMX           MEX</v>
      </c>
      <c r="H563" t="str">
        <f ca="1"/>
        <v>Uber</v>
      </c>
      <c r="I563" t="str">
        <f ca="1"/>
        <v>G&amp;A expenses</v>
      </c>
      <c r="J563" t="str">
        <f ca="1"/>
        <v>PO_2009 ASIPONA_TRASLADO</v>
      </c>
      <c r="K563">
        <f ca="1"/>
        <v>0</v>
      </c>
      <c r="L563" t="str">
        <f ca="1">VLOOKUP(B563,[1]Total!$B:$Q,16,0)</f>
        <v>602.34.002 Gastos por visita tencica</v>
      </c>
      <c r="M563">
        <f t="shared" ca="1" si="17"/>
        <v>189.99</v>
      </c>
      <c r="N563" t="str">
        <f t="shared" ca="1" si="18"/>
        <v xml:space="preserve">Carlos Ivan Gonzalez Merino UBER * PENDING         CMX           MEX Uber G&amp;A expenses PO_2009 ASIPONA_TRASLADO 0 </v>
      </c>
    </row>
    <row r="564" spans="1:14">
      <c r="A564" t="str">
        <f ca="1"/>
        <v>TRX1142</v>
      </c>
      <c r="B564" t="str">
        <f ca="1"/>
        <v>#56</v>
      </c>
      <c r="C564">
        <f ca="1"/>
        <v>46078.416666666599</v>
      </c>
      <c r="D564">
        <f ca="1"/>
        <v>175.73</v>
      </c>
      <c r="E564" t="str">
        <f ca="1"/>
        <v>MXN</v>
      </c>
      <c r="F564" t="str">
        <f ca="1"/>
        <v>Carlos Ivan Gonzalez Merino</v>
      </c>
      <c r="G564" t="str">
        <f ca="1"/>
        <v>UBER * EATS PENDING    CMX           MEX</v>
      </c>
      <c r="H564" t="str">
        <f ca="1"/>
        <v>Uber Eats</v>
      </c>
      <c r="I564" t="str">
        <f ca="1"/>
        <v>G&amp;A expenses</v>
      </c>
      <c r="J564" t="str">
        <f ca="1"/>
        <v>PO_2009 ASIPONA_COMIDA</v>
      </c>
      <c r="K564">
        <f ca="1"/>
        <v>0</v>
      </c>
      <c r="L564" t="str">
        <f ca="1">VLOOKUP(B564,[1]Total!$B:$Q,16,0)</f>
        <v>602.34.002 Gastos por visita tencica</v>
      </c>
      <c r="M564">
        <f t="shared" ca="1" si="17"/>
        <v>175.73</v>
      </c>
      <c r="N564" t="str">
        <f t="shared" ca="1" si="18"/>
        <v xml:space="preserve">Carlos Ivan Gonzalez Merino UBER * EATS PENDING    CMX           MEX Uber Eats G&amp;A expenses PO_2009 ASIPONA_COMIDA 0 </v>
      </c>
    </row>
    <row r="565" spans="1:14">
      <c r="A565" t="str">
        <f ca="1"/>
        <v>TRX1189</v>
      </c>
      <c r="B565" t="str">
        <f ca="1"/>
        <v>#56</v>
      </c>
      <c r="C565">
        <f ca="1"/>
        <v>46079.416666666599</v>
      </c>
      <c r="D565">
        <f ca="1"/>
        <v>165</v>
      </c>
      <c r="E565" t="str">
        <f ca="1"/>
        <v>MXN</v>
      </c>
      <c r="F565" t="str">
        <f ca="1"/>
        <v>Carlos Ivan Gonzalez Merino</v>
      </c>
      <c r="G565" t="str">
        <f ca="1"/>
        <v>DLO DIDI RIDES MX      CIUDAD DE MEX MEX</v>
      </c>
      <c r="H565" t="str">
        <f ca="1"/>
        <v>Didi Chuxing</v>
      </c>
      <c r="I565" t="str">
        <f ca="1"/>
        <v>G&amp;A expenses</v>
      </c>
      <c r="J565" t="str">
        <f ca="1"/>
        <v>PO_2009 ASIPONA_RENTA UTO</v>
      </c>
      <c r="K565">
        <f ca="1"/>
        <v>0</v>
      </c>
      <c r="L565" t="str">
        <f ca="1">VLOOKUP(B565,[1]Total!$B:$Q,16,0)</f>
        <v>602.34.002 Gastos por visita tencica</v>
      </c>
      <c r="M565">
        <f t="shared" ca="1" si="17"/>
        <v>165</v>
      </c>
      <c r="N565" t="str">
        <f t="shared" ca="1" si="18"/>
        <v xml:space="preserve">Carlos Ivan Gonzalez Merino DLO DIDI RIDES MX      CIUDAD DE MEX MEX Didi Chuxing G&amp;A expenses PO_2009 ASIPONA_RENTA UTO 0 </v>
      </c>
    </row>
    <row r="566" spans="1:14">
      <c r="A566" t="str">
        <f ca="1"/>
        <v>TRX1205</v>
      </c>
      <c r="B566" t="str">
        <f ca="1"/>
        <v>#56</v>
      </c>
      <c r="C566">
        <f ca="1"/>
        <v>46079.416666666599</v>
      </c>
      <c r="D566">
        <f ca="1"/>
        <v>179.98</v>
      </c>
      <c r="E566" t="str">
        <f ca="1"/>
        <v>MXN</v>
      </c>
      <c r="F566" t="str">
        <f ca="1"/>
        <v>Carlos Ivan Gonzalez Merino</v>
      </c>
      <c r="G566" t="str">
        <f ca="1"/>
        <v>DLO*UBER RIDES         CIUDAD DE MEX MEX</v>
      </c>
      <c r="H566" t="str">
        <f ca="1"/>
        <v>Uber</v>
      </c>
      <c r="I566" t="str">
        <f ca="1"/>
        <v>G&amp;A expenses</v>
      </c>
      <c r="J566" t="str">
        <f ca="1"/>
        <v>PO_2009 ASIPONA_DESARMADORES</v>
      </c>
      <c r="K566">
        <f ca="1"/>
        <v>0</v>
      </c>
      <c r="L566" t="str">
        <f ca="1">VLOOKUP(B566,[1]Total!$B:$Q,16,0)</f>
        <v>602.34.002 Gastos por visita tencica</v>
      </c>
      <c r="M566">
        <f t="shared" ca="1" si="17"/>
        <v>179.98</v>
      </c>
      <c r="N566" t="str">
        <f t="shared" ca="1" si="18"/>
        <v xml:space="preserve">Carlos Ivan Gonzalez Merino DLO*UBER RIDES         CIUDAD DE MEX MEX Uber G&amp;A expenses PO_2009 ASIPONA_DESARMADORES 0 </v>
      </c>
    </row>
    <row r="567" spans="1:14">
      <c r="A567" t="str">
        <f ca="1"/>
        <v>TRX1208</v>
      </c>
      <c r="B567" t="str">
        <f ca="1"/>
        <v>#56</v>
      </c>
      <c r="C567">
        <f ca="1"/>
        <v>46079.417361111096</v>
      </c>
      <c r="D567">
        <f ca="1"/>
        <v>329.97</v>
      </c>
      <c r="E567" t="str">
        <f ca="1"/>
        <v>MXN</v>
      </c>
      <c r="F567" t="str">
        <f ca="1"/>
        <v>Carlos Ivan Gonzalez Merino</v>
      </c>
      <c r="G567" t="str">
        <f ca="1"/>
        <v>DLO*Uber               CDMX          MEX</v>
      </c>
      <c r="H567" t="str">
        <f ca="1"/>
        <v>Uber</v>
      </c>
      <c r="I567" t="str">
        <f ca="1"/>
        <v>G&amp;A expenses</v>
      </c>
      <c r="J567" t="str">
        <f ca="1"/>
        <v>PO_2009 ASIPONA_PEAJE</v>
      </c>
      <c r="K567">
        <f ca="1"/>
        <v>0</v>
      </c>
      <c r="L567" t="str">
        <f ca="1">VLOOKUP(B567,[1]Total!$B:$Q,16,0)</f>
        <v>602.34.002 Gastos por visita tencica</v>
      </c>
      <c r="M567">
        <f t="shared" ca="1" si="17"/>
        <v>329.97</v>
      </c>
      <c r="N567" t="str">
        <f t="shared" ca="1" si="18"/>
        <v xml:space="preserve">Carlos Ivan Gonzalez Merino DLO*Uber               CDMX          MEX Uber G&amp;A expenses PO_2009 ASIPONA_PEAJE 0 </v>
      </c>
    </row>
    <row r="568" spans="1:14">
      <c r="A568" t="str">
        <f ca="1"/>
        <v>TRX1240</v>
      </c>
      <c r="B568" t="str">
        <f ca="1"/>
        <v>#56</v>
      </c>
      <c r="C568">
        <f ca="1"/>
        <v>46080.417361111096</v>
      </c>
      <c r="D568">
        <f ca="1"/>
        <v>3663</v>
      </c>
      <c r="E568" t="str">
        <f ca="1"/>
        <v>MXN</v>
      </c>
      <c r="F568" t="str">
        <f ca="1"/>
        <v>Carlos Ivan Gonzalez Merino</v>
      </c>
      <c r="G568" t="str">
        <f ca="1"/>
        <v>HOME DEPOT             SN PEDRO GARZ MEX</v>
      </c>
      <c r="H568" t="str">
        <f ca="1"/>
        <v>The Home Depot</v>
      </c>
      <c r="I568" t="str">
        <f ca="1"/>
        <v>G&amp;A expenses</v>
      </c>
      <c r="J568" t="str">
        <f ca="1"/>
        <v>PO_2009 ASIPONA_PUNTO DE HIDRATACION</v>
      </c>
      <c r="K568">
        <f ca="1"/>
        <v>0</v>
      </c>
      <c r="L568" t="str">
        <f ca="1">VLOOKUP(B568,[1]Total!$B:$Q,16,0)</f>
        <v>602.34.002 Gastos por visita tencica</v>
      </c>
      <c r="M568">
        <f t="shared" ca="1" si="17"/>
        <v>3663</v>
      </c>
      <c r="N568" t="str">
        <f t="shared" ca="1" si="18"/>
        <v xml:space="preserve">Carlos Ivan Gonzalez Merino HOME DEPOT             SN PEDRO GARZ MEX The Home Depot G&amp;A expenses PO_2009 ASIPONA_PUNTO DE HIDRATACION 0 </v>
      </c>
    </row>
    <row r="569" spans="1:14">
      <c r="A569" t="str">
        <f ca="1"/>
        <v>TRX1254</v>
      </c>
      <c r="B569" t="str">
        <f ca="1"/>
        <v>#56</v>
      </c>
      <c r="C569">
        <f ca="1"/>
        <v>46081.416666666599</v>
      </c>
      <c r="D569">
        <f ca="1"/>
        <v>289.95</v>
      </c>
      <c r="E569" t="str">
        <f ca="1"/>
        <v>MXN</v>
      </c>
      <c r="F569" t="str">
        <f ca="1"/>
        <v>Carlos Ivan Gonzalez Merino</v>
      </c>
      <c r="G569" t="str">
        <f ca="1"/>
        <v>UBER * PENDING         CMX           MEX</v>
      </c>
      <c r="H569" t="str">
        <f ca="1"/>
        <v>Uber</v>
      </c>
      <c r="I569" t="str">
        <f ca="1"/>
        <v>G&amp;A expenses</v>
      </c>
      <c r="J569" t="str">
        <f ca="1"/>
        <v>PO_2009 ASIPONA_COMIDA</v>
      </c>
      <c r="K569">
        <f ca="1"/>
        <v>0</v>
      </c>
      <c r="L569" t="str">
        <f ca="1">VLOOKUP(B569,[1]Total!$B:$Q,16,0)</f>
        <v>602.34.002 Gastos por visita tencica</v>
      </c>
      <c r="M569">
        <f t="shared" ca="1" si="17"/>
        <v>289.95</v>
      </c>
      <c r="N569" t="str">
        <f t="shared" ca="1" si="18"/>
        <v xml:space="preserve">Carlos Ivan Gonzalez Merino UBER * PENDING         CMX           MEX Uber G&amp;A expenses PO_2009 ASIPONA_COMIDA 0 </v>
      </c>
    </row>
    <row r="570" spans="1:14">
      <c r="A570" t="str">
        <f ca="1"/>
        <v>TRX1280</v>
      </c>
      <c r="B570" t="str">
        <f ca="1"/>
        <v>#56</v>
      </c>
      <c r="C570">
        <f ca="1"/>
        <v>46081.417361111096</v>
      </c>
      <c r="D570">
        <f ca="1"/>
        <v>129.97</v>
      </c>
      <c r="E570" t="str">
        <f ca="1"/>
        <v>MXN</v>
      </c>
      <c r="F570" t="str">
        <f ca="1"/>
        <v>Carlos Ivan Gonzalez Merino</v>
      </c>
      <c r="G570" t="str">
        <f ca="1"/>
        <v>DLO*Uber               CDMX          MEX</v>
      </c>
      <c r="H570" t="str">
        <f ca="1"/>
        <v>Uber</v>
      </c>
      <c r="I570" t="str">
        <f ca="1"/>
        <v>G&amp;A expenses</v>
      </c>
      <c r="J570" t="str">
        <f ca="1"/>
        <v>PO_2009 ASIPONA_COMIDA</v>
      </c>
      <c r="K570">
        <f ca="1"/>
        <v>0</v>
      </c>
      <c r="L570" t="str">
        <f ca="1">VLOOKUP(B570,[1]Total!$B:$Q,16,0)</f>
        <v>602.34.002 Gastos por visita tencica</v>
      </c>
      <c r="M570">
        <f t="shared" ca="1" si="17"/>
        <v>129.97</v>
      </c>
      <c r="N570" t="str">
        <f t="shared" ca="1" si="18"/>
        <v xml:space="preserve">Carlos Ivan Gonzalez Merino DLO*Uber               CDMX          MEX Uber G&amp;A expenses PO_2009 ASIPONA_COMIDA 0 </v>
      </c>
    </row>
    <row r="571" spans="1:14" hidden="1">
      <c r="A571" t="str">
        <f ca="1"/>
        <v>#N/A</v>
      </c>
      <c r="B571">
        <f ca="1"/>
        <v>0</v>
      </c>
      <c r="C571">
        <f ca="1"/>
        <v>0</v>
      </c>
      <c r="D571" t="str">
        <f ca="1"/>
        <v>#N/A</v>
      </c>
      <c r="E571" t="str">
        <f ca="1"/>
        <v>#N/A</v>
      </c>
      <c r="F571" t="str">
        <f ca="1"/>
        <v>#N/A</v>
      </c>
      <c r="G571" t="str">
        <f ca="1"/>
        <v>#N/A</v>
      </c>
      <c r="H571">
        <f ca="1"/>
        <v>0</v>
      </c>
      <c r="I571" t="str">
        <f ca="1"/>
        <v>Recruiting</v>
      </c>
      <c r="J571" t="str">
        <f ca="1"/>
        <v>Visita MITSUI PO1579</v>
      </c>
      <c r="K571">
        <f ca="1"/>
        <v>0</v>
      </c>
      <c r="L571" t="e">
        <f ca="1">VLOOKUP(B571,[1]Total!$B:$Q,16,0)</f>
        <v>#N/A</v>
      </c>
      <c r="M571" t="str">
        <f t="shared" ca="1" si="17"/>
        <v>#N/A</v>
      </c>
      <c r="N571" t="str">
        <f t="shared" ca="1" si="18"/>
        <v xml:space="preserve">#N/A #N/A 0 Recruiting Visita MITSUI PO1579 0 </v>
      </c>
    </row>
    <row r="572" spans="1:14" hidden="1">
      <c r="A572" t="str">
        <f ca="1"/>
        <v>#N/A</v>
      </c>
      <c r="B572">
        <f ca="1"/>
        <v>0</v>
      </c>
      <c r="C572">
        <f ca="1"/>
        <v>0</v>
      </c>
      <c r="D572" t="str">
        <f ca="1"/>
        <v>#N/A</v>
      </c>
      <c r="E572" t="str">
        <f ca="1"/>
        <v>#N/A</v>
      </c>
      <c r="F572" t="str">
        <f ca="1"/>
        <v>#N/A</v>
      </c>
      <c r="G572" t="str">
        <f ca="1"/>
        <v>#N/A</v>
      </c>
      <c r="H572">
        <f ca="1"/>
        <v>0</v>
      </c>
      <c r="I572" t="str">
        <f ca="1"/>
        <v>G&amp;A expenses</v>
      </c>
      <c r="J572" t="str">
        <f ca="1"/>
        <v>Uber de obra en Tijuana</v>
      </c>
      <c r="K572" t="str">
        <f ca="1"/>
        <v>.</v>
      </c>
      <c r="L572" t="e">
        <f ca="1">VLOOKUP(B572,[1]Total!$B:$Q,16,0)</f>
        <v>#N/A</v>
      </c>
      <c r="M572" t="str">
        <f t="shared" ca="1" si="17"/>
        <v>#N/A</v>
      </c>
      <c r="N572" t="str">
        <f t="shared" ca="1" si="18"/>
        <v xml:space="preserve">#N/A #N/A 0 G&amp;A expenses Uber de obra en Tijuana . </v>
      </c>
    </row>
    <row r="573" spans="1:14">
      <c r="A573" t="str">
        <f ca="1"/>
        <v>TRX1297</v>
      </c>
      <c r="B573" t="str">
        <f ca="1"/>
        <v>#58</v>
      </c>
      <c r="C573">
        <f ca="1"/>
        <v>46055.416666666599</v>
      </c>
      <c r="D573">
        <f ca="1"/>
        <v>3230.41</v>
      </c>
      <c r="E573" t="str">
        <f ca="1"/>
        <v>MXN</v>
      </c>
      <c r="F573" t="str">
        <f ca="1"/>
        <v>Jose Rosas Ortiz</v>
      </c>
      <c r="G573" t="str">
        <f ca="1"/>
        <v>EXPEDIA MEXICO         CIUDAD DE MEX MEX</v>
      </c>
      <c r="H573" t="str">
        <f ca="1"/>
        <v>Expedia</v>
      </c>
      <c r="I573" t="str">
        <f ca="1"/>
        <v>Sales</v>
      </c>
      <c r="J573" t="str">
        <f ca="1"/>
        <v>IMESA</v>
      </c>
      <c r="K573" t="str">
        <f ca="1"/>
        <v>Invoice</v>
      </c>
      <c r="L573" t="str">
        <f ca="1">VLOOKUP(B573,[1]Total!$B:$Q,16,0)</f>
        <v>602.34.002 Gastos por visita tencica</v>
      </c>
      <c r="M573">
        <f t="shared" ca="1" si="17"/>
        <v>3230.41</v>
      </c>
      <c r="N573" t="str">
        <f t="shared" ca="1" si="18"/>
        <v xml:space="preserve">Jose Rosas Ortiz EXPEDIA MEXICO         CIUDAD DE MEX MEX Expedia Sales IMESA Invoice </v>
      </c>
    </row>
    <row r="574" spans="1:14">
      <c r="A574" t="str">
        <f ca="1"/>
        <v>TRX1281</v>
      </c>
      <c r="B574" t="str">
        <f ca="1"/>
        <v>#58</v>
      </c>
      <c r="C574">
        <f ca="1"/>
        <v>46056.416666666599</v>
      </c>
      <c r="D574">
        <f ca="1"/>
        <v>537.41</v>
      </c>
      <c r="E574" t="str">
        <f ca="1"/>
        <v>MXN</v>
      </c>
      <c r="F574" t="str">
        <f ca="1"/>
        <v>Jose Rosas Ortiz</v>
      </c>
      <c r="G574" t="str">
        <f ca="1"/>
        <v>WELCOME TO LV          LAS VEGAS     USA</v>
      </c>
      <c r="H574" t="str">
        <f ca="1"/>
        <v>Welcome To Lv Las Vegas USA</v>
      </c>
      <c r="I574" t="str">
        <f ca="1"/>
        <v>Sales</v>
      </c>
      <c r="J574" t="str">
        <f ca="1"/>
        <v>IMESA</v>
      </c>
      <c r="K574" t="str">
        <f ca="1"/>
        <v>Invoice</v>
      </c>
      <c r="L574" t="str">
        <f ca="1">VLOOKUP(B574,[1]Total!$B:$Q,16,0)</f>
        <v>602.34.002 Gastos por visita tencica</v>
      </c>
      <c r="M574">
        <f t="shared" ca="1" si="17"/>
        <v>537.41</v>
      </c>
      <c r="N574" t="str">
        <f t="shared" ca="1" si="18"/>
        <v xml:space="preserve">Jose Rosas Ortiz WELCOME TO LV          LAS VEGAS     USA Welcome To Lv Las Vegas USA Sales IMESA Invoice </v>
      </c>
    </row>
    <row r="575" spans="1:14">
      <c r="A575" t="str">
        <f ca="1"/>
        <v>TRX1280</v>
      </c>
      <c r="B575" t="str">
        <f ca="1"/>
        <v>#58</v>
      </c>
      <c r="C575">
        <f ca="1"/>
        <v>46056.416666666599</v>
      </c>
      <c r="D575">
        <f ca="1"/>
        <v>453.95</v>
      </c>
      <c r="E575" t="str">
        <f ca="1"/>
        <v>USD</v>
      </c>
      <c r="F575" t="str">
        <f ca="1"/>
        <v>Jose Rosas Ortiz</v>
      </c>
      <c r="G575" t="str">
        <f ca="1"/>
        <v>NAYAX PARKING          Reno          USA</v>
      </c>
      <c r="H575" t="str">
        <f ca="1"/>
        <v>Nayax Parking Reno USA</v>
      </c>
      <c r="I575" t="str">
        <f ca="1"/>
        <v>Sales</v>
      </c>
      <c r="J575" t="str">
        <f ca="1"/>
        <v>IMESA</v>
      </c>
      <c r="K575" t="str">
        <f ca="1"/>
        <v>Invoice</v>
      </c>
      <c r="L575" t="str">
        <f ca="1">VLOOKUP(B575,[1]Total!$B:$Q,16,0)</f>
        <v>602.34.002 Gastos por visita tencica</v>
      </c>
      <c r="M575">
        <f t="shared" ca="1" si="17"/>
        <v>453.95</v>
      </c>
      <c r="N575" t="str">
        <f t="shared" ca="1" si="18"/>
        <v xml:space="preserve">Jose Rosas Ortiz NAYAX PARKING          Reno          USA Nayax Parking Reno USA Sales IMESA Invoice </v>
      </c>
    </row>
    <row r="576" spans="1:14">
      <c r="A576" t="str">
        <f ca="1"/>
        <v>TRX1278</v>
      </c>
      <c r="B576" t="str">
        <f ca="1"/>
        <v>#58</v>
      </c>
      <c r="C576">
        <f ca="1"/>
        <v>46056.416666666599</v>
      </c>
      <c r="D576">
        <f ca="1"/>
        <v>1852.27</v>
      </c>
      <c r="E576" t="str">
        <f ca="1"/>
        <v>USD</v>
      </c>
      <c r="F576" t="str">
        <f ca="1"/>
        <v>Jose Rosas Ortiz</v>
      </c>
      <c r="G576" t="str">
        <f ca="1"/>
        <v>VOLARIS                VOLARIS.COM   GBR</v>
      </c>
      <c r="H576" t="str">
        <f ca="1"/>
        <v>Volaris</v>
      </c>
      <c r="I576" t="str">
        <f ca="1"/>
        <v>Sales</v>
      </c>
      <c r="J576" t="str">
        <f ca="1"/>
        <v>IMESA</v>
      </c>
      <c r="K576" t="str">
        <f ca="1"/>
        <v>Invoice</v>
      </c>
      <c r="L576" t="str">
        <f ca="1">VLOOKUP(B576,[1]Total!$B:$Q,16,0)</f>
        <v>602.34.002 Gastos por visita tencica</v>
      </c>
      <c r="M576">
        <f t="shared" ca="1" si="17"/>
        <v>1852.27</v>
      </c>
      <c r="N576" t="str">
        <f t="shared" ca="1" si="18"/>
        <v xml:space="preserve">Jose Rosas Ortiz VOLARIS                VOLARIS.COM   GBR Volaris Sales IMESA Invoice </v>
      </c>
    </row>
    <row r="577" spans="1:14">
      <c r="A577" t="str">
        <f ca="1"/>
        <v>TRX1273</v>
      </c>
      <c r="B577" t="str">
        <f ca="1"/>
        <v>#58</v>
      </c>
      <c r="C577">
        <f ca="1"/>
        <v>46057.416666666599</v>
      </c>
      <c r="D577">
        <f ca="1"/>
        <v>90.79</v>
      </c>
      <c r="E577" t="str">
        <f ca="1"/>
        <v>USD</v>
      </c>
      <c r="F577" t="str">
        <f ca="1"/>
        <v>Jose Rosas Ortiz</v>
      </c>
      <c r="G577" t="str">
        <f ca="1"/>
        <v>4930 LVNPO             LAS VEGAS     USA</v>
      </c>
      <c r="H577" t="str">
        <f ca="1"/>
        <v>4930 Lvnpo Las Vegas USA</v>
      </c>
      <c r="I577" t="str">
        <f ca="1"/>
        <v>Sales</v>
      </c>
      <c r="J577" t="str">
        <f ca="1"/>
        <v>IMESA</v>
      </c>
      <c r="K577" t="str">
        <f ca="1"/>
        <v>Invoice</v>
      </c>
      <c r="L577" t="str">
        <f ca="1">VLOOKUP(B577,[1]Total!$B:$Q,16,0)</f>
        <v>602.34.002 Gastos por visita tencica</v>
      </c>
      <c r="M577">
        <f t="shared" ca="1" si="17"/>
        <v>90.79</v>
      </c>
      <c r="N577" t="str">
        <f t="shared" ca="1" si="18"/>
        <v xml:space="preserve">Jose Rosas Ortiz 4930 LVNPO             LAS VEGAS     USA 4930 Lvnpo Las Vegas USA Sales IMESA Invoice </v>
      </c>
    </row>
    <row r="578" spans="1:14">
      <c r="A578" t="str">
        <f ca="1"/>
        <v>TRX1269</v>
      </c>
      <c r="B578" t="str">
        <f ca="1"/>
        <v>#58</v>
      </c>
      <c r="C578">
        <f ca="1"/>
        <v>46057.416666666599</v>
      </c>
      <c r="D578">
        <f ca="1"/>
        <v>181.94</v>
      </c>
      <c r="E578" t="str">
        <f ca="1"/>
        <v>USD</v>
      </c>
      <c r="F578" t="str">
        <f ca="1"/>
        <v>Jose Rosas Ortiz</v>
      </c>
      <c r="G578" t="str">
        <f ca="1"/>
        <v>IN-N-OUT LINQ          LAS VEGAS     USA</v>
      </c>
      <c r="H578" t="str">
        <f ca="1"/>
        <v>In N Out Linq Las Vegas USA</v>
      </c>
      <c r="I578" t="str">
        <f ca="1"/>
        <v>Sales</v>
      </c>
      <c r="J578" t="str">
        <f ca="1"/>
        <v>IMESA</v>
      </c>
      <c r="K578" t="str">
        <f ca="1"/>
        <v>Invoice</v>
      </c>
      <c r="L578" t="str">
        <f ca="1">VLOOKUP(B578,[1]Total!$B:$Q,16,0)</f>
        <v>602.34.002 Gastos por visita tencica</v>
      </c>
      <c r="M578">
        <f t="shared" ca="1" si="17"/>
        <v>181.94</v>
      </c>
      <c r="N578" t="str">
        <f t="shared" ca="1" si="18"/>
        <v xml:space="preserve">Jose Rosas Ortiz IN-N-OUT LINQ          LAS VEGAS     USA In N Out Linq Las Vegas USA Sales IMESA Invoice </v>
      </c>
    </row>
    <row r="579" spans="1:14">
      <c r="A579" t="str">
        <f ca="1"/>
        <v>TRX1265</v>
      </c>
      <c r="B579" t="str">
        <f ca="1"/>
        <v>#58</v>
      </c>
      <c r="C579">
        <f ca="1"/>
        <v>46057.416666666599</v>
      </c>
      <c r="D579">
        <f ca="1"/>
        <v>273.27</v>
      </c>
      <c r="E579" t="str">
        <f ca="1"/>
        <v>USD</v>
      </c>
      <c r="F579" t="str">
        <f ca="1"/>
        <v>Jose Rosas Ortiz</v>
      </c>
      <c r="G579" t="str">
        <f ca="1"/>
        <v>DOLLAR-GENERAL MKT #12 LAS VEGAS     USA</v>
      </c>
      <c r="H579" t="str">
        <f ca="1"/>
        <v>Dollar General</v>
      </c>
      <c r="I579" t="str">
        <f ca="1"/>
        <v>Sales</v>
      </c>
      <c r="J579" t="str">
        <f ca="1"/>
        <v>IMESA</v>
      </c>
      <c r="K579" t="str">
        <f ca="1"/>
        <v>Invoice</v>
      </c>
      <c r="L579" t="str">
        <f ca="1">VLOOKUP(B579,[1]Total!$B:$Q,16,0)</f>
        <v>602.34.002 Gastos por visita tencica</v>
      </c>
      <c r="M579">
        <f t="shared" ref="M579:M642" ca="1" si="19">D579</f>
        <v>273.27</v>
      </c>
      <c r="N579" t="str">
        <f t="shared" ref="N579:N642" ca="1" si="20">CONCATENATE(F579," ",G579," ",H579," ",I579," ",J579," ",K579," ")</f>
        <v xml:space="preserve">Jose Rosas Ortiz DOLLAR-GENERAL MKT #12 LAS VEGAS     USA Dollar General Sales IMESA Invoice </v>
      </c>
    </row>
    <row r="580" spans="1:14">
      <c r="A580" t="str">
        <f ca="1"/>
        <v>TRX1264</v>
      </c>
      <c r="B580" t="str">
        <f ca="1"/>
        <v>#58</v>
      </c>
      <c r="C580">
        <f ca="1"/>
        <v>46057.416666666599</v>
      </c>
      <c r="D580">
        <f ca="1"/>
        <v>604.1</v>
      </c>
      <c r="E580" t="str">
        <f ca="1"/>
        <v>USD</v>
      </c>
      <c r="F580" t="str">
        <f ca="1"/>
        <v>Jose Rosas Ortiz</v>
      </c>
      <c r="G580" t="str">
        <f ca="1"/>
        <v>LAS VEGAS CONVENTION C LAS VEGAS     USA</v>
      </c>
      <c r="H580" t="str">
        <f ca="1"/>
        <v>Las Vegas Convention C Las Vegas USA</v>
      </c>
      <c r="I580" t="str">
        <f ca="1"/>
        <v>Sales</v>
      </c>
      <c r="J580" t="str">
        <f ca="1"/>
        <v>IMESA</v>
      </c>
      <c r="K580" t="str">
        <f ca="1"/>
        <v>Invoice</v>
      </c>
      <c r="L580" t="str">
        <f ca="1">VLOOKUP(B580,[1]Total!$B:$Q,16,0)</f>
        <v>602.34.002 Gastos por visita tencica</v>
      </c>
      <c r="M580">
        <f t="shared" ca="1" si="19"/>
        <v>604.1</v>
      </c>
      <c r="N580" t="str">
        <f t="shared" ca="1" si="20"/>
        <v xml:space="preserve">Jose Rosas Ortiz LAS VEGAS CONVENTION C LAS VEGAS     USA Las Vegas Convention C Las Vegas USA Sales IMESA Invoice </v>
      </c>
    </row>
    <row r="581" spans="1:14">
      <c r="A581" t="str">
        <f ca="1"/>
        <v>TRX1263</v>
      </c>
      <c r="B581" t="str">
        <f ca="1"/>
        <v>#58</v>
      </c>
      <c r="C581">
        <f ca="1"/>
        <v>46057.416666666599</v>
      </c>
      <c r="D581">
        <f ca="1"/>
        <v>389.66</v>
      </c>
      <c r="E581" t="str">
        <f ca="1"/>
        <v>USD</v>
      </c>
      <c r="F581" t="str">
        <f ca="1"/>
        <v>Jose Rosas Ortiz</v>
      </c>
      <c r="G581" t="str">
        <f ca="1"/>
        <v>LAS VEGAS CONVENTION C LAS VEGAS     USA</v>
      </c>
      <c r="H581" t="str">
        <f ca="1"/>
        <v>Las Vegas Convention C Las Vegas USA</v>
      </c>
      <c r="I581" t="str">
        <f ca="1"/>
        <v>Sales</v>
      </c>
      <c r="J581" t="str">
        <f ca="1"/>
        <v>IMESA</v>
      </c>
      <c r="K581" t="str">
        <f ca="1"/>
        <v>Invoice</v>
      </c>
      <c r="L581" t="str">
        <f ca="1">VLOOKUP(B581,[1]Total!$B:$Q,16,0)</f>
        <v>602.34.002 Gastos por visita tencica</v>
      </c>
      <c r="M581">
        <f t="shared" ca="1" si="19"/>
        <v>389.66</v>
      </c>
      <c r="N581" t="str">
        <f t="shared" ca="1" si="20"/>
        <v xml:space="preserve">Jose Rosas Ortiz LAS VEGAS CONVENTION C LAS VEGAS     USA Las Vegas Convention C Las Vegas USA Sales IMESA Invoice </v>
      </c>
    </row>
    <row r="582" spans="1:14">
      <c r="A582" t="str">
        <f ca="1"/>
        <v>TRX1195</v>
      </c>
      <c r="B582" t="str">
        <f ca="1"/>
        <v>#58</v>
      </c>
      <c r="C582">
        <f ca="1"/>
        <v>46058.417361111096</v>
      </c>
      <c r="D582">
        <f ca="1"/>
        <v>363.15</v>
      </c>
      <c r="E582" t="str">
        <f ca="1"/>
        <v>USD</v>
      </c>
      <c r="F582" t="str">
        <f ca="1"/>
        <v>Jose Rosas Ortiz</v>
      </c>
      <c r="G582" t="str">
        <f ca="1"/>
        <v>COSMOPOL-SELF PARKIN   LAS VEGAS     USA</v>
      </c>
      <c r="H582" t="str">
        <f ca="1"/>
        <v>Cosmopol Self Parkin Las Vegas USA</v>
      </c>
      <c r="I582" t="str">
        <f ca="1"/>
        <v>Sales</v>
      </c>
      <c r="J582" t="str">
        <f ca="1"/>
        <v>IMESA</v>
      </c>
      <c r="K582" t="str">
        <f ca="1"/>
        <v>Invoice</v>
      </c>
      <c r="L582" t="str">
        <f ca="1">VLOOKUP(B582,[1]Total!$B:$Q,16,0)</f>
        <v>602.34.002 Gastos por visita tencica</v>
      </c>
      <c r="M582">
        <f t="shared" ca="1" si="19"/>
        <v>363.15</v>
      </c>
      <c r="N582" t="str">
        <f t="shared" ca="1" si="20"/>
        <v xml:space="preserve">Jose Rosas Ortiz COSMOPOL-SELF PARKIN   LAS VEGAS     USA Cosmopol Self Parkin Las Vegas USA Sales IMESA Invoice </v>
      </c>
    </row>
    <row r="583" spans="1:14">
      <c r="A583" t="str">
        <f ca="1"/>
        <v>TRX1192</v>
      </c>
      <c r="B583" t="str">
        <f ca="1"/>
        <v>#58</v>
      </c>
      <c r="C583">
        <f ca="1"/>
        <v>46058.418055555499</v>
      </c>
      <c r="D583">
        <f ca="1"/>
        <v>272.37</v>
      </c>
      <c r="E583" t="str">
        <f ca="1"/>
        <v>USD</v>
      </c>
      <c r="F583" t="str">
        <f ca="1"/>
        <v>Jose Rosas Ortiz</v>
      </c>
      <c r="G583" t="str">
        <f ca="1"/>
        <v>SQ *LAS VEGAS CONVENTI Las Vegas     USA</v>
      </c>
      <c r="H583" t="str">
        <f ca="1"/>
        <v>Las Vegas Conventi Las Vegas USA</v>
      </c>
      <c r="I583" t="str">
        <f ca="1"/>
        <v>Sales</v>
      </c>
      <c r="J583" t="str">
        <f ca="1"/>
        <v>IMESA</v>
      </c>
      <c r="K583" t="str">
        <f ca="1"/>
        <v>Invoice</v>
      </c>
      <c r="L583" t="str">
        <f ca="1">VLOOKUP(B583,[1]Total!$B:$Q,16,0)</f>
        <v>602.34.002 Gastos por visita tencica</v>
      </c>
      <c r="M583">
        <f t="shared" ca="1" si="19"/>
        <v>272.37</v>
      </c>
      <c r="N583" t="str">
        <f t="shared" ca="1" si="20"/>
        <v xml:space="preserve">Jose Rosas Ortiz SQ *LAS VEGAS CONVENTI Las Vegas     USA Las Vegas Conventi Las Vegas USA Sales IMESA Invoice </v>
      </c>
    </row>
    <row r="584" spans="1:14">
      <c r="A584" t="str">
        <f ca="1"/>
        <v>TRX1190</v>
      </c>
      <c r="B584" t="str">
        <f ca="1"/>
        <v>#58</v>
      </c>
      <c r="C584">
        <f ca="1"/>
        <v>46058.418055555499</v>
      </c>
      <c r="D584">
        <f ca="1"/>
        <v>627.71</v>
      </c>
      <c r="E584" t="str">
        <f ca="1"/>
        <v>USD</v>
      </c>
      <c r="F584" t="str">
        <f ca="1"/>
        <v>Jose Rosas Ortiz</v>
      </c>
      <c r="G584" t="str">
        <f ca="1"/>
        <v>TARGET T-0265          LAS VEGAS     USA</v>
      </c>
      <c r="H584" t="str">
        <f ca="1"/>
        <v>Target</v>
      </c>
      <c r="I584" t="str">
        <f ca="1"/>
        <v>Sales</v>
      </c>
      <c r="J584" t="str">
        <f ca="1"/>
        <v>IMESA</v>
      </c>
      <c r="K584" t="str">
        <f ca="1"/>
        <v>Invoice</v>
      </c>
      <c r="L584" t="str">
        <f ca="1">VLOOKUP(B584,[1]Total!$B:$Q,16,0)</f>
        <v>602.34.002 Gastos por visita tencica</v>
      </c>
      <c r="M584">
        <f t="shared" ca="1" si="19"/>
        <v>627.71</v>
      </c>
      <c r="N584" t="str">
        <f t="shared" ca="1" si="20"/>
        <v xml:space="preserve">Jose Rosas Ortiz TARGET T-0265          LAS VEGAS     USA Target Sales IMESA Invoice </v>
      </c>
    </row>
    <row r="585" spans="1:14">
      <c r="A585" t="str">
        <f ca="1"/>
        <v>TRX1189</v>
      </c>
      <c r="B585" t="str">
        <f ca="1"/>
        <v>#58</v>
      </c>
      <c r="C585">
        <f ca="1"/>
        <v>46058.418055555499</v>
      </c>
      <c r="D585">
        <f ca="1"/>
        <v>95.88</v>
      </c>
      <c r="E585" t="str">
        <f ca="1"/>
        <v>USD</v>
      </c>
      <c r="F585" t="str">
        <f ca="1"/>
        <v>Jose Rosas Ortiz</v>
      </c>
      <c r="G585" t="str">
        <f ca="1"/>
        <v>TARGET T-0265          LAS VEGAS     USA</v>
      </c>
      <c r="H585" t="str">
        <f ca="1"/>
        <v>Target</v>
      </c>
      <c r="I585" t="str">
        <f ca="1"/>
        <v>Sales</v>
      </c>
      <c r="J585" t="str">
        <f ca="1"/>
        <v>IMESA</v>
      </c>
      <c r="K585" t="str">
        <f ca="1"/>
        <v>Invoice</v>
      </c>
      <c r="L585" t="str">
        <f ca="1">VLOOKUP(B585,[1]Total!$B:$Q,16,0)</f>
        <v>602.34.002 Gastos por visita tencica</v>
      </c>
      <c r="M585">
        <f t="shared" ca="1" si="19"/>
        <v>95.88</v>
      </c>
      <c r="N585" t="str">
        <f t="shared" ca="1" si="20"/>
        <v xml:space="preserve">Jose Rosas Ortiz TARGET T-0265          LAS VEGAS     USA Target Sales IMESA Invoice </v>
      </c>
    </row>
    <row r="586" spans="1:14">
      <c r="A586" t="str">
        <f ca="1"/>
        <v>TRX1187</v>
      </c>
      <c r="B586" t="str">
        <f ca="1"/>
        <v>#58</v>
      </c>
      <c r="C586">
        <f ca="1"/>
        <v>46058.418055555499</v>
      </c>
      <c r="D586">
        <f ca="1"/>
        <v>363.15</v>
      </c>
      <c r="E586" t="str">
        <f ca="1"/>
        <v>USD</v>
      </c>
      <c r="F586" t="str">
        <f ca="1"/>
        <v>Jose Rosas Ortiz</v>
      </c>
      <c r="G586" t="str">
        <f ca="1"/>
        <v>VENETIAN RESORT PARKIN LAS VEGAS     USA</v>
      </c>
      <c r="H586" t="str">
        <f ca="1"/>
        <v>Venetian Resort Parkin Las Vegas USA</v>
      </c>
      <c r="I586" t="str">
        <f ca="1"/>
        <v>Sales</v>
      </c>
      <c r="J586" t="str">
        <f ca="1"/>
        <v>IMESA</v>
      </c>
      <c r="K586" t="str">
        <f ca="1"/>
        <v>Invoice</v>
      </c>
      <c r="L586" t="str">
        <f ca="1">VLOOKUP(B586,[1]Total!$B:$Q,16,0)</f>
        <v>602.34.002 Gastos por visita tencica</v>
      </c>
      <c r="M586">
        <f t="shared" ca="1" si="19"/>
        <v>363.15</v>
      </c>
      <c r="N586" t="str">
        <f t="shared" ca="1" si="20"/>
        <v xml:space="preserve">Jose Rosas Ortiz VENETIAN RESORT PARKIN LAS VEGAS     USA Venetian Resort Parkin Las Vegas USA Sales IMESA Invoice </v>
      </c>
    </row>
    <row r="587" spans="1:14">
      <c r="A587" t="str">
        <f ca="1"/>
        <v>TRX1658</v>
      </c>
      <c r="B587" t="str">
        <f ca="1"/>
        <v>#58</v>
      </c>
      <c r="C587">
        <f ca="1"/>
        <v>46059.417361111096</v>
      </c>
      <c r="D587">
        <f ca="1"/>
        <v>1564</v>
      </c>
      <c r="E587" t="str">
        <f ca="1"/>
        <v>MXN</v>
      </c>
      <c r="F587" t="str">
        <f ca="1"/>
        <v>Jose Rosas Ortiz</v>
      </c>
      <c r="G587" t="str">
        <f ca="1"/>
        <v>AICM TI 5              CIUDAD DE MEX MEX</v>
      </c>
      <c r="H587" t="str">
        <f ca="1"/>
        <v>Aicm Ti 5 Ciudad De Mex Mex</v>
      </c>
      <c r="I587" t="str">
        <f ca="1"/>
        <v>Sales</v>
      </c>
      <c r="J587" t="str">
        <f ca="1"/>
        <v>IMESA</v>
      </c>
      <c r="K587" t="str">
        <f ca="1"/>
        <v>Invoice</v>
      </c>
      <c r="L587" t="str">
        <f ca="1">VLOOKUP(B587,[1]Total!$B:$Q,16,0)</f>
        <v>602.34.002 Gastos por visita tencica</v>
      </c>
      <c r="M587">
        <f t="shared" ca="1" si="19"/>
        <v>1564</v>
      </c>
      <c r="N587" t="str">
        <f t="shared" ca="1" si="20"/>
        <v xml:space="preserve">Jose Rosas Ortiz AICM TI 5              CIUDAD DE MEX MEX Aicm Ti 5 Ciudad De Mex Mex Sales IMESA Invoice </v>
      </c>
    </row>
    <row r="588" spans="1:14">
      <c r="A588" t="str">
        <f ca="1"/>
        <v>TRX1495</v>
      </c>
      <c r="B588" t="str">
        <f ca="1"/>
        <v>#58</v>
      </c>
      <c r="C588">
        <f ca="1"/>
        <v>46059.417361111096</v>
      </c>
      <c r="D588">
        <f ca="1"/>
        <v>363.15</v>
      </c>
      <c r="E588" t="str">
        <f ca="1"/>
        <v>USD</v>
      </c>
      <c r="F588" t="str">
        <f ca="1"/>
        <v>Jose Rosas Ortiz</v>
      </c>
      <c r="G588" t="str">
        <f ca="1"/>
        <v>COSMOPOL-SELF PARKIN   LAS VEGAS     USA</v>
      </c>
      <c r="H588" t="str">
        <f ca="1"/>
        <v>Cosmopol Self Parkin Las Vegas USA</v>
      </c>
      <c r="I588" t="str">
        <f ca="1"/>
        <v>Sales</v>
      </c>
      <c r="J588" t="str">
        <f ca="1"/>
        <v>IMESA</v>
      </c>
      <c r="K588" t="str">
        <f ca="1"/>
        <v>Invoice</v>
      </c>
      <c r="L588" t="str">
        <f ca="1">VLOOKUP(B588,[1]Total!$B:$Q,16,0)</f>
        <v>602.34.002 Gastos por visita tencica</v>
      </c>
      <c r="M588">
        <f t="shared" ca="1" si="19"/>
        <v>363.15</v>
      </c>
      <c r="N588" t="str">
        <f t="shared" ca="1" si="20"/>
        <v xml:space="preserve">Jose Rosas Ortiz COSMOPOL-SELF PARKIN   LAS VEGAS     USA Cosmopol Self Parkin Las Vegas USA Sales IMESA Invoice </v>
      </c>
    </row>
    <row r="589" spans="1:14">
      <c r="A589" t="str">
        <f ca="1"/>
        <v>TRX1089</v>
      </c>
      <c r="B589" t="str">
        <f ca="1"/>
        <v>#58</v>
      </c>
      <c r="C589">
        <f ca="1"/>
        <v>46059.417361111096</v>
      </c>
      <c r="D589">
        <f ca="1"/>
        <v>907.88</v>
      </c>
      <c r="E589" t="str">
        <f ca="1"/>
        <v>USD</v>
      </c>
      <c r="F589" t="str">
        <f ca="1"/>
        <v>Jose Rosas Ortiz</v>
      </c>
      <c r="G589" t="str">
        <f ca="1"/>
        <v>SONESTA SIMPLY SUITES  LAS VEGAS     USA</v>
      </c>
      <c r="H589" t="str">
        <f ca="1"/>
        <v>Simply Vegas Real Estate</v>
      </c>
      <c r="I589" t="str">
        <f ca="1"/>
        <v>Sales</v>
      </c>
      <c r="J589" t="str">
        <f ca="1"/>
        <v>IMESA</v>
      </c>
      <c r="K589" t="str">
        <f ca="1"/>
        <v>Invoice</v>
      </c>
      <c r="L589" t="str">
        <f ca="1">VLOOKUP(B589,[1]Total!$B:$Q,16,0)</f>
        <v>602.34.002 Gastos por visita tencica</v>
      </c>
      <c r="M589">
        <f t="shared" ca="1" si="19"/>
        <v>907.88</v>
      </c>
      <c r="N589" t="str">
        <f t="shared" ca="1" si="20"/>
        <v xml:space="preserve">Jose Rosas Ortiz SONESTA SIMPLY SUITES  LAS VEGAS     USA Simply Vegas Real Estate Sales IMESA Invoice </v>
      </c>
    </row>
    <row r="590" spans="1:14">
      <c r="A590" t="str">
        <f ca="1"/>
        <v>TRX1485</v>
      </c>
      <c r="B590" t="str">
        <f ca="1"/>
        <v>#58</v>
      </c>
      <c r="C590">
        <f ca="1"/>
        <v>46059.417361111096</v>
      </c>
      <c r="D590">
        <f ca="1"/>
        <v>490.44</v>
      </c>
      <c r="E590" t="str">
        <f ca="1"/>
        <v>USD</v>
      </c>
      <c r="F590" t="str">
        <f ca="1"/>
        <v>Jose Rosas Ortiz</v>
      </c>
      <c r="G590" t="str">
        <f ca="1"/>
        <v>CHICK-FIL-A #04666     LAS VEGAS     USA</v>
      </c>
      <c r="H590" t="str">
        <f ca="1"/>
        <v>Chick-fil-A</v>
      </c>
      <c r="I590" t="str">
        <f ca="1"/>
        <v>Sales</v>
      </c>
      <c r="J590" t="str">
        <f ca="1"/>
        <v>IMESA</v>
      </c>
      <c r="K590" t="str">
        <f ca="1"/>
        <v>Invoice</v>
      </c>
      <c r="L590" t="str">
        <f ca="1">VLOOKUP(B590,[1]Total!$B:$Q,16,0)</f>
        <v>602.34.002 Gastos por visita tencica</v>
      </c>
      <c r="M590">
        <f t="shared" ca="1" si="19"/>
        <v>490.44</v>
      </c>
      <c r="N590" t="str">
        <f t="shared" ca="1" si="20"/>
        <v xml:space="preserve">Jose Rosas Ortiz CHICK-FIL-A #04666     LAS VEGAS     USA Chick-fil-A Sales IMESA Invoice </v>
      </c>
    </row>
    <row r="591" spans="1:14">
      <c r="A591" t="str">
        <f ca="1"/>
        <v>TRX1661</v>
      </c>
      <c r="B591" t="str">
        <f ca="1"/>
        <v>#58</v>
      </c>
      <c r="C591">
        <f ca="1"/>
        <v>46060.417361111096</v>
      </c>
      <c r="D591">
        <f ca="1"/>
        <v>1615.75</v>
      </c>
      <c r="E591" t="str">
        <f ca="1"/>
        <v>USD</v>
      </c>
      <c r="F591" t="str">
        <f ca="1"/>
        <v>Jose Rosas Ortiz</v>
      </c>
      <c r="G591" t="str">
        <f ca="1"/>
        <v>EVOLVE ST2409          LAS VEGAS     USA</v>
      </c>
      <c r="H591" t="str">
        <f ca="1"/>
        <v>Evolve St2409 Las Vegas USA</v>
      </c>
      <c r="I591" t="str">
        <f ca="1"/>
        <v>Sales</v>
      </c>
      <c r="J591" t="str">
        <f ca="1"/>
        <v>IMESA</v>
      </c>
      <c r="K591" t="str">
        <f ca="1"/>
        <v>Invoice</v>
      </c>
      <c r="L591" t="str">
        <f ca="1">VLOOKUP(B591,[1]Total!$B:$Q,16,0)</f>
        <v>602.34.002 Gastos por visita tencica</v>
      </c>
      <c r="M591">
        <f t="shared" ca="1" si="19"/>
        <v>1615.75</v>
      </c>
      <c r="N591" t="str">
        <f t="shared" ca="1" si="20"/>
        <v xml:space="preserve">Jose Rosas Ortiz EVOLVE ST2409          LAS VEGAS     USA Evolve St2409 Las Vegas USA Sales IMESA Invoice </v>
      </c>
    </row>
    <row r="592" spans="1:14">
      <c r="A592" t="str">
        <f ca="1"/>
        <v>TRX1275</v>
      </c>
      <c r="B592" t="str">
        <f ca="1"/>
        <v>#58</v>
      </c>
      <c r="C592">
        <f ca="1"/>
        <v>46060.417361111096</v>
      </c>
      <c r="D592">
        <f ca="1"/>
        <v>866.55</v>
      </c>
      <c r="E592" t="str">
        <f ca="1"/>
        <v>USD</v>
      </c>
      <c r="F592" t="str">
        <f ca="1"/>
        <v>Jose Rosas Ortiz</v>
      </c>
      <c r="G592" t="str">
        <f ca="1"/>
        <v>20260204T00:00:00/SONESTA SIMPLY SUITES\4034 PARADISE RD\LAS VEGAS    \89169     NV USA</v>
      </c>
      <c r="H592" t="str">
        <f ca="1"/>
        <v>Simply Vegas Real Estate</v>
      </c>
      <c r="I592" t="str">
        <f ca="1"/>
        <v>Sales</v>
      </c>
      <c r="J592" t="str">
        <f ca="1"/>
        <v>IMESA</v>
      </c>
      <c r="K592" t="str">
        <f ca="1"/>
        <v>Invoice</v>
      </c>
      <c r="L592" t="str">
        <f ca="1">VLOOKUP(B592,[1]Total!$B:$Q,16,0)</f>
        <v>602.34.002 Gastos por visita tencica</v>
      </c>
      <c r="M592">
        <f t="shared" ca="1" si="19"/>
        <v>866.55</v>
      </c>
      <c r="N592" t="str">
        <f t="shared" ca="1" si="20"/>
        <v xml:space="preserve">Jose Rosas Ortiz 20260204T00:00:00/SONESTA SIMPLY SUITES\4034 PARADISE RD\LAS VEGAS    \89169     NV USA Simply Vegas Real Estate Sales IMESA Invoice </v>
      </c>
    </row>
    <row r="593" spans="1:14">
      <c r="A593" t="str">
        <f ca="1"/>
        <v>TRX1507</v>
      </c>
      <c r="B593" t="str">
        <f ca="1"/>
        <v>#58</v>
      </c>
      <c r="C593">
        <f ca="1"/>
        <v>46061.417361111096</v>
      </c>
      <c r="D593">
        <f ca="1"/>
        <v>2407.3200000000002</v>
      </c>
      <c r="E593" t="str">
        <f ca="1"/>
        <v>USD</v>
      </c>
      <c r="F593" t="str">
        <f ca="1"/>
        <v>Jose Rosas Ortiz</v>
      </c>
      <c r="G593" t="str">
        <f ca="1"/>
        <v>SMARTSHEET INC.        BELLEVUE      USA</v>
      </c>
      <c r="H593" t="str">
        <f ca="1"/>
        <v>Smartsheet</v>
      </c>
      <c r="I593" t="str">
        <f ca="1"/>
        <v>Sales</v>
      </c>
      <c r="J593" t="str">
        <f ca="1"/>
        <v>IMESA</v>
      </c>
      <c r="K593" t="str">
        <f ca="1"/>
        <v>Invoice</v>
      </c>
      <c r="L593" t="str">
        <f ca="1">VLOOKUP(B593,[1]Total!$B:$Q,16,0)</f>
        <v>602.34.002 Gastos por visita tencica</v>
      </c>
      <c r="M593">
        <f t="shared" ca="1" si="19"/>
        <v>2407.3200000000002</v>
      </c>
      <c r="N593" t="str">
        <f t="shared" ca="1" si="20"/>
        <v xml:space="preserve">Jose Rosas Ortiz SMARTSHEET INC.        BELLEVUE      USA Smartsheet Sales IMESA Invoice </v>
      </c>
    </row>
    <row r="594" spans="1:14">
      <c r="A594" t="str">
        <f ca="1"/>
        <v>TRX1141</v>
      </c>
      <c r="B594" t="str">
        <f ca="1"/>
        <v>#58</v>
      </c>
      <c r="C594">
        <f ca="1"/>
        <v>46062.416666666599</v>
      </c>
      <c r="D594">
        <f ca="1"/>
        <v>2435.67</v>
      </c>
      <c r="E594" t="str">
        <f ca="1"/>
        <v>USD</v>
      </c>
      <c r="F594" t="str">
        <f ca="1"/>
        <v>Jose Rosas Ortiz</v>
      </c>
      <c r="G594" t="str">
        <f ca="1"/>
        <v>SIXT_LV_POS_42299      LAS VEGAS     USA</v>
      </c>
      <c r="H594" t="str">
        <f ca="1"/>
        <v>Sixt</v>
      </c>
      <c r="I594" t="str">
        <f ca="1"/>
        <v>Sales</v>
      </c>
      <c r="J594" t="str">
        <f ca="1"/>
        <v>IMESA</v>
      </c>
      <c r="K594" t="str">
        <f ca="1"/>
        <v>Invoice</v>
      </c>
      <c r="L594" t="str">
        <f ca="1">VLOOKUP(B594,[1]Total!$B:$Q,16,0)</f>
        <v>602.34.002 Gastos por visita tencica</v>
      </c>
      <c r="M594">
        <f t="shared" ca="1" si="19"/>
        <v>2435.67</v>
      </c>
      <c r="N594" t="str">
        <f t="shared" ca="1" si="20"/>
        <v xml:space="preserve">Jose Rosas Ortiz SIXT_LV_POS_42299      LAS VEGAS     USA Sixt Sales IMESA Invoice </v>
      </c>
    </row>
    <row r="595" spans="1:14">
      <c r="A595" t="str">
        <f ca="1"/>
        <v>TRX1824</v>
      </c>
      <c r="B595" t="str">
        <f ca="1"/>
        <v>#58</v>
      </c>
      <c r="C595">
        <f ca="1"/>
        <v>46064.416666666599</v>
      </c>
      <c r="D595">
        <f ca="1"/>
        <v>1283.93</v>
      </c>
      <c r="E595" t="str">
        <f ca="1"/>
        <v>MXN</v>
      </c>
      <c r="F595" t="str">
        <f ca="1"/>
        <v>Jose Rosas Ortiz</v>
      </c>
      <c r="G595" t="str">
        <f ca="1"/>
        <v>GASOL ESTAC MEXIQUEN 2 TOLUCA EM     MEX</v>
      </c>
      <c r="H595" t="str">
        <f ca="1"/>
        <v>Gasol Estac Mexiquen 2 Toluca Em Mex</v>
      </c>
      <c r="I595" t="str">
        <f ca="1"/>
        <v>Sales</v>
      </c>
      <c r="J595" t="str">
        <f ca="1"/>
        <v>IMESA</v>
      </c>
      <c r="K595" t="str">
        <f ca="1"/>
        <v>Invoice</v>
      </c>
      <c r="L595" t="str">
        <f ca="1">VLOOKUP(B595,[1]Total!$B:$Q,16,0)</f>
        <v>602.34.002 Gastos por visita tencica</v>
      </c>
      <c r="M595">
        <f t="shared" ca="1" si="19"/>
        <v>1283.93</v>
      </c>
      <c r="N595" t="str">
        <f t="shared" ca="1" si="20"/>
        <v xml:space="preserve">Jose Rosas Ortiz GASOL ESTAC MEXIQUEN 2 TOLUCA EM     MEX Gasol Estac Mexiquen 2 Toluca Em Mex Sales IMESA Invoice </v>
      </c>
    </row>
    <row r="596" spans="1:14">
      <c r="A596" t="str">
        <f ca="1"/>
        <v>TRX1010</v>
      </c>
      <c r="B596" t="str">
        <f ca="1"/>
        <v>#58</v>
      </c>
      <c r="C596">
        <f ca="1"/>
        <v>46064.416666666599</v>
      </c>
      <c r="D596">
        <f ca="1"/>
        <v>1000</v>
      </c>
      <c r="E596" t="str">
        <f ca="1"/>
        <v>MXN</v>
      </c>
      <c r="F596" t="str">
        <f ca="1"/>
        <v>Jose Rosas Ortiz</v>
      </c>
      <c r="G596" t="str">
        <f ca="1"/>
        <v>RECARGA PASE TUTAG     CIUDAD DE MEX MEX</v>
      </c>
      <c r="H596" t="str">
        <f ca="1"/>
        <v>Recarga Pase Tutag Ciudad De Mex Mex</v>
      </c>
      <c r="I596" t="str">
        <f ca="1"/>
        <v>Sales</v>
      </c>
      <c r="J596" t="str">
        <f ca="1"/>
        <v>IMESA</v>
      </c>
      <c r="K596" t="str">
        <f ca="1"/>
        <v>NA</v>
      </c>
      <c r="L596" t="str">
        <f ca="1">VLOOKUP(B596,[1]Total!$B:$Q,16,0)</f>
        <v>602.34.002 Gastos por visita tencica</v>
      </c>
      <c r="M596">
        <f t="shared" ca="1" si="19"/>
        <v>1000</v>
      </c>
      <c r="N596" t="str">
        <f t="shared" ca="1" si="20"/>
        <v xml:space="preserve">Jose Rosas Ortiz RECARGA PASE TUTAG     CIUDAD DE MEX MEX Recarga Pase Tutag Ciudad De Mex Mex Sales IMESA NA </v>
      </c>
    </row>
    <row r="597" spans="1:14">
      <c r="A597" t="str">
        <f ca="1"/>
        <v>TRX1992</v>
      </c>
      <c r="B597" t="str">
        <f ca="1"/>
        <v>#58</v>
      </c>
      <c r="C597">
        <f ca="1"/>
        <v>46064.417361111096</v>
      </c>
      <c r="D597">
        <f ca="1"/>
        <v>192.5</v>
      </c>
      <c r="E597" t="str">
        <f ca="1"/>
        <v>MXN</v>
      </c>
      <c r="F597" t="str">
        <f ca="1"/>
        <v>Jose Rosas Ortiz</v>
      </c>
      <c r="G597" t="str">
        <f ca="1"/>
        <v>OLI CAFE NT            CIUDAD DE MEX MEX</v>
      </c>
      <c r="H597" t="str">
        <f ca="1"/>
        <v>Oli Cafe Nt Ciudad De Mex Mex</v>
      </c>
      <c r="I597" t="str">
        <f ca="1"/>
        <v>Sales</v>
      </c>
      <c r="J597" t="str">
        <f ca="1"/>
        <v>IMESA</v>
      </c>
      <c r="K597" t="str">
        <f ca="1"/>
        <v>Invoice</v>
      </c>
      <c r="L597" t="str">
        <f ca="1">VLOOKUP(B597,[1]Total!$B:$Q,16,0)</f>
        <v>602.34.002 Gastos por visita tencica</v>
      </c>
      <c r="M597">
        <f t="shared" ca="1" si="19"/>
        <v>192.5</v>
      </c>
      <c r="N597" t="str">
        <f t="shared" ca="1" si="20"/>
        <v xml:space="preserve">Jose Rosas Ortiz OLI CAFE NT            CIUDAD DE MEX MEX Oli Cafe Nt Ciudad De Mex Mex Sales IMESA Invoice </v>
      </c>
    </row>
    <row r="598" spans="1:14">
      <c r="A598" t="str">
        <f ca="1"/>
        <v>TRX1922</v>
      </c>
      <c r="B598" t="str">
        <f ca="1"/>
        <v>#58</v>
      </c>
      <c r="C598">
        <f ca="1"/>
        <v>46065.416666666599</v>
      </c>
      <c r="D598">
        <f ca="1"/>
        <v>213</v>
      </c>
      <c r="E598" t="str">
        <f ca="1"/>
        <v>MXN</v>
      </c>
      <c r="F598" t="str">
        <f ca="1"/>
        <v>Jose Rosas Ortiz</v>
      </c>
      <c r="G598" t="str">
        <f ca="1"/>
        <v>SBX Atizapan           CMX           MEX</v>
      </c>
      <c r="H598" t="str">
        <f ca="1"/>
        <v>Sbx Atizapan Cmx Mex</v>
      </c>
      <c r="I598" t="str">
        <f ca="1"/>
        <v>Transaction cost</v>
      </c>
      <c r="J598" t="str">
        <f ca="1"/>
        <v>IMESA</v>
      </c>
      <c r="K598" t="str">
        <f ca="1"/>
        <v>Invoice</v>
      </c>
      <c r="L598" t="str">
        <f ca="1">VLOOKUP(B598,[1]Total!$B:$Q,16,0)</f>
        <v>602.34.002 Gastos por visita tencica</v>
      </c>
      <c r="M598">
        <f t="shared" ca="1" si="19"/>
        <v>213</v>
      </c>
      <c r="N598" t="str">
        <f t="shared" ca="1" si="20"/>
        <v xml:space="preserve">Jose Rosas Ortiz SBX Atizapan           CMX           MEX Sbx Atizapan Cmx Mex Transaction cost IMESA Invoice </v>
      </c>
    </row>
    <row r="599" spans="1:14">
      <c r="A599" t="str">
        <f ca="1"/>
        <v>TRX1284</v>
      </c>
      <c r="B599" t="str">
        <f ca="1"/>
        <v>#58</v>
      </c>
      <c r="C599">
        <f ca="1"/>
        <v>46067.416666666599</v>
      </c>
      <c r="D599">
        <f ca="1"/>
        <v>402</v>
      </c>
      <c r="E599" t="str">
        <f ca="1"/>
        <v>MXN</v>
      </c>
      <c r="F599" t="str">
        <f ca="1"/>
        <v>Jose Rosas Ortiz</v>
      </c>
      <c r="G599" t="str">
        <f ca="1"/>
        <v>STARBUCKS CARR MEX QRO QUE           MEX</v>
      </c>
      <c r="H599" t="str">
        <f ca="1"/>
        <v>Starbucks</v>
      </c>
      <c r="I599" t="str">
        <f ca="1"/>
        <v>Transaction cost</v>
      </c>
      <c r="J599" t="str">
        <f ca="1"/>
        <v>GAP</v>
      </c>
      <c r="K599" t="str">
        <f ca="1"/>
        <v>SCNBJB 8165</v>
      </c>
      <c r="L599" t="str">
        <f ca="1">VLOOKUP(B599,[1]Total!$B:$Q,16,0)</f>
        <v>602.34.002 Gastos por visita tencica</v>
      </c>
      <c r="M599">
        <f t="shared" ca="1" si="19"/>
        <v>402</v>
      </c>
      <c r="N599" t="str">
        <f t="shared" ca="1" si="20"/>
        <v xml:space="preserve">Jose Rosas Ortiz STARBUCKS CARR MEX QRO QUE           MEX Starbucks Transaction cost GAP SCNBJB 8165 </v>
      </c>
    </row>
    <row r="600" spans="1:14">
      <c r="A600" t="str">
        <f ca="1"/>
        <v>TRX1065</v>
      </c>
      <c r="B600" t="str">
        <f ca="1"/>
        <v>#58</v>
      </c>
      <c r="C600">
        <f ca="1"/>
        <v>46067.416666666599</v>
      </c>
      <c r="D600">
        <f ca="1"/>
        <v>1200</v>
      </c>
      <c r="E600" t="str">
        <f ca="1"/>
        <v>MXN</v>
      </c>
      <c r="F600" t="str">
        <f ca="1"/>
        <v>Jose Rosas Ortiz</v>
      </c>
      <c r="G600" t="str">
        <f ca="1"/>
        <v>RECARGA PASE TUTAG     CIUDAD DE MEX MEX</v>
      </c>
      <c r="H600" t="str">
        <f ca="1"/>
        <v>Recarga Pase Tutag Ciudad De Mex Mex</v>
      </c>
      <c r="I600" t="str">
        <f ca="1"/>
        <v>Transaction cost</v>
      </c>
      <c r="J600" t="str">
        <f ca="1"/>
        <v>GAP</v>
      </c>
      <c r="K600" t="str">
        <f ca="1"/>
        <v>SCTST 72509</v>
      </c>
      <c r="L600" t="str">
        <f ca="1">VLOOKUP(B600,[1]Total!$B:$Q,16,0)</f>
        <v>602.34.002 Gastos por visita tencica</v>
      </c>
      <c r="M600">
        <f t="shared" ca="1" si="19"/>
        <v>1200</v>
      </c>
      <c r="N600" t="str">
        <f t="shared" ca="1" si="20"/>
        <v xml:space="preserve">Jose Rosas Ortiz RECARGA PASE TUTAG     CIUDAD DE MEX MEX Recarga Pase Tutag Ciudad De Mex Mex Transaction cost GAP SCTST 72509 </v>
      </c>
    </row>
    <row r="601" spans="1:14">
      <c r="A601" t="str">
        <f ca="1"/>
        <v>TRX1530</v>
      </c>
      <c r="B601" t="str">
        <f ca="1"/>
        <v>#58</v>
      </c>
      <c r="C601">
        <f ca="1"/>
        <v>46067.417361111096</v>
      </c>
      <c r="D601">
        <f ca="1"/>
        <v>1130.05</v>
      </c>
      <c r="E601" t="str">
        <f ca="1"/>
        <v>MXN</v>
      </c>
      <c r="F601" t="str">
        <f ca="1"/>
        <v>Jose Rosas Ortiz</v>
      </c>
      <c r="G601" t="str">
        <f ca="1"/>
        <v>GASOL PARADOR MEX      HUEHUETOCA EM MEX</v>
      </c>
      <c r="H601" t="str">
        <f ca="1"/>
        <v>Gasol Parador Mex Huehuetoca Em Mex</v>
      </c>
      <c r="I601" t="str">
        <f ca="1"/>
        <v>Transaction cost</v>
      </c>
      <c r="J601" t="str">
        <f ca="1"/>
        <v>GAP</v>
      </c>
      <c r="K601" t="str">
        <f ca="1"/>
        <v>Y 204856</v>
      </c>
      <c r="L601" t="str">
        <f ca="1">VLOOKUP(B601,[1]Total!$B:$Q,16,0)</f>
        <v>602.34.002 Gastos por visita tencica</v>
      </c>
      <c r="M601">
        <f t="shared" ca="1" si="19"/>
        <v>1130.05</v>
      </c>
      <c r="N601" t="str">
        <f t="shared" ca="1" si="20"/>
        <v xml:space="preserve">Jose Rosas Ortiz GASOL PARADOR MEX      HUEHUETOCA EM MEX Gasol Parador Mex Huehuetoca Em Mex Transaction cost GAP Y 204856 </v>
      </c>
    </row>
    <row r="602" spans="1:14">
      <c r="A602" t="str">
        <f ca="1"/>
        <v>TRX1803</v>
      </c>
      <c r="B602" t="str">
        <f ca="1"/>
        <v>#58</v>
      </c>
      <c r="C602">
        <f ca="1"/>
        <v>46069.416666666599</v>
      </c>
      <c r="D602">
        <f ca="1"/>
        <v>47</v>
      </c>
      <c r="E602" t="str">
        <f ca="1"/>
        <v>MXN</v>
      </c>
      <c r="F602" t="str">
        <f ca="1"/>
        <v>Jose Rosas Ortiz</v>
      </c>
      <c r="G602" t="str">
        <f ca="1"/>
        <v>PARCO                  ZAPOPAN JAL   MEX</v>
      </c>
      <c r="H602" t="str">
        <f ca="1"/>
        <v>Parco Zapopan Jal Mex</v>
      </c>
      <c r="I602" t="str">
        <f ca="1"/>
        <v>Transaction cost</v>
      </c>
      <c r="J602" t="str">
        <f ca="1"/>
        <v>VEOLIA - EDI MK5</v>
      </c>
      <c r="K602">
        <f ca="1"/>
        <v>603513</v>
      </c>
      <c r="L602" t="str">
        <f ca="1">VLOOKUP(B602,[1]Total!$B:$Q,16,0)</f>
        <v>602.34.002 Gastos por visita tencica</v>
      </c>
      <c r="M602">
        <f t="shared" ca="1" si="19"/>
        <v>47</v>
      </c>
      <c r="N602" t="str">
        <f t="shared" ca="1" si="20"/>
        <v xml:space="preserve">Jose Rosas Ortiz PARCO                  ZAPOPAN JAL   MEX Parco Zapopan Jal Mex Transaction cost VEOLIA - EDI MK5 603513 </v>
      </c>
    </row>
    <row r="603" spans="1:14">
      <c r="A603" t="str">
        <f ca="1"/>
        <v>TRX1211</v>
      </c>
      <c r="B603" t="str">
        <f ca="1"/>
        <v>#58</v>
      </c>
      <c r="C603">
        <f ca="1"/>
        <v>46072.416666666599</v>
      </c>
      <c r="D603">
        <f ca="1"/>
        <v>1000</v>
      </c>
      <c r="E603" t="str">
        <f ca="1"/>
        <v>MXN</v>
      </c>
      <c r="F603" t="str">
        <f ca="1"/>
        <v>Jose Rosas Ortiz</v>
      </c>
      <c r="G603" t="str">
        <f ca="1"/>
        <v>RECARGA PASE TUTAG     CIUDAD DE MEX MEX</v>
      </c>
      <c r="H603" t="str">
        <f ca="1"/>
        <v>Recarga Pase Tutag Ciudad De Mex Mex</v>
      </c>
      <c r="I603" t="str">
        <f ca="1"/>
        <v>Transaction cost</v>
      </c>
      <c r="J603" t="str">
        <f ca="1"/>
        <v>VEOLIA - EDI MK5</v>
      </c>
      <c r="K603" t="str">
        <f ca="1"/>
        <v>NA</v>
      </c>
      <c r="L603" t="str">
        <f ca="1">VLOOKUP(B603,[1]Total!$B:$Q,16,0)</f>
        <v>602.34.002 Gastos por visita tencica</v>
      </c>
      <c r="M603">
        <f t="shared" ca="1" si="19"/>
        <v>1000</v>
      </c>
      <c r="N603" t="str">
        <f t="shared" ca="1" si="20"/>
        <v xml:space="preserve">Jose Rosas Ortiz RECARGA PASE TUTAG     CIUDAD DE MEX MEX Recarga Pase Tutag Ciudad De Mex Mex Transaction cost VEOLIA - EDI MK5 NA </v>
      </c>
    </row>
    <row r="604" spans="1:14">
      <c r="A604" t="str">
        <f ca="1"/>
        <v>TRX1587</v>
      </c>
      <c r="B604" t="str">
        <f ca="1"/>
        <v>#58</v>
      </c>
      <c r="C604">
        <f ca="1"/>
        <v>46072.416666666599</v>
      </c>
      <c r="D604">
        <f ca="1"/>
        <v>99.5</v>
      </c>
      <c r="E604" t="str">
        <f ca="1"/>
        <v>MXN</v>
      </c>
      <c r="F604" t="str">
        <f ca="1"/>
        <v>Jose Rosas Ortiz</v>
      </c>
      <c r="G604" t="str">
        <f ca="1"/>
        <v>OXXORELOJ MEX          HUIXQUILUCAN  MEX</v>
      </c>
      <c r="H604" t="str">
        <f ca="1"/>
        <v>Oxxoreloj Mex Huixquilucan Mex</v>
      </c>
      <c r="I604" t="str">
        <f ca="1"/>
        <v>Transaction cost</v>
      </c>
      <c r="J604" t="str">
        <f ca="1"/>
        <v>VEOLIA - UF/CEB</v>
      </c>
      <c r="K604" t="str">
        <f ca="1"/>
        <v>7515699260225052101625</v>
      </c>
      <c r="L604" t="str">
        <f ca="1">VLOOKUP(B604,[1]Total!$B:$Q,16,0)</f>
        <v>602.34.002 Gastos por visita tencica</v>
      </c>
      <c r="M604">
        <f t="shared" ca="1" si="19"/>
        <v>99.5</v>
      </c>
      <c r="N604" t="str">
        <f t="shared" ca="1" si="20"/>
        <v xml:space="preserve">Jose Rosas Ortiz OXXORELOJ MEX          HUIXQUILUCAN  MEX Oxxoreloj Mex Huixquilucan Mex Transaction cost VEOLIA - UF/CEB 7515699260225052101625 </v>
      </c>
    </row>
    <row r="605" spans="1:14">
      <c r="A605" t="str">
        <f ca="1"/>
        <v>TRX1750</v>
      </c>
      <c r="B605" t="str">
        <f ca="1"/>
        <v>#58</v>
      </c>
      <c r="C605">
        <f ca="1"/>
        <v>46072.417361111096</v>
      </c>
      <c r="D605">
        <f ca="1"/>
        <v>151</v>
      </c>
      <c r="E605" t="str">
        <f ca="1"/>
        <v>MXN</v>
      </c>
      <c r="F605" t="str">
        <f ca="1"/>
        <v>Jose Rosas Ortiz</v>
      </c>
      <c r="G605" t="str">
        <f ca="1"/>
        <v>SUBWAY INTERLOMAS      HUIXQUILUCAN  MEX</v>
      </c>
      <c r="H605" t="str">
        <f ca="1"/>
        <v>Subway</v>
      </c>
      <c r="I605" t="str">
        <f ca="1"/>
        <v>Transaction cost</v>
      </c>
      <c r="J605" t="str">
        <f ca="1"/>
        <v>VEOLIA - UF/CEB</v>
      </c>
      <c r="K605" t="str">
        <f ca="1"/>
        <v>BCLOMAS-2588</v>
      </c>
      <c r="L605" t="str">
        <f ca="1">VLOOKUP(B605,[1]Total!$B:$Q,16,0)</f>
        <v>602.34.002 Gastos por visita tencica</v>
      </c>
      <c r="M605">
        <f t="shared" ca="1" si="19"/>
        <v>151</v>
      </c>
      <c r="N605" t="str">
        <f t="shared" ca="1" si="20"/>
        <v xml:space="preserve">Jose Rosas Ortiz SUBWAY INTERLOMAS      HUIXQUILUCAN  MEX Subway Transaction cost VEOLIA - UF/CEB BCLOMAS-2588 </v>
      </c>
    </row>
    <row r="606" spans="1:14">
      <c r="A606" t="str">
        <f ca="1"/>
        <v>TRX1921</v>
      </c>
      <c r="B606" t="str">
        <f ca="1"/>
        <v>#58</v>
      </c>
      <c r="C606">
        <f ca="1"/>
        <v>46072.417361111096</v>
      </c>
      <c r="D606">
        <f ca="1"/>
        <v>143.5</v>
      </c>
      <c r="E606" t="str">
        <f ca="1"/>
        <v>MXN</v>
      </c>
      <c r="F606" t="str">
        <f ca="1"/>
        <v>Jose Rosas Ortiz</v>
      </c>
      <c r="G606" t="str">
        <f ca="1"/>
        <v>OXXOSAN ANTONIO 17 MEX CUAUTITLAN EM MEX</v>
      </c>
      <c r="H606" t="str">
        <f ca="1"/>
        <v>Oxxosan Antonio 17 Mex Cuautitlan Em Mex</v>
      </c>
      <c r="I606" t="str">
        <f ca="1"/>
        <v>Transaction cost</v>
      </c>
      <c r="J606" t="str">
        <f ca="1"/>
        <v>VEOLIA Baseframes</v>
      </c>
      <c r="K606" t="str">
        <f ca="1"/>
        <v>101042227042402269</v>
      </c>
      <c r="L606" t="str">
        <f ca="1">VLOOKUP(B606,[1]Total!$B:$Q,16,0)</f>
        <v>602.34.002 Gastos por visita tencica</v>
      </c>
      <c r="M606">
        <f t="shared" ca="1" si="19"/>
        <v>143.5</v>
      </c>
      <c r="N606" t="str">
        <f t="shared" ca="1" si="20"/>
        <v xml:space="preserve">Jose Rosas Ortiz OXXOSAN ANTONIO 17 MEX CUAUTITLAN EM MEX Oxxosan Antonio 17 Mex Cuautitlan Em Mex Transaction cost VEOLIA Baseframes 101042227042402269 </v>
      </c>
    </row>
    <row r="607" spans="1:14">
      <c r="A607" t="str">
        <f ca="1"/>
        <v>TRX1612</v>
      </c>
      <c r="B607" t="str">
        <f ca="1"/>
        <v>#58</v>
      </c>
      <c r="C607">
        <f ca="1"/>
        <v>46074.416666666599</v>
      </c>
      <c r="D607">
        <f ca="1"/>
        <v>115</v>
      </c>
      <c r="E607" t="str">
        <f ca="1"/>
        <v>MXN</v>
      </c>
      <c r="F607" t="str">
        <f ca="1"/>
        <v>Jose Rosas Ortiz</v>
      </c>
      <c r="G607" t="str">
        <f ca="1"/>
        <v>ABTS G112 VEVEGA       HUIXQUILUCAN  MEX</v>
      </c>
      <c r="H607" t="str">
        <f ca="1"/>
        <v>Abts G112 Vevega Huixquilucan Mex</v>
      </c>
      <c r="I607" t="str">
        <f ca="1"/>
        <v>Transaction cost</v>
      </c>
      <c r="J607" t="str">
        <f ca="1"/>
        <v>VEOLIA Baseframes</v>
      </c>
      <c r="K607" t="str">
        <f ca="1"/>
        <v>PFCCTOAAAI 43713</v>
      </c>
      <c r="L607" t="str">
        <f ca="1">VLOOKUP(B607,[1]Total!$B:$Q,16,0)</f>
        <v>602.34.002 Gastos por visita tencica</v>
      </c>
      <c r="M607">
        <f t="shared" ca="1" si="19"/>
        <v>115</v>
      </c>
      <c r="N607" t="str">
        <f t="shared" ca="1" si="20"/>
        <v xml:space="preserve">Jose Rosas Ortiz ABTS G112 VEVEGA       HUIXQUILUCAN  MEX Abts G112 Vevega Huixquilucan Mex Transaction cost VEOLIA Baseframes PFCCTOAAAI 43713 </v>
      </c>
    </row>
    <row r="608" spans="1:14">
      <c r="A608" t="str">
        <f ca="1"/>
        <v>TRX1037</v>
      </c>
      <c r="B608" t="str">
        <f ca="1"/>
        <v>#58</v>
      </c>
      <c r="C608">
        <f ca="1"/>
        <v>46074.417361111096</v>
      </c>
      <c r="D608">
        <f ca="1"/>
        <v>199</v>
      </c>
      <c r="E608" t="str">
        <f ca="1"/>
        <v>MXN</v>
      </c>
      <c r="F608" t="str">
        <f ca="1"/>
        <v>Jose Rosas Ortiz</v>
      </c>
      <c r="G608" t="str">
        <f ca="1"/>
        <v>SUBWAY VEVEGA          HUIXQUILUCAN  MEX</v>
      </c>
      <c r="H608" t="str">
        <f ca="1"/>
        <v>Subway</v>
      </c>
      <c r="I608" t="str">
        <f ca="1"/>
        <v>Transaction cost</v>
      </c>
      <c r="J608" t="str">
        <f ca="1"/>
        <v>VEOLIA Baseframes</v>
      </c>
      <c r="K608" t="str">
        <f ca="1"/>
        <v>BFVG-4613</v>
      </c>
      <c r="L608" t="str">
        <f ca="1">VLOOKUP(B608,[1]Total!$B:$Q,16,0)</f>
        <v>602.34.002 Gastos por visita tencica</v>
      </c>
      <c r="M608">
        <f t="shared" ca="1" si="19"/>
        <v>199</v>
      </c>
      <c r="N608" t="str">
        <f t="shared" ca="1" si="20"/>
        <v xml:space="preserve">Jose Rosas Ortiz SUBWAY VEVEGA          HUIXQUILUCAN  MEX Subway Transaction cost VEOLIA Baseframes BFVG-4613 </v>
      </c>
    </row>
    <row r="609" spans="1:14">
      <c r="A609" t="str">
        <f ca="1"/>
        <v>TRX1047</v>
      </c>
      <c r="B609" t="str">
        <f ca="1"/>
        <v>#58</v>
      </c>
      <c r="C609">
        <f ca="1"/>
        <v>46075.416666666599</v>
      </c>
      <c r="D609">
        <f ca="1"/>
        <v>844.85</v>
      </c>
      <c r="E609" t="str">
        <f ca="1"/>
        <v>MXN</v>
      </c>
      <c r="F609" t="str">
        <f ca="1"/>
        <v>Jose Rosas Ortiz</v>
      </c>
      <c r="G609" t="str">
        <f ca="1"/>
        <v>SUPER SERVICIO CARRETE CIUDAD DE MEX MEX</v>
      </c>
      <c r="H609" t="str">
        <f ca="1"/>
        <v>Super Mex</v>
      </c>
      <c r="I609" t="str">
        <f ca="1"/>
        <v>Transaction cost</v>
      </c>
      <c r="J609" t="str">
        <f ca="1"/>
        <v>VEOLIA Baseframes</v>
      </c>
      <c r="K609" t="str">
        <f ca="1"/>
        <v>: 0000030461</v>
      </c>
      <c r="L609" t="str">
        <f ca="1">VLOOKUP(B609,[1]Total!$B:$Q,16,0)</f>
        <v>602.34.002 Gastos por visita tencica</v>
      </c>
      <c r="M609">
        <f t="shared" ca="1" si="19"/>
        <v>844.85</v>
      </c>
      <c r="N609" t="str">
        <f t="shared" ca="1" si="20"/>
        <v xml:space="preserve">Jose Rosas Ortiz SUPER SERVICIO CARRETE CIUDAD DE MEX MEX Super Mex Transaction cost VEOLIA Baseframes : 0000030461 </v>
      </c>
    </row>
    <row r="610" spans="1:14">
      <c r="A610" t="str">
        <f ca="1"/>
        <v>TRX1070</v>
      </c>
      <c r="B610" t="str">
        <f ca="1"/>
        <v>#58</v>
      </c>
      <c r="C610">
        <f ca="1"/>
        <v>46075.416666666599</v>
      </c>
      <c r="D610">
        <f ca="1"/>
        <v>67</v>
      </c>
      <c r="E610" t="str">
        <f ca="1"/>
        <v>MXN</v>
      </c>
      <c r="F610" t="str">
        <f ca="1"/>
        <v>Jose Rosas Ortiz</v>
      </c>
      <c r="G610" t="str">
        <f ca="1"/>
        <v>PARCO                  ZAPOPAN JAL   MEX</v>
      </c>
      <c r="H610" t="str">
        <f ca="1"/>
        <v>Parco Zapopan Jal Mex</v>
      </c>
      <c r="I610" t="str">
        <f ca="1"/>
        <v>Transaction cost</v>
      </c>
      <c r="J610" t="str">
        <f ca="1"/>
        <v>VEOLIA - UF/CEB</v>
      </c>
      <c r="K610">
        <f ca="1"/>
        <v>452105</v>
      </c>
      <c r="L610" t="str">
        <f ca="1">VLOOKUP(B610,[1]Total!$B:$Q,16,0)</f>
        <v>602.34.002 Gastos por visita tencica</v>
      </c>
      <c r="M610">
        <f t="shared" ca="1" si="19"/>
        <v>67</v>
      </c>
      <c r="N610" t="str">
        <f t="shared" ca="1" si="20"/>
        <v xml:space="preserve">Jose Rosas Ortiz PARCO                  ZAPOPAN JAL   MEX Parco Zapopan Jal Mex Transaction cost VEOLIA - UF/CEB 452105 </v>
      </c>
    </row>
    <row r="611" spans="1:14">
      <c r="A611" t="str">
        <f ca="1"/>
        <v>TRX1072</v>
      </c>
      <c r="B611" t="str">
        <f ca="1"/>
        <v>#58</v>
      </c>
      <c r="C611">
        <f ca="1"/>
        <v>46075.416666666599</v>
      </c>
      <c r="D611">
        <f ca="1"/>
        <v>190</v>
      </c>
      <c r="E611" t="str">
        <f ca="1"/>
        <v>MXN</v>
      </c>
      <c r="F611" t="str">
        <f ca="1"/>
        <v>Jose Rosas Ortiz</v>
      </c>
      <c r="G611" t="str">
        <f ca="1"/>
        <v>CARL S JR TOWN         METEPEC EM    MEX</v>
      </c>
      <c r="H611" t="str">
        <f ca="1"/>
        <v>Carls Jr.</v>
      </c>
      <c r="I611" t="str">
        <f ca="1"/>
        <v>Transaction cost</v>
      </c>
      <c r="J611" t="str">
        <f ca="1"/>
        <v>VEOLIA - UF/CEB</v>
      </c>
      <c r="K611" t="str">
        <f ca="1"/>
        <v>NA</v>
      </c>
      <c r="L611" t="str">
        <f ca="1">VLOOKUP(B611,[1]Total!$B:$Q,16,0)</f>
        <v>602.34.002 Gastos por visita tencica</v>
      </c>
      <c r="M611">
        <f t="shared" ca="1" si="19"/>
        <v>190</v>
      </c>
      <c r="N611" t="str">
        <f t="shared" ca="1" si="20"/>
        <v xml:space="preserve">Jose Rosas Ortiz CARL S JR TOWN         METEPEC EM    MEX Carls Jr. Transaction cost VEOLIA - UF/CEB NA </v>
      </c>
    </row>
    <row r="612" spans="1:14">
      <c r="A612" t="str">
        <f ca="1"/>
        <v>TRX1095</v>
      </c>
      <c r="B612" t="str">
        <f ca="1"/>
        <v>#58</v>
      </c>
      <c r="C612">
        <f ca="1"/>
        <v>46076.416666666599</v>
      </c>
      <c r="D612">
        <f ca="1"/>
        <v>429.9</v>
      </c>
      <c r="E612" t="str">
        <f ca="1"/>
        <v>MXN</v>
      </c>
      <c r="F612" t="str">
        <f ca="1"/>
        <v>Jose Rosas Ortiz</v>
      </c>
      <c r="G612" t="str">
        <f ca="1"/>
        <v>DLO*UBER RIDES         CIUDAD DE MEX MEX</v>
      </c>
      <c r="H612" t="str">
        <f ca="1"/>
        <v>Uber</v>
      </c>
      <c r="I612" t="str">
        <f ca="1"/>
        <v>Transaction cost</v>
      </c>
      <c r="J612" t="str">
        <f ca="1"/>
        <v>VEOLIA - UF/CEB</v>
      </c>
      <c r="K612" t="str">
        <f ca="1"/>
        <v>00001000000718655275</v>
      </c>
      <c r="L612" t="str">
        <f ca="1">VLOOKUP(B612,[1]Total!$B:$Q,16,0)</f>
        <v>602.34.002 Gastos por visita tencica</v>
      </c>
      <c r="M612">
        <f t="shared" ca="1" si="19"/>
        <v>429.9</v>
      </c>
      <c r="N612" t="str">
        <f t="shared" ca="1" si="20"/>
        <v xml:space="preserve">Jose Rosas Ortiz DLO*UBER RIDES         CIUDAD DE MEX MEX Uber Transaction cost VEOLIA - UF/CEB 00001000000718655275 </v>
      </c>
    </row>
    <row r="613" spans="1:14">
      <c r="A613" t="str">
        <f ca="1"/>
        <v>TRX1177</v>
      </c>
      <c r="B613" t="str">
        <f ca="1"/>
        <v>#58</v>
      </c>
      <c r="C613">
        <f ca="1"/>
        <v>46079.416666666599</v>
      </c>
      <c r="D613">
        <f ca="1"/>
        <v>1195.42</v>
      </c>
      <c r="E613" t="str">
        <f ca="1"/>
        <v>MXN</v>
      </c>
      <c r="F613" t="str">
        <f ca="1"/>
        <v>Jose Rosas Ortiz</v>
      </c>
      <c r="G613" t="str">
        <f ca="1"/>
        <v>GASOL VEVEGA           HUIXQUILUCAN  MEX</v>
      </c>
      <c r="H613" t="str">
        <f ca="1"/>
        <v>Gasol Vevega Huixquilucan Mex</v>
      </c>
      <c r="I613" t="str">
        <f ca="1"/>
        <v>Transaction cost</v>
      </c>
      <c r="J613" t="str">
        <f ca="1"/>
        <v>VEOLIA - UF/CEB</v>
      </c>
      <c r="K613" t="str">
        <f ca="1"/>
        <v>BBA 535846</v>
      </c>
      <c r="L613" t="str">
        <f ca="1">VLOOKUP(B613,[1]Total!$B:$Q,16,0)</f>
        <v>602.34.002 Gastos por visita tencica</v>
      </c>
      <c r="M613">
        <f t="shared" ca="1" si="19"/>
        <v>1195.42</v>
      </c>
      <c r="N613" t="str">
        <f t="shared" ca="1" si="20"/>
        <v xml:space="preserve">Jose Rosas Ortiz GASOL VEVEGA           HUIXQUILUCAN  MEX Gasol Vevega Huixquilucan Mex Transaction cost VEOLIA - UF/CEB BBA 535846 </v>
      </c>
    </row>
    <row r="614" spans="1:14">
      <c r="A614" t="str">
        <f ca="1"/>
        <v>TRX1203</v>
      </c>
      <c r="B614" t="str">
        <f ca="1"/>
        <v>#58</v>
      </c>
      <c r="C614">
        <f ca="1"/>
        <v>46079.416666666599</v>
      </c>
      <c r="D614">
        <f ca="1"/>
        <v>93.5</v>
      </c>
      <c r="E614" t="str">
        <f ca="1"/>
        <v>MXN</v>
      </c>
      <c r="F614" t="str">
        <f ca="1"/>
        <v>Jose Rosas Ortiz</v>
      </c>
      <c r="G614" t="str">
        <f ca="1"/>
        <v>OXXORELOJ MEX          HUIXQUILUCAN  MEX</v>
      </c>
      <c r="H614" t="str">
        <f ca="1"/>
        <v>Oxxoreloj Mex Huixquilucan Mex</v>
      </c>
      <c r="I614" t="str">
        <f ca="1"/>
        <v>Transaction cost</v>
      </c>
      <c r="J614" t="str">
        <f ca="1"/>
        <v>VEOLIA - UF/CEB</v>
      </c>
      <c r="K614" t="str">
        <f ca="1"/>
        <v>7536431260301050237191</v>
      </c>
      <c r="L614" t="str">
        <f ca="1">VLOOKUP(B614,[1]Total!$B:$Q,16,0)</f>
        <v>602.34.002 Gastos por visita tencica</v>
      </c>
      <c r="M614">
        <f t="shared" ca="1" si="19"/>
        <v>93.5</v>
      </c>
      <c r="N614" t="str">
        <f t="shared" ca="1" si="20"/>
        <v xml:space="preserve">Jose Rosas Ortiz OXXORELOJ MEX          HUIXQUILUCAN  MEX Oxxoreloj Mex Huixquilucan Mex Transaction cost VEOLIA - UF/CEB 7536431260301050237191 </v>
      </c>
    </row>
    <row r="615" spans="1:14">
      <c r="A615" t="str">
        <f ca="1"/>
        <v>TRX1233</v>
      </c>
      <c r="B615" t="str">
        <f ca="1"/>
        <v>#58</v>
      </c>
      <c r="C615">
        <f ca="1"/>
        <v>46080.416666666599</v>
      </c>
      <c r="D615">
        <f ca="1"/>
        <v>137.05000000000001</v>
      </c>
      <c r="E615" t="str">
        <f ca="1"/>
        <v>MXN</v>
      </c>
      <c r="F615" t="str">
        <f ca="1"/>
        <v>Jose Rosas Ortiz</v>
      </c>
      <c r="G615" t="str">
        <f ca="1"/>
        <v>COSTCO ATIZAPAN        ATIZAPAN DE Z MEX</v>
      </c>
      <c r="H615" t="str">
        <f ca="1"/>
        <v>Costco</v>
      </c>
      <c r="I615" t="str">
        <f ca="1"/>
        <v>Transaction cost</v>
      </c>
      <c r="J615" t="str">
        <f ca="1"/>
        <v>VEOLIA - UF/CEB</v>
      </c>
      <c r="K615" t="str">
        <f ca="1"/>
        <v>00001000000718655275</v>
      </c>
      <c r="L615" t="str">
        <f ca="1">VLOOKUP(B615,[1]Total!$B:$Q,16,0)</f>
        <v>602.34.002 Gastos por visita tencica</v>
      </c>
      <c r="M615">
        <f t="shared" ca="1" si="19"/>
        <v>137.05000000000001</v>
      </c>
      <c r="N615" t="str">
        <f t="shared" ca="1" si="20"/>
        <v xml:space="preserve">Jose Rosas Ortiz COSTCO ATIZAPAN        ATIZAPAN DE Z MEX Costco Transaction cost VEOLIA - UF/CEB 00001000000718655275 </v>
      </c>
    </row>
    <row r="616" spans="1:14">
      <c r="A616" t="str">
        <f ca="1"/>
        <v>TRX1239</v>
      </c>
      <c r="B616" t="str">
        <f ca="1"/>
        <v>#58</v>
      </c>
      <c r="C616">
        <f ca="1"/>
        <v>46080.417361111096</v>
      </c>
      <c r="D616">
        <f ca="1"/>
        <v>231</v>
      </c>
      <c r="E616" t="str">
        <f ca="1"/>
        <v>MXN</v>
      </c>
      <c r="F616" t="str">
        <f ca="1"/>
        <v>Jose Rosas Ortiz</v>
      </c>
      <c r="G616" t="str">
        <f ca="1"/>
        <v>OLI CAFE NT            CIUDAD DE MEX MEX</v>
      </c>
      <c r="H616" t="str">
        <f ca="1"/>
        <v>Oli Cafe Nt Ciudad De Mex Mex</v>
      </c>
      <c r="I616" t="str">
        <f ca="1"/>
        <v>Sales</v>
      </c>
      <c r="J616" t="str">
        <f ca="1"/>
        <v>IMESA</v>
      </c>
      <c r="K616" t="str">
        <f ca="1"/>
        <v>Invoice</v>
      </c>
      <c r="L616" t="str">
        <f ca="1">VLOOKUP(B616,[1]Total!$B:$Q,16,0)</f>
        <v>602.34.002 Gastos por visita tencica</v>
      </c>
      <c r="M616">
        <f t="shared" ca="1" si="19"/>
        <v>231</v>
      </c>
      <c r="N616" t="str">
        <f t="shared" ca="1" si="20"/>
        <v xml:space="preserve">Jose Rosas Ortiz OLI CAFE NT            CIUDAD DE MEX MEX Oli Cafe Nt Ciudad De Mex Mex Sales IMESA Invoice </v>
      </c>
    </row>
    <row r="617" spans="1:14">
      <c r="A617" t="str">
        <f ca="1"/>
        <v>TRX1260</v>
      </c>
      <c r="B617" t="str">
        <f ca="1"/>
        <v>#58</v>
      </c>
      <c r="C617">
        <f ca="1"/>
        <v>46081.416666666599</v>
      </c>
      <c r="D617">
        <f ca="1"/>
        <v>800</v>
      </c>
      <c r="E617" t="str">
        <f ca="1"/>
        <v>MXN</v>
      </c>
      <c r="F617" t="str">
        <f ca="1"/>
        <v>Jose Rosas Ortiz</v>
      </c>
      <c r="G617" t="str">
        <f ca="1"/>
        <v>RECARGA PASE TUTAG     CIUDAD DE MEX MEX</v>
      </c>
      <c r="H617" t="str">
        <f ca="1"/>
        <v>Recarga Pase Tutag Ciudad De Mex Mex</v>
      </c>
      <c r="I617" t="str">
        <f ca="1"/>
        <v>Transaction cost</v>
      </c>
      <c r="J617" t="str">
        <f ca="1"/>
        <v>IMESA</v>
      </c>
      <c r="K617" t="str">
        <f ca="1"/>
        <v>NA</v>
      </c>
      <c r="L617" t="str">
        <f ca="1">VLOOKUP(B617,[1]Total!$B:$Q,16,0)</f>
        <v>602.34.002 Gastos por visita tencica</v>
      </c>
      <c r="M617">
        <f t="shared" ca="1" si="19"/>
        <v>800</v>
      </c>
      <c r="N617" t="str">
        <f t="shared" ca="1" si="20"/>
        <v xml:space="preserve">Jose Rosas Ortiz RECARGA PASE TUTAG     CIUDAD DE MEX MEX Recarga Pase Tutag Ciudad De Mex Mex Transaction cost IMESA NA </v>
      </c>
    </row>
    <row r="618" spans="1:14">
      <c r="A618" t="str">
        <f ca="1"/>
        <v>TRX1283</v>
      </c>
      <c r="B618" t="str">
        <f ca="1"/>
        <v>#58</v>
      </c>
      <c r="C618">
        <f ca="1"/>
        <v>46081.417361111096</v>
      </c>
      <c r="D618">
        <f ca="1"/>
        <v>196</v>
      </c>
      <c r="E618" t="str">
        <f ca="1"/>
        <v>MXN</v>
      </c>
      <c r="F618" t="str">
        <f ca="1"/>
        <v>Jose Rosas Ortiz</v>
      </c>
      <c r="G618" t="str">
        <f ca="1"/>
        <v>OXXO CIENTIFICOS MEX   NAUCALPAN DE  MEX</v>
      </c>
      <c r="H618" t="str">
        <f ca="1"/>
        <v>Oxxo</v>
      </c>
      <c r="I618" t="str">
        <f ca="1"/>
        <v>Transaction cost</v>
      </c>
      <c r="J618" t="str">
        <f ca="1"/>
        <v>IMESA</v>
      </c>
      <c r="K618" t="str">
        <f ca="1"/>
        <v>7536431260301050237191</v>
      </c>
      <c r="L618" t="str">
        <f ca="1">VLOOKUP(B618,[1]Total!$B:$Q,16,0)</f>
        <v>602.34.002 Gastos por visita tencica</v>
      </c>
      <c r="M618">
        <f t="shared" ca="1" si="19"/>
        <v>196</v>
      </c>
      <c r="N618" t="str">
        <f t="shared" ca="1" si="20"/>
        <v xml:space="preserve">Jose Rosas Ortiz OXXO CIENTIFICOS MEX   NAUCALPAN DE  MEX Oxxo Transaction cost IMESA 7536431260301050237191 </v>
      </c>
    </row>
    <row r="619" spans="1:14">
      <c r="A619" t="str">
        <f ca="1"/>
        <v>TRX1288</v>
      </c>
      <c r="B619" t="str">
        <f ca="1"/>
        <v>#58</v>
      </c>
      <c r="C619">
        <f ca="1"/>
        <v>46081.417361111096</v>
      </c>
      <c r="D619">
        <f ca="1"/>
        <v>561.23</v>
      </c>
      <c r="E619" t="str">
        <f ca="1"/>
        <v>MXN</v>
      </c>
      <c r="F619" t="str">
        <f ca="1"/>
        <v>Jose Rosas Ortiz</v>
      </c>
      <c r="G619" t="str">
        <f ca="1"/>
        <v>WM EXPRESS FNTS DLASLO HUIXQUILUCAN  MEX</v>
      </c>
      <c r="H619" t="str">
        <f ca="1"/>
        <v>Wm Express Fnts Dlaslo Huixquilucan Mex</v>
      </c>
      <c r="I619" t="str">
        <f ca="1"/>
        <v>Transaction cost</v>
      </c>
      <c r="J619" t="str">
        <f ca="1"/>
        <v>IMESA</v>
      </c>
      <c r="K619" t="str">
        <f ca="1"/>
        <v>Y 204856</v>
      </c>
      <c r="L619" t="str">
        <f ca="1">VLOOKUP(B619,[1]Total!$B:$Q,16,0)</f>
        <v>602.34.002 Gastos por visita tencica</v>
      </c>
      <c r="M619">
        <f t="shared" ca="1" si="19"/>
        <v>561.23</v>
      </c>
      <c r="N619" t="str">
        <f t="shared" ca="1" si="20"/>
        <v xml:space="preserve">Jose Rosas Ortiz WM EXPRESS FNTS DLASLO HUIXQUILUCAN  MEX Wm Express Fnts Dlaslo Huixquilucan Mex Transaction cost IMESA Y 204856 </v>
      </c>
    </row>
    <row r="620" spans="1:14" hidden="1">
      <c r="A620" t="str">
        <f ca="1"/>
        <v>#N/A</v>
      </c>
      <c r="B620">
        <f ca="1"/>
        <v>0</v>
      </c>
      <c r="C620">
        <f ca="1"/>
        <v>0</v>
      </c>
      <c r="D620" t="str">
        <f ca="1"/>
        <v>#N/A</v>
      </c>
      <c r="E620" t="str">
        <f ca="1"/>
        <v>#N/A</v>
      </c>
      <c r="F620" t="str">
        <f ca="1"/>
        <v>#N/A</v>
      </c>
      <c r="G620" t="str">
        <f ca="1"/>
        <v>#N/A</v>
      </c>
      <c r="H620">
        <f ca="1"/>
        <v>0</v>
      </c>
      <c r="I620" t="str">
        <f ca="1"/>
        <v>G&amp;A expenses</v>
      </c>
      <c r="J620" t="str">
        <f ca="1"/>
        <v>PO-1066 Recoleccion de Lavamanos en GAP Tlatelolco</v>
      </c>
      <c r="K620" t="str">
        <f ca="1"/>
        <v>$190.0 reembolso realizado en Jeeves 01 nov 2024</v>
      </c>
      <c r="L620" t="e">
        <f ca="1">VLOOKUP(B620,[1]Total!$B:$Q,16,0)</f>
        <v>#N/A</v>
      </c>
      <c r="M620" t="str">
        <f t="shared" ca="1" si="19"/>
        <v>#N/A</v>
      </c>
      <c r="N620" t="str">
        <f t="shared" ca="1" si="20"/>
        <v xml:space="preserve">#N/A #N/A 0 G&amp;A expenses PO-1066 Recoleccion de Lavamanos en GAP Tlatelolco $190.0 reembolso realizado en Jeeves 01 nov 2024 </v>
      </c>
    </row>
    <row r="621" spans="1:14" hidden="1">
      <c r="A621" t="str">
        <f ca="1"/>
        <v>#N/A</v>
      </c>
      <c r="B621">
        <f ca="1"/>
        <v>0</v>
      </c>
      <c r="C621">
        <f ca="1"/>
        <v>0</v>
      </c>
      <c r="D621" t="str">
        <f ca="1"/>
        <v>#N/A</v>
      </c>
      <c r="E621" t="str">
        <f ca="1"/>
        <v>#N/A</v>
      </c>
      <c r="F621" t="str">
        <f ca="1"/>
        <v>#N/A</v>
      </c>
      <c r="G621" t="str">
        <f ca="1"/>
        <v>#N/A</v>
      </c>
      <c r="H621">
        <f ca="1"/>
        <v>0</v>
      </c>
      <c r="I621" t="str">
        <f ca="1"/>
        <v>Transaction cost</v>
      </c>
      <c r="J621" t="str">
        <f ca="1"/>
        <v>PO1137 - INTERNET OBRA</v>
      </c>
      <c r="K621">
        <f ca="1"/>
        <v>151</v>
      </c>
      <c r="L621" t="e">
        <f ca="1">VLOOKUP(B621,[1]Total!$B:$Q,16,0)</f>
        <v>#N/A</v>
      </c>
      <c r="M621" t="str">
        <f t="shared" ca="1" si="19"/>
        <v>#N/A</v>
      </c>
      <c r="N621" t="str">
        <f t="shared" ca="1" si="20"/>
        <v xml:space="preserve">#N/A #N/A 0 Transaction cost PO1137 - INTERNET OBRA 151 </v>
      </c>
    </row>
    <row r="622" spans="1:14" hidden="1">
      <c r="A622" t="str">
        <f ca="1"/>
        <v>#N/A</v>
      </c>
      <c r="B622">
        <f ca="1"/>
        <v>0</v>
      </c>
      <c r="C622">
        <f ca="1"/>
        <v>0</v>
      </c>
      <c r="D622" t="str">
        <f ca="1"/>
        <v>#N/A</v>
      </c>
      <c r="E622" t="str">
        <f ca="1"/>
        <v>#N/A</v>
      </c>
      <c r="F622" t="str">
        <f ca="1"/>
        <v>#N/A</v>
      </c>
      <c r="G622" t="str">
        <f ca="1"/>
        <v>#N/A</v>
      </c>
      <c r="H622">
        <f ca="1"/>
        <v>0</v>
      </c>
      <c r="I622" t="str">
        <f ca="1"/>
        <v/>
      </c>
      <c r="J622">
        <f ca="1"/>
        <v>0</v>
      </c>
      <c r="K622" t="str">
        <f ca="1"/>
        <v>.</v>
      </c>
      <c r="L622" t="e">
        <f ca="1">VLOOKUP(B622,[1]Total!$B:$Q,16,0)</f>
        <v>#N/A</v>
      </c>
      <c r="M622" t="str">
        <f t="shared" ca="1" si="19"/>
        <v>#N/A</v>
      </c>
      <c r="N622" t="str">
        <f t="shared" ca="1" si="20"/>
        <v xml:space="preserve">#N/A #N/A 0  0 . </v>
      </c>
    </row>
    <row r="623" spans="1:14">
      <c r="A623" t="str">
        <f ca="1"/>
        <v>TRX1296</v>
      </c>
      <c r="B623" t="str">
        <f ca="1"/>
        <v>#64</v>
      </c>
      <c r="C623">
        <f ca="1"/>
        <v>46055.416666666599</v>
      </c>
      <c r="D623">
        <f ca="1"/>
        <v>12000</v>
      </c>
      <c r="E623" t="str">
        <f ca="1"/>
        <v>MXN</v>
      </c>
      <c r="F623" t="str">
        <f ca="1"/>
        <v>Jorge Rojas</v>
      </c>
      <c r="G623" t="str">
        <f ca="1"/>
        <v>EUROPCAR WEB 2         BENITO JUAREZ MEX</v>
      </c>
      <c r="H623" t="str">
        <f ca="1"/>
        <v>Europcar</v>
      </c>
      <c r="I623" t="str">
        <f ca="1"/>
        <v>Europcar</v>
      </c>
      <c r="J623" t="str">
        <f ca="1"/>
        <v>G&amp;A expenses</v>
      </c>
      <c r="K623" t="str">
        <f ca="1"/>
        <v>Alimentos</v>
      </c>
      <c r="L623" t="str">
        <f ca="1">VLOOKUP(B623,[1]Total!$B:$Q,16,0)</f>
        <v>602.34.002 Gastos por visita tencica</v>
      </c>
      <c r="M623">
        <f t="shared" ca="1" si="19"/>
        <v>12000</v>
      </c>
      <c r="N623" t="str">
        <f t="shared" ca="1" si="20"/>
        <v xml:space="preserve">Jorge Rojas EUROPCAR WEB 2         BENITO JUAREZ MEX Europcar Europcar G&amp;A expenses Alimentos </v>
      </c>
    </row>
    <row r="624" spans="1:14">
      <c r="A624" t="str">
        <f ca="1"/>
        <v>TRX1295</v>
      </c>
      <c r="B624" t="str">
        <f ca="1"/>
        <v>#64</v>
      </c>
      <c r="C624">
        <f ca="1"/>
        <v>46055.416666666599</v>
      </c>
      <c r="D624">
        <f ca="1"/>
        <v>128.69999999999999</v>
      </c>
      <c r="E624" t="str">
        <f ca="1"/>
        <v>MXN</v>
      </c>
      <c r="F624" t="str">
        <f ca="1"/>
        <v>Jorge Rojas</v>
      </c>
      <c r="G624" t="str">
        <f ca="1"/>
        <v>WALMART LOMAS STA FE   TIJUANA BCN   MEX</v>
      </c>
      <c r="H624" t="str">
        <f ca="1"/>
        <v>Walmart</v>
      </c>
      <c r="I624" t="str">
        <f ca="1"/>
        <v>Walmart</v>
      </c>
      <c r="J624" t="str">
        <f ca="1"/>
        <v>G&amp;A expenses</v>
      </c>
      <c r="K624" t="str">
        <f ca="1"/>
        <v>Consumibles</v>
      </c>
      <c r="L624" t="str">
        <f ca="1">VLOOKUP(B624,[1]Total!$B:$Q,16,0)</f>
        <v>602.34.002 Gastos por visita tencica</v>
      </c>
      <c r="M624">
        <f t="shared" ca="1" si="19"/>
        <v>128.69999999999999</v>
      </c>
      <c r="N624" t="str">
        <f t="shared" ca="1" si="20"/>
        <v xml:space="preserve">Jorge Rojas WALMART LOMAS STA FE   TIJUANA BCN   MEX Walmart Walmart G&amp;A expenses Consumibles </v>
      </c>
    </row>
    <row r="625" spans="1:14">
      <c r="A625" t="str">
        <f ca="1"/>
        <v>TRX1293</v>
      </c>
      <c r="B625" t="str">
        <f ca="1"/>
        <v>#64</v>
      </c>
      <c r="C625">
        <f ca="1"/>
        <v>46055.416666666599</v>
      </c>
      <c r="D625">
        <f ca="1"/>
        <v>1537</v>
      </c>
      <c r="E625" t="str">
        <f ca="1"/>
        <v>MXN</v>
      </c>
      <c r="F625" t="str">
        <f ca="1"/>
        <v>Jorge Rojas</v>
      </c>
      <c r="G625" t="str">
        <f ca="1"/>
        <v>SUPERCENTER TIJUANA HI TIJUANA BCN   MEX</v>
      </c>
      <c r="H625" t="str">
        <f ca="1"/>
        <v>Supercenter Tijuana Hi Tijuana Bcn Mex</v>
      </c>
      <c r="I625" t="str">
        <f ca="1"/>
        <v>Supercenter Tijuana Hi Tijuana Bcn Mex</v>
      </c>
      <c r="J625" t="str">
        <f ca="1"/>
        <v>G&amp;A expenses</v>
      </c>
      <c r="K625" t="str">
        <f ca="1"/>
        <v>Agua</v>
      </c>
      <c r="L625" t="str">
        <f ca="1">VLOOKUP(B625,[1]Total!$B:$Q,16,0)</f>
        <v>602.34.002 Gastos por visita tencica</v>
      </c>
      <c r="M625">
        <f t="shared" ca="1" si="19"/>
        <v>1537</v>
      </c>
      <c r="N625" t="str">
        <f t="shared" ca="1" si="20"/>
        <v xml:space="preserve">Jorge Rojas SUPERCENTER TIJUANA HI TIJUANA BCN   MEX Supercenter Tijuana Hi Tijuana Bcn Mex Supercenter Tijuana Hi Tijuana Bcn Mex G&amp;A expenses Agua </v>
      </c>
    </row>
    <row r="626" spans="1:14">
      <c r="A626" t="str">
        <f ca="1"/>
        <v>TRX1290</v>
      </c>
      <c r="B626" t="str">
        <f ca="1"/>
        <v>#64</v>
      </c>
      <c r="C626">
        <f ca="1"/>
        <v>46056.416666666599</v>
      </c>
      <c r="D626">
        <f ca="1"/>
        <v>175</v>
      </c>
      <c r="E626" t="str">
        <f ca="1"/>
        <v>MXN</v>
      </c>
      <c r="F626" t="str">
        <f ca="1"/>
        <v>Jorge Rojas</v>
      </c>
      <c r="G626" t="str">
        <f ca="1"/>
        <v>CLIP MX*SUPER BARRA LI TIJUANA       MEX</v>
      </c>
      <c r="H626" t="str">
        <f ca="1"/>
        <v>Super Mex</v>
      </c>
      <c r="I626" t="str">
        <f ca="1"/>
        <v>Super Mex</v>
      </c>
      <c r="J626" t="str">
        <f ca="1"/>
        <v>G&amp;A expenses</v>
      </c>
      <c r="K626" t="str">
        <f ca="1"/>
        <v>Alimentos</v>
      </c>
      <c r="L626" t="str">
        <f ca="1">VLOOKUP(B626,[1]Total!$B:$Q,16,0)</f>
        <v>602.34.002 Gastos por visita tencica</v>
      </c>
      <c r="M626">
        <f t="shared" ca="1" si="19"/>
        <v>175</v>
      </c>
      <c r="N626" t="str">
        <f t="shared" ca="1" si="20"/>
        <v xml:space="preserve">Jorge Rojas CLIP MX*SUPER BARRA LI TIJUANA       MEX Super Mex Super Mex G&amp;A expenses Alimentos </v>
      </c>
    </row>
    <row r="627" spans="1:14">
      <c r="A627" t="str">
        <f ca="1"/>
        <v>TRX1287</v>
      </c>
      <c r="B627" t="str">
        <f ca="1"/>
        <v>#64</v>
      </c>
      <c r="C627">
        <f ca="1"/>
        <v>46056.416666666599</v>
      </c>
      <c r="D627">
        <f ca="1"/>
        <v>538.63</v>
      </c>
      <c r="E627" t="str">
        <f ca="1"/>
        <v>MXN</v>
      </c>
      <c r="F627" t="str">
        <f ca="1"/>
        <v>Jorge Rojas</v>
      </c>
      <c r="G627" t="str">
        <f ca="1"/>
        <v>DLO*Uber eats          CDMX          MEX</v>
      </c>
      <c r="H627" t="str">
        <f ca="1"/>
        <v>Uber Eats</v>
      </c>
      <c r="I627" t="str">
        <f ca="1"/>
        <v>Uber Eats</v>
      </c>
      <c r="J627" t="str">
        <f ca="1"/>
        <v>G&amp;A expenses</v>
      </c>
      <c r="K627" t="str">
        <f ca="1"/>
        <v>Alimentos</v>
      </c>
      <c r="L627" t="str">
        <f ca="1">VLOOKUP(B627,[1]Total!$B:$Q,16,0)</f>
        <v>602.34.002 Gastos por visita tencica</v>
      </c>
      <c r="M627">
        <f t="shared" ca="1" si="19"/>
        <v>538.63</v>
      </c>
      <c r="N627" t="str">
        <f t="shared" ca="1" si="20"/>
        <v xml:space="preserve">Jorge Rojas DLO*Uber eats          CDMX          MEX Uber Eats Uber Eats G&amp;A expenses Alimentos </v>
      </c>
    </row>
    <row r="628" spans="1:14">
      <c r="A628" t="str">
        <f ca="1"/>
        <v>TRX1284</v>
      </c>
      <c r="B628" t="str">
        <f ca="1"/>
        <v>#64</v>
      </c>
      <c r="C628">
        <f ca="1"/>
        <v>46056.416666666599</v>
      </c>
      <c r="D628">
        <f ca="1"/>
        <v>3626.74</v>
      </c>
      <c r="E628" t="str">
        <f ca="1"/>
        <v>MXN</v>
      </c>
      <c r="F628" t="str">
        <f ca="1"/>
        <v>Jorge Rojas</v>
      </c>
      <c r="G628" t="str">
        <f ca="1"/>
        <v>AIRBNB * HM4BMJSNK4    LONDON        GBR</v>
      </c>
      <c r="H628" t="str">
        <f ca="1"/>
        <v>Airbnb</v>
      </c>
      <c r="I628" t="str">
        <f ca="1"/>
        <v>Airbnb</v>
      </c>
      <c r="J628" t="str">
        <f ca="1"/>
        <v>Recruiting</v>
      </c>
      <c r="K628" t="str">
        <f ca="1"/>
        <v>Consumibles</v>
      </c>
      <c r="L628" t="str">
        <f ca="1">VLOOKUP(B628,[1]Total!$B:$Q,16,0)</f>
        <v>602.34.002 Gastos por visita tencica</v>
      </c>
      <c r="M628">
        <f t="shared" ca="1" si="19"/>
        <v>3626.74</v>
      </c>
      <c r="N628" t="str">
        <f t="shared" ca="1" si="20"/>
        <v xml:space="preserve">Jorge Rojas AIRBNB * HM4BMJSNK4    LONDON        GBR Airbnb Airbnb Recruiting Consumibles </v>
      </c>
    </row>
    <row r="629" spans="1:14">
      <c r="A629" t="str">
        <f ca="1"/>
        <v>TRX1276</v>
      </c>
      <c r="B629" t="str">
        <f ca="1"/>
        <v>#64</v>
      </c>
      <c r="C629">
        <f ca="1"/>
        <v>46057.416666666599</v>
      </c>
      <c r="D629">
        <f ca="1"/>
        <v>529.97</v>
      </c>
      <c r="E629" t="str">
        <f ca="1"/>
        <v>MXN</v>
      </c>
      <c r="F629" t="str">
        <f ca="1"/>
        <v>Jorge Rojas</v>
      </c>
      <c r="G629" t="str">
        <f ca="1"/>
        <v>UBER * EATS PENDING    CMX           MEX</v>
      </c>
      <c r="H629" t="str">
        <f ca="1"/>
        <v>Uber Eats</v>
      </c>
      <c r="I629" t="str">
        <f ca="1"/>
        <v>Uber Eats</v>
      </c>
      <c r="J629" t="str">
        <f ca="1"/>
        <v>Recruiting</v>
      </c>
      <c r="K629" t="str">
        <f ca="1"/>
        <v>Alimentos</v>
      </c>
      <c r="L629" t="str">
        <f ca="1">VLOOKUP(B629,[1]Total!$B:$Q,16,0)</f>
        <v>602.34.002 Gastos por visita tencica</v>
      </c>
      <c r="M629">
        <f t="shared" ca="1" si="19"/>
        <v>529.97</v>
      </c>
      <c r="N629" t="str">
        <f t="shared" ca="1" si="20"/>
        <v xml:space="preserve">Jorge Rojas UBER * EATS PENDING    CMX           MEX Uber Eats Uber Eats Recruiting Alimentos </v>
      </c>
    </row>
    <row r="630" spans="1:14">
      <c r="A630" t="str">
        <f ca="1"/>
        <v>TRX1218</v>
      </c>
      <c r="B630" t="str">
        <f ca="1"/>
        <v>#64</v>
      </c>
      <c r="C630">
        <f ca="1"/>
        <v>46058.417361111096</v>
      </c>
      <c r="D630">
        <f ca="1"/>
        <v>380</v>
      </c>
      <c r="E630" t="str">
        <f ca="1"/>
        <v>MXN</v>
      </c>
      <c r="F630" t="str">
        <f ca="1"/>
        <v>Jorge Rojas</v>
      </c>
      <c r="G630" t="str">
        <f ca="1"/>
        <v>CLIP MX*SUPER BARRA LI TIJUANA       MEX</v>
      </c>
      <c r="H630" t="str">
        <f ca="1"/>
        <v>Super Mex</v>
      </c>
      <c r="I630" t="str">
        <f ca="1"/>
        <v>Super Mex</v>
      </c>
      <c r="J630" t="str">
        <f ca="1"/>
        <v>Recruiting</v>
      </c>
      <c r="K630" t="str">
        <f ca="1"/>
        <v>Consumibles</v>
      </c>
      <c r="L630" t="str">
        <f ca="1">VLOOKUP(B630,[1]Total!$B:$Q,16,0)</f>
        <v>602.34.002 Gastos por visita tencica</v>
      </c>
      <c r="M630">
        <f t="shared" ca="1" si="19"/>
        <v>380</v>
      </c>
      <c r="N630" t="str">
        <f t="shared" ca="1" si="20"/>
        <v xml:space="preserve">Jorge Rojas CLIP MX*SUPER BARRA LI TIJUANA       MEX Super Mex Super Mex Recruiting Consumibles </v>
      </c>
    </row>
    <row r="631" spans="1:14">
      <c r="A631" t="str">
        <f ca="1"/>
        <v>TRX1215</v>
      </c>
      <c r="B631" t="str">
        <f ca="1"/>
        <v>#64</v>
      </c>
      <c r="C631">
        <f ca="1"/>
        <v>46058.417361111096</v>
      </c>
      <c r="D631">
        <f ca="1"/>
        <v>233.15</v>
      </c>
      <c r="E631" t="str">
        <f ca="1"/>
        <v>MXN</v>
      </c>
      <c r="F631" t="str">
        <f ca="1"/>
        <v>Jorge Rojas</v>
      </c>
      <c r="G631" t="str">
        <f ca="1"/>
        <v>WALMART LOMAS STA FE   TIJUANA BCN   MEX</v>
      </c>
      <c r="H631" t="str">
        <f ca="1"/>
        <v>Walmart</v>
      </c>
      <c r="I631" t="str">
        <f ca="1"/>
        <v>Walmart</v>
      </c>
      <c r="J631" t="str">
        <f ca="1"/>
        <v>Recruiting</v>
      </c>
      <c r="K631" t="str">
        <f ca="1"/>
        <v>Alimentos</v>
      </c>
      <c r="L631" t="str">
        <f ca="1">VLOOKUP(B631,[1]Total!$B:$Q,16,0)</f>
        <v>602.34.002 Gastos por visita tencica</v>
      </c>
      <c r="M631">
        <f t="shared" ca="1" si="19"/>
        <v>233.15</v>
      </c>
      <c r="N631" t="str">
        <f t="shared" ca="1" si="20"/>
        <v xml:space="preserve">Jorge Rojas WALMART LOMAS STA FE   TIJUANA BCN   MEX Walmart Walmart Recruiting Alimentos </v>
      </c>
    </row>
    <row r="632" spans="1:14">
      <c r="A632" t="str">
        <f ca="1"/>
        <v>TRX1205</v>
      </c>
      <c r="B632" t="str">
        <f ca="1"/>
        <v>#64</v>
      </c>
      <c r="C632">
        <f ca="1"/>
        <v>46058.417361111096</v>
      </c>
      <c r="D632">
        <f ca="1"/>
        <v>54</v>
      </c>
      <c r="E632" t="str">
        <f ca="1"/>
        <v>MXN</v>
      </c>
      <c r="F632" t="str">
        <f ca="1"/>
        <v>Jorge Rojas</v>
      </c>
      <c r="G632" t="str">
        <f ca="1"/>
        <v>WALMART LOMAS STA FE   TIJUANA BCN   MEX</v>
      </c>
      <c r="H632" t="str">
        <f ca="1"/>
        <v>Walmart</v>
      </c>
      <c r="I632" t="str">
        <f ca="1"/>
        <v>Walmart</v>
      </c>
      <c r="J632" t="str">
        <f ca="1"/>
        <v>Recruiting</v>
      </c>
      <c r="K632" t="str">
        <f ca="1"/>
        <v>Transporte</v>
      </c>
      <c r="L632" t="str">
        <f ca="1">VLOOKUP(B632,[1]Total!$B:$Q,16,0)</f>
        <v>602.34.002 Gastos por visita tencica</v>
      </c>
      <c r="M632">
        <f t="shared" ca="1" si="19"/>
        <v>54</v>
      </c>
      <c r="N632" t="str">
        <f t="shared" ca="1" si="20"/>
        <v xml:space="preserve">Jorge Rojas WALMART LOMAS STA FE   TIJUANA BCN   MEX Walmart Walmart Recruiting Transporte </v>
      </c>
    </row>
    <row r="633" spans="1:14">
      <c r="A633" t="str">
        <f ca="1"/>
        <v>TRX1196</v>
      </c>
      <c r="B633" t="str">
        <f ca="1"/>
        <v>#64</v>
      </c>
      <c r="C633">
        <f ca="1"/>
        <v>46058.417361111096</v>
      </c>
      <c r="D633">
        <f ca="1"/>
        <v>2290</v>
      </c>
      <c r="E633" t="str">
        <f ca="1"/>
        <v>MXN</v>
      </c>
      <c r="F633" t="str">
        <f ca="1"/>
        <v>Jorge Rojas</v>
      </c>
      <c r="G633" t="str">
        <f ca="1"/>
        <v>FERR EXPRESS CEDROS    TIJUANA BCN   MEX</v>
      </c>
      <c r="H633" t="str">
        <f ca="1"/>
        <v>Ferr Express Cedros Tijuana Bcn Mex</v>
      </c>
      <c r="I633" t="str">
        <f ca="1"/>
        <v>Ferr Express Cedros Tijuana Bcn Mex</v>
      </c>
      <c r="J633" t="str">
        <f ca="1"/>
        <v>Capex</v>
      </c>
      <c r="K633" t="str">
        <f ca="1"/>
        <v>Alimentos</v>
      </c>
      <c r="L633" t="str">
        <f ca="1">VLOOKUP(B633,[1]Total!$B:$Q,16,0)</f>
        <v>602.34.002 Gastos por visita tencica</v>
      </c>
      <c r="M633">
        <f t="shared" ca="1" si="19"/>
        <v>2290</v>
      </c>
      <c r="N633" t="str">
        <f t="shared" ca="1" si="20"/>
        <v xml:space="preserve">Jorge Rojas FERR EXPRESS CEDROS    TIJUANA BCN   MEX Ferr Express Cedros Tijuana Bcn Mex Ferr Express Cedros Tijuana Bcn Mex Capex Alimentos </v>
      </c>
    </row>
    <row r="634" spans="1:14">
      <c r="A634" t="str">
        <f ca="1"/>
        <v>TRX1153</v>
      </c>
      <c r="B634" t="str">
        <f ca="1"/>
        <v>#64</v>
      </c>
      <c r="C634">
        <f ca="1"/>
        <v>46059.417361111096</v>
      </c>
      <c r="D634">
        <f ca="1"/>
        <v>300</v>
      </c>
      <c r="E634" t="str">
        <f ca="1"/>
        <v>MXN</v>
      </c>
      <c r="F634" t="str">
        <f ca="1"/>
        <v>Jorge Rojas</v>
      </c>
      <c r="G634" t="str">
        <f ca="1"/>
        <v>CLIP MX*SUPER BARRA LI TIJUANA       MEX</v>
      </c>
      <c r="H634" t="str">
        <f ca="1"/>
        <v>Super Mex</v>
      </c>
      <c r="I634" t="str">
        <f ca="1"/>
        <v>Super Mex</v>
      </c>
      <c r="J634" t="str">
        <f ca="1"/>
        <v>Recruiting</v>
      </c>
      <c r="K634" t="str">
        <f ca="1"/>
        <v>Comida con equipo emacsa</v>
      </c>
      <c r="L634" t="str">
        <f ca="1">VLOOKUP(B634,[1]Total!$B:$Q,16,0)</f>
        <v>602.34.002 Gastos por visita tencica</v>
      </c>
      <c r="M634">
        <f t="shared" ca="1" si="19"/>
        <v>300</v>
      </c>
      <c r="N634" t="str">
        <f t="shared" ca="1" si="20"/>
        <v xml:space="preserve">Jorge Rojas CLIP MX*SUPER BARRA LI TIJUANA       MEX Super Mex Super Mex Recruiting Comida con equipo emacsa </v>
      </c>
    </row>
    <row r="635" spans="1:14">
      <c r="A635" t="str">
        <f ca="1"/>
        <v>TRX1547</v>
      </c>
      <c r="B635" t="str">
        <f ca="1"/>
        <v>#64</v>
      </c>
      <c r="C635">
        <f ca="1"/>
        <v>46059.417361111096</v>
      </c>
      <c r="D635">
        <f ca="1"/>
        <v>37.9</v>
      </c>
      <c r="E635" t="str">
        <f ca="1"/>
        <v>MXN</v>
      </c>
      <c r="F635" t="str">
        <f ca="1"/>
        <v>Jorge Rojas</v>
      </c>
      <c r="G635" t="str">
        <f ca="1"/>
        <v>WALMART LOMAS STA FE   TIJUANA BCN   MEX</v>
      </c>
      <c r="H635" t="str">
        <f ca="1"/>
        <v>Walmart</v>
      </c>
      <c r="I635" t="str">
        <f ca="1"/>
        <v>Walmart</v>
      </c>
      <c r="J635" t="str">
        <f ca="1"/>
        <v>Recruiting</v>
      </c>
      <c r="K635" t="str">
        <f ca="1"/>
        <v>Alimentos</v>
      </c>
      <c r="L635" t="str">
        <f ca="1">VLOOKUP(B635,[1]Total!$B:$Q,16,0)</f>
        <v>602.34.002 Gastos por visita tencica</v>
      </c>
      <c r="M635">
        <f t="shared" ca="1" si="19"/>
        <v>37.9</v>
      </c>
      <c r="N635" t="str">
        <f t="shared" ca="1" si="20"/>
        <v xml:space="preserve">Jorge Rojas WALMART LOMAS STA FE   TIJUANA BCN   MEX Walmart Walmart Recruiting Alimentos </v>
      </c>
    </row>
    <row r="636" spans="1:14">
      <c r="A636" t="str">
        <f ca="1"/>
        <v>TRX1470</v>
      </c>
      <c r="B636" t="str">
        <f ca="1"/>
        <v>#64</v>
      </c>
      <c r="C636">
        <f ca="1"/>
        <v>46059.417361111096</v>
      </c>
      <c r="D636">
        <f ca="1"/>
        <v>110</v>
      </c>
      <c r="E636" t="str">
        <f ca="1"/>
        <v>MXN</v>
      </c>
      <c r="F636" t="str">
        <f ca="1"/>
        <v>Jorge Rojas</v>
      </c>
      <c r="G636" t="str">
        <f ca="1"/>
        <v>WALMART LOMAS STA FE   TIJUANA BCN   MEX</v>
      </c>
      <c r="H636" t="str">
        <f ca="1"/>
        <v>Walmart</v>
      </c>
      <c r="I636" t="str">
        <f ca="1"/>
        <v>Walmart</v>
      </c>
      <c r="J636" t="str">
        <f ca="1"/>
        <v>G&amp;A expenses</v>
      </c>
      <c r="K636" t="str">
        <f ca="1"/>
        <v>Alimentos</v>
      </c>
      <c r="L636" t="str">
        <f ca="1">VLOOKUP(B636,[1]Total!$B:$Q,16,0)</f>
        <v>602.34.002 Gastos por visita tencica</v>
      </c>
      <c r="M636">
        <f t="shared" ca="1" si="19"/>
        <v>110</v>
      </c>
      <c r="N636" t="str">
        <f t="shared" ca="1" si="20"/>
        <v xml:space="preserve">Jorge Rojas WALMART LOMAS STA FE   TIJUANA BCN   MEX Walmart Walmart G&amp;A expenses Alimentos </v>
      </c>
    </row>
    <row r="637" spans="1:14">
      <c r="A637" t="str">
        <f ca="1"/>
        <v>TRX1950</v>
      </c>
      <c r="B637" t="str">
        <f ca="1"/>
        <v>#64</v>
      </c>
      <c r="C637">
        <f ca="1"/>
        <v>46060.416666666599</v>
      </c>
      <c r="D637">
        <f ca="1"/>
        <v>627.73</v>
      </c>
      <c r="E637" t="str">
        <f ca="1"/>
        <v>MXN</v>
      </c>
      <c r="F637" t="str">
        <f ca="1"/>
        <v>Jorge Rojas</v>
      </c>
      <c r="G637" t="str">
        <f ca="1"/>
        <v>UBER * EATS PENDING    CMX           MEX</v>
      </c>
      <c r="H637" t="str">
        <f ca="1"/>
        <v>Uber Eats</v>
      </c>
      <c r="I637" t="str">
        <f ca="1"/>
        <v>Uber Eats</v>
      </c>
      <c r="J637" t="str">
        <f ca="1"/>
        <v>Office expenses</v>
      </c>
      <c r="K637" t="str">
        <f ca="1"/>
        <v>Alimentos</v>
      </c>
      <c r="L637" t="str">
        <f ca="1">VLOOKUP(B637,[1]Total!$B:$Q,16,0)</f>
        <v>602.34.002 Gastos por visita tencica</v>
      </c>
      <c r="M637">
        <f t="shared" ca="1" si="19"/>
        <v>627.73</v>
      </c>
      <c r="N637" t="str">
        <f t="shared" ca="1" si="20"/>
        <v xml:space="preserve">Jorge Rojas UBER * EATS PENDING    CMX           MEX Uber Eats Uber Eats Office expenses Alimentos </v>
      </c>
    </row>
    <row r="638" spans="1:14">
      <c r="A638" t="str">
        <f ca="1"/>
        <v>TRX1528</v>
      </c>
      <c r="B638" t="str">
        <f ca="1"/>
        <v>#64</v>
      </c>
      <c r="C638">
        <f ca="1"/>
        <v>46060.417361111096</v>
      </c>
      <c r="D638">
        <f ca="1"/>
        <v>408.1</v>
      </c>
      <c r="E638" t="str">
        <f ca="1"/>
        <v>MXN</v>
      </c>
      <c r="F638" t="str">
        <f ca="1"/>
        <v>Jorge Rojas</v>
      </c>
      <c r="G638" t="str">
        <f ca="1"/>
        <v>VIPS MACROPLAZA TIJUAN TIJUANA BCN   MEX</v>
      </c>
      <c r="H638" t="str">
        <f ca="1"/>
        <v>Vips Macroplaza Tijuan Tijuana Bcn Mex</v>
      </c>
      <c r="I638" t="str">
        <f ca="1"/>
        <v>Vips Macroplaza Tijuan Tijuana Bcn Mex</v>
      </c>
      <c r="J638" t="str">
        <f ca="1"/>
        <v>Recruiting</v>
      </c>
      <c r="K638" t="str">
        <f ca="1"/>
        <v>Comida con equipo emacsa</v>
      </c>
      <c r="L638" t="str">
        <f ca="1">VLOOKUP(B638,[1]Total!$B:$Q,16,0)</f>
        <v>602.34.002 Gastos por visita tencica</v>
      </c>
      <c r="M638">
        <f t="shared" ca="1" si="19"/>
        <v>408.1</v>
      </c>
      <c r="N638" t="str">
        <f t="shared" ca="1" si="20"/>
        <v xml:space="preserve">Jorge Rojas VIPS MACROPLAZA TIJUAN TIJUANA BCN   MEX Vips Macroplaza Tijuan Tijuana Bcn Mex Vips Macroplaza Tijuan Tijuana Bcn Mex Recruiting Comida con equipo emacsa </v>
      </c>
    </row>
    <row r="639" spans="1:14">
      <c r="A639" t="str">
        <f ca="1"/>
        <v>TRX1571</v>
      </c>
      <c r="B639" t="str">
        <f ca="1"/>
        <v>#64</v>
      </c>
      <c r="C639">
        <f ca="1"/>
        <v>46060.417361111096</v>
      </c>
      <c r="D639">
        <f ca="1"/>
        <v>1050</v>
      </c>
      <c r="E639" t="str">
        <f ca="1"/>
        <v>MXN</v>
      </c>
      <c r="F639" t="str">
        <f ca="1"/>
        <v>Jorge Rojas</v>
      </c>
      <c r="G639" t="str">
        <f ca="1"/>
        <v>ESTACION PORTICOS      TIJUANA BCN   MEX</v>
      </c>
      <c r="H639" t="str">
        <f ca="1"/>
        <v>Estacion Porticos Tijuana Bcn Mex</v>
      </c>
      <c r="I639" t="str">
        <f ca="1"/>
        <v>Estacion Porticos Tijuana Bcn Mex</v>
      </c>
      <c r="J639" t="str">
        <f ca="1"/>
        <v>Recruiting</v>
      </c>
      <c r="K639" t="str">
        <f ca="1"/>
        <v>Gasolina</v>
      </c>
      <c r="L639" t="str">
        <f ca="1">VLOOKUP(B639,[1]Total!$B:$Q,16,0)</f>
        <v>602.34.002 Gastos por visita tencica</v>
      </c>
      <c r="M639">
        <f t="shared" ca="1" si="19"/>
        <v>1050</v>
      </c>
      <c r="N639" t="str">
        <f t="shared" ca="1" si="20"/>
        <v xml:space="preserve">Jorge Rojas ESTACION PORTICOS      TIJUANA BCN   MEX Estacion Porticos Tijuana Bcn Mex Estacion Porticos Tijuana Bcn Mex Recruiting Gasolina </v>
      </c>
    </row>
    <row r="640" spans="1:14">
      <c r="A640" t="str">
        <f ca="1"/>
        <v>TRX1260</v>
      </c>
      <c r="B640" t="str">
        <f ca="1"/>
        <v>#64</v>
      </c>
      <c r="C640">
        <f ca="1"/>
        <v>46060.417361111096</v>
      </c>
      <c r="D640">
        <f ca="1"/>
        <v>16155.48</v>
      </c>
      <c r="E640" t="str">
        <f ca="1"/>
        <v>MXN</v>
      </c>
      <c r="F640" t="str">
        <f ca="1"/>
        <v>Jorge Rojas</v>
      </c>
      <c r="G640" t="str">
        <f ca="1"/>
        <v>AIRBNB * HM4BMJSNK4    LONDON        GBR</v>
      </c>
      <c r="H640" t="str">
        <f ca="1"/>
        <v>Airbnb</v>
      </c>
      <c r="I640" t="str">
        <f ca="1"/>
        <v>Airbnb</v>
      </c>
      <c r="J640" t="str">
        <f ca="1"/>
        <v>G&amp;A expenses</v>
      </c>
      <c r="K640" t="str">
        <f ca="1"/>
        <v>Comida con equipo emacsa</v>
      </c>
      <c r="L640" t="str">
        <f ca="1">VLOOKUP(B640,[1]Total!$B:$Q,16,0)</f>
        <v>602.34.002 Gastos por visita tencica</v>
      </c>
      <c r="M640">
        <f t="shared" ca="1" si="19"/>
        <v>16155.48</v>
      </c>
      <c r="N640" t="str">
        <f t="shared" ca="1" si="20"/>
        <v xml:space="preserve">Jorge Rojas AIRBNB * HM4BMJSNK4    LONDON        GBR Airbnb Airbnb G&amp;A expenses Comida con equipo emacsa </v>
      </c>
    </row>
    <row r="641" spans="1:14">
      <c r="A641" t="str">
        <f ca="1"/>
        <v>TRX1687</v>
      </c>
      <c r="B641" t="str">
        <f ca="1"/>
        <v>#64</v>
      </c>
      <c r="C641">
        <f ca="1"/>
        <v>46061.416666666599</v>
      </c>
      <c r="D641">
        <f ca="1"/>
        <v>223.18</v>
      </c>
      <c r="E641" t="str">
        <f ca="1"/>
        <v>MXN</v>
      </c>
      <c r="F641" t="str">
        <f ca="1"/>
        <v>Jorge Rojas</v>
      </c>
      <c r="G641" t="str">
        <f ca="1"/>
        <v>UBER * EATS PENDING    CMX           MEX</v>
      </c>
      <c r="H641" t="str">
        <f ca="1"/>
        <v>Uber Eats</v>
      </c>
      <c r="I641" t="str">
        <f ca="1"/>
        <v>Uber Eats</v>
      </c>
      <c r="J641" t="str">
        <f ca="1"/>
        <v>Recruiting</v>
      </c>
      <c r="K641" t="str">
        <f ca="1"/>
        <v>Agua</v>
      </c>
      <c r="L641" t="str">
        <f ca="1">VLOOKUP(B641,[1]Total!$B:$Q,16,0)</f>
        <v>602.34.002 Gastos por visita tencica</v>
      </c>
      <c r="M641">
        <f t="shared" ca="1" si="19"/>
        <v>223.18</v>
      </c>
      <c r="N641" t="str">
        <f t="shared" ca="1" si="20"/>
        <v xml:space="preserve">Jorge Rojas UBER * EATS PENDING    CMX           MEX Uber Eats Uber Eats Recruiting Agua </v>
      </c>
    </row>
    <row r="642" spans="1:14">
      <c r="A642" t="str">
        <f ca="1"/>
        <v>TRX1651</v>
      </c>
      <c r="B642" t="str">
        <f ca="1"/>
        <v>#64</v>
      </c>
      <c r="C642">
        <f ca="1"/>
        <v>46061.416666666599</v>
      </c>
      <c r="D642">
        <f ca="1"/>
        <v>179</v>
      </c>
      <c r="E642" t="str">
        <f ca="1"/>
        <v>MXN</v>
      </c>
      <c r="F642" t="str">
        <f ca="1"/>
        <v>Jorge Rojas</v>
      </c>
      <c r="G642" t="str">
        <f ca="1"/>
        <v>MERCADOPAGO *ELANTOJO  Tijuana       MEX</v>
      </c>
      <c r="H642" t="str">
        <f ca="1"/>
        <v>Mercadopago</v>
      </c>
      <c r="I642" t="str">
        <f ca="1"/>
        <v>Mercadopago</v>
      </c>
      <c r="J642" t="str">
        <f ca="1"/>
        <v>Capex</v>
      </c>
      <c r="K642" t="str">
        <f ca="1"/>
        <v>Alimentos</v>
      </c>
      <c r="L642" t="str">
        <f ca="1">VLOOKUP(B642,[1]Total!$B:$Q,16,0)</f>
        <v>602.34.002 Gastos por visita tencica</v>
      </c>
      <c r="M642">
        <f t="shared" ca="1" si="19"/>
        <v>179</v>
      </c>
      <c r="N642" t="str">
        <f t="shared" ca="1" si="20"/>
        <v xml:space="preserve">Jorge Rojas MERCADOPAGO *ELANTOJO  Tijuana       MEX Mercadopago Mercadopago Capex Alimentos </v>
      </c>
    </row>
    <row r="643" spans="1:14">
      <c r="A643" t="str">
        <f ca="1"/>
        <v>TRX1221</v>
      </c>
      <c r="B643" t="str">
        <f ca="1"/>
        <v>#64</v>
      </c>
      <c r="C643">
        <f ca="1"/>
        <v>46061.417361111096</v>
      </c>
      <c r="D643">
        <f ca="1"/>
        <v>44</v>
      </c>
      <c r="E643" t="str">
        <f ca="1"/>
        <v>MXN</v>
      </c>
      <c r="F643" t="str">
        <f ca="1"/>
        <v>Jorge Rojas</v>
      </c>
      <c r="G643" t="str">
        <f ca="1"/>
        <v>FERR EXPRESS CEDROS    TIJUANA BCN   MEX</v>
      </c>
      <c r="H643" t="str">
        <f ca="1"/>
        <v>Ferr Express Cedros Tijuana Bcn Mex</v>
      </c>
      <c r="I643" t="str">
        <f ca="1"/>
        <v>Ferr Express Cedros Tijuana Bcn Mex</v>
      </c>
      <c r="J643" t="str">
        <f ca="1"/>
        <v>Recruiting</v>
      </c>
      <c r="K643" t="str">
        <f ca="1"/>
        <v>Comida ocn residente y segurista emacsa</v>
      </c>
      <c r="L643" t="str">
        <f ca="1">VLOOKUP(B643,[1]Total!$B:$Q,16,0)</f>
        <v>602.34.002 Gastos por visita tencica</v>
      </c>
      <c r="M643">
        <f t="shared" ref="M643:M706" ca="1" si="21">D643</f>
        <v>44</v>
      </c>
      <c r="N643" t="str">
        <f t="shared" ref="N643:N706" ca="1" si="22">CONCATENATE(F643," ",G643," ",H643," ",I643," ",J643," ",K643," ")</f>
        <v xml:space="preserve">Jorge Rojas FERR EXPRESS CEDROS    TIJUANA BCN   MEX Ferr Express Cedros Tijuana Bcn Mex Ferr Express Cedros Tijuana Bcn Mex Recruiting Comida ocn residente y segurista emacsa </v>
      </c>
    </row>
    <row r="644" spans="1:14">
      <c r="A644" t="str">
        <f ca="1"/>
        <v>TRX1383</v>
      </c>
      <c r="B644" t="str">
        <f ca="1"/>
        <v>#64</v>
      </c>
      <c r="C644">
        <f ca="1"/>
        <v>46061.417361111096</v>
      </c>
      <c r="D644">
        <f ca="1"/>
        <v>37.9</v>
      </c>
      <c r="E644" t="str">
        <f ca="1"/>
        <v>MXN</v>
      </c>
      <c r="F644" t="str">
        <f ca="1"/>
        <v>Jorge Rojas</v>
      </c>
      <c r="G644" t="str">
        <f ca="1"/>
        <v>WALMART LOMAS STA FE   TIJUANA BCN   MEX</v>
      </c>
      <c r="H644" t="str">
        <f ca="1"/>
        <v>Walmart</v>
      </c>
      <c r="I644" t="str">
        <f ca="1"/>
        <v>Walmart</v>
      </c>
      <c r="J644" t="str">
        <f ca="1"/>
        <v>Recruiting</v>
      </c>
      <c r="K644" t="str">
        <f ca="1"/>
        <v>Comida con equipo operativo</v>
      </c>
      <c r="L644" t="str">
        <f ca="1">VLOOKUP(B644,[1]Total!$B:$Q,16,0)</f>
        <v>602.34.002 Gastos por visita tencica</v>
      </c>
      <c r="M644">
        <f t="shared" ca="1" si="21"/>
        <v>37.9</v>
      </c>
      <c r="N644" t="str">
        <f t="shared" ca="1" si="22"/>
        <v xml:space="preserve">Jorge Rojas WALMART LOMAS STA FE   TIJUANA BCN   MEX Walmart Walmart Recruiting Comida con equipo operativo </v>
      </c>
    </row>
    <row r="645" spans="1:14">
      <c r="A645" t="str">
        <f ca="1"/>
        <v>TRX1995</v>
      </c>
      <c r="B645" t="str">
        <f ca="1"/>
        <v>#64</v>
      </c>
      <c r="C645">
        <f ca="1"/>
        <v>46061.417361111096</v>
      </c>
      <c r="D645">
        <f ca="1"/>
        <v>803</v>
      </c>
      <c r="E645" t="str">
        <f ca="1"/>
        <v>MXN</v>
      </c>
      <c r="F645" t="str">
        <f ca="1"/>
        <v>Jorge Rojas</v>
      </c>
      <c r="G645" t="str">
        <f ca="1"/>
        <v>AGUACHILES CULICHI     TIJUANA BCN   MEX</v>
      </c>
      <c r="H645" t="str">
        <f ca="1"/>
        <v>Aguachiles Culichi Tijuana Bcn Mex</v>
      </c>
      <c r="I645" t="str">
        <f ca="1"/>
        <v>Aguachiles Culichi Tijuana Bcn Mex</v>
      </c>
      <c r="J645" t="str">
        <f ca="1"/>
        <v>Recruiting</v>
      </c>
      <c r="K645" t="str">
        <f ca="1"/>
        <v>Agua</v>
      </c>
      <c r="L645" t="str">
        <f ca="1">VLOOKUP(B645,[1]Total!$B:$Q,16,0)</f>
        <v>602.34.002 Gastos por visita tencica</v>
      </c>
      <c r="M645">
        <f t="shared" ca="1" si="21"/>
        <v>803</v>
      </c>
      <c r="N645" t="str">
        <f t="shared" ca="1" si="22"/>
        <v xml:space="preserve">Jorge Rojas AGUACHILES CULICHI     TIJUANA BCN   MEX Aguachiles Culichi Tijuana Bcn Mex Aguachiles Culichi Tijuana Bcn Mex Recruiting Agua </v>
      </c>
    </row>
    <row r="646" spans="1:14">
      <c r="A646" t="str">
        <f ca="1"/>
        <v>TRX1573</v>
      </c>
      <c r="B646" t="str">
        <f ca="1"/>
        <v>#64</v>
      </c>
      <c r="C646">
        <f ca="1"/>
        <v>46062.416666666599</v>
      </c>
      <c r="D646">
        <f ca="1"/>
        <v>402.22</v>
      </c>
      <c r="E646" t="str">
        <f ca="1"/>
        <v>MXN</v>
      </c>
      <c r="F646" t="str">
        <f ca="1"/>
        <v>Jorge Rojas</v>
      </c>
      <c r="G646" t="str">
        <f ca="1"/>
        <v>UBER * EATS PENDING    CMX           MEX</v>
      </c>
      <c r="H646" t="str">
        <f ca="1"/>
        <v>Uber Eats</v>
      </c>
      <c r="I646" t="str">
        <f ca="1"/>
        <v>Uber Eats</v>
      </c>
      <c r="J646" t="str">
        <f ca="1"/>
        <v>G&amp;A expenses</v>
      </c>
      <c r="K646" t="str">
        <f ca="1"/>
        <v>Alimentos</v>
      </c>
      <c r="L646" t="str">
        <f ca="1">VLOOKUP(B646,[1]Total!$B:$Q,16,0)</f>
        <v>602.34.002 Gastos por visita tencica</v>
      </c>
      <c r="M646">
        <f t="shared" ca="1" si="21"/>
        <v>402.22</v>
      </c>
      <c r="N646" t="str">
        <f t="shared" ca="1" si="22"/>
        <v xml:space="preserve">Jorge Rojas UBER * EATS PENDING    CMX           MEX Uber Eats Uber Eats G&amp;A expenses Alimentos </v>
      </c>
    </row>
    <row r="647" spans="1:14">
      <c r="A647" t="str">
        <f ca="1"/>
        <v>TRX1545</v>
      </c>
      <c r="B647" t="str">
        <f ca="1"/>
        <v>#64</v>
      </c>
      <c r="C647">
        <f ca="1"/>
        <v>46062.416666666599</v>
      </c>
      <c r="D647">
        <f ca="1"/>
        <v>354.98</v>
      </c>
      <c r="E647" t="str">
        <f ca="1"/>
        <v>MXN</v>
      </c>
      <c r="F647" t="str">
        <f ca="1"/>
        <v>Jorge Rojas</v>
      </c>
      <c r="G647" t="str">
        <f ca="1"/>
        <v>UBER * EATS PENDING    CMX           MEX</v>
      </c>
      <c r="H647" t="str">
        <f ca="1"/>
        <v>Uber Eats</v>
      </c>
      <c r="I647" t="str">
        <f ca="1"/>
        <v>Uber Eats</v>
      </c>
      <c r="J647" t="str">
        <f ca="1"/>
        <v>G&amp;A expenses</v>
      </c>
      <c r="K647" t="str">
        <f ca="1"/>
        <v>Alimentos</v>
      </c>
      <c r="L647" t="str">
        <f ca="1">VLOOKUP(B647,[1]Total!$B:$Q,16,0)</f>
        <v>602.34.002 Gastos por visita tencica</v>
      </c>
      <c r="M647">
        <f t="shared" ca="1" si="21"/>
        <v>354.98</v>
      </c>
      <c r="N647" t="str">
        <f t="shared" ca="1" si="22"/>
        <v xml:space="preserve">Jorge Rojas UBER * EATS PENDING    CMX           MEX Uber Eats Uber Eats G&amp;A expenses Alimentos </v>
      </c>
    </row>
    <row r="648" spans="1:14">
      <c r="A648" t="str">
        <f ca="1"/>
        <v>TRX1929</v>
      </c>
      <c r="B648" t="str">
        <f ca="1"/>
        <v>#64</v>
      </c>
      <c r="C648">
        <f ca="1"/>
        <v>46062.416666666599</v>
      </c>
      <c r="D648">
        <f ca="1"/>
        <v>333</v>
      </c>
      <c r="E648" t="str">
        <f ca="1"/>
        <v>MXN</v>
      </c>
      <c r="F648" t="str">
        <f ca="1"/>
        <v>Jorge Rojas</v>
      </c>
      <c r="G648" t="str">
        <f ca="1"/>
        <v>7ELEVEN T2843 BANDERAS TIJUANA BCN   MEX</v>
      </c>
      <c r="H648" t="str">
        <f ca="1"/>
        <v>7 Eleven</v>
      </c>
      <c r="I648" t="str">
        <f ca="1"/>
        <v>7 Eleven</v>
      </c>
      <c r="J648" t="str">
        <f ca="1"/>
        <v>Recruiting</v>
      </c>
      <c r="K648" t="str">
        <f ca="1"/>
        <v>Pastillas dolor de estomago</v>
      </c>
      <c r="L648" t="str">
        <f ca="1">VLOOKUP(B648,[1]Total!$B:$Q,16,0)</f>
        <v>602.34.002 Gastos por visita tencica</v>
      </c>
      <c r="M648">
        <f t="shared" ca="1" si="21"/>
        <v>333</v>
      </c>
      <c r="N648" t="str">
        <f t="shared" ca="1" si="22"/>
        <v xml:space="preserve">Jorge Rojas 7ELEVEN T2843 BANDERAS TIJUANA BCN   MEX 7 Eleven 7 Eleven Recruiting Pastillas dolor de estomago </v>
      </c>
    </row>
    <row r="649" spans="1:14">
      <c r="A649" t="str">
        <f ca="1"/>
        <v>TRX1720</v>
      </c>
      <c r="B649" t="str">
        <f ca="1"/>
        <v>#64</v>
      </c>
      <c r="C649">
        <f ca="1"/>
        <v>46063.416666666599</v>
      </c>
      <c r="D649">
        <f ca="1"/>
        <v>1912.17</v>
      </c>
      <c r="E649" t="str">
        <f ca="1"/>
        <v>MXN</v>
      </c>
      <c r="F649" t="str">
        <f ca="1"/>
        <v>Jorge Rojas</v>
      </c>
      <c r="G649" t="str">
        <f ca="1"/>
        <v>MERPAGO*MERCADOLIBRE   Ciudad de Mex MEX</v>
      </c>
      <c r="H649" t="str">
        <f ca="1"/>
        <v>Merpago Mercadolibre Ciudad De Mex Mex</v>
      </c>
      <c r="I649" t="str">
        <f ca="1"/>
        <v>Merpago Mercadolibre Ciudad De Mex Mex</v>
      </c>
      <c r="J649" t="str">
        <f ca="1"/>
        <v>Recruiting</v>
      </c>
      <c r="K649" t="str">
        <f ca="1"/>
        <v>Alimentos</v>
      </c>
      <c r="L649" t="str">
        <f ca="1">VLOOKUP(B649,[1]Total!$B:$Q,16,0)</f>
        <v>602.34.002 Gastos por visita tencica</v>
      </c>
      <c r="M649">
        <f t="shared" ca="1" si="21"/>
        <v>1912.17</v>
      </c>
      <c r="N649" t="str">
        <f t="shared" ca="1" si="22"/>
        <v xml:space="preserve">Jorge Rojas MERPAGO*MERCADOLIBRE   Ciudad de Mex MEX Merpago Mercadolibre Ciudad De Mex Mex Merpago Mercadolibre Ciudad De Mex Mex Recruiting Alimentos </v>
      </c>
    </row>
    <row r="650" spans="1:14">
      <c r="A650" t="str">
        <f ca="1"/>
        <v>TRX1186</v>
      </c>
      <c r="B650" t="str">
        <f ca="1"/>
        <v>#64</v>
      </c>
      <c r="C650">
        <f ca="1"/>
        <v>46063.416666666599</v>
      </c>
      <c r="D650">
        <f ca="1"/>
        <v>571.15</v>
      </c>
      <c r="E650" t="str">
        <f ca="1"/>
        <v>MXN</v>
      </c>
      <c r="F650" t="str">
        <f ca="1"/>
        <v>Jorge Rojas</v>
      </c>
      <c r="G650" t="str">
        <f ca="1"/>
        <v>UBER * EATS PENDING    CMX           MEX</v>
      </c>
      <c r="H650" t="str">
        <f ca="1"/>
        <v>Uber Eats</v>
      </c>
      <c r="I650" t="str">
        <f ca="1"/>
        <v>Uber Eats</v>
      </c>
      <c r="J650" t="str">
        <f ca="1"/>
        <v>G&amp;A expenses</v>
      </c>
      <c r="K650" t="str">
        <f ca="1"/>
        <v>Hospedaje en TJ</v>
      </c>
      <c r="L650" t="str">
        <f ca="1">VLOOKUP(B650,[1]Total!$B:$Q,16,0)</f>
        <v>602.34.002 Gastos por visita tencica</v>
      </c>
      <c r="M650">
        <f t="shared" ca="1" si="21"/>
        <v>571.15</v>
      </c>
      <c r="N650" t="str">
        <f t="shared" ca="1" si="22"/>
        <v xml:space="preserve">Jorge Rojas UBER * EATS PENDING    CMX           MEX Uber Eats Uber Eats G&amp;A expenses Hospedaje en TJ </v>
      </c>
    </row>
    <row r="651" spans="1:14">
      <c r="A651" t="str">
        <f ca="1"/>
        <v>TRX1107</v>
      </c>
      <c r="B651" t="str">
        <f ca="1"/>
        <v>#64</v>
      </c>
      <c r="C651">
        <f ca="1"/>
        <v>46063.416666666599</v>
      </c>
      <c r="D651">
        <f ca="1"/>
        <v>722.85</v>
      </c>
      <c r="E651" t="str">
        <f ca="1"/>
        <v>MXN</v>
      </c>
      <c r="F651" t="str">
        <f ca="1"/>
        <v>Jorge Rojas</v>
      </c>
      <c r="G651" t="str">
        <f ca="1"/>
        <v>UBER * EATS PENDING    CMX           MEX</v>
      </c>
      <c r="H651" t="str">
        <f ca="1"/>
        <v>Uber Eats</v>
      </c>
      <c r="I651" t="str">
        <f ca="1"/>
        <v>Uber Eats</v>
      </c>
      <c r="J651" t="str">
        <f ca="1"/>
        <v>Recruiting</v>
      </c>
      <c r="K651" t="str">
        <f ca="1"/>
        <v>Agua</v>
      </c>
      <c r="L651" t="str">
        <f ca="1">VLOOKUP(B651,[1]Total!$B:$Q,16,0)</f>
        <v>602.34.002 Gastos por visita tencica</v>
      </c>
      <c r="M651">
        <f t="shared" ca="1" si="21"/>
        <v>722.85</v>
      </c>
      <c r="N651" t="str">
        <f t="shared" ca="1" si="22"/>
        <v xml:space="preserve">Jorge Rojas UBER * EATS PENDING    CMX           MEX Uber Eats Uber Eats Recruiting Agua </v>
      </c>
    </row>
    <row r="652" spans="1:14">
      <c r="A652" t="str">
        <f ca="1"/>
        <v>TRX1805</v>
      </c>
      <c r="B652" t="str">
        <f ca="1"/>
        <v>#64</v>
      </c>
      <c r="C652">
        <f ca="1"/>
        <v>46063.416666666599</v>
      </c>
      <c r="D652">
        <f ca="1"/>
        <v>248</v>
      </c>
      <c r="E652" t="str">
        <f ca="1"/>
        <v>MXN</v>
      </c>
      <c r="F652" t="str">
        <f ca="1"/>
        <v>Jorge Rojas</v>
      </c>
      <c r="G652" t="str">
        <f ca="1"/>
        <v>7ELEVEN T2843 BANDERAS TIJUANA BCN   MEX</v>
      </c>
      <c r="H652" t="str">
        <f ca="1"/>
        <v>7 Eleven</v>
      </c>
      <c r="I652" t="str">
        <f ca="1"/>
        <v>7 Eleven</v>
      </c>
      <c r="J652" t="str">
        <f ca="1"/>
        <v>G&amp;A expenses</v>
      </c>
      <c r="K652" t="str">
        <f ca="1"/>
        <v>Alimentos</v>
      </c>
      <c r="L652" t="str">
        <f ca="1">VLOOKUP(B652,[1]Total!$B:$Q,16,0)</f>
        <v>602.34.002 Gastos por visita tencica</v>
      </c>
      <c r="M652">
        <f t="shared" ca="1" si="21"/>
        <v>248</v>
      </c>
      <c r="N652" t="str">
        <f t="shared" ca="1" si="22"/>
        <v xml:space="preserve">Jorge Rojas 7ELEVEN T2843 BANDERAS TIJUANA BCN   MEX 7 Eleven 7 Eleven G&amp;A expenses Alimentos </v>
      </c>
    </row>
    <row r="653" spans="1:14">
      <c r="A653" t="str">
        <f ca="1"/>
        <v>TRX2023</v>
      </c>
      <c r="B653" t="str">
        <f ca="1"/>
        <v>#64</v>
      </c>
      <c r="C653">
        <f ca="1"/>
        <v>46064.416666666599</v>
      </c>
      <c r="D653">
        <f ca="1"/>
        <v>259.22000000000003</v>
      </c>
      <c r="E653" t="str">
        <f ca="1"/>
        <v>MXN</v>
      </c>
      <c r="F653" t="str">
        <f ca="1"/>
        <v>Jorge Rojas</v>
      </c>
      <c r="G653" t="str">
        <f ca="1"/>
        <v>UBER * EATS PENDING    CMX           MEX</v>
      </c>
      <c r="H653" t="str">
        <f ca="1"/>
        <v>Uber Eats</v>
      </c>
      <c r="I653" t="str">
        <f ca="1"/>
        <v>Uber Eats</v>
      </c>
      <c r="J653" t="str">
        <f ca="1"/>
        <v>Recruiting</v>
      </c>
      <c r="K653" t="str">
        <f ca="1"/>
        <v>alimentos</v>
      </c>
      <c r="L653" t="str">
        <f ca="1">VLOOKUP(B653,[1]Total!$B:$Q,16,0)</f>
        <v>602.34.002 Gastos por visita tencica</v>
      </c>
      <c r="M653">
        <f t="shared" ca="1" si="21"/>
        <v>259.22000000000003</v>
      </c>
      <c r="N653" t="str">
        <f t="shared" ca="1" si="22"/>
        <v xml:space="preserve">Jorge Rojas UBER * EATS PENDING    CMX           MEX Uber Eats Uber Eats Recruiting alimentos </v>
      </c>
    </row>
    <row r="654" spans="1:14">
      <c r="A654" t="str">
        <f ca="1"/>
        <v>TRX1419</v>
      </c>
      <c r="B654" t="str">
        <f ca="1"/>
        <v>#64</v>
      </c>
      <c r="C654">
        <f ca="1"/>
        <v>46064.416666666599</v>
      </c>
      <c r="D654">
        <f ca="1"/>
        <v>158.30000000000001</v>
      </c>
      <c r="E654" t="str">
        <f ca="1"/>
        <v>MXN</v>
      </c>
      <c r="F654" t="str">
        <f ca="1"/>
        <v>Jorge Rojas</v>
      </c>
      <c r="G654" t="str">
        <f ca="1"/>
        <v>WALMART LOMAS STA FE   TIJUANA BCN   MEX</v>
      </c>
      <c r="H654" t="str">
        <f ca="1"/>
        <v>Walmart</v>
      </c>
      <c r="I654" t="str">
        <f ca="1"/>
        <v>Walmart</v>
      </c>
      <c r="J654">
        <f ca="1"/>
        <v>0</v>
      </c>
      <c r="K654" t="str">
        <f ca="1"/>
        <v>Comida para trabajadores</v>
      </c>
      <c r="L654" t="str">
        <f ca="1">VLOOKUP(B654,[1]Total!$B:$Q,16,0)</f>
        <v>602.34.002 Gastos por visita tencica</v>
      </c>
      <c r="M654">
        <f t="shared" ca="1" si="21"/>
        <v>158.30000000000001</v>
      </c>
      <c r="N654" t="str">
        <f t="shared" ca="1" si="22"/>
        <v xml:space="preserve">Jorge Rojas WALMART LOMAS STA FE   TIJUANA BCN   MEX Walmart Walmart 0 Comida para trabajadores </v>
      </c>
    </row>
    <row r="655" spans="1:14">
      <c r="A655" t="str">
        <f ca="1"/>
        <v>TRX1159</v>
      </c>
      <c r="B655" t="str">
        <f ca="1"/>
        <v>#64</v>
      </c>
      <c r="C655">
        <f ca="1"/>
        <v>46064.417361111096</v>
      </c>
      <c r="D655">
        <f ca="1"/>
        <v>27</v>
      </c>
      <c r="E655" t="str">
        <f ca="1"/>
        <v>MXN</v>
      </c>
      <c r="F655" t="str">
        <f ca="1"/>
        <v>Jorge Rojas</v>
      </c>
      <c r="G655" t="str">
        <f ca="1"/>
        <v>7ELEVEN T2843 BANDERAS TIJUANA BCN   MEX</v>
      </c>
      <c r="H655" t="str">
        <f ca="1"/>
        <v>7 Eleven</v>
      </c>
      <c r="I655" t="str">
        <f ca="1"/>
        <v>7 Eleven</v>
      </c>
      <c r="J655">
        <f ca="1"/>
        <v>0</v>
      </c>
      <c r="K655" t="str">
        <f ca="1"/>
        <v>Alimentos</v>
      </c>
      <c r="L655" t="str">
        <f ca="1">VLOOKUP(B655,[1]Total!$B:$Q,16,0)</f>
        <v>602.34.002 Gastos por visita tencica</v>
      </c>
      <c r="M655">
        <f t="shared" ca="1" si="21"/>
        <v>27</v>
      </c>
      <c r="N655" t="str">
        <f t="shared" ca="1" si="22"/>
        <v xml:space="preserve">Jorge Rojas 7ELEVEN T2843 BANDERAS TIJUANA BCN   MEX 7 Eleven 7 Eleven 0 Alimentos </v>
      </c>
    </row>
    <row r="656" spans="1:14">
      <c r="A656" t="str">
        <f ca="1"/>
        <v>TRX1581</v>
      </c>
      <c r="B656" t="str">
        <f ca="1"/>
        <v>#64</v>
      </c>
      <c r="C656">
        <f ca="1"/>
        <v>46064.417361111096</v>
      </c>
      <c r="D656">
        <f ca="1"/>
        <v>200.29</v>
      </c>
      <c r="E656" t="str">
        <f ca="1"/>
        <v>MXN</v>
      </c>
      <c r="F656" t="str">
        <f ca="1"/>
        <v>Jorge Rojas</v>
      </c>
      <c r="G656" t="str">
        <f ca="1"/>
        <v>WALMART LOMAS STA FE   TIJUANA BCN   MEX</v>
      </c>
      <c r="H656" t="str">
        <f ca="1"/>
        <v>Walmart</v>
      </c>
      <c r="I656" t="str">
        <f ca="1"/>
        <v>Walmart</v>
      </c>
      <c r="J656">
        <f ca="1"/>
        <v>0</v>
      </c>
      <c r="K656" t="str">
        <f ca="1"/>
        <v>Herramienta menor para obra</v>
      </c>
      <c r="L656" t="str">
        <f ca="1">VLOOKUP(B656,[1]Total!$B:$Q,16,0)</f>
        <v>602.34.002 Gastos por visita tencica</v>
      </c>
      <c r="M656">
        <f t="shared" ca="1" si="21"/>
        <v>200.29</v>
      </c>
      <c r="N656" t="str">
        <f t="shared" ca="1" si="22"/>
        <v xml:space="preserve">Jorge Rojas WALMART LOMAS STA FE   TIJUANA BCN   MEX Walmart Walmart 0 Herramienta menor para obra </v>
      </c>
    </row>
    <row r="657" spans="1:14">
      <c r="A657" t="str">
        <f ca="1"/>
        <v>TRX1569</v>
      </c>
      <c r="B657" t="str">
        <f ca="1"/>
        <v>#64</v>
      </c>
      <c r="C657">
        <f ca="1"/>
        <v>46064.417361111096</v>
      </c>
      <c r="D657">
        <f ca="1"/>
        <v>96.16</v>
      </c>
      <c r="E657" t="str">
        <f ca="1"/>
        <v>MXN</v>
      </c>
      <c r="F657" t="str">
        <f ca="1"/>
        <v>Jorge Rojas</v>
      </c>
      <c r="G657" t="str">
        <f ca="1"/>
        <v>WALMART LOMAS STA FE   TIJUANA BCN   MEX</v>
      </c>
      <c r="H657" t="str">
        <f ca="1"/>
        <v>Walmart</v>
      </c>
      <c r="I657" t="str">
        <f ca="1"/>
        <v>Walmart</v>
      </c>
      <c r="J657">
        <f ca="1"/>
        <v>0</v>
      </c>
      <c r="K657" t="str">
        <f ca="1"/>
        <v>alimentos</v>
      </c>
      <c r="L657" t="str">
        <f ca="1">VLOOKUP(B657,[1]Total!$B:$Q,16,0)</f>
        <v>602.34.002 Gastos por visita tencica</v>
      </c>
      <c r="M657">
        <f t="shared" ca="1" si="21"/>
        <v>96.16</v>
      </c>
      <c r="N657" t="str">
        <f t="shared" ca="1" si="22"/>
        <v xml:space="preserve">Jorge Rojas WALMART LOMAS STA FE   TIJUANA BCN   MEX Walmart Walmart 0 alimentos </v>
      </c>
    </row>
    <row r="658" spans="1:14">
      <c r="A658" t="str">
        <f ca="1"/>
        <v>TRX1267</v>
      </c>
      <c r="B658" t="str">
        <f ca="1"/>
        <v>#64</v>
      </c>
      <c r="C658">
        <f ca="1"/>
        <v>46065.416666666599</v>
      </c>
      <c r="D658">
        <f ca="1"/>
        <v>338.46</v>
      </c>
      <c r="E658" t="str">
        <f ca="1"/>
        <v>MXN</v>
      </c>
      <c r="F658" t="str">
        <f ca="1"/>
        <v>Jorge Rojas</v>
      </c>
      <c r="G658" t="str">
        <f ca="1"/>
        <v>UBER * EATS PENDING    CMX           MEX</v>
      </c>
      <c r="H658" t="str">
        <f ca="1"/>
        <v>Uber Eats</v>
      </c>
      <c r="I658" t="str">
        <f ca="1"/>
        <v>Uber Eats</v>
      </c>
      <c r="J658">
        <f ca="1"/>
        <v>0</v>
      </c>
      <c r="K658" t="str">
        <f ca="1"/>
        <v>Traslados</v>
      </c>
      <c r="L658" t="str">
        <f ca="1">VLOOKUP(B658,[1]Total!$B:$Q,16,0)</f>
        <v>602.34.002 Gastos por visita tencica</v>
      </c>
      <c r="M658">
        <f t="shared" ca="1" si="21"/>
        <v>338.46</v>
      </c>
      <c r="N658" t="str">
        <f t="shared" ca="1" si="22"/>
        <v xml:space="preserve">Jorge Rojas UBER * EATS PENDING    CMX           MEX Uber Eats Uber Eats 0 Traslados </v>
      </c>
    </row>
    <row r="659" spans="1:14">
      <c r="A659" t="str">
        <f ca="1"/>
        <v>TRX2012</v>
      </c>
      <c r="B659" t="str">
        <f ca="1"/>
        <v>#64</v>
      </c>
      <c r="C659">
        <f ca="1"/>
        <v>46065.416666666599</v>
      </c>
      <c r="D659">
        <f ca="1"/>
        <v>266</v>
      </c>
      <c r="E659" t="str">
        <f ca="1"/>
        <v>MXN</v>
      </c>
      <c r="F659" t="str">
        <f ca="1"/>
        <v>Jorge Rojas</v>
      </c>
      <c r="G659" t="str">
        <f ca="1"/>
        <v>CINEPOLIS DULCERIA     MORELIA MICH  MEX</v>
      </c>
      <c r="H659" t="str">
        <f ca="1"/>
        <v>CinÃ©polis</v>
      </c>
      <c r="I659" t="str">
        <f ca="1"/>
        <v>CinÃ©polis</v>
      </c>
      <c r="J659" t="str">
        <f ca="1"/>
        <v>Recruiting</v>
      </c>
      <c r="K659" t="str">
        <f ca="1"/>
        <v>EPP</v>
      </c>
      <c r="L659" t="str">
        <f ca="1">VLOOKUP(B659,[1]Total!$B:$Q,16,0)</f>
        <v>602.34.002 Gastos por visita tencica</v>
      </c>
      <c r="M659">
        <f t="shared" ca="1" si="21"/>
        <v>266</v>
      </c>
      <c r="N659" t="str">
        <f t="shared" ca="1" si="22"/>
        <v xml:space="preserve">Jorge Rojas CINEPOLIS DULCERIA     MORELIA MICH  MEX CinÃ©polis CinÃ©polis Recruiting EPP </v>
      </c>
    </row>
    <row r="660" spans="1:14">
      <c r="A660" t="str">
        <f ca="1"/>
        <v>TRX1626</v>
      </c>
      <c r="B660" t="str">
        <f ca="1"/>
        <v>#64</v>
      </c>
      <c r="C660">
        <f ca="1"/>
        <v>46065.417361111096</v>
      </c>
      <c r="D660">
        <f ca="1"/>
        <v>22.9</v>
      </c>
      <c r="E660" t="str">
        <f ca="1"/>
        <v>MXN</v>
      </c>
      <c r="F660" t="str">
        <f ca="1"/>
        <v>Jorge Rojas</v>
      </c>
      <c r="G660" t="str">
        <f ca="1"/>
        <v>WALMART LOMAS STA FE   TIJUANA BCN   MEX</v>
      </c>
      <c r="H660" t="str">
        <f ca="1"/>
        <v>Walmart</v>
      </c>
      <c r="I660" t="str">
        <f ca="1"/>
        <v>Walmart</v>
      </c>
      <c r="J660">
        <f ca="1"/>
        <v>0</v>
      </c>
      <c r="K660" t="str">
        <f ca="1"/>
        <v>Impermeable para obra</v>
      </c>
      <c r="L660" t="str">
        <f ca="1">VLOOKUP(B660,[1]Total!$B:$Q,16,0)</f>
        <v>602.34.002 Gastos por visita tencica</v>
      </c>
      <c r="M660">
        <f t="shared" ca="1" si="21"/>
        <v>22.9</v>
      </c>
      <c r="N660" t="str">
        <f t="shared" ca="1" si="22"/>
        <v xml:space="preserve">Jorge Rojas WALMART LOMAS STA FE   TIJUANA BCN   MEX Walmart Walmart 0 Impermeable para obra </v>
      </c>
    </row>
    <row r="661" spans="1:14">
      <c r="A661" t="str">
        <f ca="1"/>
        <v>TRX1428</v>
      </c>
      <c r="B661" t="str">
        <f ca="1"/>
        <v>#64</v>
      </c>
      <c r="C661">
        <f ca="1"/>
        <v>46065.417361111096</v>
      </c>
      <c r="D661">
        <f ca="1"/>
        <v>320.82</v>
      </c>
      <c r="E661" t="str">
        <f ca="1"/>
        <v>MXN</v>
      </c>
      <c r="F661" t="str">
        <f ca="1"/>
        <v>Jorge Rojas</v>
      </c>
      <c r="G661" t="str">
        <f ca="1"/>
        <v>DLO*Uber eats          CDMX          MEX</v>
      </c>
      <c r="H661" t="str">
        <f ca="1"/>
        <v>Uber Eats</v>
      </c>
      <c r="I661" t="str">
        <f ca="1"/>
        <v>Uber Eats</v>
      </c>
      <c r="J661">
        <f ca="1"/>
        <v>0</v>
      </c>
      <c r="K661" t="str">
        <f ca="1"/>
        <v>Bandana</v>
      </c>
      <c r="L661" t="str">
        <f ca="1">VLOOKUP(B661,[1]Total!$B:$Q,16,0)</f>
        <v>602.34.002 Gastos por visita tencica</v>
      </c>
      <c r="M661">
        <f t="shared" ca="1" si="21"/>
        <v>320.82</v>
      </c>
      <c r="N661" t="str">
        <f t="shared" ca="1" si="22"/>
        <v xml:space="preserve">Jorge Rojas DLO*Uber eats          CDMX          MEX Uber Eats Uber Eats 0 Bandana </v>
      </c>
    </row>
    <row r="662" spans="1:14">
      <c r="A662" t="str">
        <f ca="1"/>
        <v>TRX1239</v>
      </c>
      <c r="B662" t="str">
        <f ca="1"/>
        <v>#64</v>
      </c>
      <c r="C662">
        <f ca="1"/>
        <v>46065.417361111096</v>
      </c>
      <c r="D662">
        <f ca="1"/>
        <v>819</v>
      </c>
      <c r="E662" t="str">
        <f ca="1"/>
        <v>MXN</v>
      </c>
      <c r="F662" t="str">
        <f ca="1"/>
        <v>Jorge Rojas</v>
      </c>
      <c r="G662" t="str">
        <f ca="1"/>
        <v>DAX LA PAJARITA        TIJUANA BCN   MEX</v>
      </c>
      <c r="H662" t="str">
        <f ca="1"/>
        <v>Dax La Pajarita Tijuana Bcn Mex</v>
      </c>
      <c r="I662" t="str">
        <f ca="1"/>
        <v>Dax La Pajarita Tijuana Bcn Mex</v>
      </c>
      <c r="J662" t="str">
        <f ca="1"/>
        <v>Recruiting</v>
      </c>
      <c r="K662" t="str">
        <f ca="1"/>
        <v>Alimentos</v>
      </c>
      <c r="L662" t="str">
        <f ca="1">VLOOKUP(B662,[1]Total!$B:$Q,16,0)</f>
        <v>602.34.002 Gastos por visita tencica</v>
      </c>
      <c r="M662">
        <f t="shared" ca="1" si="21"/>
        <v>819</v>
      </c>
      <c r="N662" t="str">
        <f t="shared" ca="1" si="22"/>
        <v xml:space="preserve">Jorge Rojas DAX LA PAJARITA        TIJUANA BCN   MEX Dax La Pajarita Tijuana Bcn Mex Dax La Pajarita Tijuana Bcn Mex Recruiting Alimentos </v>
      </c>
    </row>
    <row r="663" spans="1:14">
      <c r="A663" t="str">
        <f ca="1"/>
        <v>TRX1769</v>
      </c>
      <c r="B663" t="str">
        <f ca="1"/>
        <v>#64</v>
      </c>
      <c r="C663">
        <f ca="1"/>
        <v>46066.417361111096</v>
      </c>
      <c r="D663">
        <f ca="1"/>
        <v>460</v>
      </c>
      <c r="E663" t="str">
        <f ca="1"/>
        <v>MXN</v>
      </c>
      <c r="F663" t="str">
        <f ca="1"/>
        <v>Jorge Rojas</v>
      </c>
      <c r="G663" t="str">
        <f ca="1"/>
        <v>CLIP MX*SUPER BARRA LI TIJUANA       MEX</v>
      </c>
      <c r="H663" t="str">
        <f ca="1"/>
        <v>Super Mex</v>
      </c>
      <c r="I663" t="str">
        <f ca="1"/>
        <v>Super Mex</v>
      </c>
      <c r="J663">
        <f ca="1"/>
        <v>0</v>
      </c>
      <c r="K663" t="str">
        <f ca="1"/>
        <v>Consumibles</v>
      </c>
      <c r="L663" t="str">
        <f ca="1">VLOOKUP(B663,[1]Total!$B:$Q,16,0)</f>
        <v>602.34.002 Gastos por visita tencica</v>
      </c>
      <c r="M663">
        <f t="shared" ca="1" si="21"/>
        <v>460</v>
      </c>
      <c r="N663" t="str">
        <f t="shared" ca="1" si="22"/>
        <v xml:space="preserve">Jorge Rojas CLIP MX*SUPER BARRA LI TIJUANA       MEX Super Mex Super Mex 0 Consumibles </v>
      </c>
    </row>
    <row r="664" spans="1:14">
      <c r="A664" t="str">
        <f ca="1"/>
        <v>TRX1646</v>
      </c>
      <c r="B664" t="str">
        <f ca="1"/>
        <v>#64</v>
      </c>
      <c r="C664">
        <f ca="1"/>
        <v>46066.417361111096</v>
      </c>
      <c r="D664">
        <f ca="1"/>
        <v>92.9</v>
      </c>
      <c r="E664" t="str">
        <f ca="1"/>
        <v>MXN</v>
      </c>
      <c r="F664" t="str">
        <f ca="1"/>
        <v>Jorge Rojas</v>
      </c>
      <c r="G664" t="str">
        <f ca="1"/>
        <v>WALMART LOMAS STA FE   TIJUANA BCN   MEX</v>
      </c>
      <c r="H664" t="str">
        <f ca="1"/>
        <v>Walmart</v>
      </c>
      <c r="I664" t="str">
        <f ca="1"/>
        <v>Walmart</v>
      </c>
      <c r="J664">
        <f ca="1"/>
        <v>0</v>
      </c>
      <c r="K664" t="str">
        <f ca="1"/>
        <v>Misceláneos para trabajadores</v>
      </c>
      <c r="L664" t="str">
        <f ca="1">VLOOKUP(B664,[1]Total!$B:$Q,16,0)</f>
        <v>602.34.002 Gastos por visita tencica</v>
      </c>
      <c r="M664">
        <f t="shared" ca="1" si="21"/>
        <v>92.9</v>
      </c>
      <c r="N664" t="str">
        <f t="shared" ca="1" si="22"/>
        <v xml:space="preserve">Jorge Rojas WALMART LOMAS STA FE   TIJUANA BCN   MEX Walmart Walmart 0 Misceláneos para trabajadores </v>
      </c>
    </row>
    <row r="665" spans="1:14">
      <c r="A665" t="str">
        <f ca="1"/>
        <v>TRX1780</v>
      </c>
      <c r="B665" t="str">
        <f ca="1"/>
        <v>#64</v>
      </c>
      <c r="C665">
        <f ca="1"/>
        <v>46067.416666666599</v>
      </c>
      <c r="D665">
        <f ca="1"/>
        <v>621.87</v>
      </c>
      <c r="E665" t="str">
        <f ca="1"/>
        <v>MXN</v>
      </c>
      <c r="F665" t="str">
        <f ca="1"/>
        <v>Jorge Rojas</v>
      </c>
      <c r="G665" t="str">
        <f ca="1"/>
        <v>UBER * EATS PENDING    CMX           MEX</v>
      </c>
      <c r="H665" t="str">
        <f ca="1"/>
        <v>Uber Eats</v>
      </c>
      <c r="I665" t="str">
        <f ca="1"/>
        <v>Uber Eats</v>
      </c>
      <c r="J665">
        <f ca="1"/>
        <v>0</v>
      </c>
      <c r="K665" t="str">
        <f ca="1"/>
        <v xml:space="preserve">Comida equipo </v>
      </c>
      <c r="L665" t="str">
        <f ca="1">VLOOKUP(B665,[1]Total!$B:$Q,16,0)</f>
        <v>602.34.002 Gastos por visita tencica</v>
      </c>
      <c r="M665">
        <f t="shared" ca="1" si="21"/>
        <v>621.87</v>
      </c>
      <c r="N665" t="str">
        <f t="shared" ca="1" si="22"/>
        <v xml:space="preserve">Jorge Rojas UBER * EATS PENDING    CMX           MEX Uber Eats Uber Eats 0 Comida equipo  </v>
      </c>
    </row>
    <row r="666" spans="1:14">
      <c r="A666" t="str">
        <f ca="1"/>
        <v>TRX1374</v>
      </c>
      <c r="B666" t="str">
        <f ca="1"/>
        <v>#64</v>
      </c>
      <c r="C666">
        <f ca="1"/>
        <v>46067.416666666599</v>
      </c>
      <c r="D666">
        <f ca="1"/>
        <v>199.95</v>
      </c>
      <c r="E666" t="str">
        <f ca="1"/>
        <v>MXN</v>
      </c>
      <c r="F666" t="str">
        <f ca="1"/>
        <v>Jorge Rojas</v>
      </c>
      <c r="G666" t="str">
        <f ca="1"/>
        <v>UBER * PENDING         CMX           MEX</v>
      </c>
      <c r="H666" t="str">
        <f ca="1"/>
        <v>Uber</v>
      </c>
      <c r="I666" t="str">
        <f ca="1"/>
        <v>Uber</v>
      </c>
      <c r="J666">
        <f ca="1"/>
        <v>0</v>
      </c>
      <c r="K666" t="str">
        <f ca="1"/>
        <v>alimentos</v>
      </c>
      <c r="L666" t="str">
        <f ca="1">VLOOKUP(B666,[1]Total!$B:$Q,16,0)</f>
        <v>602.34.002 Gastos por visita tencica</v>
      </c>
      <c r="M666">
        <f t="shared" ca="1" si="21"/>
        <v>199.95</v>
      </c>
      <c r="N666" t="str">
        <f t="shared" ca="1" si="22"/>
        <v xml:space="preserve">Jorge Rojas UBER * PENDING         CMX           MEX Uber Uber 0 alimentos </v>
      </c>
    </row>
    <row r="667" spans="1:14">
      <c r="A667" t="str">
        <f ca="1"/>
        <v>TRX1236</v>
      </c>
      <c r="B667" t="str">
        <f ca="1"/>
        <v>#64</v>
      </c>
      <c r="C667">
        <f ca="1"/>
        <v>46067.417361111096</v>
      </c>
      <c r="D667">
        <f ca="1"/>
        <v>590.70000000000005</v>
      </c>
      <c r="E667" t="str">
        <f ca="1"/>
        <v>MXN</v>
      </c>
      <c r="F667" t="str">
        <f ca="1"/>
        <v>Jorge Rojas</v>
      </c>
      <c r="G667" t="str">
        <f ca="1"/>
        <v>VIPS TIJUANA 81121     TIJUANA BCN   MEX</v>
      </c>
      <c r="H667" t="str">
        <f ca="1"/>
        <v>Vips Tijuana Tijuana Bcn Mex</v>
      </c>
      <c r="I667" t="str">
        <f ca="1"/>
        <v>Vips Tijuana Tijuana Bcn Mex</v>
      </c>
      <c r="J667" t="str">
        <f ca="1"/>
        <v>Recruiting</v>
      </c>
      <c r="K667" t="str">
        <f ca="1"/>
        <v>Combustibles para equipos operativos</v>
      </c>
      <c r="L667" t="str">
        <f ca="1">VLOOKUP(B667,[1]Total!$B:$Q,16,0)</f>
        <v>602.34.002 Gastos por visita tencica</v>
      </c>
      <c r="M667">
        <f t="shared" ca="1" si="21"/>
        <v>590.70000000000005</v>
      </c>
      <c r="N667" t="str">
        <f t="shared" ca="1" si="22"/>
        <v xml:space="preserve">Jorge Rojas VIPS TIJUANA 81121     TIJUANA BCN   MEX Vips Tijuana Tijuana Bcn Mex Vips Tijuana Tijuana Bcn Mex Recruiting Combustibles para equipos operativos </v>
      </c>
    </row>
    <row r="668" spans="1:14">
      <c r="A668" t="str">
        <f ca="1"/>
        <v>TRX2020</v>
      </c>
      <c r="B668" t="str">
        <f ca="1"/>
        <v>#64</v>
      </c>
      <c r="C668">
        <f ca="1"/>
        <v>46067.417361111096</v>
      </c>
      <c r="D668">
        <f ca="1"/>
        <v>301.27</v>
      </c>
      <c r="E668" t="str">
        <f ca="1"/>
        <v>MXN</v>
      </c>
      <c r="F668" t="str">
        <f ca="1"/>
        <v>Jorge Rojas</v>
      </c>
      <c r="G668" t="str">
        <f ca="1"/>
        <v>WALMART LOMAS STA FE   TIJUANA BCN   MEX</v>
      </c>
      <c r="H668" t="str">
        <f ca="1"/>
        <v>Walmart</v>
      </c>
      <c r="I668" t="str">
        <f ca="1"/>
        <v>Walmart</v>
      </c>
      <c r="J668" t="str">
        <f ca="1"/>
        <v>Recruiting</v>
      </c>
      <c r="K668" t="str">
        <f ca="1"/>
        <v>Cena equipo PRIMA</v>
      </c>
      <c r="L668" t="str">
        <f ca="1">VLOOKUP(B668,[1]Total!$B:$Q,16,0)</f>
        <v>602.34.002 Gastos por visita tencica</v>
      </c>
      <c r="M668">
        <f t="shared" ca="1" si="21"/>
        <v>301.27</v>
      </c>
      <c r="N668" t="str">
        <f t="shared" ca="1" si="22"/>
        <v xml:space="preserve">Jorge Rojas WALMART LOMAS STA FE   TIJUANA BCN   MEX Walmart Walmart Recruiting Cena equipo PRIMA </v>
      </c>
    </row>
    <row r="669" spans="1:14">
      <c r="A669" t="str">
        <f ca="1"/>
        <v>TRX1933</v>
      </c>
      <c r="B669" t="str">
        <f ca="1"/>
        <v>#64</v>
      </c>
      <c r="C669">
        <f ca="1"/>
        <v>46068.416666666599</v>
      </c>
      <c r="D669">
        <f ca="1"/>
        <v>266.42</v>
      </c>
      <c r="E669" t="str">
        <f ca="1"/>
        <v>MXN</v>
      </c>
      <c r="F669" t="str">
        <f ca="1"/>
        <v>Jorge Rojas</v>
      </c>
      <c r="G669" t="str">
        <f ca="1"/>
        <v>UBER * EATS PENDING    CMX           MEX</v>
      </c>
      <c r="H669" t="str">
        <f ca="1"/>
        <v>Uber Eats</v>
      </c>
      <c r="I669" t="str">
        <f ca="1"/>
        <v>Uber Eats</v>
      </c>
      <c r="J669" t="str">
        <f ca="1"/>
        <v>G&amp;A expenses</v>
      </c>
      <c r="K669" t="str">
        <f ca="1"/>
        <v>Cancelacion</v>
      </c>
      <c r="L669" t="str">
        <f ca="1">VLOOKUP(B669,[1]Total!$B:$Q,16,0)</f>
        <v>602.34.002 Gastos por visita tencica</v>
      </c>
      <c r="M669">
        <f t="shared" ca="1" si="21"/>
        <v>266.42</v>
      </c>
      <c r="N669" t="str">
        <f t="shared" ca="1" si="22"/>
        <v xml:space="preserve">Jorge Rojas UBER * EATS PENDING    CMX           MEX Uber Eats Uber Eats G&amp;A expenses Cancelacion </v>
      </c>
    </row>
    <row r="670" spans="1:14">
      <c r="A670" t="str">
        <f ca="1"/>
        <v>TRX1657</v>
      </c>
      <c r="B670" t="str">
        <f ca="1"/>
        <v>#64</v>
      </c>
      <c r="C670">
        <f ca="1"/>
        <v>46068.416666666599</v>
      </c>
      <c r="D670">
        <f ca="1"/>
        <v>836</v>
      </c>
      <c r="E670" t="str">
        <f ca="1"/>
        <v>MXN</v>
      </c>
      <c r="F670" t="str">
        <f ca="1"/>
        <v>Jorge Rojas</v>
      </c>
      <c r="G670" t="str">
        <f ca="1"/>
        <v>MERCADOPAGO *ITALIA    Tijuana       MEX</v>
      </c>
      <c r="H670" t="str">
        <f ca="1"/>
        <v>Mercadopago</v>
      </c>
      <c r="I670" t="str">
        <f ca="1"/>
        <v>Mercadopago</v>
      </c>
      <c r="J670">
        <f ca="1"/>
        <v>0</v>
      </c>
      <c r="K670" t="str">
        <f ca="1"/>
        <v>Traslados</v>
      </c>
      <c r="L670" t="str">
        <f ca="1">VLOOKUP(B670,[1]Total!$B:$Q,16,0)</f>
        <v>602.34.002 Gastos por visita tencica</v>
      </c>
      <c r="M670">
        <f t="shared" ca="1" si="21"/>
        <v>836</v>
      </c>
      <c r="N670" t="str">
        <f t="shared" ca="1" si="22"/>
        <v xml:space="preserve">Jorge Rojas MERCADOPAGO *ITALIA    Tijuana       MEX Mercadopago Mercadopago 0 Traslados </v>
      </c>
    </row>
    <row r="671" spans="1:14">
      <c r="A671" t="str">
        <f ca="1"/>
        <v>TRX1048</v>
      </c>
      <c r="B671" t="str">
        <f ca="1"/>
        <v>#64</v>
      </c>
      <c r="C671">
        <f ca="1"/>
        <v>46068.416666666599</v>
      </c>
      <c r="D671">
        <f ca="1"/>
        <v>970</v>
      </c>
      <c r="E671" t="str">
        <f ca="1"/>
        <v>MXN</v>
      </c>
      <c r="F671" t="str">
        <f ca="1"/>
        <v>Jorge Rojas</v>
      </c>
      <c r="G671" t="str">
        <f ca="1"/>
        <v>RCH SANTA FE           TIJUANA BCN   MEX</v>
      </c>
      <c r="H671" t="str">
        <f ca="1"/>
        <v>Rch Santa Fe Tijuana Bcn Mex</v>
      </c>
      <c r="I671" t="str">
        <f ca="1"/>
        <v>Rch Santa Fe Tijuana Bcn Mex</v>
      </c>
      <c r="J671">
        <f ca="1"/>
        <v>0</v>
      </c>
      <c r="K671" t="str">
        <f ca="1"/>
        <v>Traslados</v>
      </c>
      <c r="L671" t="str">
        <f ca="1">VLOOKUP(B671,[1]Total!$B:$Q,16,0)</f>
        <v>602.34.002 Gastos por visita tencica</v>
      </c>
      <c r="M671">
        <f t="shared" ca="1" si="21"/>
        <v>970</v>
      </c>
      <c r="N671" t="str">
        <f t="shared" ca="1" si="22"/>
        <v xml:space="preserve">Jorge Rojas RCH SANTA FE           TIJUANA BCN   MEX Rch Santa Fe Tijuana Bcn Mex Rch Santa Fe Tijuana Bcn Mex 0 Traslados </v>
      </c>
    </row>
    <row r="672" spans="1:14">
      <c r="A672" t="str">
        <f ca="1"/>
        <v>TRX1609</v>
      </c>
      <c r="B672" t="str">
        <f ca="1"/>
        <v>#64</v>
      </c>
      <c r="C672">
        <f ca="1"/>
        <v>46068.417361111096</v>
      </c>
      <c r="D672">
        <f ca="1"/>
        <v>717</v>
      </c>
      <c r="E672" t="str">
        <f ca="1"/>
        <v>MXN</v>
      </c>
      <c r="F672" t="str">
        <f ca="1"/>
        <v>Jorge Rojas</v>
      </c>
      <c r="G672" t="str">
        <f ca="1"/>
        <v>TACOS EL CHINO 2       ROSARITO BCN  MEX</v>
      </c>
      <c r="H672" t="str">
        <f ca="1"/>
        <v>Tacos El Chino 2 Rosarito Bcn Mex</v>
      </c>
      <c r="I672" t="str">
        <f ca="1"/>
        <v>Tacos El Chino 2 Rosarito Bcn Mex</v>
      </c>
      <c r="J672" t="str">
        <f ca="1"/>
        <v>Recruiting</v>
      </c>
      <c r="K672" t="str">
        <f ca="1"/>
        <v>Renta auto equipo PRIMA</v>
      </c>
      <c r="L672" t="str">
        <f ca="1">VLOOKUP(B672,[1]Total!$B:$Q,16,0)</f>
        <v>602.34.002 Gastos por visita tencica</v>
      </c>
      <c r="M672">
        <f t="shared" ca="1" si="21"/>
        <v>717</v>
      </c>
      <c r="N672" t="str">
        <f t="shared" ca="1" si="22"/>
        <v xml:space="preserve">Jorge Rojas TACOS EL CHINO 2       ROSARITO BCN  MEX Tacos El Chino 2 Rosarito Bcn Mex Tacos El Chino 2 Rosarito Bcn Mex Recruiting Renta auto equipo PRIMA </v>
      </c>
    </row>
    <row r="673" spans="1:14">
      <c r="A673" t="str">
        <f ca="1"/>
        <v>TRX1204</v>
      </c>
      <c r="B673" t="str">
        <f ca="1"/>
        <v>#64</v>
      </c>
      <c r="C673">
        <f ca="1"/>
        <v>46068.417361111096</v>
      </c>
      <c r="D673">
        <f ca="1"/>
        <v>2214.85</v>
      </c>
      <c r="E673" t="str">
        <f ca="1"/>
        <v>MXN</v>
      </c>
      <c r="F673" t="str">
        <f ca="1"/>
        <v>Jorge Rojas</v>
      </c>
      <c r="G673" t="str">
        <f ca="1"/>
        <v>LIV TIJUANA            TIJUANA BCN   MEX</v>
      </c>
      <c r="H673" t="str">
        <f ca="1"/>
        <v>Liv Tijuana Tijuana Bcn Mex</v>
      </c>
      <c r="I673" t="str">
        <f ca="1"/>
        <v>Liv Tijuana Tijuana Bcn Mex</v>
      </c>
      <c r="J673">
        <f ca="1"/>
        <v>0</v>
      </c>
      <c r="K673" t="str">
        <f ca="1"/>
        <v>Alimentos</v>
      </c>
      <c r="L673" t="str">
        <f ca="1">VLOOKUP(B673,[1]Total!$B:$Q,16,0)</f>
        <v>602.34.002 Gastos por visita tencica</v>
      </c>
      <c r="M673">
        <f t="shared" ca="1" si="21"/>
        <v>2214.85</v>
      </c>
      <c r="N673" t="str">
        <f t="shared" ca="1" si="22"/>
        <v xml:space="preserve">Jorge Rojas LIV TIJUANA            TIJUANA BCN   MEX Liv Tijuana Tijuana Bcn Mex Liv Tijuana Tijuana Bcn Mex 0 Alimentos </v>
      </c>
    </row>
    <row r="674" spans="1:14">
      <c r="A674" t="str">
        <f ca="1"/>
        <v>TRX1539</v>
      </c>
      <c r="B674" t="str">
        <f ca="1"/>
        <v>#64</v>
      </c>
      <c r="C674">
        <f ca="1"/>
        <v>46069.416666666599</v>
      </c>
      <c r="D674">
        <f ca="1"/>
        <v>304</v>
      </c>
      <c r="E674" t="str">
        <f ca="1"/>
        <v>MXN</v>
      </c>
      <c r="F674" t="str">
        <f ca="1"/>
        <v>Jorge Rojas</v>
      </c>
      <c r="G674" t="str">
        <f ca="1"/>
        <v>7ELEVEN T2843 BANDERAS TIJUANA BCN   MEX</v>
      </c>
      <c r="H674" t="str">
        <f ca="1"/>
        <v>7 Eleven</v>
      </c>
      <c r="I674" t="str">
        <f ca="1"/>
        <v>7 Eleven</v>
      </c>
      <c r="J674" t="str">
        <f ca="1"/>
        <v>Recruiting</v>
      </c>
      <c r="K674" t="str">
        <f ca="1"/>
        <v>Oxigeno para equipo de oxicorte</v>
      </c>
      <c r="L674" t="str">
        <f ca="1">VLOOKUP(B674,[1]Total!$B:$Q,16,0)</f>
        <v>602.34.002 Gastos por visita tencica</v>
      </c>
      <c r="M674">
        <f t="shared" ca="1" si="21"/>
        <v>304</v>
      </c>
      <c r="N674" t="str">
        <f t="shared" ca="1" si="22"/>
        <v xml:space="preserve">Jorge Rojas 7ELEVEN T2843 BANDERAS TIJUANA BCN   MEX 7 Eleven 7 Eleven Recruiting Oxigeno para equipo de oxicorte </v>
      </c>
    </row>
    <row r="675" spans="1:14">
      <c r="A675" t="str">
        <f ca="1"/>
        <v>TRX1685</v>
      </c>
      <c r="B675" t="str">
        <f ca="1"/>
        <v>#64</v>
      </c>
      <c r="C675">
        <f ca="1"/>
        <v>46069.416666666599</v>
      </c>
      <c r="D675">
        <f ca="1"/>
        <v>522.34</v>
      </c>
      <c r="E675" t="str">
        <f ca="1"/>
        <v>USD</v>
      </c>
      <c r="F675" t="str">
        <f ca="1"/>
        <v>Jorge Rojas</v>
      </c>
      <c r="G675" t="str">
        <f ca="1"/>
        <v>MCDONALD'S F32595      LAS VEGAS     USA</v>
      </c>
      <c r="H675" t="str">
        <f ca="1"/>
        <v>McDonald's</v>
      </c>
      <c r="I675" t="str">
        <f ca="1"/>
        <v>McDonald's</v>
      </c>
      <c r="J675" t="str">
        <f ca="1"/>
        <v>Recruiting</v>
      </c>
      <c r="K675" t="str">
        <f ca="1"/>
        <v>Hospedaje de dos personas TJ</v>
      </c>
      <c r="L675" t="str">
        <f ca="1">VLOOKUP(B675,[1]Total!$B:$Q,16,0)</f>
        <v>602.34.002 Gastos por visita tencica</v>
      </c>
      <c r="M675">
        <f t="shared" ca="1" si="21"/>
        <v>522.34</v>
      </c>
      <c r="N675" t="str">
        <f t="shared" ca="1" si="22"/>
        <v xml:space="preserve">Jorge Rojas MCDONALD'S F32595      LAS VEGAS     USA McDonald's McDonald's Recruiting Hospedaje de dos personas TJ </v>
      </c>
    </row>
    <row r="676" spans="1:14">
      <c r="A676" t="str">
        <f ca="1"/>
        <v>TRX1506</v>
      </c>
      <c r="B676" t="str">
        <f ca="1"/>
        <v>#64</v>
      </c>
      <c r="C676">
        <f ca="1"/>
        <v>46069.416666666599</v>
      </c>
      <c r="D676">
        <f ca="1"/>
        <v>5442.41</v>
      </c>
      <c r="E676" t="str">
        <f ca="1"/>
        <v>MXN</v>
      </c>
      <c r="F676" t="str">
        <f ca="1"/>
        <v>Jorge Rojas</v>
      </c>
      <c r="G676" t="str">
        <f ca="1"/>
        <v>AIRBNB * HMR2YBXSEE    LONDON        GBR</v>
      </c>
      <c r="H676" t="str">
        <f ca="1"/>
        <v>Airbnb</v>
      </c>
      <c r="I676" t="str">
        <f ca="1"/>
        <v>Airbnb</v>
      </c>
      <c r="J676" t="str">
        <f ca="1"/>
        <v>Recruiting</v>
      </c>
      <c r="K676" t="str">
        <f ca="1"/>
        <v>Materiales para ejecución</v>
      </c>
      <c r="L676" t="str">
        <f ca="1">VLOOKUP(B676,[1]Total!$B:$Q,16,0)</f>
        <v>602.34.002 Gastos por visita tencica</v>
      </c>
      <c r="M676">
        <f t="shared" ca="1" si="21"/>
        <v>5442.41</v>
      </c>
      <c r="N676" t="str">
        <f t="shared" ca="1" si="22"/>
        <v xml:space="preserve">Jorge Rojas AIRBNB * HMR2YBXSEE    LONDON        GBR Airbnb Airbnb Recruiting Materiales para ejecución </v>
      </c>
    </row>
    <row r="677" spans="1:14">
      <c r="A677" t="str">
        <f ca="1"/>
        <v>TRX1348</v>
      </c>
      <c r="B677" t="str">
        <f ca="1"/>
        <v>#64</v>
      </c>
      <c r="C677">
        <f ca="1"/>
        <v>46069.416666666599</v>
      </c>
      <c r="D677">
        <f ca="1"/>
        <v>5215.38</v>
      </c>
      <c r="E677" t="str">
        <f ca="1"/>
        <v>MXN</v>
      </c>
      <c r="F677" t="str">
        <f ca="1"/>
        <v>Jorge Rojas</v>
      </c>
      <c r="G677" t="str">
        <f ca="1"/>
        <v>AIRBNB * HMN35WN38E    LONDON        GBR</v>
      </c>
      <c r="H677" t="str">
        <f ca="1"/>
        <v>Airbnb</v>
      </c>
      <c r="I677" t="str">
        <f ca="1"/>
        <v>Airbnb</v>
      </c>
      <c r="J677">
        <f ca="1"/>
        <v>0</v>
      </c>
      <c r="K677">
        <f ca="1"/>
        <v>0</v>
      </c>
      <c r="L677" t="str">
        <f ca="1">VLOOKUP(B677,[1]Total!$B:$Q,16,0)</f>
        <v>602.34.002 Gastos por visita tencica</v>
      </c>
      <c r="M677">
        <f t="shared" ca="1" si="21"/>
        <v>5215.38</v>
      </c>
      <c r="N677" t="str">
        <f t="shared" ca="1" si="22"/>
        <v xml:space="preserve">Jorge Rojas AIRBNB * HMN35WN38E    LONDON        GBR Airbnb Airbnb 0 0 </v>
      </c>
    </row>
    <row r="678" spans="1:14">
      <c r="A678" t="str">
        <f ca="1"/>
        <v>TRX1633</v>
      </c>
      <c r="B678" t="str">
        <f ca="1"/>
        <v>#64</v>
      </c>
      <c r="C678">
        <f ca="1"/>
        <v>46070.416666666599</v>
      </c>
      <c r="D678">
        <f ca="1"/>
        <v>562.1</v>
      </c>
      <c r="E678" t="str">
        <f ca="1"/>
        <v>MXN</v>
      </c>
      <c r="F678" t="str">
        <f ca="1"/>
        <v>Jorge Rojas</v>
      </c>
      <c r="G678" t="str">
        <f ca="1"/>
        <v>REST TIJUANAZO RIO     TIJUANA BCN   MEX</v>
      </c>
      <c r="H678" t="str">
        <f ca="1"/>
        <v>Rest Tijuanazo Rio Tijuana Bcn Mex</v>
      </c>
      <c r="I678" t="str">
        <f ca="1"/>
        <v>Rest Tijuanazo Rio Tijuana Bcn Mex</v>
      </c>
      <c r="J678">
        <f ca="1"/>
        <v>0</v>
      </c>
      <c r="K678">
        <f ca="1"/>
        <v>0</v>
      </c>
      <c r="L678" t="str">
        <f ca="1">VLOOKUP(B678,[1]Total!$B:$Q,16,0)</f>
        <v>602.34.002 Gastos por visita tencica</v>
      </c>
      <c r="M678">
        <f t="shared" ca="1" si="21"/>
        <v>562.1</v>
      </c>
      <c r="N678" t="str">
        <f t="shared" ca="1" si="22"/>
        <v xml:space="preserve">Jorge Rojas REST TIJUANAZO RIO     TIJUANA BCN   MEX Rest Tijuanazo Rio Tijuana Bcn Mex Rest Tijuanazo Rio Tijuana Bcn Mex 0 0 </v>
      </c>
    </row>
    <row r="679" spans="1:14">
      <c r="A679" t="str">
        <f ca="1"/>
        <v>TRX1163</v>
      </c>
      <c r="B679" t="str">
        <f ca="1"/>
        <v>#64</v>
      </c>
      <c r="C679">
        <f ca="1"/>
        <v>46071.416666666599</v>
      </c>
      <c r="D679">
        <f ca="1"/>
        <v>531.80999999999995</v>
      </c>
      <c r="E679" t="str">
        <f ca="1"/>
        <v>MXN</v>
      </c>
      <c r="F679" t="str">
        <f ca="1"/>
        <v>Jorge Rojas</v>
      </c>
      <c r="G679" t="str">
        <f ca="1"/>
        <v>UBER * EATS PENDING    CMX           MEX</v>
      </c>
      <c r="H679" t="str">
        <f ca="1"/>
        <v>Uber Eats</v>
      </c>
      <c r="I679" t="str">
        <f ca="1"/>
        <v>Uber Eats</v>
      </c>
      <c r="J679">
        <f ca="1"/>
        <v>0</v>
      </c>
      <c r="K679">
        <f ca="1"/>
        <v>0</v>
      </c>
      <c r="L679" t="str">
        <f ca="1">VLOOKUP(B679,[1]Total!$B:$Q,16,0)</f>
        <v>602.34.002 Gastos por visita tencica</v>
      </c>
      <c r="M679">
        <f t="shared" ca="1" si="21"/>
        <v>531.80999999999995</v>
      </c>
      <c r="N679" t="str">
        <f t="shared" ca="1" si="22"/>
        <v xml:space="preserve">Jorge Rojas UBER * EATS PENDING    CMX           MEX Uber Eats Uber Eats 0 0 </v>
      </c>
    </row>
    <row r="680" spans="1:14">
      <c r="A680" t="str">
        <f ca="1"/>
        <v>TRX1607</v>
      </c>
      <c r="B680" t="str">
        <f ca="1"/>
        <v>#64</v>
      </c>
      <c r="C680">
        <f ca="1"/>
        <v>46071.416666666599</v>
      </c>
      <c r="D680">
        <f ca="1"/>
        <v>800</v>
      </c>
      <c r="E680" t="str">
        <f ca="1"/>
        <v>MXN</v>
      </c>
      <c r="F680" t="str">
        <f ca="1"/>
        <v>Jorge Rojas</v>
      </c>
      <c r="G680" t="str">
        <f ca="1"/>
        <v>EUROPCAR WEB 2         BENITO JUAREZ MEX</v>
      </c>
      <c r="H680" t="str">
        <f ca="1"/>
        <v>Europcar</v>
      </c>
      <c r="I680" t="str">
        <f ca="1"/>
        <v>Europcar</v>
      </c>
      <c r="J680">
        <f ca="1"/>
        <v>0</v>
      </c>
      <c r="K680">
        <f ca="1"/>
        <v>0</v>
      </c>
      <c r="L680" t="str">
        <f ca="1">VLOOKUP(B680,[1]Total!$B:$Q,16,0)</f>
        <v>602.34.002 Gastos por visita tencica</v>
      </c>
      <c r="M680">
        <f t="shared" ca="1" si="21"/>
        <v>800</v>
      </c>
      <c r="N680" t="str">
        <f t="shared" ca="1" si="22"/>
        <v xml:space="preserve">Jorge Rojas EUROPCAR WEB 2         BENITO JUAREZ MEX Europcar Europcar 0 0 </v>
      </c>
    </row>
    <row r="681" spans="1:14">
      <c r="A681" t="str">
        <f ca="1"/>
        <v>TRX1868</v>
      </c>
      <c r="B681" t="str">
        <f ca="1"/>
        <v>#64</v>
      </c>
      <c r="C681">
        <f ca="1"/>
        <v>46071.416666666599</v>
      </c>
      <c r="D681">
        <f ca="1"/>
        <v>4800</v>
      </c>
      <c r="E681" t="str">
        <f ca="1"/>
        <v>MXN</v>
      </c>
      <c r="F681" t="str">
        <f ca="1"/>
        <v>Jorge Rojas</v>
      </c>
      <c r="G681" t="str">
        <f ca="1"/>
        <v>EUROPCAR WEB 2         BENITO JUAREZ MEX</v>
      </c>
      <c r="H681" t="str">
        <f ca="1"/>
        <v>Europcar</v>
      </c>
      <c r="I681" t="str">
        <f ca="1"/>
        <v>Europcar</v>
      </c>
      <c r="J681">
        <f ca="1"/>
        <v>0</v>
      </c>
      <c r="K681">
        <f ca="1"/>
        <v>0</v>
      </c>
      <c r="L681" t="str">
        <f ca="1">VLOOKUP(B681,[1]Total!$B:$Q,16,0)</f>
        <v>602.34.002 Gastos por visita tencica</v>
      </c>
      <c r="M681">
        <f t="shared" ca="1" si="21"/>
        <v>4800</v>
      </c>
      <c r="N681" t="str">
        <f t="shared" ca="1" si="22"/>
        <v xml:space="preserve">Jorge Rojas EUROPCAR WEB 2         BENITO JUAREZ MEX Europcar Europcar 0 0 </v>
      </c>
    </row>
    <row r="682" spans="1:14">
      <c r="A682" t="str">
        <f ca="1"/>
        <v>TRX1020</v>
      </c>
      <c r="B682" t="str">
        <f ca="1"/>
        <v>#64</v>
      </c>
      <c r="C682">
        <f ca="1"/>
        <v>46071.417361111096</v>
      </c>
      <c r="D682">
        <f ca="1"/>
        <v>90</v>
      </c>
      <c r="E682" t="str">
        <f ca="1"/>
        <v>MXN</v>
      </c>
      <c r="F682" t="str">
        <f ca="1"/>
        <v>Jorge Rojas</v>
      </c>
      <c r="G682" t="str">
        <f ca="1"/>
        <v>7ELEVEN T2843 BANDERAS TIJUANA BCN   MEX</v>
      </c>
      <c r="H682" t="str">
        <f ca="1"/>
        <v>7 Eleven</v>
      </c>
      <c r="I682" t="str">
        <f ca="1"/>
        <v>7 Eleven</v>
      </c>
      <c r="J682">
        <f ca="1"/>
        <v>0</v>
      </c>
      <c r="K682">
        <f ca="1"/>
        <v>0</v>
      </c>
      <c r="L682" t="str">
        <f ca="1">VLOOKUP(B682,[1]Total!$B:$Q,16,0)</f>
        <v>602.34.002 Gastos por visita tencica</v>
      </c>
      <c r="M682">
        <f t="shared" ca="1" si="21"/>
        <v>90</v>
      </c>
      <c r="N682" t="str">
        <f t="shared" ca="1" si="22"/>
        <v xml:space="preserve">Jorge Rojas 7ELEVEN T2843 BANDERAS TIJUANA BCN   MEX 7 Eleven 7 Eleven 0 0 </v>
      </c>
    </row>
    <row r="683" spans="1:14">
      <c r="A683" t="str">
        <f ca="1"/>
        <v>TRX1475</v>
      </c>
      <c r="B683" t="str">
        <f ca="1"/>
        <v>#64</v>
      </c>
      <c r="C683">
        <f ca="1"/>
        <v>46071.417361111096</v>
      </c>
      <c r="D683">
        <f ca="1"/>
        <v>540</v>
      </c>
      <c r="E683" t="str">
        <f ca="1"/>
        <v>MXN</v>
      </c>
      <c r="F683" t="str">
        <f ca="1"/>
        <v>Jorge Rojas</v>
      </c>
      <c r="G683" t="str">
        <f ca="1"/>
        <v>EUROPCAR WEB 2         BENITO JUAREZ MEX</v>
      </c>
      <c r="H683" t="str">
        <f ca="1"/>
        <v>Europcar</v>
      </c>
      <c r="I683" t="str">
        <f ca="1"/>
        <v>Europcar</v>
      </c>
      <c r="J683">
        <f ca="1"/>
        <v>0</v>
      </c>
      <c r="K683">
        <f ca="1"/>
        <v>0</v>
      </c>
      <c r="L683" t="str">
        <f ca="1">VLOOKUP(B683,[1]Total!$B:$Q,16,0)</f>
        <v>602.34.002 Gastos por visita tencica</v>
      </c>
      <c r="M683">
        <f t="shared" ca="1" si="21"/>
        <v>540</v>
      </c>
      <c r="N683" t="str">
        <f t="shared" ca="1" si="22"/>
        <v xml:space="preserve">Jorge Rojas EUROPCAR WEB 2         BENITO JUAREZ MEX Europcar Europcar 0 0 </v>
      </c>
    </row>
    <row r="684" spans="1:14">
      <c r="A684" t="str">
        <f ca="1"/>
        <v>TRX1524</v>
      </c>
      <c r="B684" t="str">
        <f ca="1"/>
        <v>#64</v>
      </c>
      <c r="C684">
        <f ca="1"/>
        <v>46071.417361111096</v>
      </c>
      <c r="D684">
        <f ca="1"/>
        <v>184.36</v>
      </c>
      <c r="E684" t="str">
        <f ca="1"/>
        <v>MXN</v>
      </c>
      <c r="F684" t="str">
        <f ca="1"/>
        <v>Jorge Rojas</v>
      </c>
      <c r="G684" t="str">
        <f ca="1"/>
        <v>FERR EXPRESS CEDROS    TIJUANA BCN   MEX</v>
      </c>
      <c r="H684" t="str">
        <f ca="1"/>
        <v>Ferr Express Cedros Tijuana Bcn Mex</v>
      </c>
      <c r="I684" t="str">
        <f ca="1"/>
        <v>Ferr Express Cedros Tijuana Bcn Mex</v>
      </c>
      <c r="J684">
        <f ca="1"/>
        <v>0</v>
      </c>
      <c r="K684">
        <f ca="1"/>
        <v>0</v>
      </c>
      <c r="L684" t="str">
        <f ca="1">VLOOKUP(B684,[1]Total!$B:$Q,16,0)</f>
        <v>602.34.002 Gastos por visita tencica</v>
      </c>
      <c r="M684">
        <f t="shared" ca="1" si="21"/>
        <v>184.36</v>
      </c>
      <c r="N684" t="str">
        <f t="shared" ca="1" si="22"/>
        <v xml:space="preserve">Jorge Rojas FERR EXPRESS CEDROS    TIJUANA BCN   MEX Ferr Express Cedros Tijuana Bcn Mex Ferr Express Cedros Tijuana Bcn Mex 0 0 </v>
      </c>
    </row>
    <row r="685" spans="1:14">
      <c r="A685" t="str">
        <f ca="1"/>
        <v>TRX1962</v>
      </c>
      <c r="B685" t="str">
        <f ca="1"/>
        <v>#64</v>
      </c>
      <c r="C685">
        <f ca="1"/>
        <v>46071.417361111096</v>
      </c>
      <c r="D685">
        <f ca="1"/>
        <v>1084.28</v>
      </c>
      <c r="E685" t="str">
        <f ca="1"/>
        <v>USD</v>
      </c>
      <c r="F685" t="str">
        <f ca="1"/>
        <v>Jorge Rojas</v>
      </c>
      <c r="G685" t="str">
        <f ca="1"/>
        <v>IHOP 3684              LAS VEGAS     USA</v>
      </c>
      <c r="H685" t="str">
        <f ca="1"/>
        <v>Ihop</v>
      </c>
      <c r="I685" t="str">
        <f ca="1"/>
        <v>Ihop</v>
      </c>
      <c r="J685">
        <f ca="1"/>
        <v>0</v>
      </c>
      <c r="K685">
        <f ca="1"/>
        <v>0</v>
      </c>
      <c r="L685" t="str">
        <f ca="1">VLOOKUP(B685,[1]Total!$B:$Q,16,0)</f>
        <v>602.34.002 Gastos por visita tencica</v>
      </c>
      <c r="M685">
        <f t="shared" ca="1" si="21"/>
        <v>1084.28</v>
      </c>
      <c r="N685" t="str">
        <f t="shared" ca="1" si="22"/>
        <v xml:space="preserve">Jorge Rojas IHOP 3684              LAS VEGAS     USA Ihop Ihop 0 0 </v>
      </c>
    </row>
    <row r="686" spans="1:14">
      <c r="A686" t="str">
        <f ca="1"/>
        <v>TRX1200</v>
      </c>
      <c r="B686" t="str">
        <f ca="1"/>
        <v>#64</v>
      </c>
      <c r="C686">
        <f ca="1"/>
        <v>46072.416666666599</v>
      </c>
      <c r="D686">
        <f ca="1"/>
        <v>536.01</v>
      </c>
      <c r="E686" t="str">
        <f ca="1"/>
        <v>MXN</v>
      </c>
      <c r="F686" t="str">
        <f ca="1"/>
        <v>Jorge Rojas</v>
      </c>
      <c r="G686" t="str">
        <f ca="1"/>
        <v>UBER * EATS PENDING    CMX           MEX</v>
      </c>
      <c r="H686" t="str">
        <f ca="1"/>
        <v>Uber Eats</v>
      </c>
      <c r="I686" t="str">
        <f ca="1"/>
        <v>Uber Eats</v>
      </c>
      <c r="J686">
        <f ca="1"/>
        <v>0</v>
      </c>
      <c r="K686">
        <f ca="1"/>
        <v>0</v>
      </c>
      <c r="L686" t="str">
        <f ca="1">VLOOKUP(B686,[1]Total!$B:$Q,16,0)</f>
        <v>602.34.002 Gastos por visita tencica</v>
      </c>
      <c r="M686">
        <f t="shared" ca="1" si="21"/>
        <v>536.01</v>
      </c>
      <c r="N686" t="str">
        <f t="shared" ca="1" si="22"/>
        <v xml:space="preserve">Jorge Rojas UBER * EATS PENDING    CMX           MEX Uber Eats Uber Eats 0 0 </v>
      </c>
    </row>
    <row r="687" spans="1:14">
      <c r="A687" t="str">
        <f ca="1"/>
        <v>TRX1652</v>
      </c>
      <c r="B687" t="str">
        <f ca="1"/>
        <v>#64</v>
      </c>
      <c r="C687">
        <f ca="1"/>
        <v>46072.416666666599</v>
      </c>
      <c r="D687">
        <f ca="1"/>
        <v>292.37</v>
      </c>
      <c r="E687" t="str">
        <f ca="1"/>
        <v>MXN</v>
      </c>
      <c r="F687" t="str">
        <f ca="1"/>
        <v>Jorge Rojas</v>
      </c>
      <c r="G687" t="str">
        <f ca="1"/>
        <v>UBER * EATS PENDING    CMX           MEX</v>
      </c>
      <c r="H687" t="str">
        <f ca="1"/>
        <v>Uber Eats</v>
      </c>
      <c r="I687" t="str">
        <f ca="1"/>
        <v>Uber Eats</v>
      </c>
      <c r="J687">
        <f ca="1"/>
        <v>0</v>
      </c>
      <c r="K687">
        <f ca="1"/>
        <v>0</v>
      </c>
      <c r="L687" t="str">
        <f ca="1">VLOOKUP(B687,[1]Total!$B:$Q,16,0)</f>
        <v>602.34.002 Gastos por visita tencica</v>
      </c>
      <c r="M687">
        <f t="shared" ca="1" si="21"/>
        <v>292.37</v>
      </c>
      <c r="N687" t="str">
        <f t="shared" ca="1" si="22"/>
        <v xml:space="preserve">Jorge Rojas UBER * EATS PENDING    CMX           MEX Uber Eats Uber Eats 0 0 </v>
      </c>
    </row>
    <row r="688" spans="1:14">
      <c r="A688" t="str">
        <f ca="1"/>
        <v>TRX1898</v>
      </c>
      <c r="B688" t="str">
        <f ca="1"/>
        <v>#64</v>
      </c>
      <c r="C688">
        <f ca="1"/>
        <v>46072.416666666599</v>
      </c>
      <c r="D688">
        <f ca="1"/>
        <v>249</v>
      </c>
      <c r="E688" t="str">
        <f ca="1"/>
        <v>MXN</v>
      </c>
      <c r="F688" t="str">
        <f ca="1"/>
        <v>Jorge Rojas</v>
      </c>
      <c r="G688" t="str">
        <f ca="1"/>
        <v>KFC 837 TIJUANA SANTA  TIJUANA BCN   MEX</v>
      </c>
      <c r="H688" t="str">
        <f ca="1"/>
        <v>Kentucky Fried Chicken</v>
      </c>
      <c r="I688" t="str">
        <f ca="1"/>
        <v>Kentucky Fried Chicken</v>
      </c>
      <c r="J688">
        <f ca="1"/>
        <v>0</v>
      </c>
      <c r="K688">
        <f ca="1"/>
        <v>0</v>
      </c>
      <c r="L688" t="str">
        <f ca="1">VLOOKUP(B688,[1]Total!$B:$Q,16,0)</f>
        <v>602.34.002 Gastos por visita tencica</v>
      </c>
      <c r="M688">
        <f t="shared" ca="1" si="21"/>
        <v>249</v>
      </c>
      <c r="N688" t="str">
        <f t="shared" ca="1" si="22"/>
        <v xml:space="preserve">Jorge Rojas KFC 837 TIJUANA SANTA  TIJUANA BCN   MEX Kentucky Fried Chicken Kentucky Fried Chicken 0 0 </v>
      </c>
    </row>
    <row r="689" spans="1:14">
      <c r="A689" t="str">
        <f ca="1"/>
        <v>TRX1344</v>
      </c>
      <c r="B689" t="str">
        <f ca="1"/>
        <v>#64</v>
      </c>
      <c r="C689">
        <f ca="1"/>
        <v>46073.416666666599</v>
      </c>
      <c r="D689">
        <f ca="1"/>
        <v>981.22</v>
      </c>
      <c r="E689" t="str">
        <f ca="1"/>
        <v>MXN</v>
      </c>
      <c r="F689" t="str">
        <f ca="1"/>
        <v>Jorge Rojas</v>
      </c>
      <c r="G689" t="str">
        <f ca="1"/>
        <v>RCH SANTA FE           TIJUANA BCN   MEX</v>
      </c>
      <c r="H689" t="str">
        <f ca="1"/>
        <v>Rch Santa Fe Tijuana Bcn Mex</v>
      </c>
      <c r="I689" t="str">
        <f ca="1"/>
        <v>Rch Santa Fe Tijuana Bcn Mex</v>
      </c>
      <c r="J689">
        <f ca="1"/>
        <v>0</v>
      </c>
      <c r="K689">
        <f ca="1"/>
        <v>0</v>
      </c>
      <c r="L689" t="str">
        <f ca="1">VLOOKUP(B689,[1]Total!$B:$Q,16,0)</f>
        <v>602.34.002 Gastos por visita tencica</v>
      </c>
      <c r="M689">
        <f t="shared" ca="1" si="21"/>
        <v>981.22</v>
      </c>
      <c r="N689" t="str">
        <f t="shared" ca="1" si="22"/>
        <v xml:space="preserve">Jorge Rojas RCH SANTA FE           TIJUANA BCN   MEX Rch Santa Fe Tijuana Bcn Mex Rch Santa Fe Tijuana Bcn Mex 0 0 </v>
      </c>
    </row>
    <row r="690" spans="1:14">
      <c r="A690" t="str">
        <f ca="1"/>
        <v>TRX1572</v>
      </c>
      <c r="B690" t="str">
        <f ca="1"/>
        <v>#64</v>
      </c>
      <c r="C690">
        <f ca="1"/>
        <v>46073.416666666599</v>
      </c>
      <c r="D690">
        <f ca="1"/>
        <v>321.92</v>
      </c>
      <c r="E690" t="str">
        <f ca="1"/>
        <v>MXN</v>
      </c>
      <c r="F690" t="str">
        <f ca="1"/>
        <v>Jorge Rojas</v>
      </c>
      <c r="G690" t="str">
        <f ca="1"/>
        <v>UBER * EATS PENDING    CMX           MEX</v>
      </c>
      <c r="H690" t="str">
        <f ca="1"/>
        <v>Uber Eats</v>
      </c>
      <c r="I690" t="str">
        <f ca="1"/>
        <v>Uber Eats</v>
      </c>
      <c r="J690">
        <f ca="1"/>
        <v>0</v>
      </c>
      <c r="K690">
        <f ca="1"/>
        <v>0</v>
      </c>
      <c r="L690" t="str">
        <f ca="1">VLOOKUP(B690,[1]Total!$B:$Q,16,0)</f>
        <v>602.34.002 Gastos por visita tencica</v>
      </c>
      <c r="M690">
        <f t="shared" ca="1" si="21"/>
        <v>321.92</v>
      </c>
      <c r="N690" t="str">
        <f t="shared" ca="1" si="22"/>
        <v xml:space="preserve">Jorge Rojas UBER * EATS PENDING    CMX           MEX Uber Eats Uber Eats 0 0 </v>
      </c>
    </row>
    <row r="691" spans="1:14">
      <c r="A691" t="str">
        <f ca="1"/>
        <v>TRX1171</v>
      </c>
      <c r="B691" t="str">
        <f ca="1"/>
        <v>#64</v>
      </c>
      <c r="C691">
        <f ca="1"/>
        <v>46073.417361111096</v>
      </c>
      <c r="D691">
        <f ca="1"/>
        <v>500</v>
      </c>
      <c r="E691" t="str">
        <f ca="1"/>
        <v>MXN</v>
      </c>
      <c r="F691" t="str">
        <f ca="1"/>
        <v>Jorge Rojas</v>
      </c>
      <c r="G691" t="str">
        <f ca="1"/>
        <v>REST IHOP MINARETE     TIJUANA BCN   MEX</v>
      </c>
      <c r="H691" t="str">
        <f ca="1"/>
        <v>Ihop</v>
      </c>
      <c r="I691" t="str">
        <f ca="1"/>
        <v>Ihop</v>
      </c>
      <c r="J691">
        <f ca="1"/>
        <v>0</v>
      </c>
      <c r="K691">
        <f ca="1"/>
        <v>0</v>
      </c>
      <c r="L691" t="str">
        <f ca="1">VLOOKUP(B691,[1]Total!$B:$Q,16,0)</f>
        <v>602.34.002 Gastos por visita tencica</v>
      </c>
      <c r="M691">
        <f t="shared" ca="1" si="21"/>
        <v>500</v>
      </c>
      <c r="N691" t="str">
        <f t="shared" ca="1" si="22"/>
        <v xml:space="preserve">Jorge Rojas REST IHOP MINARETE     TIJUANA BCN   MEX Ihop Ihop 0 0 </v>
      </c>
    </row>
    <row r="692" spans="1:14">
      <c r="A692" t="str">
        <f ca="1"/>
        <v>TRX1391</v>
      </c>
      <c r="B692" t="str">
        <f ca="1"/>
        <v>#64</v>
      </c>
      <c r="C692">
        <f ca="1"/>
        <v>46073.417361111096</v>
      </c>
      <c r="D692">
        <f ca="1"/>
        <v>89</v>
      </c>
      <c r="E692" t="str">
        <f ca="1"/>
        <v>MXN</v>
      </c>
      <c r="F692" t="str">
        <f ca="1"/>
        <v>Jorge Rojas</v>
      </c>
      <c r="G692" t="str">
        <f ca="1"/>
        <v>4038 TIJUANA SUR       TIJUANA BCN   MEX</v>
      </c>
      <c r="H692" t="str">
        <f ca="1"/>
        <v>4038 Tijuana Sur Tijuana Bcn Mex</v>
      </c>
      <c r="I692">
        <f ca="1"/>
        <v>0</v>
      </c>
      <c r="J692">
        <f ca="1"/>
        <v>0</v>
      </c>
      <c r="K692">
        <f ca="1"/>
        <v>0</v>
      </c>
      <c r="L692" t="str">
        <f ca="1">VLOOKUP(B692,[1]Total!$B:$Q,16,0)</f>
        <v>602.34.002 Gastos por visita tencica</v>
      </c>
      <c r="M692">
        <f t="shared" ca="1" si="21"/>
        <v>89</v>
      </c>
      <c r="N692" t="str">
        <f t="shared" ca="1" si="22"/>
        <v xml:space="preserve">Jorge Rojas 4038 TIJUANA SUR       TIJUANA BCN   MEX 4038 Tijuana Sur Tijuana Bcn Mex 0 0 0 </v>
      </c>
    </row>
    <row r="693" spans="1:14">
      <c r="A693" t="str">
        <f ca="1"/>
        <v>TRX1867</v>
      </c>
      <c r="B693" t="str">
        <f ca="1"/>
        <v>#64</v>
      </c>
      <c r="C693">
        <f ca="1"/>
        <v>46073.417361111096</v>
      </c>
      <c r="D693">
        <f ca="1"/>
        <v>58</v>
      </c>
      <c r="E693" t="str">
        <f ca="1"/>
        <v>MXN</v>
      </c>
      <c r="F693" t="str">
        <f ca="1"/>
        <v>Jorge Rojas</v>
      </c>
      <c r="G693" t="str">
        <f ca="1"/>
        <v>7ELEVEN T2724 VINAS    TIJUANA BCN   MEX</v>
      </c>
      <c r="H693" t="str">
        <f ca="1"/>
        <v>7 Eleven</v>
      </c>
      <c r="I693">
        <f ca="1"/>
        <v>0</v>
      </c>
      <c r="J693">
        <f ca="1"/>
        <v>0</v>
      </c>
      <c r="K693">
        <f ca="1"/>
        <v>0</v>
      </c>
      <c r="L693" t="str">
        <f ca="1">VLOOKUP(B693,[1]Total!$B:$Q,16,0)</f>
        <v>602.34.002 Gastos por visita tencica</v>
      </c>
      <c r="M693">
        <f t="shared" ca="1" si="21"/>
        <v>58</v>
      </c>
      <c r="N693" t="str">
        <f t="shared" ca="1" si="22"/>
        <v xml:space="preserve">Jorge Rojas 7ELEVEN T2724 VINAS    TIJUANA BCN   MEX 7 Eleven 0 0 0 </v>
      </c>
    </row>
    <row r="694" spans="1:14">
      <c r="A694" t="str">
        <f ca="1"/>
        <v>TRX1782</v>
      </c>
      <c r="B694" t="str">
        <f ca="1"/>
        <v>#64</v>
      </c>
      <c r="C694">
        <f ca="1"/>
        <v>46074.417361111096</v>
      </c>
      <c r="D694">
        <f ca="1"/>
        <v>211</v>
      </c>
      <c r="E694" t="str">
        <f ca="1"/>
        <v>MXN</v>
      </c>
      <c r="F694" t="str">
        <f ca="1"/>
        <v>Jorge Rojas</v>
      </c>
      <c r="G694" t="str">
        <f ca="1"/>
        <v>CARLS JR P ALONDRAS    TIJUANA BCN   MEX</v>
      </c>
      <c r="H694" t="str">
        <f ca="1"/>
        <v>Carls Jr.</v>
      </c>
      <c r="I694">
        <f ca="1"/>
        <v>0</v>
      </c>
      <c r="J694">
        <f ca="1"/>
        <v>0</v>
      </c>
      <c r="K694">
        <f ca="1"/>
        <v>0</v>
      </c>
      <c r="L694" t="str">
        <f ca="1">VLOOKUP(B694,[1]Total!$B:$Q,16,0)</f>
        <v>602.34.002 Gastos por visita tencica</v>
      </c>
      <c r="M694">
        <f t="shared" ca="1" si="21"/>
        <v>211</v>
      </c>
      <c r="N694" t="str">
        <f t="shared" ca="1" si="22"/>
        <v xml:space="preserve">Jorge Rojas CARLS JR P ALONDRAS    TIJUANA BCN   MEX Carls Jr. 0 0 0 </v>
      </c>
    </row>
    <row r="695" spans="1:14">
      <c r="A695" t="str">
        <f ca="1"/>
        <v>TRX1029</v>
      </c>
      <c r="B695" t="str">
        <f ca="1"/>
        <v>#64</v>
      </c>
      <c r="C695">
        <f ca="1"/>
        <v>46074.417361111096</v>
      </c>
      <c r="D695">
        <f ca="1"/>
        <v>299</v>
      </c>
      <c r="E695" t="str">
        <f ca="1"/>
        <v>MXN</v>
      </c>
      <c r="F695" t="str">
        <f ca="1"/>
        <v>Jorge Rojas</v>
      </c>
      <c r="G695" t="str">
        <f ca="1"/>
        <v>APPLE.COM/BILL         CUPERTINO     USA</v>
      </c>
      <c r="H695" t="str">
        <f ca="1"/>
        <v>Apple</v>
      </c>
      <c r="I695">
        <f ca="1"/>
        <v>0</v>
      </c>
      <c r="J695">
        <f ca="1"/>
        <v>0</v>
      </c>
      <c r="K695">
        <f ca="1"/>
        <v>0</v>
      </c>
      <c r="L695" t="str">
        <f ca="1">VLOOKUP(B695,[1]Total!$B:$Q,16,0)</f>
        <v>602.34.002 Gastos por visita tencica</v>
      </c>
      <c r="M695">
        <f t="shared" ca="1" si="21"/>
        <v>299</v>
      </c>
      <c r="N695" t="str">
        <f t="shared" ca="1" si="22"/>
        <v xml:space="preserve">Jorge Rojas APPLE.COM/BILL         CUPERTINO     USA Apple 0 0 0 </v>
      </c>
    </row>
    <row r="696" spans="1:14">
      <c r="A696" t="str">
        <f ca="1"/>
        <v>TRX1036</v>
      </c>
      <c r="B696" t="str">
        <f ca="1"/>
        <v>#64</v>
      </c>
      <c r="C696">
        <f ca="1"/>
        <v>46074.417361111096</v>
      </c>
      <c r="D696">
        <f ca="1"/>
        <v>61</v>
      </c>
      <c r="E696" t="str">
        <f ca="1"/>
        <v>MXN</v>
      </c>
      <c r="F696" t="str">
        <f ca="1"/>
        <v>Jorge Rojas</v>
      </c>
      <c r="G696" t="str">
        <f ca="1"/>
        <v>7ELEVEN T2843 BANDERAS TIJUANA BCN   MEX</v>
      </c>
      <c r="H696" t="str">
        <f ca="1"/>
        <v>7 Eleven</v>
      </c>
      <c r="I696">
        <f ca="1"/>
        <v>0</v>
      </c>
      <c r="J696">
        <f ca="1"/>
        <v>0</v>
      </c>
      <c r="K696">
        <f ca="1"/>
        <v>0</v>
      </c>
      <c r="L696" t="str">
        <f ca="1">VLOOKUP(B696,[1]Total!$B:$Q,16,0)</f>
        <v>602.34.002 Gastos por visita tencica</v>
      </c>
      <c r="M696">
        <f t="shared" ca="1" si="21"/>
        <v>61</v>
      </c>
      <c r="N696" t="str">
        <f t="shared" ca="1" si="22"/>
        <v xml:space="preserve">Jorge Rojas 7ELEVEN T2843 BANDERAS TIJUANA BCN   MEX 7 Eleven 0 0 0 </v>
      </c>
    </row>
    <row r="697" spans="1:14">
      <c r="A697" t="str">
        <f ca="1"/>
        <v>TRX1056</v>
      </c>
      <c r="B697" t="str">
        <f ca="1"/>
        <v>#64</v>
      </c>
      <c r="C697">
        <f ca="1"/>
        <v>46075.416666666599</v>
      </c>
      <c r="D697">
        <f ca="1"/>
        <v>275.43</v>
      </c>
      <c r="E697" t="str">
        <f ca="1"/>
        <v>MXN</v>
      </c>
      <c r="F697" t="str">
        <f ca="1"/>
        <v>Jorge Rojas</v>
      </c>
      <c r="G697" t="str">
        <f ca="1"/>
        <v>UBER * EATS PENDING    CMX           MEX</v>
      </c>
      <c r="H697" t="str">
        <f ca="1"/>
        <v>Uber Eats</v>
      </c>
      <c r="I697">
        <f ca="1"/>
        <v>0</v>
      </c>
      <c r="J697">
        <f ca="1"/>
        <v>0</v>
      </c>
      <c r="K697">
        <f ca="1"/>
        <v>0</v>
      </c>
      <c r="L697" t="str">
        <f ca="1">VLOOKUP(B697,[1]Total!$B:$Q,16,0)</f>
        <v>602.34.002 Gastos por visita tencica</v>
      </c>
      <c r="M697">
        <f t="shared" ca="1" si="21"/>
        <v>275.43</v>
      </c>
      <c r="N697" t="str">
        <f t="shared" ca="1" si="22"/>
        <v xml:space="preserve">Jorge Rojas UBER * EATS PENDING    CMX           MEX Uber Eats 0 0 0 </v>
      </c>
    </row>
    <row r="698" spans="1:14">
      <c r="A698" t="str">
        <f ca="1"/>
        <v>TRX1071</v>
      </c>
      <c r="B698" t="str">
        <f ca="1"/>
        <v>#64</v>
      </c>
      <c r="C698">
        <f ca="1"/>
        <v>46075.416666666599</v>
      </c>
      <c r="D698">
        <f ca="1"/>
        <v>307.41000000000003</v>
      </c>
      <c r="E698" t="str">
        <f ca="1"/>
        <v>MXN</v>
      </c>
      <c r="F698" t="str">
        <f ca="1"/>
        <v>Jorge Rojas</v>
      </c>
      <c r="G698" t="str">
        <f ca="1"/>
        <v>DLO*UBER               CIUDAD DE MEX MEX</v>
      </c>
      <c r="H698" t="str">
        <f ca="1"/>
        <v>Uber</v>
      </c>
      <c r="I698">
        <f ca="1"/>
        <v>0</v>
      </c>
      <c r="J698">
        <f ca="1"/>
        <v>0</v>
      </c>
      <c r="K698">
        <f ca="1"/>
        <v>0</v>
      </c>
      <c r="L698" t="str">
        <f ca="1">VLOOKUP(B698,[1]Total!$B:$Q,16,0)</f>
        <v>602.34.002 Gastos por visita tencica</v>
      </c>
      <c r="M698">
        <f t="shared" ca="1" si="21"/>
        <v>307.41000000000003</v>
      </c>
      <c r="N698" t="str">
        <f t="shared" ca="1" si="22"/>
        <v xml:space="preserve">Jorge Rojas DLO*UBER               CIUDAD DE MEX MEX Uber 0 0 0 </v>
      </c>
    </row>
    <row r="699" spans="1:14">
      <c r="A699" t="str">
        <f ca="1"/>
        <v>TRX1079</v>
      </c>
      <c r="B699" t="str">
        <f ca="1"/>
        <v>#64</v>
      </c>
      <c r="C699">
        <f ca="1"/>
        <v>46075.417361111096</v>
      </c>
      <c r="D699">
        <f ca="1"/>
        <v>352.3</v>
      </c>
      <c r="E699" t="str">
        <f ca="1"/>
        <v>MXN</v>
      </c>
      <c r="F699" t="str">
        <f ca="1"/>
        <v>Jorge Rojas</v>
      </c>
      <c r="G699" t="str">
        <f ca="1"/>
        <v>WALMART LOMAS STA FE   TIJUANA BCN   MEX</v>
      </c>
      <c r="H699" t="str">
        <f ca="1"/>
        <v>Walmart</v>
      </c>
      <c r="I699">
        <f ca="1"/>
        <v>0</v>
      </c>
      <c r="J699">
        <f ca="1"/>
        <v>0</v>
      </c>
      <c r="K699">
        <f ca="1"/>
        <v>0</v>
      </c>
      <c r="L699" t="str">
        <f ca="1">VLOOKUP(B699,[1]Total!$B:$Q,16,0)</f>
        <v>602.34.002 Gastos por visita tencica</v>
      </c>
      <c r="M699">
        <f t="shared" ca="1" si="21"/>
        <v>352.3</v>
      </c>
      <c r="N699" t="str">
        <f t="shared" ca="1" si="22"/>
        <v xml:space="preserve">Jorge Rojas WALMART LOMAS STA FE   TIJUANA BCN   MEX Walmart 0 0 0 </v>
      </c>
    </row>
    <row r="700" spans="1:14">
      <c r="A700" t="str">
        <f ca="1"/>
        <v>TRX1096</v>
      </c>
      <c r="B700" t="str">
        <f ca="1"/>
        <v>#64</v>
      </c>
      <c r="C700">
        <f ca="1"/>
        <v>46076.416666666599</v>
      </c>
      <c r="D700">
        <f ca="1"/>
        <v>37.9</v>
      </c>
      <c r="E700" t="str">
        <f ca="1"/>
        <v>MXN</v>
      </c>
      <c r="F700" t="str">
        <f ca="1"/>
        <v>Jorge Rojas</v>
      </c>
      <c r="G700" t="str">
        <f ca="1"/>
        <v>WALMART LOMAS STA FE   TIJUANA BCN   MEX</v>
      </c>
      <c r="H700" t="str">
        <f ca="1"/>
        <v>Walmart</v>
      </c>
      <c r="I700">
        <f ca="1"/>
        <v>0</v>
      </c>
      <c r="J700">
        <f ca="1"/>
        <v>0</v>
      </c>
      <c r="K700">
        <f ca="1"/>
        <v>0</v>
      </c>
      <c r="L700" t="str">
        <f ca="1">VLOOKUP(B700,[1]Total!$B:$Q,16,0)</f>
        <v>602.34.002 Gastos por visita tencica</v>
      </c>
      <c r="M700">
        <f t="shared" ca="1" si="21"/>
        <v>37.9</v>
      </c>
      <c r="N700" t="str">
        <f t="shared" ca="1" si="22"/>
        <v xml:space="preserve">Jorge Rojas WALMART LOMAS STA FE   TIJUANA BCN   MEX Walmart 0 0 0 </v>
      </c>
    </row>
    <row r="701" spans="1:14">
      <c r="A701" t="str">
        <f ca="1"/>
        <v>TRX1099</v>
      </c>
      <c r="B701" t="str">
        <f ca="1"/>
        <v>#64</v>
      </c>
      <c r="C701">
        <f ca="1"/>
        <v>46076.416666666599</v>
      </c>
      <c r="D701">
        <f ca="1"/>
        <v>174</v>
      </c>
      <c r="E701" t="str">
        <f ca="1"/>
        <v>MXN</v>
      </c>
      <c r="F701" t="str">
        <f ca="1"/>
        <v>Jorge Rojas</v>
      </c>
      <c r="G701" t="str">
        <f ca="1"/>
        <v>7 ELEVEN T3038 OCEANOS TIJUANA BCN   MEX</v>
      </c>
      <c r="H701" t="str">
        <f ca="1"/>
        <v>7 Eleven</v>
      </c>
      <c r="I701">
        <f ca="1"/>
        <v>0</v>
      </c>
      <c r="J701">
        <f ca="1"/>
        <v>0</v>
      </c>
      <c r="K701">
        <f ca="1"/>
        <v>0</v>
      </c>
      <c r="L701" t="str">
        <f ca="1">VLOOKUP(B701,[1]Total!$B:$Q,16,0)</f>
        <v>602.34.002 Gastos por visita tencica</v>
      </c>
      <c r="M701">
        <f t="shared" ca="1" si="21"/>
        <v>174</v>
      </c>
      <c r="N701" t="str">
        <f t="shared" ca="1" si="22"/>
        <v xml:space="preserve">Jorge Rojas 7 ELEVEN T3038 OCEANOS TIJUANA BCN   MEX 7 Eleven 0 0 0 </v>
      </c>
    </row>
    <row r="702" spans="1:14">
      <c r="A702" t="str">
        <f ca="1"/>
        <v>TRX1106</v>
      </c>
      <c r="B702" t="str">
        <f ca="1"/>
        <v>#64</v>
      </c>
      <c r="C702">
        <f ca="1"/>
        <v>46076.416666666599</v>
      </c>
      <c r="D702">
        <f ca="1"/>
        <v>7068.03</v>
      </c>
      <c r="E702" t="str">
        <f ca="1"/>
        <v>MXN</v>
      </c>
      <c r="F702" t="str">
        <f ca="1"/>
        <v>Jorge Rojas</v>
      </c>
      <c r="G702" t="str">
        <f ca="1"/>
        <v>AIRBNB * HM4BMJSNK4    LONDON        GBR</v>
      </c>
      <c r="H702" t="str">
        <f ca="1"/>
        <v>Airbnb</v>
      </c>
      <c r="I702">
        <f ca="1"/>
        <v>0</v>
      </c>
      <c r="J702">
        <f ca="1"/>
        <v>0</v>
      </c>
      <c r="K702">
        <f ca="1"/>
        <v>0</v>
      </c>
      <c r="L702" t="str">
        <f ca="1">VLOOKUP(B702,[1]Total!$B:$Q,16,0)</f>
        <v>602.34.002 Gastos por visita tencica</v>
      </c>
      <c r="M702">
        <f t="shared" ca="1" si="21"/>
        <v>7068.03</v>
      </c>
      <c r="N702" t="str">
        <f t="shared" ca="1" si="22"/>
        <v xml:space="preserve">Jorge Rojas AIRBNB * HM4BMJSNK4    LONDON        GBR Airbnb 0 0 0 </v>
      </c>
    </row>
    <row r="703" spans="1:14">
      <c r="A703" t="str">
        <f ca="1"/>
        <v>TRX1116</v>
      </c>
      <c r="B703" t="str">
        <f ca="1"/>
        <v>#64</v>
      </c>
      <c r="C703">
        <f ca="1"/>
        <v>46077.416666666599</v>
      </c>
      <c r="D703">
        <f ca="1"/>
        <v>1122.18</v>
      </c>
      <c r="E703" t="str">
        <f ca="1"/>
        <v>MXN</v>
      </c>
      <c r="F703" t="str">
        <f ca="1"/>
        <v>Jorge Rojas</v>
      </c>
      <c r="G703" t="str">
        <f ca="1"/>
        <v>COSTCO TIJUANA II      TIJUANA BCN   MEX</v>
      </c>
      <c r="H703" t="str">
        <f ca="1"/>
        <v>Costco</v>
      </c>
      <c r="I703">
        <f ca="1"/>
        <v>0</v>
      </c>
      <c r="J703">
        <f ca="1"/>
        <v>0</v>
      </c>
      <c r="K703">
        <f ca="1"/>
        <v>0</v>
      </c>
      <c r="L703" t="str">
        <f ca="1">VLOOKUP(B703,[1]Total!$B:$Q,16,0)</f>
        <v>602.34.002 Gastos por visita tencica</v>
      </c>
      <c r="M703">
        <f t="shared" ca="1" si="21"/>
        <v>1122.18</v>
      </c>
      <c r="N703" t="str">
        <f t="shared" ca="1" si="22"/>
        <v xml:space="preserve">Jorge Rojas COSTCO TIJUANA II      TIJUANA BCN   MEX Costco 0 0 0 </v>
      </c>
    </row>
    <row r="704" spans="1:14">
      <c r="A704" t="str">
        <f ca="1"/>
        <v>TRX1117</v>
      </c>
      <c r="B704" t="str">
        <f ca="1"/>
        <v>#64</v>
      </c>
      <c r="C704">
        <f ca="1"/>
        <v>46077.416666666599</v>
      </c>
      <c r="D704">
        <f ca="1"/>
        <v>138.05000000000001</v>
      </c>
      <c r="E704" t="str">
        <f ca="1"/>
        <v>MXN</v>
      </c>
      <c r="F704" t="str">
        <f ca="1"/>
        <v>Jorge Rojas</v>
      </c>
      <c r="G704" t="str">
        <f ca="1"/>
        <v>COSTCO TIJUANA II      TIJUANA BCN   MEX</v>
      </c>
      <c r="H704" t="str">
        <f ca="1"/>
        <v>Costco</v>
      </c>
      <c r="I704">
        <f ca="1"/>
        <v>0</v>
      </c>
      <c r="J704">
        <f ca="1"/>
        <v>0</v>
      </c>
      <c r="K704">
        <f ca="1"/>
        <v>0</v>
      </c>
      <c r="L704" t="str">
        <f ca="1">VLOOKUP(B704,[1]Total!$B:$Q,16,0)</f>
        <v>602.34.002 Gastos por visita tencica</v>
      </c>
      <c r="M704">
        <f t="shared" ca="1" si="21"/>
        <v>138.05000000000001</v>
      </c>
      <c r="N704" t="str">
        <f t="shared" ca="1" si="22"/>
        <v xml:space="preserve">Jorge Rojas COSTCO TIJUANA II      TIJUANA BCN   MEX Costco 0 0 0 </v>
      </c>
    </row>
    <row r="705" spans="1:14">
      <c r="A705" t="str">
        <f ca="1"/>
        <v>TRX1120</v>
      </c>
      <c r="B705" t="str">
        <f ca="1"/>
        <v>#64</v>
      </c>
      <c r="C705">
        <f ca="1"/>
        <v>46077.416666666599</v>
      </c>
      <c r="D705">
        <f ca="1"/>
        <v>5600</v>
      </c>
      <c r="E705" t="str">
        <f ca="1"/>
        <v>MXN</v>
      </c>
      <c r="F705" t="str">
        <f ca="1"/>
        <v>Jorge Rojas</v>
      </c>
      <c r="G705" t="str">
        <f ca="1"/>
        <v>EUROPCAR WEB 2         BENITO JUAREZ MEX</v>
      </c>
      <c r="H705" t="str">
        <f ca="1"/>
        <v>Europcar</v>
      </c>
      <c r="I705">
        <f ca="1"/>
        <v>0</v>
      </c>
      <c r="J705">
        <f ca="1"/>
        <v>0</v>
      </c>
      <c r="K705">
        <f ca="1"/>
        <v>0</v>
      </c>
      <c r="L705" t="str">
        <f ca="1">VLOOKUP(B705,[1]Total!$B:$Q,16,0)</f>
        <v>602.34.002 Gastos por visita tencica</v>
      </c>
      <c r="M705">
        <f t="shared" ca="1" si="21"/>
        <v>5600</v>
      </c>
      <c r="N705" t="str">
        <f t="shared" ca="1" si="22"/>
        <v xml:space="preserve">Jorge Rojas EUROPCAR WEB 2         BENITO JUAREZ MEX Europcar 0 0 0 </v>
      </c>
    </row>
    <row r="706" spans="1:14">
      <c r="A706" t="str">
        <f ca="1"/>
        <v>TRX1121</v>
      </c>
      <c r="B706" t="str">
        <f ca="1"/>
        <v>#64</v>
      </c>
      <c r="C706">
        <f ca="1"/>
        <v>46077.416666666599</v>
      </c>
      <c r="D706">
        <f ca="1"/>
        <v>380</v>
      </c>
      <c r="E706" t="str">
        <f ca="1"/>
        <v>MXN</v>
      </c>
      <c r="F706" t="str">
        <f ca="1"/>
        <v>Jorge Rojas</v>
      </c>
      <c r="G706" t="str">
        <f ca="1"/>
        <v>AGUACHILES CULICHI     TIJUANA BCN   MEX</v>
      </c>
      <c r="H706" t="str">
        <f ca="1"/>
        <v>Aguachiles Culichi Tijuana Bcn Mex</v>
      </c>
      <c r="I706">
        <f ca="1"/>
        <v>0</v>
      </c>
      <c r="J706">
        <f ca="1"/>
        <v>0</v>
      </c>
      <c r="K706">
        <f ca="1"/>
        <v>0</v>
      </c>
      <c r="L706" t="str">
        <f ca="1">VLOOKUP(B706,[1]Total!$B:$Q,16,0)</f>
        <v>602.34.002 Gastos por visita tencica</v>
      </c>
      <c r="M706">
        <f t="shared" ca="1" si="21"/>
        <v>380</v>
      </c>
      <c r="N706" t="str">
        <f t="shared" ca="1" si="22"/>
        <v xml:space="preserve">Jorge Rojas AGUACHILES CULICHI     TIJUANA BCN   MEX Aguachiles Culichi Tijuana Bcn Mex 0 0 0 </v>
      </c>
    </row>
    <row r="707" spans="1:14">
      <c r="A707" t="str">
        <f ca="1"/>
        <v>TRX1123</v>
      </c>
      <c r="B707" t="str">
        <f ca="1"/>
        <v>#64</v>
      </c>
      <c r="C707">
        <f ca="1"/>
        <v>46077.416666666599</v>
      </c>
      <c r="D707">
        <f ca="1"/>
        <v>380</v>
      </c>
      <c r="E707" t="str">
        <f ca="1"/>
        <v>MXN</v>
      </c>
      <c r="F707" t="str">
        <f ca="1"/>
        <v>Jorge Rojas</v>
      </c>
      <c r="G707" t="str">
        <f ca="1"/>
        <v>CLIP MX*SUPER BARRA LI TIJUANA       MEX</v>
      </c>
      <c r="H707" t="str">
        <f ca="1"/>
        <v>Super Mex</v>
      </c>
      <c r="I707">
        <f ca="1"/>
        <v>0</v>
      </c>
      <c r="J707">
        <f ca="1"/>
        <v>0</v>
      </c>
      <c r="K707">
        <f ca="1"/>
        <v>0</v>
      </c>
      <c r="L707" t="str">
        <f ca="1">VLOOKUP(B707,[1]Total!$B:$Q,16,0)</f>
        <v>602.34.002 Gastos por visita tencica</v>
      </c>
      <c r="M707">
        <f t="shared" ref="M707:M770" ca="1" si="23">D707</f>
        <v>380</v>
      </c>
      <c r="N707" t="str">
        <f t="shared" ref="N707:N770" ca="1" si="24">CONCATENATE(F707," ",G707," ",H707," ",I707," ",J707," ",K707," ")</f>
        <v xml:space="preserve">Jorge Rojas CLIP MX*SUPER BARRA LI TIJUANA       MEX Super Mex 0 0 0 </v>
      </c>
    </row>
    <row r="708" spans="1:14">
      <c r="A708" t="str">
        <f ca="1"/>
        <v>TRX1125</v>
      </c>
      <c r="B708" t="str">
        <f ca="1"/>
        <v>#64</v>
      </c>
      <c r="C708">
        <f ca="1"/>
        <v>46077.416666666599</v>
      </c>
      <c r="D708">
        <f ca="1"/>
        <v>4800</v>
      </c>
      <c r="E708" t="str">
        <f ca="1"/>
        <v>MXN</v>
      </c>
      <c r="F708" t="str">
        <f ca="1"/>
        <v>Jorge Rojas</v>
      </c>
      <c r="G708" t="str">
        <f ca="1"/>
        <v>EUROPCAR WEB 2         BENITO JUAREZ MEX</v>
      </c>
      <c r="H708" t="str">
        <f ca="1"/>
        <v>Europcar</v>
      </c>
      <c r="I708">
        <f ca="1"/>
        <v>0</v>
      </c>
      <c r="J708">
        <f ca="1"/>
        <v>0</v>
      </c>
      <c r="K708">
        <f ca="1"/>
        <v>0</v>
      </c>
      <c r="L708" t="str">
        <f ca="1">VLOOKUP(B708,[1]Total!$B:$Q,16,0)</f>
        <v>602.34.002 Gastos por visita tencica</v>
      </c>
      <c r="M708">
        <f t="shared" ca="1" si="23"/>
        <v>4800</v>
      </c>
      <c r="N708" t="str">
        <f t="shared" ca="1" si="24"/>
        <v xml:space="preserve">Jorge Rojas EUROPCAR WEB 2         BENITO JUAREZ MEX Europcar 0 0 0 </v>
      </c>
    </row>
    <row r="709" spans="1:14">
      <c r="A709" t="str">
        <f ca="1"/>
        <v>TRX1126</v>
      </c>
      <c r="B709" t="str">
        <f ca="1"/>
        <v>#64</v>
      </c>
      <c r="C709">
        <f ca="1"/>
        <v>46077.416666666599</v>
      </c>
      <c r="D709">
        <f ca="1"/>
        <v>385</v>
      </c>
      <c r="E709" t="str">
        <f ca="1"/>
        <v>MXN</v>
      </c>
      <c r="F709" t="str">
        <f ca="1"/>
        <v>Jorge Rojas</v>
      </c>
      <c r="G709" t="str">
        <f ca="1"/>
        <v>SUPERCENTER PACIFICO   TIJUANA BCN   MEX</v>
      </c>
      <c r="H709" t="str">
        <f ca="1"/>
        <v>Supercenter Pacifico Tijuana Bcn Mex</v>
      </c>
      <c r="I709">
        <f ca="1"/>
        <v>0</v>
      </c>
      <c r="J709">
        <f ca="1"/>
        <v>0</v>
      </c>
      <c r="K709">
        <f ca="1"/>
        <v>0</v>
      </c>
      <c r="L709" t="str">
        <f ca="1">VLOOKUP(B709,[1]Total!$B:$Q,16,0)</f>
        <v>602.34.002 Gastos por visita tencica</v>
      </c>
      <c r="M709">
        <f t="shared" ca="1" si="23"/>
        <v>385</v>
      </c>
      <c r="N709" t="str">
        <f t="shared" ca="1" si="24"/>
        <v xml:space="preserve">Jorge Rojas SUPERCENTER PACIFICO   TIJUANA BCN   MEX Supercenter Pacifico Tijuana Bcn Mex 0 0 0 </v>
      </c>
    </row>
    <row r="710" spans="1:14">
      <c r="A710" t="str">
        <f ca="1"/>
        <v>TRX1133</v>
      </c>
      <c r="B710" t="str">
        <f ca="1"/>
        <v>#64</v>
      </c>
      <c r="C710">
        <f ca="1"/>
        <v>46078.416666666599</v>
      </c>
      <c r="D710">
        <f ca="1"/>
        <v>48.62</v>
      </c>
      <c r="E710" t="str">
        <f ca="1"/>
        <v>MXN</v>
      </c>
      <c r="F710" t="str">
        <f ca="1"/>
        <v>Jorge Rojas</v>
      </c>
      <c r="G710" t="str">
        <f ca="1"/>
        <v>UBER *TRIP HELP.UBER.C CMX           MEX</v>
      </c>
      <c r="H710" t="str">
        <f ca="1"/>
        <v>Uber</v>
      </c>
      <c r="I710">
        <f ca="1"/>
        <v>0</v>
      </c>
      <c r="J710">
        <f ca="1"/>
        <v>0</v>
      </c>
      <c r="K710">
        <f ca="1"/>
        <v>0</v>
      </c>
      <c r="L710" t="str">
        <f ca="1">VLOOKUP(B710,[1]Total!$B:$Q,16,0)</f>
        <v>602.34.002 Gastos por visita tencica</v>
      </c>
      <c r="M710">
        <f t="shared" ca="1" si="23"/>
        <v>48.62</v>
      </c>
      <c r="N710" t="str">
        <f t="shared" ca="1" si="24"/>
        <v xml:space="preserve">Jorge Rojas UBER *TRIP HELP.UBER.C CMX           MEX Uber 0 0 0 </v>
      </c>
    </row>
    <row r="711" spans="1:14">
      <c r="A711" t="str">
        <f ca="1"/>
        <v>TRX1135</v>
      </c>
      <c r="B711" t="str">
        <f ca="1"/>
        <v>#64</v>
      </c>
      <c r="C711">
        <f ca="1"/>
        <v>46078.416666666599</v>
      </c>
      <c r="D711">
        <f ca="1"/>
        <v>475.43</v>
      </c>
      <c r="E711" t="str">
        <f ca="1"/>
        <v>MXN</v>
      </c>
      <c r="F711" t="str">
        <f ca="1"/>
        <v>Jorge Rojas</v>
      </c>
      <c r="G711" t="str">
        <f ca="1"/>
        <v>UBER * EATS PENDING    CMX           MEX</v>
      </c>
      <c r="H711" t="str">
        <f ca="1"/>
        <v>Uber Eats</v>
      </c>
      <c r="I711">
        <f ca="1"/>
        <v>0</v>
      </c>
      <c r="J711">
        <f ca="1"/>
        <v>0</v>
      </c>
      <c r="K711">
        <f ca="1"/>
        <v>0</v>
      </c>
      <c r="L711" t="str">
        <f ca="1">VLOOKUP(B711,[1]Total!$B:$Q,16,0)</f>
        <v>602.34.002 Gastos por visita tencica</v>
      </c>
      <c r="M711">
        <f t="shared" ca="1" si="23"/>
        <v>475.43</v>
      </c>
      <c r="N711" t="str">
        <f t="shared" ca="1" si="24"/>
        <v xml:space="preserve">Jorge Rojas UBER * EATS PENDING    CMX           MEX Uber Eats 0 0 0 </v>
      </c>
    </row>
    <row r="712" spans="1:14">
      <c r="A712" t="str">
        <f ca="1"/>
        <v>TRX1146</v>
      </c>
      <c r="B712" t="str">
        <f ca="1"/>
        <v>#64</v>
      </c>
      <c r="C712">
        <f ca="1"/>
        <v>46078.416666666599</v>
      </c>
      <c r="D712">
        <f ca="1"/>
        <v>184.99</v>
      </c>
      <c r="E712" t="str">
        <f ca="1"/>
        <v>MXN</v>
      </c>
      <c r="F712" t="str">
        <f ca="1"/>
        <v>Jorge Rojas</v>
      </c>
      <c r="G712" t="str">
        <f ca="1"/>
        <v>Microsoft*Microsoft 36 CMX           MEX</v>
      </c>
      <c r="H712" t="str">
        <f ca="1"/>
        <v>Microsoft</v>
      </c>
      <c r="I712">
        <f ca="1"/>
        <v>0</v>
      </c>
      <c r="J712">
        <f ca="1"/>
        <v>0</v>
      </c>
      <c r="K712">
        <f ca="1"/>
        <v>0</v>
      </c>
      <c r="L712" t="str">
        <f ca="1">VLOOKUP(B712,[1]Total!$B:$Q,16,0)</f>
        <v>602.34.002 Gastos por visita tencica</v>
      </c>
      <c r="M712">
        <f t="shared" ca="1" si="23"/>
        <v>184.99</v>
      </c>
      <c r="N712" t="str">
        <f t="shared" ca="1" si="24"/>
        <v xml:space="preserve">Jorge Rojas Microsoft*Microsoft 36 CMX           MEX Microsoft 0 0 0 </v>
      </c>
    </row>
    <row r="713" spans="1:14">
      <c r="A713" t="str">
        <f ca="1"/>
        <v>TRX1157</v>
      </c>
      <c r="B713" t="str">
        <f ca="1"/>
        <v>#64</v>
      </c>
      <c r="C713">
        <f ca="1"/>
        <v>46078.417361111096</v>
      </c>
      <c r="D713">
        <f ca="1"/>
        <v>444</v>
      </c>
      <c r="E713" t="str">
        <f ca="1"/>
        <v>MXN</v>
      </c>
      <c r="F713" t="str">
        <f ca="1"/>
        <v>Jorge Rojas</v>
      </c>
      <c r="G713" t="str">
        <f ca="1"/>
        <v>VIPS TIJUANA 81121     TIJUANA BCN   MEX</v>
      </c>
      <c r="H713" t="str">
        <f ca="1"/>
        <v>Vips Tijuana Tijuana Bcn Mex</v>
      </c>
      <c r="I713">
        <f ca="1"/>
        <v>0</v>
      </c>
      <c r="J713">
        <f ca="1"/>
        <v>0</v>
      </c>
      <c r="K713">
        <f ca="1"/>
        <v>0</v>
      </c>
      <c r="L713" t="str">
        <f ca="1">VLOOKUP(B713,[1]Total!$B:$Q,16,0)</f>
        <v>602.34.002 Gastos por visita tencica</v>
      </c>
      <c r="M713">
        <f t="shared" ca="1" si="23"/>
        <v>444</v>
      </c>
      <c r="N713" t="str">
        <f t="shared" ca="1" si="24"/>
        <v xml:space="preserve">Jorge Rojas VIPS TIJUANA 81121     TIJUANA BCN   MEX Vips Tijuana Tijuana Bcn Mex 0 0 0 </v>
      </c>
    </row>
    <row r="714" spans="1:14">
      <c r="A714" t="str">
        <f ca="1"/>
        <v>TRX1160</v>
      </c>
      <c r="B714" t="str">
        <f ca="1"/>
        <v>#64</v>
      </c>
      <c r="C714">
        <f ca="1"/>
        <v>46078.417361111096</v>
      </c>
      <c r="D714">
        <f ca="1"/>
        <v>53.5</v>
      </c>
      <c r="E714" t="str">
        <f ca="1"/>
        <v>MXN</v>
      </c>
      <c r="F714" t="str">
        <f ca="1"/>
        <v>Jorge Rojas</v>
      </c>
      <c r="G714" t="str">
        <f ca="1"/>
        <v>7ELEVEN T2843 BANDERAS TIJUANA BCN   MEX</v>
      </c>
      <c r="H714" t="str">
        <f ca="1"/>
        <v>7 Eleven</v>
      </c>
      <c r="I714">
        <f ca="1"/>
        <v>0</v>
      </c>
      <c r="J714">
        <f ca="1"/>
        <v>0</v>
      </c>
      <c r="K714">
        <f ca="1"/>
        <v>0</v>
      </c>
      <c r="L714" t="str">
        <f ca="1">VLOOKUP(B714,[1]Total!$B:$Q,16,0)</f>
        <v>602.34.002 Gastos por visita tencica</v>
      </c>
      <c r="M714">
        <f t="shared" ca="1" si="23"/>
        <v>53.5</v>
      </c>
      <c r="N714" t="str">
        <f t="shared" ca="1" si="24"/>
        <v xml:space="preserve">Jorge Rojas 7ELEVEN T2843 BANDERAS TIJUANA BCN   MEX 7 Eleven 0 0 0 </v>
      </c>
    </row>
    <row r="715" spans="1:14">
      <c r="A715" t="str">
        <f ca="1"/>
        <v>TRX1194</v>
      </c>
      <c r="B715" t="str">
        <f ca="1"/>
        <v>#64</v>
      </c>
      <c r="C715">
        <f ca="1"/>
        <v>46079.416666666599</v>
      </c>
      <c r="D715">
        <f ca="1"/>
        <v>278</v>
      </c>
      <c r="E715" t="str">
        <f ca="1"/>
        <v>MXN</v>
      </c>
      <c r="F715" t="str">
        <f ca="1"/>
        <v>Jorge Rojas</v>
      </c>
      <c r="G715" t="str">
        <f ca="1"/>
        <v>CARLS JR P ALONDRAS    TIJUANA BCN   MEX</v>
      </c>
      <c r="H715" t="str">
        <f ca="1"/>
        <v>Carls Jr.</v>
      </c>
      <c r="I715">
        <f ca="1"/>
        <v>0</v>
      </c>
      <c r="J715">
        <f ca="1"/>
        <v>0</v>
      </c>
      <c r="K715">
        <f ca="1"/>
        <v>0</v>
      </c>
      <c r="L715" t="str">
        <f ca="1">VLOOKUP(B715,[1]Total!$B:$Q,16,0)</f>
        <v>602.34.002 Gastos por visita tencica</v>
      </c>
      <c r="M715">
        <f t="shared" ca="1" si="23"/>
        <v>278</v>
      </c>
      <c r="N715" t="str">
        <f t="shared" ca="1" si="24"/>
        <v xml:space="preserve">Jorge Rojas CARLS JR P ALONDRAS    TIJUANA BCN   MEX Carls Jr. 0 0 0 </v>
      </c>
    </row>
    <row r="716" spans="1:14">
      <c r="A716" t="str">
        <f ca="1"/>
        <v>TRX1198</v>
      </c>
      <c r="B716" t="str">
        <f ca="1"/>
        <v>#64</v>
      </c>
      <c r="C716">
        <f ca="1"/>
        <v>46079.416666666599</v>
      </c>
      <c r="D716">
        <f ca="1"/>
        <v>470.18</v>
      </c>
      <c r="E716" t="str">
        <f ca="1"/>
        <v>MXN</v>
      </c>
      <c r="F716" t="str">
        <f ca="1"/>
        <v>Jorge Rojas</v>
      </c>
      <c r="G716" t="str">
        <f ca="1"/>
        <v>DLO*UBER               CIUDAD DE MEX MEX</v>
      </c>
      <c r="H716" t="str">
        <f ca="1"/>
        <v>Uber</v>
      </c>
      <c r="I716">
        <f ca="1"/>
        <v>0</v>
      </c>
      <c r="J716">
        <f ca="1"/>
        <v>0</v>
      </c>
      <c r="K716">
        <f ca="1"/>
        <v>0</v>
      </c>
      <c r="L716" t="str">
        <f ca="1">VLOOKUP(B716,[1]Total!$B:$Q,16,0)</f>
        <v>602.34.002 Gastos por visita tencica</v>
      </c>
      <c r="M716">
        <f t="shared" ca="1" si="23"/>
        <v>470.18</v>
      </c>
      <c r="N716" t="str">
        <f t="shared" ca="1" si="24"/>
        <v xml:space="preserve">Jorge Rojas DLO*UBER               CIUDAD DE MEX MEX Uber 0 0 0 </v>
      </c>
    </row>
    <row r="717" spans="1:14">
      <c r="A717" t="str">
        <f ca="1"/>
        <v>TRX1199</v>
      </c>
      <c r="B717" t="str">
        <f ca="1"/>
        <v>#64</v>
      </c>
      <c r="C717">
        <f ca="1"/>
        <v>46079.416666666599</v>
      </c>
      <c r="D717">
        <f ca="1"/>
        <v>38</v>
      </c>
      <c r="E717" t="str">
        <f ca="1"/>
        <v>MXN</v>
      </c>
      <c r="F717" t="str">
        <f ca="1"/>
        <v>Jorge Rojas</v>
      </c>
      <c r="G717" t="str">
        <f ca="1"/>
        <v>7 ELEVEN T3038 OCEANOS TIJUANA BCN   MEX</v>
      </c>
      <c r="H717" t="str">
        <f ca="1"/>
        <v>7 Eleven</v>
      </c>
      <c r="I717">
        <f ca="1"/>
        <v>0</v>
      </c>
      <c r="J717">
        <f ca="1"/>
        <v>0</v>
      </c>
      <c r="K717">
        <f ca="1"/>
        <v>0</v>
      </c>
      <c r="L717" t="str">
        <f ca="1">VLOOKUP(B717,[1]Total!$B:$Q,16,0)</f>
        <v>602.34.002 Gastos por visita tencica</v>
      </c>
      <c r="M717">
        <f t="shared" ca="1" si="23"/>
        <v>38</v>
      </c>
      <c r="N717" t="str">
        <f t="shared" ca="1" si="24"/>
        <v xml:space="preserve">Jorge Rojas 7 ELEVEN T3038 OCEANOS TIJUANA BCN   MEX 7 Eleven 0 0 0 </v>
      </c>
    </row>
    <row r="718" spans="1:14">
      <c r="A718" t="str">
        <f ca="1"/>
        <v>TRX1217</v>
      </c>
      <c r="B718" t="str">
        <f ca="1"/>
        <v>#64</v>
      </c>
      <c r="C718">
        <f ca="1"/>
        <v>46079.417361111096</v>
      </c>
      <c r="D718">
        <f ca="1"/>
        <v>1705.08</v>
      </c>
      <c r="E718" t="str">
        <f ca="1"/>
        <v>USD</v>
      </c>
      <c r="F718" t="str">
        <f ca="1"/>
        <v>Jorge Rojas</v>
      </c>
      <c r="G718" t="str">
        <f ca="1"/>
        <v>WAL-MART #5023         NATIONAL CITY USA</v>
      </c>
      <c r="H718" t="str">
        <f ca="1"/>
        <v>Walmart</v>
      </c>
      <c r="I718">
        <f ca="1"/>
        <v>0</v>
      </c>
      <c r="J718">
        <f ca="1"/>
        <v>0</v>
      </c>
      <c r="K718">
        <f ca="1"/>
        <v>0</v>
      </c>
      <c r="L718" t="str">
        <f ca="1">VLOOKUP(B718,[1]Total!$B:$Q,16,0)</f>
        <v>602.34.002 Gastos por visita tencica</v>
      </c>
      <c r="M718">
        <f t="shared" ca="1" si="23"/>
        <v>1705.08</v>
      </c>
      <c r="N718" t="str">
        <f t="shared" ca="1" si="24"/>
        <v xml:space="preserve">Jorge Rojas WAL-MART #5023         NATIONAL CITY USA Walmart 0 0 0 </v>
      </c>
    </row>
    <row r="719" spans="1:14">
      <c r="A719" t="str">
        <f ca="1"/>
        <v>TRX1245</v>
      </c>
      <c r="B719" t="str">
        <f ca="1"/>
        <v>#64</v>
      </c>
      <c r="C719">
        <f ca="1"/>
        <v>46080.417361111096</v>
      </c>
      <c r="D719">
        <f ca="1"/>
        <v>143</v>
      </c>
      <c r="E719" t="str">
        <f ca="1"/>
        <v>MXN</v>
      </c>
      <c r="F719" t="str">
        <f ca="1"/>
        <v>Jorge Rojas</v>
      </c>
      <c r="G719" t="str">
        <f ca="1"/>
        <v>WALMART LOMAS STA FE   TIJUANA BCN   MEX</v>
      </c>
      <c r="H719" t="str">
        <f ca="1"/>
        <v>Walmart</v>
      </c>
      <c r="I719">
        <f ca="1"/>
        <v>0</v>
      </c>
      <c r="J719">
        <f ca="1"/>
        <v>0</v>
      </c>
      <c r="K719">
        <f ca="1"/>
        <v>0</v>
      </c>
      <c r="L719" t="str">
        <f ca="1">VLOOKUP(B719,[1]Total!$B:$Q,16,0)</f>
        <v>602.34.002 Gastos por visita tencica</v>
      </c>
      <c r="M719">
        <f t="shared" ca="1" si="23"/>
        <v>143</v>
      </c>
      <c r="N719" t="str">
        <f t="shared" ca="1" si="24"/>
        <v xml:space="preserve">Jorge Rojas WALMART LOMAS STA FE   TIJUANA BCN   MEX Walmart 0 0 0 </v>
      </c>
    </row>
    <row r="720" spans="1:14">
      <c r="A720" t="str">
        <f ca="1"/>
        <v>TRX1246</v>
      </c>
      <c r="B720" t="str">
        <f ca="1"/>
        <v>#64</v>
      </c>
      <c r="C720">
        <f ca="1"/>
        <v>46080.417361111096</v>
      </c>
      <c r="D720">
        <f ca="1"/>
        <v>285</v>
      </c>
      <c r="E720" t="str">
        <f ca="1"/>
        <v>MXN</v>
      </c>
      <c r="F720" t="str">
        <f ca="1"/>
        <v>Jorge Rojas</v>
      </c>
      <c r="G720" t="str">
        <f ca="1"/>
        <v>CLIP MX*SUPER BARRA LI TIJUANA       MEX</v>
      </c>
      <c r="H720" t="str">
        <f ca="1"/>
        <v>Super Mex</v>
      </c>
      <c r="I720">
        <f ca="1"/>
        <v>0</v>
      </c>
      <c r="J720">
        <f ca="1"/>
        <v>0</v>
      </c>
      <c r="K720">
        <f ca="1"/>
        <v>0</v>
      </c>
      <c r="L720" t="str">
        <f ca="1">VLOOKUP(B720,[1]Total!$B:$Q,16,0)</f>
        <v>602.34.002 Gastos por visita tencica</v>
      </c>
      <c r="M720">
        <f t="shared" ca="1" si="23"/>
        <v>285</v>
      </c>
      <c r="N720" t="str">
        <f t="shared" ca="1" si="24"/>
        <v xml:space="preserve">Jorge Rojas CLIP MX*SUPER BARRA LI TIJUANA       MEX Super Mex 0 0 0 </v>
      </c>
    </row>
    <row r="721" spans="1:14">
      <c r="A721" t="str">
        <f ca="1"/>
        <v>TRX1275</v>
      </c>
      <c r="B721" t="str">
        <f ca="1"/>
        <v>#64</v>
      </c>
      <c r="C721">
        <f ca="1"/>
        <v>46081.416666666599</v>
      </c>
      <c r="D721">
        <f ca="1"/>
        <v>452.96</v>
      </c>
      <c r="E721" t="str">
        <f ca="1"/>
        <v>MXN</v>
      </c>
      <c r="F721" t="str">
        <f ca="1"/>
        <v>Jorge Rojas</v>
      </c>
      <c r="G721" t="str">
        <f ca="1"/>
        <v>DLO*UBER               CIUDAD DE MEX MEX</v>
      </c>
      <c r="H721" t="str">
        <f ca="1"/>
        <v>Uber</v>
      </c>
      <c r="I721">
        <f ca="1"/>
        <v>0</v>
      </c>
      <c r="J721">
        <f ca="1"/>
        <v>0</v>
      </c>
      <c r="K721">
        <f ca="1"/>
        <v>0</v>
      </c>
      <c r="L721" t="str">
        <f ca="1">VLOOKUP(B721,[1]Total!$B:$Q,16,0)</f>
        <v>602.34.002 Gastos por visita tencica</v>
      </c>
      <c r="M721">
        <f t="shared" ca="1" si="23"/>
        <v>452.96</v>
      </c>
      <c r="N721" t="str">
        <f t="shared" ca="1" si="24"/>
        <v xml:space="preserve">Jorge Rojas DLO*UBER               CIUDAD DE MEX MEX Uber 0 0 0 </v>
      </c>
    </row>
    <row r="722" spans="1:14">
      <c r="A722" t="str">
        <f ca="1"/>
        <v>TRX1277</v>
      </c>
      <c r="B722" t="str">
        <f ca="1"/>
        <v>#64</v>
      </c>
      <c r="C722">
        <f ca="1"/>
        <v>46081.416666666599</v>
      </c>
      <c r="D722">
        <f ca="1"/>
        <v>34.5</v>
      </c>
      <c r="E722" t="str">
        <f ca="1"/>
        <v>MXN</v>
      </c>
      <c r="F722" t="str">
        <f ca="1"/>
        <v>Jorge Rojas</v>
      </c>
      <c r="G722" t="str">
        <f ca="1"/>
        <v>7ELEVEN T2843 BANDERAS TIJUANA BCN   MEX</v>
      </c>
      <c r="H722" t="str">
        <f ca="1"/>
        <v>7 Eleven</v>
      </c>
      <c r="I722">
        <f ca="1"/>
        <v>0</v>
      </c>
      <c r="J722">
        <f ca="1"/>
        <v>0</v>
      </c>
      <c r="K722">
        <f ca="1"/>
        <v>0</v>
      </c>
      <c r="L722" t="str">
        <f ca="1">VLOOKUP(B722,[1]Total!$B:$Q,16,0)</f>
        <v>602.34.002 Gastos por visita tencica</v>
      </c>
      <c r="M722">
        <f t="shared" ca="1" si="23"/>
        <v>34.5</v>
      </c>
      <c r="N722" t="str">
        <f t="shared" ca="1" si="24"/>
        <v xml:space="preserve">Jorge Rojas 7ELEVEN T2843 BANDERAS TIJUANA BCN   MEX 7 Eleven 0 0 0 </v>
      </c>
    </row>
    <row r="723" spans="1:14" hidden="1">
      <c r="A723" t="str">
        <f ca="1"/>
        <v>#N/A</v>
      </c>
      <c r="B723">
        <f ca="1"/>
        <v>0</v>
      </c>
      <c r="C723">
        <f ca="1"/>
        <v>0</v>
      </c>
      <c r="D723" t="str">
        <f ca="1"/>
        <v>#N/A</v>
      </c>
      <c r="E723" t="str">
        <f ca="1"/>
        <v>#N/A</v>
      </c>
      <c r="F723" t="str">
        <f ca="1"/>
        <v>#N/A</v>
      </c>
      <c r="G723" t="str">
        <f ca="1"/>
        <v>#N/A</v>
      </c>
      <c r="H723">
        <f ca="1"/>
        <v>0</v>
      </c>
      <c r="I723" t="str">
        <f ca="1"/>
        <v>G&amp;A expenses</v>
      </c>
      <c r="J723" t="str">
        <f ca="1"/>
        <v>Comida Lendable Farolito</v>
      </c>
      <c r="K723" t="str">
        <f ca="1"/>
        <v>.</v>
      </c>
      <c r="L723" t="e">
        <f ca="1">VLOOKUP(B723,[1]Total!$B:$Q,16,0)</f>
        <v>#N/A</v>
      </c>
      <c r="M723" t="str">
        <f t="shared" ca="1" si="23"/>
        <v>#N/A</v>
      </c>
      <c r="N723" t="str">
        <f t="shared" ca="1" si="24"/>
        <v xml:space="preserve">#N/A #N/A 0 G&amp;A expenses Comida Lendable Farolito . </v>
      </c>
    </row>
    <row r="724" spans="1:14" hidden="1">
      <c r="A724" t="str">
        <f ca="1"/>
        <v>#N/A</v>
      </c>
      <c r="B724">
        <f ca="1"/>
        <v>0</v>
      </c>
      <c r="C724">
        <f ca="1"/>
        <v>0</v>
      </c>
      <c r="D724" t="str">
        <f ca="1"/>
        <v>#N/A</v>
      </c>
      <c r="E724" t="str">
        <f ca="1"/>
        <v>#N/A</v>
      </c>
      <c r="F724" t="str">
        <f ca="1"/>
        <v>#N/A</v>
      </c>
      <c r="G724" t="str">
        <f ca="1"/>
        <v>#N/A</v>
      </c>
      <c r="H724">
        <f ca="1"/>
        <v>0</v>
      </c>
      <c r="I724" t="str">
        <f ca="1"/>
        <v/>
      </c>
      <c r="J724" t="str">
        <f ca="1"/>
        <v xml:space="preserve">Lo debo lo acepto :( - Ya borre la 
tarjeta de mi cuenta de mercado 
libre se cobro por error </v>
      </c>
      <c r="K724" t="str">
        <f ca="1"/>
        <v>.</v>
      </c>
      <c r="L724" t="e">
        <f ca="1">VLOOKUP(B724,[1]Total!$B:$Q,16,0)</f>
        <v>#N/A</v>
      </c>
      <c r="M724" t="str">
        <f t="shared" ca="1" si="23"/>
        <v>#N/A</v>
      </c>
      <c r="N724" t="str">
        <f t="shared" ca="1" si="24"/>
        <v xml:space="preserve">#N/A #N/A 0  Lo debo lo acepto :( - Ya borre la 
tarjeta de mi cuenta de mercado 
libre se cobro por error  . </v>
      </c>
    </row>
    <row r="725" spans="1:14">
      <c r="A725" t="str">
        <f ca="1"/>
        <v>TRX1213</v>
      </c>
      <c r="B725" t="str">
        <f ca="1"/>
        <v>#68</v>
      </c>
      <c r="C725">
        <f ca="1"/>
        <v>46058.417361111096</v>
      </c>
      <c r="D725">
        <f ca="1"/>
        <v>68.5</v>
      </c>
      <c r="E725" t="str">
        <f ca="1"/>
        <v>MXN</v>
      </c>
      <c r="F725" t="str">
        <f ca="1"/>
        <v>Jorge Armando Ramirez Perez</v>
      </c>
      <c r="G725" t="str">
        <f ca="1"/>
        <v>OXXOPORTAL DE HDA MTY  GUADALUPE NL  MEX</v>
      </c>
      <c r="H725" t="str">
        <f ca="1"/>
        <v>Oxxoportal De Hda Mty Guadalupe Nl Mex</v>
      </c>
      <c r="I725" t="str">
        <f ca="1"/>
        <v>Transaction cost</v>
      </c>
      <c r="J725" t="str">
        <f ca="1"/>
        <v>RFQ 4512 Ecoclean 4512 Visita MP Comida</v>
      </c>
      <c r="K725" t="str">
        <f ca="1"/>
        <v>1637-55626-0213224106083</v>
      </c>
      <c r="L725" t="str">
        <f ca="1">VLOOKUP(B725,[1]Total!$B:$Q,16,0)</f>
        <v>602.34.002 Gastos por visita tencica</v>
      </c>
      <c r="M725">
        <f t="shared" ca="1" si="23"/>
        <v>68.5</v>
      </c>
      <c r="N725" t="str">
        <f t="shared" ca="1" si="24"/>
        <v xml:space="preserve">Jorge Armando Ramirez Perez OXXOPORTAL DE HDA MTY  GUADALUPE NL  MEX Oxxoportal De Hda Mty Guadalupe Nl Mex Transaction cost RFQ 4512 Ecoclean 4512 Visita MP Comida 1637-55626-0213224106083 </v>
      </c>
    </row>
    <row r="726" spans="1:14">
      <c r="A726" t="str">
        <f ca="1"/>
        <v>TRX1203</v>
      </c>
      <c r="B726" t="str">
        <f ca="1"/>
        <v>#68</v>
      </c>
      <c r="C726">
        <f ca="1"/>
        <v>46058.417361111096</v>
      </c>
      <c r="D726">
        <f ca="1"/>
        <v>200</v>
      </c>
      <c r="E726" t="str">
        <f ca="1"/>
        <v>MXN</v>
      </c>
      <c r="F726" t="str">
        <f ca="1"/>
        <v>Jorge Armando Ramirez Perez</v>
      </c>
      <c r="G726" t="str">
        <f ca="1"/>
        <v>OXXO GAS 15 DE MAYO    MONTERREY NL  MEX</v>
      </c>
      <c r="H726" t="str">
        <f ca="1"/>
        <v>Oxxo</v>
      </c>
      <c r="I726" t="str">
        <f ca="1"/>
        <v>Transaction cost</v>
      </c>
      <c r="J726" t="str">
        <f ca="1"/>
        <v>RFQ 4512 Ecoclean Visita MP Gasolina</v>
      </c>
      <c r="K726">
        <f ca="1"/>
        <v>0</v>
      </c>
      <c r="L726" t="str">
        <f ca="1">VLOOKUP(B726,[1]Total!$B:$Q,16,0)</f>
        <v>602.34.002 Gastos por visita tencica</v>
      </c>
      <c r="M726">
        <f t="shared" ca="1" si="23"/>
        <v>200</v>
      </c>
      <c r="N726" t="str">
        <f t="shared" ca="1" si="24"/>
        <v xml:space="preserve">Jorge Armando Ramirez Perez OXXO GAS 15 DE MAYO    MONTERREY NL  MEX Oxxo Transaction cost RFQ 4512 Ecoclean Visita MP Gasolina 0 </v>
      </c>
    </row>
    <row r="727" spans="1:14">
      <c r="A727" t="str">
        <f ca="1"/>
        <v>TRX1166</v>
      </c>
      <c r="B727" t="str">
        <f ca="1"/>
        <v>#68</v>
      </c>
      <c r="C727">
        <f ca="1"/>
        <v>46059.416666666599</v>
      </c>
      <c r="D727">
        <f ca="1"/>
        <v>543</v>
      </c>
      <c r="E727" t="str">
        <f ca="1"/>
        <v>MXN</v>
      </c>
      <c r="F727" t="str">
        <f ca="1"/>
        <v>Jorge Armando Ramirez Perez</v>
      </c>
      <c r="G727" t="str">
        <f ca="1"/>
        <v>TH ALTEA HUINALA MP    APODACA NL    MEX</v>
      </c>
      <c r="H727" t="str">
        <f ca="1"/>
        <v>Th Altea Huinala Mp Apodaca Nl Mex</v>
      </c>
      <c r="I727" t="str">
        <f ca="1"/>
        <v>Transaction cost</v>
      </c>
      <c r="J727" t="str">
        <f ca="1"/>
        <v>RFQ 4512 Ecoclean 4512 Visita MP linpieza Lions / Snaks</v>
      </c>
      <c r="K727" t="str">
        <f ca="1"/>
        <v>FACTURA AHUIN18733 [Tipo: I - Ingreso UUID:4ef1d64f-81d9-4479-8359-0c596222a128]</v>
      </c>
      <c r="L727" t="str">
        <f ca="1">VLOOKUP(B727,[1]Total!$B:$Q,16,0)</f>
        <v>602.34.002 Gastos por visita tencica</v>
      </c>
      <c r="M727">
        <f t="shared" ca="1" si="23"/>
        <v>543</v>
      </c>
      <c r="N727" t="str">
        <f t="shared" ca="1" si="24"/>
        <v xml:space="preserve">Jorge Armando Ramirez Perez TH ALTEA HUINALA MP    APODACA NL    MEX Th Altea Huinala Mp Apodaca Nl Mex Transaction cost RFQ 4512 Ecoclean 4512 Visita MP linpieza Lions / Snaks FACTURA AHUIN18733 [Tipo: I - Ingreso UUID:4ef1d64f-81d9-4479-8359-0c596222a128] </v>
      </c>
    </row>
    <row r="728" spans="1:14">
      <c r="A728" t="str">
        <f ca="1"/>
        <v>TRX1834</v>
      </c>
      <c r="B728" t="str">
        <f ca="1"/>
        <v>#68</v>
      </c>
      <c r="C728">
        <f ca="1"/>
        <v>46059.417361111096</v>
      </c>
      <c r="D728">
        <f ca="1"/>
        <v>127</v>
      </c>
      <c r="E728" t="str">
        <f ca="1"/>
        <v>MXN</v>
      </c>
      <c r="F728" t="str">
        <f ca="1"/>
        <v>Jorge Armando Ramirez Perez</v>
      </c>
      <c r="G728" t="str">
        <f ca="1"/>
        <v>OXXOPORTAL DE HDA MTY  GUADALUPE NL  MEX</v>
      </c>
      <c r="H728" t="str">
        <f ca="1"/>
        <v>Oxxoportal De Hda Mty Guadalupe Nl Mex</v>
      </c>
      <c r="I728" t="str">
        <f ca="1"/>
        <v>Transaction cost</v>
      </c>
      <c r="J728" t="str">
        <f ca="1"/>
        <v>RFQ 5052 Baltimore Baseparachiller / Caseta Efectivo</v>
      </c>
      <c r="K728" t="str">
        <f ca="1"/>
        <v>1637556260213222342157</v>
      </c>
      <c r="L728" t="str">
        <f ca="1">VLOOKUP(B728,[1]Total!$B:$Q,16,0)</f>
        <v>602.34.002 Gastos por visita tencica</v>
      </c>
      <c r="M728">
        <f t="shared" ca="1" si="23"/>
        <v>127</v>
      </c>
      <c r="N728" t="str">
        <f t="shared" ca="1" si="24"/>
        <v xml:space="preserve">Jorge Armando Ramirez Perez OXXOPORTAL DE HDA MTY  GUADALUPE NL  MEX Oxxoportal De Hda Mty Guadalupe Nl Mex Transaction cost RFQ 5052 Baltimore Baseparachiller / Caseta Efectivo 1637556260213222342157 </v>
      </c>
    </row>
    <row r="729" spans="1:14">
      <c r="A729" t="str">
        <f ca="1"/>
        <v>TRX2001</v>
      </c>
      <c r="B729" t="str">
        <f ca="1"/>
        <v>#68</v>
      </c>
      <c r="C729">
        <f ca="1"/>
        <v>46059.417361111096</v>
      </c>
      <c r="D729">
        <f ca="1"/>
        <v>337</v>
      </c>
      <c r="E729" t="str">
        <f ca="1"/>
        <v>MXN</v>
      </c>
      <c r="F729" t="str">
        <f ca="1"/>
        <v>Jorge Armando Ramirez Perez</v>
      </c>
      <c r="G729" t="str">
        <f ca="1"/>
        <v>EL POLLO LOCO          GUADALUPE NL  MEX</v>
      </c>
      <c r="H729" t="str">
        <f ca="1"/>
        <v>El Pollo Loco</v>
      </c>
      <c r="I729" t="str">
        <f ca="1"/>
        <v>Transaction cost</v>
      </c>
      <c r="J729" t="str">
        <f ca="1"/>
        <v>PO 780 Deacero Abrazaderas Comida</v>
      </c>
      <c r="K729" t="str">
        <f ca="1"/>
        <v>FK-6639</v>
      </c>
      <c r="L729" t="str">
        <f ca="1">VLOOKUP(B729,[1]Total!$B:$Q,16,0)</f>
        <v>602.34.002 Gastos por visita tencica</v>
      </c>
      <c r="M729">
        <f t="shared" ca="1" si="23"/>
        <v>337</v>
      </c>
      <c r="N729" t="str">
        <f t="shared" ca="1" si="24"/>
        <v xml:space="preserve">Jorge Armando Ramirez Perez EL POLLO LOCO          GUADALUPE NL  MEX El Pollo Loco Transaction cost PO 780 Deacero Abrazaderas Comida FK-6639 </v>
      </c>
    </row>
    <row r="730" spans="1:14">
      <c r="A730" t="str">
        <f ca="1"/>
        <v>TRX1140</v>
      </c>
      <c r="B730" t="str">
        <f ca="1"/>
        <v>#68</v>
      </c>
      <c r="C730">
        <f ca="1"/>
        <v>46060.416666666599</v>
      </c>
      <c r="D730">
        <f ca="1"/>
        <v>219.96</v>
      </c>
      <c r="E730" t="str">
        <f ca="1"/>
        <v>MXN</v>
      </c>
      <c r="F730" t="str">
        <f ca="1"/>
        <v>Jorge Armando Ramirez Perez</v>
      </c>
      <c r="G730" t="str">
        <f ca="1"/>
        <v>UBER * PENDING         CMX           MEX</v>
      </c>
      <c r="H730" t="str">
        <f ca="1"/>
        <v>Uber</v>
      </c>
      <c r="I730" t="str">
        <f ca="1"/>
        <v>Transaction cost</v>
      </c>
      <c r="J730" t="str">
        <f ca="1"/>
        <v>PO 7080 DeAcero Abrazaderas UBER</v>
      </c>
      <c r="K730">
        <f ca="1"/>
        <v>0</v>
      </c>
      <c r="L730" t="str">
        <f ca="1">VLOOKUP(B730,[1]Total!$B:$Q,16,0)</f>
        <v>602.34.002 Gastos por visita tencica</v>
      </c>
      <c r="M730">
        <f t="shared" ca="1" si="23"/>
        <v>219.96</v>
      </c>
      <c r="N730" t="str">
        <f t="shared" ca="1" si="24"/>
        <v xml:space="preserve">Jorge Armando Ramirez Perez UBER * PENDING         CMX           MEX Uber Transaction cost PO 7080 DeAcero Abrazaderas UBER 0 </v>
      </c>
    </row>
    <row r="731" spans="1:14">
      <c r="A731" t="str">
        <f ca="1"/>
        <v>TRX1952</v>
      </c>
      <c r="B731" t="str">
        <f ca="1"/>
        <v>#68</v>
      </c>
      <c r="C731">
        <f ca="1"/>
        <v>46060.416666666599</v>
      </c>
      <c r="D731">
        <f ca="1"/>
        <v>600</v>
      </c>
      <c r="E731" t="str">
        <f ca="1"/>
        <v>MXN</v>
      </c>
      <c r="F731" t="str">
        <f ca="1"/>
        <v>Jorge Armando Ramirez Perez</v>
      </c>
      <c r="G731" t="str">
        <f ca="1"/>
        <v>RECARGA PASE TUTAG     CIUDAD DE MEX MEX</v>
      </c>
      <c r="H731" t="str">
        <f ca="1"/>
        <v>Recarga Pase Tutag Ciudad De Mex Mex</v>
      </c>
      <c r="I731" t="str">
        <f ca="1"/>
        <v>Transaction cost</v>
      </c>
      <c r="J731" t="str">
        <f ca="1"/>
        <v>RFQ 5052 Baltimore Baseparachiller Casetas</v>
      </c>
      <c r="K731" t="str">
        <f ca="1"/>
        <v>00001000000720922343</v>
      </c>
      <c r="L731" t="str">
        <f ca="1">VLOOKUP(B731,[1]Total!$B:$Q,16,0)</f>
        <v>602.34.002 Gastos por visita tencica</v>
      </c>
      <c r="M731">
        <f t="shared" ca="1" si="23"/>
        <v>600</v>
      </c>
      <c r="N731" t="str">
        <f t="shared" ca="1" si="24"/>
        <v xml:space="preserve">Jorge Armando Ramirez Perez RECARGA PASE TUTAG     CIUDAD DE MEX MEX Recarga Pase Tutag Ciudad De Mex Mex Transaction cost RFQ 5052 Baltimore Baseparachiller Casetas 00001000000720922343 </v>
      </c>
    </row>
    <row r="732" spans="1:14">
      <c r="A732" t="str">
        <f ca="1"/>
        <v>TRX1566</v>
      </c>
      <c r="B732" t="str">
        <f ca="1"/>
        <v>#68</v>
      </c>
      <c r="C732">
        <f ca="1"/>
        <v>46060.417361111096</v>
      </c>
      <c r="D732">
        <f ca="1"/>
        <v>68.5</v>
      </c>
      <c r="E732" t="str">
        <f ca="1"/>
        <v>MXN</v>
      </c>
      <c r="F732" t="str">
        <f ca="1"/>
        <v>Jorge Armando Ramirez Perez</v>
      </c>
      <c r="G732" t="str">
        <f ca="1"/>
        <v>7 ELEVEN AZTECA        GUADALUPE NL  MEX</v>
      </c>
      <c r="H732" t="str">
        <f ca="1"/>
        <v>7 Eleven</v>
      </c>
      <c r="I732" t="str">
        <f ca="1"/>
        <v>Transaction cost</v>
      </c>
      <c r="J732" t="str">
        <f ca="1"/>
        <v>RFQ 4512 Ecoclean 4512 Visita MP Comida</v>
      </c>
      <c r="K732" t="str">
        <f ca="1"/>
        <v>Serie: 0076 Folio: 4058</v>
      </c>
      <c r="L732" t="str">
        <f ca="1">VLOOKUP(B732,[1]Total!$B:$Q,16,0)</f>
        <v>602.34.002 Gastos por visita tencica</v>
      </c>
      <c r="M732">
        <f t="shared" ca="1" si="23"/>
        <v>68.5</v>
      </c>
      <c r="N732" t="str">
        <f t="shared" ca="1" si="24"/>
        <v xml:space="preserve">Jorge Armando Ramirez Perez 7 ELEVEN AZTECA        GUADALUPE NL  MEX 7 Eleven Transaction cost RFQ 4512 Ecoclean 4512 Visita MP Comida Serie: 0076 Folio: 4058 </v>
      </c>
    </row>
    <row r="733" spans="1:14">
      <c r="A733" t="str">
        <f ca="1"/>
        <v>TRX1130</v>
      </c>
      <c r="B733" t="str">
        <f ca="1"/>
        <v>#68</v>
      </c>
      <c r="C733">
        <f ca="1"/>
        <v>46060.417361111096</v>
      </c>
      <c r="D733">
        <f ca="1"/>
        <v>94.5</v>
      </c>
      <c r="E733" t="str">
        <f ca="1"/>
        <v>MXN</v>
      </c>
      <c r="F733" t="str">
        <f ca="1"/>
        <v>Jorge Armando Ramirez Perez</v>
      </c>
      <c r="G733" t="str">
        <f ca="1"/>
        <v>7 ELEVEN DIAZ ORDAZ    SANTA CATARIN MEX</v>
      </c>
      <c r="H733" t="str">
        <f ca="1"/>
        <v>7 Eleven</v>
      </c>
      <c r="I733" t="str">
        <f ca="1"/>
        <v>Transaction cost</v>
      </c>
      <c r="J733" t="str">
        <f ca="1"/>
        <v>RFQ 5052 Baltimore Baseparachiller Comida / Jose Franco / Jorge Ramírez</v>
      </c>
      <c r="K733" t="str">
        <f ca="1"/>
        <v>N-</v>
      </c>
      <c r="L733" t="str">
        <f ca="1">VLOOKUP(B733,[1]Total!$B:$Q,16,0)</f>
        <v>602.34.002 Gastos por visita tencica</v>
      </c>
      <c r="M733">
        <f t="shared" ca="1" si="23"/>
        <v>94.5</v>
      </c>
      <c r="N733" t="str">
        <f t="shared" ca="1" si="24"/>
        <v xml:space="preserve">Jorge Armando Ramirez Perez 7 ELEVEN DIAZ ORDAZ    SANTA CATARIN MEX 7 Eleven Transaction cost RFQ 5052 Baltimore Baseparachiller Comida / Jose Franco / Jorge Ramírez N- </v>
      </c>
    </row>
    <row r="734" spans="1:14">
      <c r="A734" t="str">
        <f ca="1"/>
        <v>TRX1892</v>
      </c>
      <c r="B734" t="str">
        <f ca="1"/>
        <v>#68</v>
      </c>
      <c r="C734">
        <f ca="1"/>
        <v>46060.417361111096</v>
      </c>
      <c r="D734">
        <f ca="1"/>
        <v>720</v>
      </c>
      <c r="E734" t="str">
        <f ca="1"/>
        <v>MXN</v>
      </c>
      <c r="F734" t="str">
        <f ca="1"/>
        <v>Jorge Armando Ramirez Perez</v>
      </c>
      <c r="G734" t="str">
        <f ca="1"/>
        <v>EL FELIGREZ            SALTILLO COAH MEX</v>
      </c>
      <c r="H734" t="str">
        <f ca="1"/>
        <v>El Saltillo</v>
      </c>
      <c r="I734" t="str">
        <f ca="1"/>
        <v>Transaction cost</v>
      </c>
      <c r="J734" t="str">
        <f ca="1"/>
        <v>PO 7080 DeAcero Abrazaderas UBER</v>
      </c>
      <c r="K734">
        <f ca="1"/>
        <v>0</v>
      </c>
      <c r="L734" t="str">
        <f ca="1">VLOOKUP(B734,[1]Total!$B:$Q,16,0)</f>
        <v>602.34.002 Gastos por visita tencica</v>
      </c>
      <c r="M734">
        <f t="shared" ca="1" si="23"/>
        <v>720</v>
      </c>
      <c r="N734" t="str">
        <f t="shared" ca="1" si="24"/>
        <v xml:space="preserve">Jorge Armando Ramirez Perez EL FELIGREZ            SALTILLO COAH MEX El Saltillo Transaction cost PO 7080 DeAcero Abrazaderas UBER 0 </v>
      </c>
    </row>
    <row r="735" spans="1:14">
      <c r="A735" t="str">
        <f ca="1"/>
        <v>TRX1760</v>
      </c>
      <c r="B735" t="str">
        <f ca="1"/>
        <v>#68</v>
      </c>
      <c r="C735">
        <f ca="1"/>
        <v>46061.416666666599</v>
      </c>
      <c r="D735">
        <f ca="1"/>
        <v>237.27</v>
      </c>
      <c r="E735" t="str">
        <f ca="1"/>
        <v>MXN</v>
      </c>
      <c r="F735" t="str">
        <f ca="1"/>
        <v>Jorge Armando Ramirez Perez</v>
      </c>
      <c r="G735" t="str">
        <f ca="1"/>
        <v>UBER * PENDING         CMX           MEX</v>
      </c>
      <c r="H735" t="str">
        <f ca="1"/>
        <v>Uber</v>
      </c>
      <c r="I735" t="str">
        <f ca="1"/>
        <v>Transaction cost</v>
      </c>
      <c r="J735" t="str">
        <f ca="1"/>
        <v>PO 7080 DeAcero Abrazaderas UBER</v>
      </c>
      <c r="K735">
        <f ca="1"/>
        <v>0</v>
      </c>
      <c r="L735" t="str">
        <f ca="1">VLOOKUP(B735,[1]Total!$B:$Q,16,0)</f>
        <v>602.34.002 Gastos por visita tencica</v>
      </c>
      <c r="M735">
        <f t="shared" ca="1" si="23"/>
        <v>237.27</v>
      </c>
      <c r="N735" t="str">
        <f t="shared" ca="1" si="24"/>
        <v xml:space="preserve">Jorge Armando Ramirez Perez UBER * PENDING         CMX           MEX Uber Transaction cost PO 7080 DeAcero Abrazaderas UBER 0 </v>
      </c>
    </row>
    <row r="736" spans="1:14">
      <c r="A736" t="str">
        <f ca="1"/>
        <v>TRX1602</v>
      </c>
      <c r="B736" t="str">
        <f ca="1"/>
        <v>#68</v>
      </c>
      <c r="C736">
        <f ca="1"/>
        <v>46061.417361111096</v>
      </c>
      <c r="D736">
        <f ca="1"/>
        <v>1075.8499999999999</v>
      </c>
      <c r="E736" t="str">
        <f ca="1"/>
        <v>MXN</v>
      </c>
      <c r="F736" t="str">
        <f ca="1"/>
        <v>Jorge Armando Ramirez Perez</v>
      </c>
      <c r="G736" t="str">
        <f ca="1"/>
        <v>GAS MADERO             MONTERREY NL  MEX</v>
      </c>
      <c r="H736" t="str">
        <f ca="1"/>
        <v>Gas Madero Monterrey Nl Mex</v>
      </c>
      <c r="I736" t="str">
        <f ca="1"/>
        <v>Transaction cost</v>
      </c>
      <c r="J736" t="str">
        <f ca="1"/>
        <v>PO 780 Deacero Abrazaderas Gasolina</v>
      </c>
      <c r="K736" t="str">
        <f ca="1"/>
        <v>EAI - 167451</v>
      </c>
      <c r="L736" t="str">
        <f ca="1">VLOOKUP(B736,[1]Total!$B:$Q,16,0)</f>
        <v>602.34.002 Gastos por visita tencica</v>
      </c>
      <c r="M736">
        <f t="shared" ca="1" si="23"/>
        <v>1075.8499999999999</v>
      </c>
      <c r="N736" t="str">
        <f t="shared" ca="1" si="24"/>
        <v xml:space="preserve">Jorge Armando Ramirez Perez GAS MADERO             MONTERREY NL  MEX Gas Madero Monterrey Nl Mex Transaction cost PO 780 Deacero Abrazaderas Gasolina EAI - 167451 </v>
      </c>
    </row>
    <row r="737" spans="1:14">
      <c r="A737" t="str">
        <f ca="1"/>
        <v>TRX1337</v>
      </c>
      <c r="B737" t="str">
        <f ca="1"/>
        <v>#68</v>
      </c>
      <c r="C737">
        <f ca="1"/>
        <v>46061.417361111096</v>
      </c>
      <c r="D737">
        <f ca="1"/>
        <v>210</v>
      </c>
      <c r="E737" t="str">
        <f ca="1"/>
        <v>MXN</v>
      </c>
      <c r="F737" t="str">
        <f ca="1"/>
        <v>Jorge Armando Ramirez Perez</v>
      </c>
      <c r="G737" t="str">
        <f ca="1"/>
        <v>TH RICARDO MARGAIN     SAN PEDRO GAR MEX</v>
      </c>
      <c r="H737" t="str">
        <f ca="1"/>
        <v>Th Ricardo Margain San Pedro Gar Mex</v>
      </c>
      <c r="I737" t="str">
        <f ca="1"/>
        <v>Transaction cost</v>
      </c>
      <c r="J737" t="str">
        <f ca="1"/>
        <v>PO 780 Deacero Abrazaderas Comida</v>
      </c>
      <c r="K737" t="str">
        <f ca="1"/>
        <v>FACTURA RMNL6966 [Tipo: I - Ingreso UUID:4b336fed-d276-4360-be80-157f64723f5c]</v>
      </c>
      <c r="L737" t="str">
        <f ca="1">VLOOKUP(B737,[1]Total!$B:$Q,16,0)</f>
        <v>602.34.002 Gastos por visita tencica</v>
      </c>
      <c r="M737">
        <f t="shared" ca="1" si="23"/>
        <v>210</v>
      </c>
      <c r="N737" t="str">
        <f t="shared" ca="1" si="24"/>
        <v xml:space="preserve">Jorge Armando Ramirez Perez TH RICARDO MARGAIN     SAN PEDRO GAR MEX Th Ricardo Margain San Pedro Gar Mex Transaction cost PO 780 Deacero Abrazaderas Comida FACTURA RMNL6966 [Tipo: I - Ingreso UUID:4b336fed-d276-4360-be80-157f64723f5c] </v>
      </c>
    </row>
    <row r="738" spans="1:14">
      <c r="A738" t="str">
        <f ca="1"/>
        <v>TRX1893</v>
      </c>
      <c r="B738" t="str">
        <f ca="1"/>
        <v>#68</v>
      </c>
      <c r="C738">
        <f ca="1"/>
        <v>46062.416666666599</v>
      </c>
      <c r="D738">
        <f ca="1"/>
        <v>69.95</v>
      </c>
      <c r="E738" t="str">
        <f ca="1"/>
        <v>MXN</v>
      </c>
      <c r="F738" t="str">
        <f ca="1"/>
        <v>Jorge Armando Ramirez Perez</v>
      </c>
      <c r="G738" t="str">
        <f ca="1"/>
        <v>UBER * PENDING         CMX           MEX</v>
      </c>
      <c r="H738" t="str">
        <f ca="1"/>
        <v>Uber</v>
      </c>
      <c r="I738" t="str">
        <f ca="1"/>
        <v>Transaction cost</v>
      </c>
      <c r="J738" t="str">
        <f ca="1"/>
        <v>Envio Rugosimetro</v>
      </c>
      <c r="K738">
        <f ca="1"/>
        <v>0</v>
      </c>
      <c r="L738" t="str">
        <f ca="1">VLOOKUP(B738,[1]Total!$B:$Q,16,0)</f>
        <v>602.34.002 Gastos por visita tencica</v>
      </c>
      <c r="M738">
        <f t="shared" ca="1" si="23"/>
        <v>69.95</v>
      </c>
      <c r="N738" t="str">
        <f t="shared" ca="1" si="24"/>
        <v xml:space="preserve">Jorge Armando Ramirez Perez UBER * PENDING         CMX           MEX Uber Transaction cost Envio Rugosimetro 0 </v>
      </c>
    </row>
    <row r="739" spans="1:14">
      <c r="A739" t="str">
        <f ca="1"/>
        <v>TRX1881</v>
      </c>
      <c r="B739" t="str">
        <f ca="1"/>
        <v>#68</v>
      </c>
      <c r="C739">
        <f ca="1"/>
        <v>46062.416666666599</v>
      </c>
      <c r="D739">
        <f ca="1"/>
        <v>938</v>
      </c>
      <c r="E739" t="str">
        <f ca="1"/>
        <v>MXN</v>
      </c>
      <c r="F739" t="str">
        <f ca="1"/>
        <v>Jorge Armando Ramirez Perez</v>
      </c>
      <c r="G739" t="str">
        <f ca="1"/>
        <v>AUTOZONE 7798          GUADALUPE NL  MEX</v>
      </c>
      <c r="H739" t="str">
        <f ca="1"/>
        <v>Autozone</v>
      </c>
      <c r="I739" t="str">
        <f ca="1"/>
        <v>Transaction cost</v>
      </c>
      <c r="J739" t="str">
        <f ca="1"/>
        <v>RFQ 5052 Batimore Base chillers Auto / Combustible pagado en efectivo</v>
      </c>
      <c r="K739" t="str">
        <f ca="1"/>
        <v>Serie 00007798 Folio 964259</v>
      </c>
      <c r="L739" t="str">
        <f ca="1">VLOOKUP(B739,[1]Total!$B:$Q,16,0)</f>
        <v>602.34.002 Gastos por visita tencica</v>
      </c>
      <c r="M739">
        <f t="shared" ca="1" si="23"/>
        <v>938</v>
      </c>
      <c r="N739" t="str">
        <f t="shared" ca="1" si="24"/>
        <v xml:space="preserve">Jorge Armando Ramirez Perez AUTOZONE 7798          GUADALUPE NL  MEX Autozone Transaction cost RFQ 5052 Batimore Base chillers Auto / Combustible pagado en efectivo Serie 00007798 Folio 964259 </v>
      </c>
    </row>
    <row r="740" spans="1:14">
      <c r="A740" t="str">
        <f ca="1"/>
        <v>TRX1791</v>
      </c>
      <c r="B740" t="str">
        <f ca="1"/>
        <v>#68</v>
      </c>
      <c r="C740">
        <f ca="1"/>
        <v>46062.416666666599</v>
      </c>
      <c r="D740">
        <f ca="1"/>
        <v>290</v>
      </c>
      <c r="E740" t="str">
        <f ca="1"/>
        <v>MXN</v>
      </c>
      <c r="F740" t="str">
        <f ca="1"/>
        <v>Jorge Armando Ramirez Perez</v>
      </c>
      <c r="G740" t="str">
        <f ca="1"/>
        <v>TACOS EL AMIGO         MONTERREY NL  MEX</v>
      </c>
      <c r="H740" t="str">
        <f ca="1"/>
        <v>Tacos El Amigo Monterrey Nl Mex</v>
      </c>
      <c r="I740" t="str">
        <f ca="1"/>
        <v>Transaction cost</v>
      </c>
      <c r="J740" t="str">
        <f ca="1"/>
        <v>PO 780 Deacero Abrazaderas Comida</v>
      </c>
      <c r="K740" t="str">
        <f ca="1"/>
        <v>N-</v>
      </c>
      <c r="L740" t="str">
        <f ca="1">VLOOKUP(B740,[1]Total!$B:$Q,16,0)</f>
        <v>602.34.002 Gastos por visita tencica</v>
      </c>
      <c r="M740">
        <f t="shared" ca="1" si="23"/>
        <v>290</v>
      </c>
      <c r="N740" t="str">
        <f t="shared" ca="1" si="24"/>
        <v xml:space="preserve">Jorge Armando Ramirez Perez TACOS EL AMIGO         MONTERREY NL  MEX Tacos El Amigo Monterrey Nl Mex Transaction cost PO 780 Deacero Abrazaderas Comida N- </v>
      </c>
    </row>
    <row r="741" spans="1:14">
      <c r="A741" t="str">
        <f ca="1"/>
        <v>TRX1731</v>
      </c>
      <c r="B741" t="str">
        <f ca="1"/>
        <v>#68</v>
      </c>
      <c r="C741">
        <f ca="1"/>
        <v>46064.416666666599</v>
      </c>
      <c r="D741">
        <f ca="1"/>
        <v>1012</v>
      </c>
      <c r="E741" t="str">
        <f ca="1"/>
        <v>MXN</v>
      </c>
      <c r="F741" t="str">
        <f ca="1"/>
        <v>Jorge Armando Ramirez Perez</v>
      </c>
      <c r="G741" t="str">
        <f ca="1"/>
        <v>BAIFO RESTAURANT       SALTILLO COAH MEX</v>
      </c>
      <c r="H741" t="str">
        <f ca="1"/>
        <v>Baifo Restaurant Saltillo Coah Mex</v>
      </c>
      <c r="I741" t="str">
        <f ca="1"/>
        <v>Transaction cost</v>
      </c>
      <c r="J741" t="str">
        <f ca="1"/>
        <v>RFQ 5052 Batimore Base chillers Comida / Jose Franco / Jorge Ramirez</v>
      </c>
      <c r="K741" t="str">
        <f ca="1"/>
        <v>A8EE1237-0C26-4D3F-89CA-6342027D54EC</v>
      </c>
      <c r="L741" t="str">
        <f ca="1">VLOOKUP(B741,[1]Total!$B:$Q,16,0)</f>
        <v>602.34.002 Gastos por visita tencica</v>
      </c>
      <c r="M741">
        <f t="shared" ca="1" si="23"/>
        <v>1012</v>
      </c>
      <c r="N741" t="str">
        <f t="shared" ca="1" si="24"/>
        <v xml:space="preserve">Jorge Armando Ramirez Perez BAIFO RESTAURANT       SALTILLO COAH MEX Baifo Restaurant Saltillo Coah Mex Transaction cost RFQ 5052 Batimore Base chillers Comida / Jose Franco / Jorge Ramirez A8EE1237-0C26-4D3F-89CA-6342027D54EC </v>
      </c>
    </row>
    <row r="742" spans="1:14">
      <c r="A742" t="str">
        <f ca="1"/>
        <v>TRX1464</v>
      </c>
      <c r="B742" t="str">
        <f ca="1"/>
        <v>#68</v>
      </c>
      <c r="C742">
        <f ca="1"/>
        <v>46064.416666666599</v>
      </c>
      <c r="D742">
        <f ca="1"/>
        <v>193.6</v>
      </c>
      <c r="E742" t="str">
        <f ca="1"/>
        <v>MXN</v>
      </c>
      <c r="F742" t="str">
        <f ca="1"/>
        <v>Jorge Armando Ramirez Perez</v>
      </c>
      <c r="G742" t="str">
        <f ca="1"/>
        <v>MERCADOPAGO *GORDITAS  Saltillo      MEX</v>
      </c>
      <c r="H742" t="str">
        <f ca="1"/>
        <v>Mercadopago</v>
      </c>
      <c r="I742" t="str">
        <f ca="1"/>
        <v>Transaction cost</v>
      </c>
      <c r="J742" t="str">
        <f ca="1"/>
        <v>RFQ 5052 Baltimore Baseparachiller Comida</v>
      </c>
      <c r="K742">
        <f ca="1"/>
        <v>0</v>
      </c>
      <c r="L742" t="str">
        <f ca="1">VLOOKUP(B742,[1]Total!$B:$Q,16,0)</f>
        <v>602.34.002 Gastos por visita tencica</v>
      </c>
      <c r="M742">
        <f t="shared" ca="1" si="23"/>
        <v>193.6</v>
      </c>
      <c r="N742" t="str">
        <f t="shared" ca="1" si="24"/>
        <v xml:space="preserve">Jorge Armando Ramirez Perez MERCADOPAGO *GORDITAS  Saltillo      MEX Mercadopago Transaction cost RFQ 5052 Baltimore Baseparachiller Comida 0 </v>
      </c>
    </row>
    <row r="743" spans="1:14">
      <c r="A743" t="str">
        <f ca="1"/>
        <v>TRX1550</v>
      </c>
      <c r="B743" t="str">
        <f ca="1"/>
        <v>#68</v>
      </c>
      <c r="C743">
        <f ca="1"/>
        <v>46064.417361111096</v>
      </c>
      <c r="D743">
        <f ca="1"/>
        <v>997.18</v>
      </c>
      <c r="E743" t="str">
        <f ca="1"/>
        <v>MXN</v>
      </c>
      <c r="F743" t="str">
        <f ca="1"/>
        <v>Jorge Armando Ramirez Perez</v>
      </c>
      <c r="G743" t="str">
        <f ca="1"/>
        <v>HIDROCARBUROS QUINTAS  GUADALUPE NL  MEX</v>
      </c>
      <c r="H743" t="str">
        <f ca="1"/>
        <v>Hidrocarburos Quintas Guadalupe Nl Mex</v>
      </c>
      <c r="I743" t="str">
        <f ca="1"/>
        <v>Transaction cost</v>
      </c>
      <c r="J743" t="str">
        <f ca="1"/>
        <v>RFQ 5052 Batimore Base chillers Gasolina</v>
      </c>
      <c r="K743">
        <f ca="1"/>
        <v>0</v>
      </c>
      <c r="L743" t="str">
        <f ca="1">VLOOKUP(B743,[1]Total!$B:$Q,16,0)</f>
        <v>602.34.002 Gastos por visita tencica</v>
      </c>
      <c r="M743">
        <f t="shared" ca="1" si="23"/>
        <v>997.18</v>
      </c>
      <c r="N743" t="str">
        <f t="shared" ca="1" si="24"/>
        <v xml:space="preserve">Jorge Armando Ramirez Perez HIDROCARBUROS QUINTAS  GUADALUPE NL  MEX Hidrocarburos Quintas Guadalupe Nl Mex Transaction cost RFQ 5052 Batimore Base chillers Gasolina 0 </v>
      </c>
    </row>
    <row r="744" spans="1:14">
      <c r="A744" t="str">
        <f ca="1"/>
        <v>TRX1671</v>
      </c>
      <c r="B744" t="str">
        <f ca="1"/>
        <v>#68</v>
      </c>
      <c r="C744">
        <f ca="1"/>
        <v>46066.416666666599</v>
      </c>
      <c r="D744">
        <f ca="1"/>
        <v>63.85</v>
      </c>
      <c r="E744" t="str">
        <f ca="1"/>
        <v>MXN</v>
      </c>
      <c r="F744" t="str">
        <f ca="1"/>
        <v>Jorge Armando Ramirez Perez</v>
      </c>
      <c r="G744" t="str">
        <f ca="1"/>
        <v>HEB LINDA VISTA        GUADALUPE NL  MEX</v>
      </c>
      <c r="H744" t="str">
        <f ca="1"/>
        <v>H-E-B</v>
      </c>
      <c r="I744" t="str">
        <f ca="1"/>
        <v>Transaction cost</v>
      </c>
      <c r="J744" t="str">
        <f ca="1"/>
        <v>RFQ 5052 Baltimore Baseparachiller Comida</v>
      </c>
      <c r="K744" t="str">
        <f ca="1"/>
        <v>KC 591712</v>
      </c>
      <c r="L744" t="str">
        <f ca="1">VLOOKUP(B744,[1]Total!$B:$Q,16,0)</f>
        <v>602.34.002 Gastos por visita tencica</v>
      </c>
      <c r="M744">
        <f t="shared" ca="1" si="23"/>
        <v>63.85</v>
      </c>
      <c r="N744" t="str">
        <f t="shared" ca="1" si="24"/>
        <v xml:space="preserve">Jorge Armando Ramirez Perez HEB LINDA VISTA        GUADALUPE NL  MEX H-E-B Transaction cost RFQ 5052 Baltimore Baseparachiller Comida KC 591712 </v>
      </c>
    </row>
    <row r="745" spans="1:14">
      <c r="A745" t="str">
        <f ca="1"/>
        <v>TRX2016</v>
      </c>
      <c r="B745" t="str">
        <f ca="1"/>
        <v>#68</v>
      </c>
      <c r="C745">
        <f ca="1"/>
        <v>46067.416666666599</v>
      </c>
      <c r="D745">
        <f ca="1"/>
        <v>296.7</v>
      </c>
      <c r="E745" t="str">
        <f ca="1"/>
        <v>MXN</v>
      </c>
      <c r="F745" t="str">
        <f ca="1"/>
        <v>Jorge Armando Ramirez Perez</v>
      </c>
      <c r="G745" t="str">
        <f ca="1"/>
        <v>MERCADOPAGO *GORDITAS  Saltillo      MEX</v>
      </c>
      <c r="H745" t="str">
        <f ca="1"/>
        <v>Mercadopago</v>
      </c>
      <c r="I745" t="str">
        <f ca="1"/>
        <v>Transaction cost</v>
      </c>
      <c r="J745" t="str">
        <f ca="1"/>
        <v>RFQ 5052 Baltimore Baseparachiller Comida</v>
      </c>
      <c r="K745">
        <f ca="1"/>
        <v>0</v>
      </c>
      <c r="L745" t="str">
        <f ca="1">VLOOKUP(B745,[1]Total!$B:$Q,16,0)</f>
        <v>602.34.002 Gastos por visita tencica</v>
      </c>
      <c r="M745">
        <f t="shared" ca="1" si="23"/>
        <v>296.7</v>
      </c>
      <c r="N745" t="str">
        <f t="shared" ca="1" si="24"/>
        <v xml:space="preserve">Jorge Armando Ramirez Perez MERCADOPAGO *GORDITAS  Saltillo      MEX Mercadopago Transaction cost RFQ 5052 Baltimore Baseparachiller Comida 0 </v>
      </c>
    </row>
    <row r="746" spans="1:14">
      <c r="A746" t="str">
        <f ca="1"/>
        <v>TRX1680</v>
      </c>
      <c r="B746" t="str">
        <f ca="1"/>
        <v>#68</v>
      </c>
      <c r="C746">
        <f ca="1"/>
        <v>46067.416666666599</v>
      </c>
      <c r="D746">
        <f ca="1"/>
        <v>600</v>
      </c>
      <c r="E746" t="str">
        <f ca="1"/>
        <v>MXN</v>
      </c>
      <c r="F746" t="str">
        <f ca="1"/>
        <v>Jorge Armando Ramirez Perez</v>
      </c>
      <c r="G746" t="str">
        <f ca="1"/>
        <v>RECARGA PASE TUTAG     CIUDAD DE MEX MEX</v>
      </c>
      <c r="H746" t="str">
        <f ca="1"/>
        <v>Recarga Pase Tutag Ciudad De Mex Mex</v>
      </c>
      <c r="I746" t="str">
        <f ca="1"/>
        <v>Transaction cost</v>
      </c>
      <c r="J746" t="str">
        <f ca="1"/>
        <v>RFQ 5052 Baltimore Baseparachiller Casetas</v>
      </c>
      <c r="K746" t="str">
        <f ca="1"/>
        <v>00001000000720922343</v>
      </c>
      <c r="L746" t="str">
        <f ca="1">VLOOKUP(B746,[1]Total!$B:$Q,16,0)</f>
        <v>602.34.002 Gastos por visita tencica</v>
      </c>
      <c r="M746">
        <f t="shared" ca="1" si="23"/>
        <v>600</v>
      </c>
      <c r="N746" t="str">
        <f t="shared" ca="1" si="24"/>
        <v xml:space="preserve">Jorge Armando Ramirez Perez RECARGA PASE TUTAG     CIUDAD DE MEX MEX Recarga Pase Tutag Ciudad De Mex Mex Transaction cost RFQ 5052 Baltimore Baseparachiller Casetas 00001000000720922343 </v>
      </c>
    </row>
    <row r="747" spans="1:14">
      <c r="A747" t="str">
        <f ca="1"/>
        <v>TRX1272</v>
      </c>
      <c r="B747" t="str">
        <f ca="1"/>
        <v>#68</v>
      </c>
      <c r="C747">
        <f ca="1"/>
        <v>46067.417361111096</v>
      </c>
      <c r="D747">
        <f ca="1"/>
        <v>255</v>
      </c>
      <c r="E747" t="str">
        <f ca="1"/>
        <v>MXN</v>
      </c>
      <c r="F747" t="str">
        <f ca="1"/>
        <v>Jorge Armando Ramirez Perez</v>
      </c>
      <c r="G747" t="str">
        <f ca="1"/>
        <v>EL POLLO LOCO          GUADALUPE NL  MEX</v>
      </c>
      <c r="H747" t="str">
        <f ca="1"/>
        <v>El Pollo Loco</v>
      </c>
      <c r="I747" t="str">
        <f ca="1"/>
        <v>Transaction cost</v>
      </c>
      <c r="J747" t="str">
        <f ca="1"/>
        <v>PO 7080 DeAcero Abrazaderas Comida</v>
      </c>
      <c r="K747">
        <f ca="1"/>
        <v>0</v>
      </c>
      <c r="L747" t="str">
        <f ca="1">VLOOKUP(B747,[1]Total!$B:$Q,16,0)</f>
        <v>602.34.002 Gastos por visita tencica</v>
      </c>
      <c r="M747">
        <f t="shared" ca="1" si="23"/>
        <v>255</v>
      </c>
      <c r="N747" t="str">
        <f t="shared" ca="1" si="24"/>
        <v xml:space="preserve">Jorge Armando Ramirez Perez EL POLLO LOCO          GUADALUPE NL  MEX El Pollo Loco Transaction cost PO 7080 DeAcero Abrazaderas Comida 0 </v>
      </c>
    </row>
    <row r="748" spans="1:14">
      <c r="A748" t="str">
        <f ca="1"/>
        <v>TRX1042</v>
      </c>
      <c r="B748" t="str">
        <f ca="1"/>
        <v>#68</v>
      </c>
      <c r="C748">
        <f ca="1"/>
        <v>46067.417361111096</v>
      </c>
      <c r="D748">
        <f ca="1"/>
        <v>200</v>
      </c>
      <c r="E748" t="str">
        <f ca="1"/>
        <v>MXN</v>
      </c>
      <c r="F748" t="str">
        <f ca="1"/>
        <v>Jorge Armando Ramirez Perez</v>
      </c>
      <c r="G748" t="str">
        <f ca="1"/>
        <v>SULTANA DOS RIOS       GUADALUPE NL  MEX</v>
      </c>
      <c r="H748" t="str">
        <f ca="1"/>
        <v>Sultana Dos Rios Guadalupe Nl Mex</v>
      </c>
      <c r="I748" t="str">
        <f ca="1"/>
        <v>Transaction cost</v>
      </c>
      <c r="J748" t="str">
        <f ca="1"/>
        <v>RFQ 5052 Baltimore Baseparachiller Gasolina</v>
      </c>
      <c r="K748">
        <f ca="1"/>
        <v>0</v>
      </c>
      <c r="L748" t="str">
        <f ca="1">VLOOKUP(B748,[1]Total!$B:$Q,16,0)</f>
        <v>602.34.002 Gastos por visita tencica</v>
      </c>
      <c r="M748">
        <f t="shared" ca="1" si="23"/>
        <v>200</v>
      </c>
      <c r="N748" t="str">
        <f t="shared" ca="1" si="24"/>
        <v xml:space="preserve">Jorge Armando Ramirez Perez SULTANA DOS RIOS       GUADALUPE NL  MEX Sultana Dos Rios Guadalupe Nl Mex Transaction cost RFQ 5052 Baltimore Baseparachiller Gasolina 0 </v>
      </c>
    </row>
    <row r="749" spans="1:14">
      <c r="A749" t="str">
        <f ca="1"/>
        <v>TRX1813</v>
      </c>
      <c r="B749" t="str">
        <f ca="1"/>
        <v>#68</v>
      </c>
      <c r="C749">
        <f ca="1"/>
        <v>46067.417361111096</v>
      </c>
      <c r="D749">
        <f ca="1"/>
        <v>371</v>
      </c>
      <c r="E749" t="str">
        <f ca="1"/>
        <v>MXN</v>
      </c>
      <c r="F749" t="str">
        <f ca="1"/>
        <v>Jorge Armando Ramirez Perez</v>
      </c>
      <c r="G749" t="str">
        <f ca="1"/>
        <v>OXXOPORTAL DE HDA MTY  GUADALUPE NL  MEX</v>
      </c>
      <c r="H749" t="str">
        <f ca="1"/>
        <v>Oxxoportal De Hda Mty Guadalupe Nl Mex</v>
      </c>
      <c r="I749" t="str">
        <f ca="1"/>
        <v>Transaction cost</v>
      </c>
      <c r="J749" t="str">
        <f ca="1"/>
        <v>RFQ 4512 Ecoclean Visita MP Comida</v>
      </c>
      <c r="K749">
        <f ca="1"/>
        <v>0</v>
      </c>
      <c r="L749" t="str">
        <f ca="1">VLOOKUP(B749,[1]Total!$B:$Q,16,0)</f>
        <v>602.34.002 Gastos por visita tencica</v>
      </c>
      <c r="M749">
        <f t="shared" ca="1" si="23"/>
        <v>371</v>
      </c>
      <c r="N749" t="str">
        <f t="shared" ca="1" si="24"/>
        <v xml:space="preserve">Jorge Armando Ramirez Perez OXXOPORTAL DE HDA MTY  GUADALUPE NL  MEX Oxxoportal De Hda Mty Guadalupe Nl Mex Transaction cost RFQ 4512 Ecoclean Visita MP Comida 0 </v>
      </c>
    </row>
    <row r="750" spans="1:14">
      <c r="A750" t="str">
        <f ca="1"/>
        <v>TRX2019</v>
      </c>
      <c r="B750" t="str">
        <f ca="1"/>
        <v>#68</v>
      </c>
      <c r="C750">
        <f ca="1"/>
        <v>46069.416666666599</v>
      </c>
      <c r="D750">
        <f ca="1"/>
        <v>405.96</v>
      </c>
      <c r="E750" t="str">
        <f ca="1"/>
        <v>MXN</v>
      </c>
      <c r="F750" t="str">
        <f ca="1"/>
        <v>Jorge Armando Ramirez Perez</v>
      </c>
      <c r="G750" t="str">
        <f ca="1"/>
        <v>UBER * EATS PENDING    CMX           MEX</v>
      </c>
      <c r="H750" t="str">
        <f ca="1"/>
        <v>Uber Eats</v>
      </c>
      <c r="I750" t="str">
        <f ca="1"/>
        <v>Transaction cost</v>
      </c>
      <c r="J750" t="str">
        <f ca="1"/>
        <v>PO 1966 Whiteconstruction Comida</v>
      </c>
      <c r="K750">
        <f ca="1"/>
        <v>0</v>
      </c>
      <c r="L750" t="str">
        <f ca="1">VLOOKUP(B750,[1]Total!$B:$Q,16,0)</f>
        <v>602.34.002 Gastos por visita tencica</v>
      </c>
      <c r="M750">
        <f t="shared" ca="1" si="23"/>
        <v>405.96</v>
      </c>
      <c r="N750" t="str">
        <f t="shared" ca="1" si="24"/>
        <v xml:space="preserve">Jorge Armando Ramirez Perez UBER * EATS PENDING    CMX           MEX Uber Eats Transaction cost PO 1966 Whiteconstruction Comida 0 </v>
      </c>
    </row>
    <row r="751" spans="1:14">
      <c r="A751" t="str">
        <f ca="1"/>
        <v>TRX1111</v>
      </c>
      <c r="B751" t="str">
        <f ca="1"/>
        <v>#68</v>
      </c>
      <c r="C751">
        <f ca="1"/>
        <v>46071.416666666599</v>
      </c>
      <c r="D751">
        <f ca="1"/>
        <v>69.930000000000007</v>
      </c>
      <c r="E751" t="str">
        <f ca="1"/>
        <v>MXN</v>
      </c>
      <c r="F751" t="str">
        <f ca="1"/>
        <v>Jorge Armando Ramirez Perez</v>
      </c>
      <c r="G751" t="str">
        <f ca="1"/>
        <v>UBER * PENDING         CMX           MEX</v>
      </c>
      <c r="H751" t="str">
        <f ca="1"/>
        <v>Uber</v>
      </c>
      <c r="I751" t="str">
        <f ca="1"/>
        <v>Transaction cost</v>
      </c>
      <c r="J751" t="str">
        <f ca="1"/>
        <v>Envio Rugosimetro</v>
      </c>
      <c r="K751" t="str">
        <f ca="1"/>
        <v>NLRNOP-I-0000006</v>
      </c>
      <c r="L751" t="str">
        <f ca="1">VLOOKUP(B751,[1]Total!$B:$Q,16,0)</f>
        <v>602.34.002 Gastos por visita tencica</v>
      </c>
      <c r="M751">
        <f t="shared" ca="1" si="23"/>
        <v>69.930000000000007</v>
      </c>
      <c r="N751" t="str">
        <f t="shared" ca="1" si="24"/>
        <v xml:space="preserve">Jorge Armando Ramirez Perez UBER * PENDING         CMX           MEX Uber Transaction cost Envio Rugosimetro NLRNOP-I-0000006 </v>
      </c>
    </row>
    <row r="752" spans="1:14">
      <c r="A752" t="str">
        <f ca="1"/>
        <v>TRX1439</v>
      </c>
      <c r="B752" t="str">
        <f ca="1"/>
        <v>#68</v>
      </c>
      <c r="C752">
        <f ca="1"/>
        <v>46071.416666666599</v>
      </c>
      <c r="D752">
        <f ca="1"/>
        <v>839.48</v>
      </c>
      <c r="E752" t="str">
        <f ca="1"/>
        <v>MXN</v>
      </c>
      <c r="F752" t="str">
        <f ca="1"/>
        <v>Jorge Armando Ramirez Perez</v>
      </c>
      <c r="G752" t="str">
        <f ca="1"/>
        <v>DHL HIDALGO MTY        MONTERREY     MEX</v>
      </c>
      <c r="H752" t="str">
        <f ca="1"/>
        <v>Dhl Hidalgo Mty Monterrey Mex</v>
      </c>
      <c r="I752" t="str">
        <f ca="1"/>
        <v>Transaction cost</v>
      </c>
      <c r="J752" t="str">
        <f ca="1"/>
        <v>Envio Rogosimetro</v>
      </c>
      <c r="K752" t="str">
        <f ca="1"/>
        <v>2A9EB6F9-3053-4281-AFF9-0D6FDE815A4B</v>
      </c>
      <c r="L752" t="str">
        <f ca="1">VLOOKUP(B752,[1]Total!$B:$Q,16,0)</f>
        <v>602.34.002 Gastos por visita tencica</v>
      </c>
      <c r="M752">
        <f t="shared" ca="1" si="23"/>
        <v>839.48</v>
      </c>
      <c r="N752" t="str">
        <f t="shared" ca="1" si="24"/>
        <v xml:space="preserve">Jorge Armando Ramirez Perez DHL HIDALGO MTY        MONTERREY     MEX Dhl Hidalgo Mty Monterrey Mex Transaction cost Envio Rogosimetro 2A9EB6F9-3053-4281-AFF9-0D6FDE815A4B </v>
      </c>
    </row>
    <row r="753" spans="1:14">
      <c r="A753" t="str">
        <f ca="1"/>
        <v>TRX1460</v>
      </c>
      <c r="B753" t="str">
        <f ca="1"/>
        <v>#68</v>
      </c>
      <c r="C753">
        <f ca="1"/>
        <v>46071.417361111096</v>
      </c>
      <c r="D753">
        <f ca="1"/>
        <v>1073.74</v>
      </c>
      <c r="E753" t="str">
        <f ca="1"/>
        <v>MXN</v>
      </c>
      <c r="F753" t="str">
        <f ca="1"/>
        <v>Jorge Armando Ramirez Perez</v>
      </c>
      <c r="G753" t="str">
        <f ca="1"/>
        <v>GAS OXXOPLUTARCO E CAL GUADALUPE NL  MEX</v>
      </c>
      <c r="H753" t="str">
        <f ca="1"/>
        <v>Gas Oxxoplutarco E Cal Guadalupe Nl Mex</v>
      </c>
      <c r="I753" t="str">
        <f ca="1"/>
        <v>Transaction cost</v>
      </c>
      <c r="J753" t="str">
        <f ca="1"/>
        <v>PO 7080 DeAcero Abrazaderas Gasolina</v>
      </c>
      <c r="K753" t="str">
        <f ca="1"/>
        <v>CLI57911464</v>
      </c>
      <c r="L753" t="str">
        <f ca="1">VLOOKUP(B753,[1]Total!$B:$Q,16,0)</f>
        <v>602.34.002 Gastos por visita tencica</v>
      </c>
      <c r="M753">
        <f t="shared" ca="1" si="23"/>
        <v>1073.74</v>
      </c>
      <c r="N753" t="str">
        <f t="shared" ca="1" si="24"/>
        <v xml:space="preserve">Jorge Armando Ramirez Perez GAS OXXOPLUTARCO E CAL GUADALUPE NL  MEX Gas Oxxoplutarco E Cal Guadalupe Nl Mex Transaction cost PO 7080 DeAcero Abrazaderas Gasolina CLI57911464 </v>
      </c>
    </row>
    <row r="754" spans="1:14">
      <c r="A754" t="str">
        <f ca="1"/>
        <v>TRX1156</v>
      </c>
      <c r="B754" t="str">
        <f ca="1"/>
        <v>#68</v>
      </c>
      <c r="C754">
        <f ca="1"/>
        <v>46072.416666666599</v>
      </c>
      <c r="D754">
        <f ca="1"/>
        <v>77.2</v>
      </c>
      <c r="E754" t="str">
        <f ca="1"/>
        <v>MXN</v>
      </c>
      <c r="F754" t="str">
        <f ca="1"/>
        <v>Jorge Armando Ramirez Perez</v>
      </c>
      <c r="G754" t="str">
        <f ca="1"/>
        <v>UBER * PENDING         CMX           MEX</v>
      </c>
      <c r="H754" t="str">
        <f ca="1"/>
        <v>Uber</v>
      </c>
      <c r="I754" t="str">
        <f ca="1"/>
        <v>Transaction cost</v>
      </c>
      <c r="J754" t="str">
        <f ca="1"/>
        <v>PO 7080 DeAcero Abrazaderas UBER</v>
      </c>
      <c r="K754">
        <f ca="1"/>
        <v>0</v>
      </c>
      <c r="L754" t="str">
        <f ca="1">VLOOKUP(B754,[1]Total!$B:$Q,16,0)</f>
        <v>602.34.002 Gastos por visita tencica</v>
      </c>
      <c r="M754">
        <f t="shared" ca="1" si="23"/>
        <v>77.2</v>
      </c>
      <c r="N754" t="str">
        <f t="shared" ca="1" si="24"/>
        <v xml:space="preserve">Jorge Armando Ramirez Perez UBER * PENDING         CMX           MEX Uber Transaction cost PO 7080 DeAcero Abrazaderas UBER 0 </v>
      </c>
    </row>
    <row r="755" spans="1:14">
      <c r="A755" t="str">
        <f ca="1"/>
        <v>TRX1940</v>
      </c>
      <c r="B755" t="str">
        <f ca="1"/>
        <v>#68</v>
      </c>
      <c r="C755">
        <f ca="1"/>
        <v>46072.417361111096</v>
      </c>
      <c r="D755">
        <f ca="1"/>
        <v>75.7</v>
      </c>
      <c r="E755" t="str">
        <f ca="1"/>
        <v>MXN</v>
      </c>
      <c r="F755" t="str">
        <f ca="1"/>
        <v>Jorge Armando Ramirez Perez</v>
      </c>
      <c r="G755" t="str">
        <f ca="1"/>
        <v>DLO*UBER RIDE          CIUDAD DE MEX MEX</v>
      </c>
      <c r="H755" t="str">
        <f ca="1"/>
        <v>Uber</v>
      </c>
      <c r="I755" t="str">
        <f ca="1"/>
        <v>Transaction cost</v>
      </c>
      <c r="J755" t="str">
        <f ca="1"/>
        <v>PO 7080 DeAcero Abrazaderas UBER</v>
      </c>
      <c r="K755">
        <f ca="1"/>
        <v>0</v>
      </c>
      <c r="L755" t="str">
        <f ca="1">VLOOKUP(B755,[1]Total!$B:$Q,16,0)</f>
        <v>602.34.002 Gastos por visita tencica</v>
      </c>
      <c r="M755">
        <f t="shared" ca="1" si="23"/>
        <v>75.7</v>
      </c>
      <c r="N755" t="str">
        <f t="shared" ca="1" si="24"/>
        <v xml:space="preserve">Jorge Armando Ramirez Perez DLO*UBER RIDE          CIUDAD DE MEX MEX Uber Transaction cost PO 7080 DeAcero Abrazaderas UBER 0 </v>
      </c>
    </row>
    <row r="756" spans="1:14">
      <c r="A756" t="str">
        <f ca="1"/>
        <v>TRX1622</v>
      </c>
      <c r="B756" t="str">
        <f ca="1"/>
        <v>#68</v>
      </c>
      <c r="C756">
        <f ca="1"/>
        <v>46073.416666666599</v>
      </c>
      <c r="D756">
        <f ca="1"/>
        <v>594.54999999999995</v>
      </c>
      <c r="E756" t="str">
        <f ca="1"/>
        <v>MXN</v>
      </c>
      <c r="F756" t="str">
        <f ca="1"/>
        <v>Jorge Armando Ramirez Perez</v>
      </c>
      <c r="G756" t="str">
        <f ca="1"/>
        <v>CHILIS AEROPUERTO MTY  APODACA NL    MEX</v>
      </c>
      <c r="H756" t="str">
        <f ca="1"/>
        <v>Chili's</v>
      </c>
      <c r="I756" t="str">
        <f ca="1"/>
        <v>Transaction cost</v>
      </c>
      <c r="J756" t="str">
        <f ca="1"/>
        <v>PO 1966 Whiteconstruction Comida</v>
      </c>
      <c r="K756" t="str">
        <f ca="1"/>
        <v>EC570995-7479-4FB1-9D40-401E21260049</v>
      </c>
      <c r="L756" t="str">
        <f ca="1">VLOOKUP(B756,[1]Total!$B:$Q,16,0)</f>
        <v>602.34.002 Gastos por visita tencica</v>
      </c>
      <c r="M756">
        <f t="shared" ca="1" si="23"/>
        <v>594.54999999999995</v>
      </c>
      <c r="N756" t="str">
        <f t="shared" ca="1" si="24"/>
        <v xml:space="preserve">Jorge Armando Ramirez Perez CHILIS AEROPUERTO MTY  APODACA NL    MEX Chili's Transaction cost PO 1966 Whiteconstruction Comida EC570995-7479-4FB1-9D40-401E21260049 </v>
      </c>
    </row>
    <row r="757" spans="1:14">
      <c r="A757" t="str">
        <f ca="1"/>
        <v>TRX1381</v>
      </c>
      <c r="B757" t="str">
        <f ca="1"/>
        <v>#68</v>
      </c>
      <c r="C757">
        <f ca="1"/>
        <v>46073.417361111096</v>
      </c>
      <c r="D757">
        <f ca="1"/>
        <v>50</v>
      </c>
      <c r="E757" t="str">
        <f ca="1"/>
        <v>MXN</v>
      </c>
      <c r="F757" t="str">
        <f ca="1"/>
        <v>Jorge Armando Ramirez Perez</v>
      </c>
      <c r="G757" t="str">
        <f ca="1"/>
        <v>TELCEL RECARGAS FONY   CIUDAD DE MEX MEX</v>
      </c>
      <c r="H757" t="str">
        <f ca="1"/>
        <v>Telcel</v>
      </c>
      <c r="I757" t="str">
        <f ca="1"/>
        <v>Transaction cost</v>
      </c>
      <c r="J757" t="str">
        <f ca="1"/>
        <v>PO 1966 Whiteconstruction Raoming Datos</v>
      </c>
      <c r="K757">
        <f ca="1"/>
        <v>0</v>
      </c>
      <c r="L757" t="str">
        <f ca="1">VLOOKUP(B757,[1]Total!$B:$Q,16,0)</f>
        <v>602.34.002 Gastos por visita tencica</v>
      </c>
      <c r="M757">
        <f t="shared" ca="1" si="23"/>
        <v>50</v>
      </c>
      <c r="N757" t="str">
        <f t="shared" ca="1" si="24"/>
        <v xml:space="preserve">Jorge Armando Ramirez Perez TELCEL RECARGAS FONY   CIUDAD DE MEX MEX Telcel Transaction cost PO 1966 Whiteconstruction Raoming Datos 0 </v>
      </c>
    </row>
    <row r="758" spans="1:14">
      <c r="A758" t="str">
        <f ca="1"/>
        <v>TRX1002</v>
      </c>
      <c r="B758" t="str">
        <f ca="1"/>
        <v>#68</v>
      </c>
      <c r="C758">
        <f ca="1"/>
        <v>46073.417361111096</v>
      </c>
      <c r="D758">
        <f ca="1"/>
        <v>395.45</v>
      </c>
      <c r="E758" t="str">
        <f ca="1"/>
        <v>USD</v>
      </c>
      <c r="F758" t="str">
        <f ca="1"/>
        <v>Jorge Armando Ramirez Perez</v>
      </c>
      <c r="G758" t="str">
        <f ca="1"/>
        <v>SUNOCO 0123414500      BROWNSVILLE   USA</v>
      </c>
      <c r="H758" t="str">
        <f ca="1"/>
        <v>Sunoco</v>
      </c>
      <c r="I758" t="str">
        <f ca="1"/>
        <v>Transaction cost</v>
      </c>
      <c r="J758" t="str">
        <f ca="1"/>
        <v>PO 1966 Whiteconstruction Comida</v>
      </c>
      <c r="K758" t="str">
        <f ca="1"/>
        <v>US</v>
      </c>
      <c r="L758" t="str">
        <f ca="1">VLOOKUP(B758,[1]Total!$B:$Q,16,0)</f>
        <v>602.34.002 Gastos por visita tencica</v>
      </c>
      <c r="M758">
        <f t="shared" ca="1" si="23"/>
        <v>395.45</v>
      </c>
      <c r="N758" t="str">
        <f t="shared" ca="1" si="24"/>
        <v xml:space="preserve">Jorge Armando Ramirez Perez SUNOCO 0123414500      BROWNSVILLE   USA Sunoco Transaction cost PO 1966 Whiteconstruction Comida US </v>
      </c>
    </row>
    <row r="759" spans="1:14">
      <c r="A759" t="str">
        <f ca="1"/>
        <v>TRX1034</v>
      </c>
      <c r="B759" t="str">
        <f ca="1"/>
        <v>#68</v>
      </c>
      <c r="C759">
        <f ca="1"/>
        <v>46074.417361111096</v>
      </c>
      <c r="D759">
        <f ca="1"/>
        <v>37.5</v>
      </c>
      <c r="E759" t="str">
        <f ca="1"/>
        <v>MXN</v>
      </c>
      <c r="F759" t="str">
        <f ca="1"/>
        <v>Jorge Armando Ramirez Perez</v>
      </c>
      <c r="G759" t="str">
        <f ca="1"/>
        <v>OXXO UNIONES MAM       MATAMOROS TAM MEX</v>
      </c>
      <c r="H759" t="str">
        <f ca="1"/>
        <v>Oxxo</v>
      </c>
      <c r="I759" t="str">
        <f ca="1"/>
        <v>Transaction cost</v>
      </c>
      <c r="J759" t="str">
        <f ca="1"/>
        <v>PO 1966 Whiteconstruction Comida</v>
      </c>
      <c r="K759" t="str">
        <f ca="1"/>
        <v>3117194260223031225552</v>
      </c>
      <c r="L759" t="str">
        <f ca="1">VLOOKUP(B759,[1]Total!$B:$Q,16,0)</f>
        <v>602.34.002 Gastos por visita tencica</v>
      </c>
      <c r="M759">
        <f t="shared" ca="1" si="23"/>
        <v>37.5</v>
      </c>
      <c r="N759" t="str">
        <f t="shared" ca="1" si="24"/>
        <v xml:space="preserve">Jorge Armando Ramirez Perez OXXO UNIONES MAM       MATAMOROS TAM MEX Oxxo Transaction cost PO 1966 Whiteconstruction Comida 3117194260223031225552 </v>
      </c>
    </row>
    <row r="760" spans="1:14">
      <c r="A760" t="str">
        <f ca="1"/>
        <v>TRX1040</v>
      </c>
      <c r="B760" t="str">
        <f ca="1"/>
        <v>#68</v>
      </c>
      <c r="C760">
        <f ca="1"/>
        <v>46074.418055555499</v>
      </c>
      <c r="D760">
        <f ca="1"/>
        <v>685.05</v>
      </c>
      <c r="E760" t="str">
        <f ca="1"/>
        <v>USD</v>
      </c>
      <c r="F760" t="str">
        <f ca="1"/>
        <v>Jorge Armando Ramirez Perez</v>
      </c>
      <c r="G760" t="str">
        <f ca="1"/>
        <v>TST*SHENANIGANS IRISH  Brownsville   USA</v>
      </c>
      <c r="H760" t="str">
        <f ca="1"/>
        <v>Shenanigan's</v>
      </c>
      <c r="I760" t="str">
        <f ca="1"/>
        <v>Transaction cost</v>
      </c>
      <c r="J760" t="str">
        <f ca="1"/>
        <v>PO 1966 Whiteconstruction Comida</v>
      </c>
      <c r="K760" t="str">
        <f ca="1"/>
        <v>US</v>
      </c>
      <c r="L760" t="str">
        <f ca="1">VLOOKUP(B760,[1]Total!$B:$Q,16,0)</f>
        <v>602.34.002 Gastos por visita tencica</v>
      </c>
      <c r="M760">
        <f t="shared" ca="1" si="23"/>
        <v>685.05</v>
      </c>
      <c r="N760" t="str">
        <f t="shared" ca="1" si="24"/>
        <v xml:space="preserve">Jorge Armando Ramirez Perez TST*SHENANIGANS IRISH  Brownsville   USA Shenanigan's Transaction cost PO 1966 Whiteconstruction Comida US </v>
      </c>
    </row>
    <row r="761" spans="1:14">
      <c r="A761" t="str">
        <f ca="1"/>
        <v>TRX1082</v>
      </c>
      <c r="B761" t="str">
        <f ca="1"/>
        <v>#68</v>
      </c>
      <c r="C761">
        <f ca="1"/>
        <v>46075.417361111096</v>
      </c>
      <c r="D761">
        <f ca="1"/>
        <v>1350</v>
      </c>
      <c r="E761" t="str">
        <f ca="1"/>
        <v>MXN</v>
      </c>
      <c r="F761" t="str">
        <f ca="1"/>
        <v>Jorge Armando Ramirez Perez</v>
      </c>
      <c r="G761" t="str">
        <f ca="1"/>
        <v>IPARK MTY INTERRED     APODACA NL    MEX</v>
      </c>
      <c r="H761" t="str">
        <f ca="1"/>
        <v>Ipark Mty Interred Apodaca Nl Mex</v>
      </c>
      <c r="I761" t="str">
        <f ca="1"/>
        <v>Transaction cost</v>
      </c>
      <c r="J761" t="str">
        <f ca="1"/>
        <v>PO 1966 Whiteconstruction Estacionamiento</v>
      </c>
      <c r="K761" t="str">
        <f ca="1"/>
        <v>MTY C-598713</v>
      </c>
      <c r="L761" t="str">
        <f ca="1">VLOOKUP(B761,[1]Total!$B:$Q,16,0)</f>
        <v>602.34.002 Gastos por visita tencica</v>
      </c>
      <c r="M761">
        <f t="shared" ca="1" si="23"/>
        <v>1350</v>
      </c>
      <c r="N761" t="str">
        <f t="shared" ca="1" si="24"/>
        <v xml:space="preserve">Jorge Armando Ramirez Perez IPARK MTY INTERRED     APODACA NL    MEX Ipark Mty Interred Apodaca Nl Mex Transaction cost PO 1966 Whiteconstruction Estacionamiento MTY C-598713 </v>
      </c>
    </row>
    <row r="762" spans="1:14">
      <c r="A762" t="str">
        <f ca="1"/>
        <v>TRX1088</v>
      </c>
      <c r="B762" t="str">
        <f ca="1"/>
        <v>#68</v>
      </c>
      <c r="C762">
        <f ca="1"/>
        <v>46075.417361111096</v>
      </c>
      <c r="D762">
        <f ca="1"/>
        <v>643.03</v>
      </c>
      <c r="E762" t="str">
        <f ca="1"/>
        <v>USD</v>
      </c>
      <c r="F762" t="str">
        <f ca="1"/>
        <v>Jorge Armando Ramirez Perez</v>
      </c>
      <c r="G762" t="str">
        <f ca="1"/>
        <v>TST*SHENANIGANS IRISH  Brownsville   USA</v>
      </c>
      <c r="H762" t="str">
        <f ca="1"/>
        <v>Shenanigan's</v>
      </c>
      <c r="I762" t="str">
        <f ca="1"/>
        <v>Transaction cost</v>
      </c>
      <c r="J762" t="str">
        <f ca="1"/>
        <v>PO 1966 Whiteconstruction Comida</v>
      </c>
      <c r="K762" t="str">
        <f ca="1"/>
        <v>US</v>
      </c>
      <c r="L762" t="str">
        <f ca="1">VLOOKUP(B762,[1]Total!$B:$Q,16,0)</f>
        <v>602.34.002 Gastos por visita tencica</v>
      </c>
      <c r="M762">
        <f t="shared" ca="1" si="23"/>
        <v>643.03</v>
      </c>
      <c r="N762" t="str">
        <f t="shared" ca="1" si="24"/>
        <v xml:space="preserve">Jorge Armando Ramirez Perez TST*SHENANIGANS IRISH  Brownsville   USA Shenanigan's Transaction cost PO 1966 Whiteconstruction Comida US </v>
      </c>
    </row>
    <row r="763" spans="1:14">
      <c r="A763" t="str">
        <f ca="1"/>
        <v>TRX1092</v>
      </c>
      <c r="B763" t="str">
        <f ca="1"/>
        <v>#68</v>
      </c>
      <c r="C763">
        <f ca="1"/>
        <v>46075.417361111096</v>
      </c>
      <c r="D763">
        <f ca="1"/>
        <v>343.42</v>
      </c>
      <c r="E763" t="str">
        <f ca="1"/>
        <v>USD</v>
      </c>
      <c r="F763" t="str">
        <f ca="1"/>
        <v>Jorge Armando Ramirez Perez</v>
      </c>
      <c r="G763" t="str">
        <f ca="1"/>
        <v>UBER   *TRIP           SAN FRANCISCO USA</v>
      </c>
      <c r="H763" t="str">
        <f ca="1"/>
        <v>Uber</v>
      </c>
      <c r="I763" t="str">
        <f ca="1"/>
        <v>Transaction cost</v>
      </c>
      <c r="J763" t="str">
        <f ca="1"/>
        <v>PO 1966 Whiteconstruction Comida</v>
      </c>
      <c r="K763" t="str">
        <f ca="1"/>
        <v>US</v>
      </c>
      <c r="L763" t="str">
        <f ca="1">VLOOKUP(B763,[1]Total!$B:$Q,16,0)</f>
        <v>602.34.002 Gastos por visita tencica</v>
      </c>
      <c r="M763">
        <f t="shared" ca="1" si="23"/>
        <v>343.42</v>
      </c>
      <c r="N763" t="str">
        <f t="shared" ca="1" si="24"/>
        <v xml:space="preserve">Jorge Armando Ramirez Perez UBER   *TRIP           SAN FRANCISCO USA Uber Transaction cost PO 1966 Whiteconstruction Comida US </v>
      </c>
    </row>
    <row r="764" spans="1:14">
      <c r="A764" t="str">
        <f ca="1"/>
        <v>TRX1103</v>
      </c>
      <c r="B764" t="str">
        <f ca="1"/>
        <v>#68</v>
      </c>
      <c r="C764">
        <f ca="1"/>
        <v>46076.416666666599</v>
      </c>
      <c r="D764">
        <f ca="1"/>
        <v>361.88</v>
      </c>
      <c r="E764" t="str">
        <f ca="1"/>
        <v>USD</v>
      </c>
      <c r="F764" t="str">
        <f ca="1"/>
        <v>Jorge Armando Ramirez Perez</v>
      </c>
      <c r="G764" t="str">
        <f ca="1"/>
        <v>VENDINGCUSTOMERSERVI   CHULA VISTA   USA</v>
      </c>
      <c r="H764" t="str">
        <f ca="1"/>
        <v>Vendingcustomerservi Chula Vista USA</v>
      </c>
      <c r="I764" t="str">
        <f ca="1"/>
        <v>Transaction cost</v>
      </c>
      <c r="J764" t="str">
        <f ca="1"/>
        <v>PO 1966 Whiteconstruction Comida</v>
      </c>
      <c r="K764" t="str">
        <f ca="1"/>
        <v>US</v>
      </c>
      <c r="L764" t="str">
        <f ca="1">VLOOKUP(B764,[1]Total!$B:$Q,16,0)</f>
        <v>602.34.002 Gastos por visita tencica</v>
      </c>
      <c r="M764">
        <f t="shared" ca="1" si="23"/>
        <v>361.88</v>
      </c>
      <c r="N764" t="str">
        <f t="shared" ca="1" si="24"/>
        <v xml:space="preserve">Jorge Armando Ramirez Perez VENDINGCUSTOMERSERVI   CHULA VISTA   USA Vendingcustomerservi Chula Vista USA Transaction cost PO 1966 Whiteconstruction Comida US </v>
      </c>
    </row>
    <row r="765" spans="1:14">
      <c r="A765" t="str">
        <f ca="1"/>
        <v>TRX1104</v>
      </c>
      <c r="B765" t="str">
        <f ca="1"/>
        <v>#68</v>
      </c>
      <c r="C765">
        <f ca="1"/>
        <v>46076.416666666599</v>
      </c>
      <c r="D765">
        <f ca="1"/>
        <v>1284.29</v>
      </c>
      <c r="E765" t="str">
        <f ca="1"/>
        <v>USD</v>
      </c>
      <c r="F765" t="str">
        <f ca="1"/>
        <v>Jorge Armando Ramirez Perez</v>
      </c>
      <c r="G765" t="str">
        <f ca="1"/>
        <v>TST*SHENANIGANS IRISH  Brownsville   USA</v>
      </c>
      <c r="H765" t="str">
        <f ca="1"/>
        <v>Shenanigan's</v>
      </c>
      <c r="I765" t="str">
        <f ca="1"/>
        <v>Transaction cost</v>
      </c>
      <c r="J765" t="str">
        <f ca="1"/>
        <v>PO 1966 Whiteconstruction Comida</v>
      </c>
      <c r="K765" t="str">
        <f ca="1"/>
        <v>US</v>
      </c>
      <c r="L765" t="str">
        <f ca="1">VLOOKUP(B765,[1]Total!$B:$Q,16,0)</f>
        <v>602.34.002 Gastos por visita tencica</v>
      </c>
      <c r="M765">
        <f t="shared" ca="1" si="23"/>
        <v>1284.29</v>
      </c>
      <c r="N765" t="str">
        <f t="shared" ca="1" si="24"/>
        <v xml:space="preserve">Jorge Armando Ramirez Perez TST*SHENANIGANS IRISH  Brownsville   USA Shenanigan's Transaction cost PO 1966 Whiteconstruction Comida US </v>
      </c>
    </row>
    <row r="766" spans="1:14">
      <c r="A766" t="str">
        <f ca="1"/>
        <v>TRX1118</v>
      </c>
      <c r="B766" t="str">
        <f ca="1"/>
        <v>#68</v>
      </c>
      <c r="C766">
        <f ca="1"/>
        <v>46077.416666666599</v>
      </c>
      <c r="D766">
        <f ca="1"/>
        <v>8586.2000000000007</v>
      </c>
      <c r="E766" t="str">
        <f ca="1"/>
        <v>MXN</v>
      </c>
      <c r="F766" t="str">
        <f ca="1"/>
        <v>Jorge Armando Ramirez Perez</v>
      </c>
      <c r="G766" t="str">
        <f ca="1"/>
        <v>VIVA AEROBUS CIB       APODACA       MEX</v>
      </c>
      <c r="H766" t="str">
        <f ca="1"/>
        <v>Viva Aerobus Cib Apodaca Mex</v>
      </c>
      <c r="I766" t="str">
        <f ca="1"/>
        <v>Transaction cost</v>
      </c>
      <c r="J766" t="str">
        <f ca="1"/>
        <v>RFQ 4512 Ecoclean 4512 Vuelos</v>
      </c>
      <c r="K766" t="str">
        <f ca="1"/>
        <v>Serie: B Factura No: 154655041</v>
      </c>
      <c r="L766" t="str">
        <f ca="1">VLOOKUP(B766,[1]Total!$B:$Q,16,0)</f>
        <v>602.34.002 Gastos por visita tencica</v>
      </c>
      <c r="M766">
        <f t="shared" ca="1" si="23"/>
        <v>8586.2000000000007</v>
      </c>
      <c r="N766" t="str">
        <f t="shared" ca="1" si="24"/>
        <v xml:space="preserve">Jorge Armando Ramirez Perez VIVA AEROBUS CIB       APODACA       MEX Viva Aerobus Cib Apodaca Mex Transaction cost RFQ 4512 Ecoclean 4512 Vuelos Serie: B Factura No: 154655041 </v>
      </c>
    </row>
    <row r="767" spans="1:14">
      <c r="A767" t="str">
        <f ca="1"/>
        <v>TRX1137</v>
      </c>
      <c r="B767" t="str">
        <f ca="1"/>
        <v>#68</v>
      </c>
      <c r="C767">
        <f ca="1"/>
        <v>46078.416666666599</v>
      </c>
      <c r="D767">
        <f ca="1"/>
        <v>2244.69</v>
      </c>
      <c r="E767" t="str">
        <f ca="1"/>
        <v>MXN</v>
      </c>
      <c r="F767" t="str">
        <f ca="1"/>
        <v>Jorge Armando Ramirez Perez</v>
      </c>
      <c r="G767" t="str">
        <f ca="1"/>
        <v>EXPEDIA 73380847965879 Ciudad        MEX</v>
      </c>
      <c r="H767" t="str">
        <f ca="1"/>
        <v>Expedia</v>
      </c>
      <c r="I767" t="str">
        <f ca="1"/>
        <v>Transaction cost</v>
      </c>
      <c r="J767" t="str">
        <f ca="1"/>
        <v>RFQ 4512 Ecoclean Hotel Houston USA</v>
      </c>
      <c r="K767" t="str">
        <f ca="1"/>
        <v>Holliday Inn USA</v>
      </c>
      <c r="L767" t="str">
        <f ca="1">VLOOKUP(B767,[1]Total!$B:$Q,16,0)</f>
        <v>602.34.002 Gastos por visita tencica</v>
      </c>
      <c r="M767">
        <f t="shared" ca="1" si="23"/>
        <v>2244.69</v>
      </c>
      <c r="N767" t="str">
        <f t="shared" ca="1" si="24"/>
        <v xml:space="preserve">Jorge Armando Ramirez Perez EXPEDIA 73380847965879 Ciudad        MEX Expedia Transaction cost RFQ 4512 Ecoclean Hotel Houston USA Holliday Inn USA </v>
      </c>
    </row>
    <row r="768" spans="1:14">
      <c r="A768" t="str">
        <f ca="1"/>
        <v>TRX1169</v>
      </c>
      <c r="B768" t="str">
        <f ca="1"/>
        <v>#68</v>
      </c>
      <c r="C768">
        <f ca="1"/>
        <v>46078.417361111096</v>
      </c>
      <c r="D768">
        <f ca="1"/>
        <v>1455.9</v>
      </c>
      <c r="E768" t="str">
        <f ca="1"/>
        <v>MXN</v>
      </c>
      <c r="F768" t="str">
        <f ca="1"/>
        <v>Jorge Armando Ramirez Perez</v>
      </c>
      <c r="G768" t="str">
        <f ca="1"/>
        <v>REST GARCIA AEROPUERTO CIENEGA DE FL MEX</v>
      </c>
      <c r="H768" t="str">
        <f ca="1"/>
        <v>Rest Garcia Aeropuerto Cienega De Fl Mex</v>
      </c>
      <c r="I768" t="str">
        <f ca="1"/>
        <v>Transaction cost</v>
      </c>
      <c r="J768" t="str">
        <f ca="1"/>
        <v>RFQ 5052 Batimore Base chillers Comida / Jose Franco / Jorge Ramirez</v>
      </c>
      <c r="K768" t="str">
        <f ca="1"/>
        <v>N-</v>
      </c>
      <c r="L768" t="str">
        <f ca="1">VLOOKUP(B768,[1]Total!$B:$Q,16,0)</f>
        <v>602.34.002 Gastos por visita tencica</v>
      </c>
      <c r="M768">
        <f t="shared" ca="1" si="23"/>
        <v>1455.9</v>
      </c>
      <c r="N768" t="str">
        <f t="shared" ca="1" si="24"/>
        <v xml:space="preserve">Jorge Armando Ramirez Perez REST GARCIA AEROPUERTO CIENEGA DE FL MEX Rest Garcia Aeropuerto Cienega De Fl Mex Transaction cost RFQ 5052 Batimore Base chillers Comida / Jose Franco / Jorge Ramirez N- </v>
      </c>
    </row>
    <row r="769" spans="1:14">
      <c r="A769" t="str">
        <f ca="1"/>
        <v>TRX1171</v>
      </c>
      <c r="B769" t="str">
        <f ca="1"/>
        <v>#68</v>
      </c>
      <c r="C769">
        <f ca="1"/>
        <v>46078.417361111096</v>
      </c>
      <c r="D769">
        <f ca="1"/>
        <v>190.71</v>
      </c>
      <c r="E769" t="str">
        <f ca="1"/>
        <v>USD</v>
      </c>
      <c r="F769" t="str">
        <f ca="1"/>
        <v>Jorge Armando Ramirez Perez</v>
      </c>
      <c r="G769" t="str">
        <f ca="1"/>
        <v>WHATABURGER 723        HOUSTON       USA</v>
      </c>
      <c r="H769" t="str">
        <f ca="1"/>
        <v>Whataburger</v>
      </c>
      <c r="I769" t="str">
        <f ca="1"/>
        <v>Transaction cost</v>
      </c>
      <c r="J769" t="str">
        <f ca="1"/>
        <v>RFQ 4512 Ecoclean Evaluacion de proyectos Comida</v>
      </c>
      <c r="K769" t="str">
        <f ca="1"/>
        <v>US</v>
      </c>
      <c r="L769" t="str">
        <f ca="1">VLOOKUP(B769,[1]Total!$B:$Q,16,0)</f>
        <v>602.34.002 Gastos por visita tencica</v>
      </c>
      <c r="M769">
        <f t="shared" ca="1" si="23"/>
        <v>190.71</v>
      </c>
      <c r="N769" t="str">
        <f t="shared" ca="1" si="24"/>
        <v xml:space="preserve">Jorge Armando Ramirez Perez WHATABURGER 723        HOUSTON       USA Whataburger Transaction cost RFQ 4512 Ecoclean Evaluacion de proyectos Comida US </v>
      </c>
    </row>
    <row r="770" spans="1:14">
      <c r="A770" t="str">
        <f ca="1"/>
        <v>TRX1173</v>
      </c>
      <c r="B770" t="str">
        <f ca="1"/>
        <v>#68</v>
      </c>
      <c r="C770">
        <f ca="1"/>
        <v>46078.417361111096</v>
      </c>
      <c r="D770">
        <f ca="1"/>
        <v>671.8</v>
      </c>
      <c r="E770" t="str">
        <f ca="1"/>
        <v>USD</v>
      </c>
      <c r="F770" t="str">
        <f ca="1"/>
        <v>Jorge Armando Ramirez Perez</v>
      </c>
      <c r="G770" t="str">
        <f ca="1"/>
        <v>UBER   *TRIP           SAN FRANCISCO USA</v>
      </c>
      <c r="H770" t="str">
        <f ca="1"/>
        <v>Uber</v>
      </c>
      <c r="I770" t="str">
        <f ca="1"/>
        <v>Transaction cost</v>
      </c>
      <c r="J770" t="str">
        <f ca="1"/>
        <v>RFQ 4512 Ecoclean Evaluacion de proyectos UBER</v>
      </c>
      <c r="K770" t="str">
        <f ca="1"/>
        <v>US</v>
      </c>
      <c r="L770" t="str">
        <f ca="1">VLOOKUP(B770,[1]Total!$B:$Q,16,0)</f>
        <v>602.34.002 Gastos por visita tencica</v>
      </c>
      <c r="M770">
        <f t="shared" ca="1" si="23"/>
        <v>671.8</v>
      </c>
      <c r="N770" t="str">
        <f t="shared" ca="1" si="24"/>
        <v xml:space="preserve">Jorge Armando Ramirez Perez UBER   *TRIP           SAN FRANCISCO USA Uber Transaction cost RFQ 4512 Ecoclean Evaluacion de proyectos UBER US </v>
      </c>
    </row>
    <row r="771" spans="1:14">
      <c r="A771" t="str">
        <f ca="1"/>
        <v>TRX1175</v>
      </c>
      <c r="B771" t="str">
        <f ca="1"/>
        <v>#68</v>
      </c>
      <c r="C771">
        <f ca="1"/>
        <v>46079.416666666599</v>
      </c>
      <c r="D771">
        <f ca="1"/>
        <v>279.95</v>
      </c>
      <c r="E771" t="str">
        <f ca="1"/>
        <v>MXN</v>
      </c>
      <c r="F771" t="str">
        <f ca="1"/>
        <v>Jorge Armando Ramirez Perez</v>
      </c>
      <c r="G771" t="str">
        <f ca="1"/>
        <v>UBER * PENDING         CMX           MEX</v>
      </c>
      <c r="H771" t="str">
        <f ca="1"/>
        <v>Uber</v>
      </c>
      <c r="I771" t="str">
        <f ca="1"/>
        <v>Transaction cost</v>
      </c>
      <c r="J771" t="str">
        <f ca="1"/>
        <v>PO 7080 DeAcero Abrazaderas UBER</v>
      </c>
      <c r="K771">
        <f ca="1"/>
        <v>0</v>
      </c>
      <c r="L771" t="str">
        <f ca="1">VLOOKUP(B771,[1]Total!$B:$Q,16,0)</f>
        <v>602.34.002 Gastos por visita tencica</v>
      </c>
      <c r="M771">
        <f t="shared" ref="M771:M834" ca="1" si="25">D771</f>
        <v>279.95</v>
      </c>
      <c r="N771" t="str">
        <f t="shared" ref="N771:N834" ca="1" si="26">CONCATENATE(F771," ",G771," ",H771," ",I771," ",J771," ",K771," ")</f>
        <v xml:space="preserve">Jorge Armando Ramirez Perez UBER * PENDING         CMX           MEX Uber Transaction cost PO 7080 DeAcero Abrazaderas UBER 0 </v>
      </c>
    </row>
    <row r="772" spans="1:14">
      <c r="A772" t="str">
        <f ca="1"/>
        <v>TRX1206</v>
      </c>
      <c r="B772" t="str">
        <f ca="1"/>
        <v>#68</v>
      </c>
      <c r="C772">
        <f ca="1"/>
        <v>46079.416666666599</v>
      </c>
      <c r="D772">
        <f ca="1"/>
        <v>200</v>
      </c>
      <c r="E772" t="str">
        <f ca="1"/>
        <v>MXN</v>
      </c>
      <c r="F772" t="str">
        <f ca="1"/>
        <v>Jorge Armando Ramirez Perez</v>
      </c>
      <c r="G772" t="str">
        <f ca="1"/>
        <v>TELCEL                 CIUDAD DE MEX MEX</v>
      </c>
      <c r="H772" t="str">
        <f ca="1"/>
        <v>Telcel Ciudad De Mex Mex</v>
      </c>
      <c r="I772" t="str">
        <f ca="1"/>
        <v>Transaction cost</v>
      </c>
      <c r="J772" t="str">
        <f ca="1"/>
        <v>RFQ 5052 Baltimore Baseparachiller Roaming datos</v>
      </c>
      <c r="K772">
        <f ca="1"/>
        <v>0</v>
      </c>
      <c r="L772" t="str">
        <f ca="1">VLOOKUP(B772,[1]Total!$B:$Q,16,0)</f>
        <v>602.34.002 Gastos por visita tencica</v>
      </c>
      <c r="M772">
        <f t="shared" ca="1" si="25"/>
        <v>200</v>
      </c>
      <c r="N772" t="str">
        <f t="shared" ca="1" si="26"/>
        <v xml:space="preserve">Jorge Armando Ramirez Perez TELCEL                 CIUDAD DE MEX MEX Telcel Ciudad De Mex Mex Transaction cost RFQ 5052 Baltimore Baseparachiller Roaming datos 0 </v>
      </c>
    </row>
    <row r="773" spans="1:14">
      <c r="A773" t="str">
        <f ca="1"/>
        <v>TRX1249</v>
      </c>
      <c r="B773" t="str">
        <f ca="1"/>
        <v>#68</v>
      </c>
      <c r="C773">
        <f ca="1"/>
        <v>46080.417361111096</v>
      </c>
      <c r="D773">
        <f ca="1"/>
        <v>258.3</v>
      </c>
      <c r="E773" t="str">
        <f ca="1"/>
        <v>USD</v>
      </c>
      <c r="F773" t="str">
        <f ca="1"/>
        <v>Jorge Armando Ramirez Perez</v>
      </c>
      <c r="G773" t="str">
        <f ca="1"/>
        <v>CHICK-FIL-A AS IAH     HOUSTON       USA</v>
      </c>
      <c r="H773" t="str">
        <f ca="1"/>
        <v>Chick-fil-A</v>
      </c>
      <c r="I773" t="str">
        <f ca="1"/>
        <v>Transaction cost</v>
      </c>
      <c r="J773" t="str">
        <f ca="1"/>
        <v>RFQ 4512 Ecoclean Evaluacion de proyectos Comida</v>
      </c>
      <c r="K773" t="str">
        <f ca="1"/>
        <v>US</v>
      </c>
      <c r="L773" t="str">
        <f ca="1">VLOOKUP(B773,[1]Total!$B:$Q,16,0)</f>
        <v>602.34.002 Gastos por visita tencica</v>
      </c>
      <c r="M773">
        <f t="shared" ca="1" si="25"/>
        <v>258.3</v>
      </c>
      <c r="N773" t="str">
        <f t="shared" ca="1" si="26"/>
        <v xml:space="preserve">Jorge Armando Ramirez Perez CHICK-FIL-A AS IAH     HOUSTON       USA Chick-fil-A Transaction cost RFQ 4512 Ecoclean Evaluacion de proyectos Comida US </v>
      </c>
    </row>
    <row r="774" spans="1:14">
      <c r="A774" t="str">
        <f ca="1"/>
        <v>TRX1250</v>
      </c>
      <c r="B774" t="str">
        <f ca="1"/>
        <v>#68</v>
      </c>
      <c r="C774">
        <f ca="1"/>
        <v>46080.417361111096</v>
      </c>
      <c r="D774">
        <f ca="1"/>
        <v>684.78</v>
      </c>
      <c r="E774" t="str">
        <f ca="1"/>
        <v>USD</v>
      </c>
      <c r="F774" t="str">
        <f ca="1"/>
        <v>Jorge Armando Ramirez Perez</v>
      </c>
      <c r="G774" t="str">
        <f ca="1"/>
        <v>DETROIT AIPORT         NEW BOSTON    USA</v>
      </c>
      <c r="H774" t="str">
        <f ca="1"/>
        <v>Detroit Aiport New Boston USA</v>
      </c>
      <c r="I774" t="str">
        <f ca="1"/>
        <v>Transaction cost</v>
      </c>
      <c r="J774" t="str">
        <f ca="1"/>
        <v>RFQ 5052 Baltimore Baseparachiller Evaluacion de proyectos Comida</v>
      </c>
      <c r="K774" t="str">
        <f ca="1"/>
        <v>US</v>
      </c>
      <c r="L774" t="str">
        <f ca="1">VLOOKUP(B774,[1]Total!$B:$Q,16,0)</f>
        <v>602.34.002 Gastos por visita tencica</v>
      </c>
      <c r="M774">
        <f t="shared" ca="1" si="25"/>
        <v>684.78</v>
      </c>
      <c r="N774" t="str">
        <f t="shared" ca="1" si="26"/>
        <v xml:space="preserve">Jorge Armando Ramirez Perez DETROIT AIPORT         NEW BOSTON    USA Detroit Aiport New Boston USA Transaction cost RFQ 5052 Baltimore Baseparachiller Evaluacion de proyectos Comida US </v>
      </c>
    </row>
    <row r="775" spans="1:14">
      <c r="A775" t="str">
        <f ca="1"/>
        <v>TRX1252</v>
      </c>
      <c r="B775" t="str">
        <f ca="1"/>
        <v>#68</v>
      </c>
      <c r="C775">
        <f ca="1"/>
        <v>46080.417361111096</v>
      </c>
      <c r="D775">
        <f ca="1"/>
        <v>93.3</v>
      </c>
      <c r="E775" t="str">
        <f ca="1"/>
        <v>USD</v>
      </c>
      <c r="F775" t="str">
        <f ca="1"/>
        <v>Jorge Armando Ramirez Perez</v>
      </c>
      <c r="G775" t="str">
        <f ca="1"/>
        <v>DETROIT AIPORT         NEW BOSTON    USA</v>
      </c>
      <c r="H775" t="str">
        <f ca="1"/>
        <v>Detroit Aiport New Boston USA</v>
      </c>
      <c r="I775" t="str">
        <f ca="1"/>
        <v>Transaction cost</v>
      </c>
      <c r="J775" t="str">
        <f ca="1"/>
        <v>RFQ 5052 Baltimore Baseparachiller Evaluacion de proyectos Comida</v>
      </c>
      <c r="K775" t="str">
        <f ca="1"/>
        <v>US</v>
      </c>
      <c r="L775" t="str">
        <f ca="1">VLOOKUP(B775,[1]Total!$B:$Q,16,0)</f>
        <v>602.34.002 Gastos por visita tencica</v>
      </c>
      <c r="M775">
        <f t="shared" ca="1" si="25"/>
        <v>93.3</v>
      </c>
      <c r="N775" t="str">
        <f t="shared" ca="1" si="26"/>
        <v xml:space="preserve">Jorge Armando Ramirez Perez DETROIT AIPORT         NEW BOSTON    USA Detroit Aiport New Boston USA Transaction cost RFQ 5052 Baltimore Baseparachiller Evaluacion de proyectos Comida US </v>
      </c>
    </row>
    <row r="776" spans="1:14">
      <c r="A776" t="str">
        <f ca="1"/>
        <v>TRX1253</v>
      </c>
      <c r="B776" t="str">
        <f ca="1"/>
        <v>#68</v>
      </c>
      <c r="C776">
        <f ca="1"/>
        <v>46080.417361111096</v>
      </c>
      <c r="D776">
        <f ca="1"/>
        <v>596.16</v>
      </c>
      <c r="E776" t="str">
        <f ca="1"/>
        <v>USD</v>
      </c>
      <c r="F776" t="str">
        <f ca="1"/>
        <v>Jorge Armando Ramirez Perez</v>
      </c>
      <c r="G776" t="str">
        <f ca="1"/>
        <v>THE HENRY FORD FB      DEARBORN      USA</v>
      </c>
      <c r="H776" t="str">
        <f ca="1"/>
        <v>Dearborn</v>
      </c>
      <c r="I776" t="str">
        <f ca="1"/>
        <v>Transaction cost</v>
      </c>
      <c r="J776" t="str">
        <f ca="1"/>
        <v>RFQ 5052 Baltimore Baseparachiller Evaluacion de proyectos Comida</v>
      </c>
      <c r="K776" t="str">
        <f ca="1"/>
        <v>US</v>
      </c>
      <c r="L776" t="str">
        <f ca="1">VLOOKUP(B776,[1]Total!$B:$Q,16,0)</f>
        <v>602.34.002 Gastos por visita tencica</v>
      </c>
      <c r="M776">
        <f t="shared" ca="1" si="25"/>
        <v>596.16</v>
      </c>
      <c r="N776" t="str">
        <f t="shared" ca="1" si="26"/>
        <v xml:space="preserve">Jorge Armando Ramirez Perez THE HENRY FORD FB      DEARBORN      USA Dearborn Transaction cost RFQ 5052 Baltimore Baseparachiller Evaluacion de proyectos Comida US </v>
      </c>
    </row>
    <row r="777" spans="1:14">
      <c r="A777" t="str">
        <f ca="1"/>
        <v>TRX1295</v>
      </c>
      <c r="B777" t="str">
        <f ca="1"/>
        <v>#68</v>
      </c>
      <c r="C777">
        <f ca="1"/>
        <v>46081.417361111096</v>
      </c>
      <c r="D777">
        <f ca="1"/>
        <v>216.13</v>
      </c>
      <c r="E777" t="str">
        <f ca="1"/>
        <v>USD</v>
      </c>
      <c r="F777" t="str">
        <f ca="1"/>
        <v>Jorge Armando Ramirez Perez</v>
      </c>
      <c r="G777" t="str">
        <f ca="1"/>
        <v>HOLIDAY INN EXPRESS &amp;  ATLANTA       USA</v>
      </c>
      <c r="H777" t="str">
        <f ca="1"/>
        <v>Holiday Inn</v>
      </c>
      <c r="I777" t="str">
        <f ca="1"/>
        <v>Transaction cost</v>
      </c>
      <c r="J777" t="str">
        <f ca="1"/>
        <v>RFQ 5052 Baltimore Baseparachiller Evaluacion de proyectos Deposito Hotel</v>
      </c>
      <c r="K777" t="str">
        <f ca="1"/>
        <v>US</v>
      </c>
      <c r="L777" t="str">
        <f ca="1">VLOOKUP(B777,[1]Total!$B:$Q,16,0)</f>
        <v>602.34.002 Gastos por visita tencica</v>
      </c>
      <c r="M777">
        <f t="shared" ca="1" si="25"/>
        <v>216.13</v>
      </c>
      <c r="N777" t="str">
        <f t="shared" ca="1" si="26"/>
        <v xml:space="preserve">Jorge Armando Ramirez Perez HOLIDAY INN EXPRESS &amp;  ATLANTA       USA Holiday Inn Transaction cost RFQ 5052 Baltimore Baseparachiller Evaluacion de proyectos Deposito Hotel US </v>
      </c>
    </row>
    <row r="778" spans="1:14">
      <c r="A778" t="str">
        <f ca="1"/>
        <v>TRX1296</v>
      </c>
      <c r="B778" t="str">
        <f ca="1"/>
        <v>#68</v>
      </c>
      <c r="C778">
        <f ca="1"/>
        <v>46081.417361111096</v>
      </c>
      <c r="D778">
        <f ca="1"/>
        <v>932.61</v>
      </c>
      <c r="E778" t="str">
        <f ca="1"/>
        <v>USD</v>
      </c>
      <c r="F778" t="str">
        <f ca="1"/>
        <v>Jorge Armando Ramirez Perez</v>
      </c>
      <c r="G778" t="str">
        <f ca="1"/>
        <v>CKE*SCREEN DOOR KITCHE SODDY-DAISY   USA</v>
      </c>
      <c r="H778" t="str">
        <f ca="1"/>
        <v>Cke Screen Door Kitche Soddy Daisy USA</v>
      </c>
      <c r="I778" t="str">
        <f ca="1"/>
        <v>Transaction cost</v>
      </c>
      <c r="J778" t="str">
        <f ca="1"/>
        <v>RFQ 5052 Baltimore Baseparachiller Evaluacion de proyectos Comida</v>
      </c>
      <c r="K778" t="str">
        <f ca="1"/>
        <v>US</v>
      </c>
      <c r="L778" t="str">
        <f ca="1">VLOOKUP(B778,[1]Total!$B:$Q,16,0)</f>
        <v>602.34.002 Gastos por visita tencica</v>
      </c>
      <c r="M778">
        <f t="shared" ca="1" si="25"/>
        <v>932.61</v>
      </c>
      <c r="N778" t="str">
        <f t="shared" ca="1" si="26"/>
        <v xml:space="preserve">Jorge Armando Ramirez Perez CKE*SCREEN DOOR KITCHE SODDY-DAISY   USA Cke Screen Door Kitche Soddy Daisy USA Transaction cost RFQ 5052 Baltimore Baseparachiller Evaluacion de proyectos Comida US </v>
      </c>
    </row>
    <row r="779" spans="1:14">
      <c r="A779" t="str">
        <f ca="1"/>
        <v>TRX1297</v>
      </c>
      <c r="B779" t="str">
        <f ca="1"/>
        <v>#68</v>
      </c>
      <c r="C779">
        <f ca="1"/>
        <v>46081.417361111096</v>
      </c>
      <c r="D779">
        <f ca="1"/>
        <v>635.55999999999995</v>
      </c>
      <c r="E779" t="str">
        <f ca="1"/>
        <v>USD</v>
      </c>
      <c r="F779" t="str">
        <f ca="1"/>
        <v>Jorge Armando Ramirez Perez</v>
      </c>
      <c r="G779" t="str">
        <f ca="1"/>
        <v>RACETRAC 587           EAST POINT    USA</v>
      </c>
      <c r="H779" t="str">
        <f ca="1"/>
        <v>Racetrac</v>
      </c>
      <c r="I779" t="str">
        <f ca="1"/>
        <v>Transaction cost</v>
      </c>
      <c r="J779" t="str">
        <f ca="1"/>
        <v>RFQ 5052 Baltimore Baseparachiller Evaluacion de proyectos Gasolina</v>
      </c>
      <c r="K779" t="str">
        <f ca="1"/>
        <v>US</v>
      </c>
      <c r="L779" t="str">
        <f ca="1">VLOOKUP(B779,[1]Total!$B:$Q,16,0)</f>
        <v>602.34.002 Gastos por visita tencica</v>
      </c>
      <c r="M779">
        <f t="shared" ca="1" si="25"/>
        <v>635.55999999999995</v>
      </c>
      <c r="N779" t="str">
        <f t="shared" ca="1" si="26"/>
        <v xml:space="preserve">Jorge Armando Ramirez Perez RACETRAC 587           EAST POINT    USA Racetrac Transaction cost RFQ 5052 Baltimore Baseparachiller Evaluacion de proyectos Gasolina US </v>
      </c>
    </row>
    <row r="780" spans="1:14">
      <c r="A780" t="str">
        <f ca="1"/>
        <v>TRX1181</v>
      </c>
      <c r="B780" t="str">
        <f ca="1"/>
        <v>#69</v>
      </c>
      <c r="C780">
        <f ca="1"/>
        <v>46059.416666666599</v>
      </c>
      <c r="D780">
        <f ca="1"/>
        <v>375.79</v>
      </c>
      <c r="E780" t="str">
        <f ca="1"/>
        <v>MXN</v>
      </c>
      <c r="F780" t="str">
        <f ca="1"/>
        <v>Gustavo Rivas</v>
      </c>
      <c r="G780" t="str">
        <f ca="1"/>
        <v>UBER *TRIP HELP.UBER.C CMX           MEX</v>
      </c>
      <c r="H780" t="str">
        <f ca="1"/>
        <v>Uber</v>
      </c>
      <c r="I780" t="str">
        <f ca="1"/>
        <v>Sales</v>
      </c>
      <c r="J780" t="str">
        <f ca="1"/>
        <v>Sin PO</v>
      </c>
      <c r="K780">
        <f ca="1"/>
        <v>0</v>
      </c>
      <c r="L780" t="str">
        <f ca="1">VLOOKUP(B780,[1]Total!$B:$Q,16,0)</f>
        <v>603.81.006 Gastos Administativos de venta</v>
      </c>
      <c r="M780">
        <f t="shared" ca="1" si="25"/>
        <v>375.79</v>
      </c>
      <c r="N780" t="str">
        <f t="shared" ca="1" si="26"/>
        <v xml:space="preserve">Gustavo Rivas UBER *TRIP HELP.UBER.C CMX           MEX Uber Sales Sin PO 0 </v>
      </c>
    </row>
    <row r="781" spans="1:14">
      <c r="A781" t="str">
        <f ca="1"/>
        <v>TRX1180</v>
      </c>
      <c r="B781" t="str">
        <f ca="1"/>
        <v>#69</v>
      </c>
      <c r="C781">
        <f ca="1"/>
        <v>46059.416666666599</v>
      </c>
      <c r="D781">
        <f ca="1"/>
        <v>394</v>
      </c>
      <c r="E781" t="str">
        <f ca="1"/>
        <v>MXN</v>
      </c>
      <c r="F781" t="str">
        <f ca="1"/>
        <v>Gustavo Rivas</v>
      </c>
      <c r="G781" t="str">
        <f ca="1"/>
        <v>COM RAP KE RICO PTA 8  CIUDAD DE MEX MEX</v>
      </c>
      <c r="H781" t="str">
        <f ca="1"/>
        <v>Com Rap Ke Rico Pta 8 Ciudad De Mex Mex</v>
      </c>
      <c r="I781" t="str">
        <f ca="1"/>
        <v>Sales</v>
      </c>
      <c r="J781" t="str">
        <f ca="1"/>
        <v>Sin PO - Visita DEMSA para JV</v>
      </c>
      <c r="K781" t="str">
        <f ca="1"/>
        <v>219d04aa-dbdd-4c27-875c-dbc054f91e22</v>
      </c>
      <c r="L781" t="str">
        <f ca="1">VLOOKUP(B781,[1]Total!$B:$Q,16,0)</f>
        <v>603.81.006 Gastos Administativos de venta</v>
      </c>
      <c r="M781">
        <f t="shared" ca="1" si="25"/>
        <v>394</v>
      </c>
      <c r="N781" t="str">
        <f t="shared" ca="1" si="26"/>
        <v xml:space="preserve">Gustavo Rivas COM RAP KE RICO PTA 8  CIUDAD DE MEX MEX Com Rap Ke Rico Pta 8 Ciudad De Mex Mex Sales Sin PO - Visita DEMSA para JV 219d04aa-dbdd-4c27-875c-dbc054f91e22 </v>
      </c>
    </row>
    <row r="782" spans="1:14">
      <c r="A782" t="str">
        <f ca="1"/>
        <v>TRX1484</v>
      </c>
      <c r="B782" t="str">
        <f ca="1"/>
        <v>#69</v>
      </c>
      <c r="C782">
        <f ca="1"/>
        <v>46059.417361111096</v>
      </c>
      <c r="D782">
        <f ca="1"/>
        <v>2859.51</v>
      </c>
      <c r="E782" t="str">
        <f ca="1"/>
        <v>MXN</v>
      </c>
      <c r="F782" t="str">
        <f ca="1"/>
        <v>Gustavo Rivas</v>
      </c>
      <c r="G782" t="str">
        <f ca="1"/>
        <v>H SOBERANO CHIH        CHIHUAHUA CHI MEX</v>
      </c>
      <c r="H782" t="str">
        <f ca="1"/>
        <v>H Soberano Chih Chihuahua Chi Mex</v>
      </c>
      <c r="I782" t="str">
        <f ca="1"/>
        <v>Sales</v>
      </c>
      <c r="J782">
        <f ca="1"/>
        <v>0</v>
      </c>
      <c r="K782">
        <f ca="1"/>
        <v>0</v>
      </c>
      <c r="L782" t="str">
        <f ca="1">VLOOKUP(B782,[1]Total!$B:$Q,16,0)</f>
        <v>603.81.006 Gastos Administativos de venta</v>
      </c>
      <c r="M782">
        <f t="shared" ca="1" si="25"/>
        <v>2859.51</v>
      </c>
      <c r="N782" t="str">
        <f t="shared" ca="1" si="26"/>
        <v xml:space="preserve">Gustavo Rivas H SOBERANO CHIH        CHIHUAHUA CHI MEX H Soberano Chih Chihuahua Chi Mex Sales 0 0 </v>
      </c>
    </row>
    <row r="783" spans="1:14">
      <c r="A783" t="str">
        <f ca="1"/>
        <v>TRX1184</v>
      </c>
      <c r="B783" t="str">
        <f ca="1"/>
        <v>#69</v>
      </c>
      <c r="C783">
        <f ca="1"/>
        <v>46060.416666666599</v>
      </c>
      <c r="D783">
        <f ca="1"/>
        <v>559.99</v>
      </c>
      <c r="E783" t="str">
        <f ca="1"/>
        <v>MXN</v>
      </c>
      <c r="F783" t="str">
        <f ca="1"/>
        <v>Gustavo Rivas</v>
      </c>
      <c r="G783" t="str">
        <f ca="1"/>
        <v>UBER * PENDING         CMX           MEX</v>
      </c>
      <c r="H783" t="str">
        <f ca="1"/>
        <v>Uber</v>
      </c>
      <c r="I783" t="str">
        <f ca="1"/>
        <v>Sales</v>
      </c>
      <c r="J783" t="str">
        <f ca="1"/>
        <v>Sin PO</v>
      </c>
      <c r="K783">
        <f ca="1"/>
        <v>0</v>
      </c>
      <c r="L783" t="str">
        <f ca="1">VLOOKUP(B783,[1]Total!$B:$Q,16,0)</f>
        <v>603.81.006 Gastos Administativos de venta</v>
      </c>
      <c r="M783">
        <f t="shared" ca="1" si="25"/>
        <v>559.99</v>
      </c>
      <c r="N783" t="str">
        <f t="shared" ca="1" si="26"/>
        <v xml:space="preserve">Gustavo Rivas UBER * PENDING         CMX           MEX Uber Sales Sin PO 0 </v>
      </c>
    </row>
    <row r="784" spans="1:14">
      <c r="A784" t="str">
        <f ca="1"/>
        <v>TRX1246</v>
      </c>
      <c r="B784" t="str">
        <f ca="1"/>
        <v>#69</v>
      </c>
      <c r="C784">
        <f ca="1"/>
        <v>46060.416666666599</v>
      </c>
      <c r="D784">
        <f ca="1"/>
        <v>483</v>
      </c>
      <c r="E784" t="str">
        <f ca="1"/>
        <v>MXN</v>
      </c>
      <c r="F784" t="str">
        <f ca="1"/>
        <v>Gustavo Rivas</v>
      </c>
      <c r="G784" t="str">
        <f ca="1"/>
        <v>ELEONORA REST          CHIHUAHUA CHI MEX</v>
      </c>
      <c r="H784" t="str">
        <f ca="1"/>
        <v>Eleonora Rest Chihuahua Chi Mex</v>
      </c>
      <c r="I784" t="str">
        <f ca="1"/>
        <v>Sales</v>
      </c>
      <c r="J784" t="str">
        <f ca="1"/>
        <v>Sin PO - Comida DEMSA</v>
      </c>
      <c r="K784" t="str">
        <f ca="1"/>
        <v>148b3209-a066-4cf5-9066-ba06f8a5058f</v>
      </c>
      <c r="L784" t="str">
        <f ca="1">VLOOKUP(B784,[1]Total!$B:$Q,16,0)</f>
        <v>603.81.006 Gastos Administativos de venta</v>
      </c>
      <c r="M784">
        <f t="shared" ca="1" si="25"/>
        <v>483</v>
      </c>
      <c r="N784" t="str">
        <f t="shared" ca="1" si="26"/>
        <v xml:space="preserve">Gustavo Rivas ELEONORA REST          CHIHUAHUA CHI MEX Eleonora Rest Chihuahua Chi Mex Sales Sin PO - Comida DEMSA 148b3209-a066-4cf5-9066-ba06f8a5058f </v>
      </c>
    </row>
    <row r="785" spans="1:14">
      <c r="A785" t="str">
        <f ca="1"/>
        <v>TRX1452</v>
      </c>
      <c r="B785" t="str">
        <f ca="1"/>
        <v>#69</v>
      </c>
      <c r="C785">
        <f ca="1"/>
        <v>46060.416666666599</v>
      </c>
      <c r="D785">
        <f ca="1"/>
        <v>257.89</v>
      </c>
      <c r="E785" t="str">
        <f ca="1"/>
        <v>MXN</v>
      </c>
      <c r="F785" t="str">
        <f ca="1"/>
        <v>Gustavo Rivas</v>
      </c>
      <c r="G785" t="str">
        <f ca="1"/>
        <v>UBER * PENDING         CMX           MEX</v>
      </c>
      <c r="H785" t="str">
        <f ca="1"/>
        <v>Uber</v>
      </c>
      <c r="I785" t="str">
        <f ca="1"/>
        <v>Sales</v>
      </c>
      <c r="J785" t="str">
        <f ca="1"/>
        <v>Sin PO</v>
      </c>
      <c r="K785">
        <f ca="1"/>
        <v>0</v>
      </c>
      <c r="L785" t="str">
        <f ca="1">VLOOKUP(B785,[1]Total!$B:$Q,16,0)</f>
        <v>603.81.006 Gastos Administativos de venta</v>
      </c>
      <c r="M785">
        <f t="shared" ca="1" si="25"/>
        <v>257.89</v>
      </c>
      <c r="N785" t="str">
        <f t="shared" ca="1" si="26"/>
        <v xml:space="preserve">Gustavo Rivas UBER * PENDING         CMX           MEX Uber Sales Sin PO 0 </v>
      </c>
    </row>
    <row r="786" spans="1:14">
      <c r="A786" t="str">
        <f ca="1"/>
        <v>TRX1920</v>
      </c>
      <c r="B786" t="str">
        <f ca="1"/>
        <v>#69</v>
      </c>
      <c r="C786">
        <f ca="1"/>
        <v>46060.416666666599</v>
      </c>
      <c r="D786">
        <f ca="1"/>
        <v>87.56</v>
      </c>
      <c r="E786" t="str">
        <f ca="1"/>
        <v>MXN</v>
      </c>
      <c r="F786" t="str">
        <f ca="1"/>
        <v>Gustavo Rivas</v>
      </c>
      <c r="G786" t="str">
        <f ca="1"/>
        <v>UBER * PENDING         CMX           MEX</v>
      </c>
      <c r="H786" t="str">
        <f ca="1"/>
        <v>Uber</v>
      </c>
      <c r="I786" t="str">
        <f ca="1"/>
        <v>Sales</v>
      </c>
      <c r="J786" t="str">
        <f ca="1"/>
        <v>Sin PO</v>
      </c>
      <c r="K786">
        <f ca="1"/>
        <v>0</v>
      </c>
      <c r="L786" t="str">
        <f ca="1">VLOOKUP(B786,[1]Total!$B:$Q,16,0)</f>
        <v>603.81.006 Gastos Administativos de venta</v>
      </c>
      <c r="M786">
        <f t="shared" ca="1" si="25"/>
        <v>87.56</v>
      </c>
      <c r="N786" t="str">
        <f t="shared" ca="1" si="26"/>
        <v xml:space="preserve">Gustavo Rivas UBER * PENDING         CMX           MEX Uber Sales Sin PO 0 </v>
      </c>
    </row>
    <row r="787" spans="1:14">
      <c r="A787" t="str">
        <f ca="1"/>
        <v>TRX1328</v>
      </c>
      <c r="B787" t="str">
        <f ca="1"/>
        <v>#69</v>
      </c>
      <c r="C787">
        <f ca="1"/>
        <v>46060.416666666599</v>
      </c>
      <c r="D787">
        <f ca="1"/>
        <v>109.81</v>
      </c>
      <c r="E787" t="str">
        <f ca="1"/>
        <v>MXN</v>
      </c>
      <c r="F787" t="str">
        <f ca="1"/>
        <v>Gustavo Rivas</v>
      </c>
      <c r="G787" t="str">
        <f ca="1"/>
        <v>DLO*Uber               CDMX          MEX</v>
      </c>
      <c r="H787" t="str">
        <f ca="1"/>
        <v>Uber</v>
      </c>
      <c r="I787" t="str">
        <f ca="1"/>
        <v>Sales</v>
      </c>
      <c r="J787" t="str">
        <f ca="1"/>
        <v>Sin PO</v>
      </c>
      <c r="K787">
        <f ca="1"/>
        <v>0</v>
      </c>
      <c r="L787" t="str">
        <f ca="1">VLOOKUP(B787,[1]Total!$B:$Q,16,0)</f>
        <v>603.81.006 Gastos Administativos de venta</v>
      </c>
      <c r="M787">
        <f t="shared" ca="1" si="25"/>
        <v>109.81</v>
      </c>
      <c r="N787" t="str">
        <f t="shared" ca="1" si="26"/>
        <v xml:space="preserve">Gustavo Rivas DLO*Uber               CDMX          MEX Uber Sales Sin PO 0 </v>
      </c>
    </row>
    <row r="788" spans="1:14">
      <c r="A788" t="str">
        <f ca="1"/>
        <v>TRX2022</v>
      </c>
      <c r="B788" t="str">
        <f ca="1"/>
        <v>#69</v>
      </c>
      <c r="C788">
        <f ca="1"/>
        <v>46060.417361111096</v>
      </c>
      <c r="D788">
        <f ca="1"/>
        <v>2747.35</v>
      </c>
      <c r="E788" t="str">
        <f ca="1"/>
        <v>MXN</v>
      </c>
      <c r="F788" t="str">
        <f ca="1"/>
        <v>Gustavo Rivas</v>
      </c>
      <c r="G788" t="str">
        <f ca="1"/>
        <v>REST KAMPAI            CHIHUAHUA CHI MEX</v>
      </c>
      <c r="H788" t="str">
        <f ca="1"/>
        <v>Rest Kampai Chihuahua Chi Mex</v>
      </c>
      <c r="I788" t="str">
        <f ca="1"/>
        <v>Sales</v>
      </c>
      <c r="J788" t="str">
        <f ca="1"/>
        <v>Sin PO - Comida VP de Marriott</v>
      </c>
      <c r="K788" t="str">
        <f ca="1"/>
        <v>777f006d-a315-4440-9e73-6f755f980bca</v>
      </c>
      <c r="L788" t="str">
        <f ca="1">VLOOKUP(B788,[1]Total!$B:$Q,16,0)</f>
        <v>603.81.006 Gastos Administativos de venta</v>
      </c>
      <c r="M788">
        <f t="shared" ca="1" si="25"/>
        <v>2747.35</v>
      </c>
      <c r="N788" t="str">
        <f t="shared" ca="1" si="26"/>
        <v xml:space="preserve">Gustavo Rivas REST KAMPAI            CHIHUAHUA CHI MEX Rest Kampai Chihuahua Chi Mex Sales Sin PO - Comida VP de Marriott 777f006d-a315-4440-9e73-6f755f980bca </v>
      </c>
    </row>
    <row r="789" spans="1:14">
      <c r="A789" t="str">
        <f ca="1"/>
        <v>TRX1015</v>
      </c>
      <c r="B789" t="str">
        <f ca="1"/>
        <v>#69</v>
      </c>
      <c r="C789">
        <f ca="1"/>
        <v>46063.416666666599</v>
      </c>
      <c r="D789">
        <f ca="1"/>
        <v>11702</v>
      </c>
      <c r="E789" t="str">
        <f ca="1"/>
        <v>MXN</v>
      </c>
      <c r="F789" t="str">
        <f ca="1"/>
        <v>Gustavo Rivas</v>
      </c>
      <c r="G789" t="str">
        <f ca="1"/>
        <v>AEROMEXICO CC PN       CIUDAD DE MEX MEX</v>
      </c>
      <c r="H789" t="str">
        <f ca="1"/>
        <v>Aeromexico</v>
      </c>
      <c r="I789" t="str">
        <f ca="1"/>
        <v>Sales</v>
      </c>
      <c r="J789" t="str">
        <f ca="1"/>
        <v>PO 2218</v>
      </c>
      <c r="K789" t="str">
        <f ca="1"/>
        <v>49EB27A0-4029-5AE5-AEB0-0013C6880541</v>
      </c>
      <c r="L789" t="str">
        <f ca="1">VLOOKUP(B789,[1]Total!$B:$Q,16,0)</f>
        <v>603.81.006 Gastos Administativos de venta</v>
      </c>
      <c r="M789">
        <f t="shared" ca="1" si="25"/>
        <v>11702</v>
      </c>
      <c r="N789" t="str">
        <f t="shared" ca="1" si="26"/>
        <v xml:space="preserve">Gustavo Rivas AEROMEXICO CC PN       CIUDAD DE MEX MEX Aeromexico Sales PO 2218 49EB27A0-4029-5AE5-AEB0-0013C6880541 </v>
      </c>
    </row>
    <row r="790" spans="1:14">
      <c r="A790" t="str">
        <f ca="1"/>
        <v>TRX1203</v>
      </c>
      <c r="B790" t="str">
        <f ca="1"/>
        <v>#69</v>
      </c>
      <c r="C790">
        <f ca="1"/>
        <v>46064.416666666599</v>
      </c>
      <c r="D790">
        <f ca="1"/>
        <v>50</v>
      </c>
      <c r="E790" t="str">
        <f ca="1"/>
        <v>MXN</v>
      </c>
      <c r="F790" t="str">
        <f ca="1"/>
        <v>Gustavo Rivas</v>
      </c>
      <c r="G790" t="str">
        <f ca="1"/>
        <v>UBER *TRIP HELP.UBER.C CMX           MEX</v>
      </c>
      <c r="H790" t="str">
        <f ca="1"/>
        <v>Uber</v>
      </c>
      <c r="I790" t="str">
        <f ca="1"/>
        <v>Sales</v>
      </c>
      <c r="J790" t="str">
        <f ca="1"/>
        <v>PO 2218</v>
      </c>
      <c r="K790">
        <f ca="1"/>
        <v>0</v>
      </c>
      <c r="L790" t="str">
        <f ca="1">VLOOKUP(B790,[1]Total!$B:$Q,16,0)</f>
        <v>603.81.006 Gastos Administativos de venta</v>
      </c>
      <c r="M790">
        <f t="shared" ca="1" si="25"/>
        <v>50</v>
      </c>
      <c r="N790" t="str">
        <f t="shared" ca="1" si="26"/>
        <v xml:space="preserve">Gustavo Rivas UBER *TRIP HELP.UBER.C CMX           MEX Uber Sales PO 2218 0 </v>
      </c>
    </row>
    <row r="791" spans="1:14">
      <c r="A791" t="str">
        <f ca="1"/>
        <v>TRX1443</v>
      </c>
      <c r="B791" t="str">
        <f ca="1"/>
        <v>#69</v>
      </c>
      <c r="C791">
        <f ca="1"/>
        <v>46065.416666666599</v>
      </c>
      <c r="D791">
        <f ca="1"/>
        <v>315.18</v>
      </c>
      <c r="E791" t="str">
        <f ca="1"/>
        <v>MXN</v>
      </c>
      <c r="F791" t="str">
        <f ca="1"/>
        <v>Gustavo Rivas</v>
      </c>
      <c r="G791" t="str">
        <f ca="1"/>
        <v>UBER *TRIP HELP.UBER.C CMX           MEX</v>
      </c>
      <c r="H791" t="str">
        <f ca="1"/>
        <v>Uber</v>
      </c>
      <c r="I791" t="str">
        <f ca="1"/>
        <v>Sales</v>
      </c>
      <c r="J791" t="str">
        <f ca="1"/>
        <v>PO 2218</v>
      </c>
      <c r="K791">
        <f ca="1"/>
        <v>0</v>
      </c>
      <c r="L791" t="str">
        <f ca="1">VLOOKUP(B791,[1]Total!$B:$Q,16,0)</f>
        <v>603.81.006 Gastos Administativos de venta</v>
      </c>
      <c r="M791">
        <f t="shared" ca="1" si="25"/>
        <v>315.18</v>
      </c>
      <c r="N791" t="str">
        <f t="shared" ca="1" si="26"/>
        <v xml:space="preserve">Gustavo Rivas UBER *TRIP HELP.UBER.C CMX           MEX Uber Sales PO 2218 0 </v>
      </c>
    </row>
    <row r="792" spans="1:14">
      <c r="A792" t="str">
        <f ca="1"/>
        <v>TRX1341</v>
      </c>
      <c r="B792" t="str">
        <f ca="1"/>
        <v>#69</v>
      </c>
      <c r="C792">
        <f ca="1"/>
        <v>46065.416666666599</v>
      </c>
      <c r="D792">
        <f ca="1"/>
        <v>496</v>
      </c>
      <c r="E792" t="str">
        <f ca="1"/>
        <v>MXN</v>
      </c>
      <c r="F792" t="str">
        <f ca="1"/>
        <v>Gustavo Rivas</v>
      </c>
      <c r="G792" t="str">
        <f ca="1"/>
        <v>DLO*Uber               CDMX          MEX</v>
      </c>
      <c r="H792" t="str">
        <f ca="1"/>
        <v>Uber</v>
      </c>
      <c r="I792" t="str">
        <f ca="1"/>
        <v>Sales</v>
      </c>
      <c r="J792" t="str">
        <f ca="1"/>
        <v>PO 2218</v>
      </c>
      <c r="K792">
        <f ca="1"/>
        <v>0</v>
      </c>
      <c r="L792" t="str">
        <f ca="1">VLOOKUP(B792,[1]Total!$B:$Q,16,0)</f>
        <v>603.81.006 Gastos Administativos de venta</v>
      </c>
      <c r="M792">
        <f t="shared" ca="1" si="25"/>
        <v>496</v>
      </c>
      <c r="N792" t="str">
        <f t="shared" ca="1" si="26"/>
        <v xml:space="preserve">Gustavo Rivas DLO*Uber               CDMX          MEX Uber Sales PO 2218 0 </v>
      </c>
    </row>
    <row r="793" spans="1:14">
      <c r="A793" t="str">
        <f ca="1"/>
        <v>TRX1053</v>
      </c>
      <c r="B793" t="str">
        <f ca="1"/>
        <v>#69</v>
      </c>
      <c r="C793">
        <f ca="1"/>
        <v>46065.417361111096</v>
      </c>
      <c r="D793">
        <f ca="1"/>
        <v>81</v>
      </c>
      <c r="E793" t="str">
        <f ca="1"/>
        <v>MXN</v>
      </c>
      <c r="F793" t="str">
        <f ca="1"/>
        <v>Gustavo Rivas</v>
      </c>
      <c r="G793" t="str">
        <f ca="1"/>
        <v>ISLAND CAFE            SILAO GTO     MEX</v>
      </c>
      <c r="H793" t="str">
        <f ca="1"/>
        <v>Island Cafe Silao Gto Mex</v>
      </c>
      <c r="I793" t="str">
        <f ca="1"/>
        <v>Sales</v>
      </c>
      <c r="J793" t="str">
        <f ca="1"/>
        <v>PO 2218</v>
      </c>
      <c r="K793" t="str">
        <f ca="1"/>
        <v>111A227C-BF0D-432A-BDAE-BFBBC179ECB1</v>
      </c>
      <c r="L793" t="str">
        <f ca="1">VLOOKUP(B793,[1]Total!$B:$Q,16,0)</f>
        <v>603.81.006 Gastos Administativos de venta</v>
      </c>
      <c r="M793">
        <f t="shared" ca="1" si="25"/>
        <v>81</v>
      </c>
      <c r="N793" t="str">
        <f t="shared" ca="1" si="26"/>
        <v xml:space="preserve">Gustavo Rivas ISLAND CAFE            SILAO GTO     MEX Island Cafe Silao Gto Mex Sales PO 2218 111A227C-BF0D-432A-BDAE-BFBBC179ECB1 </v>
      </c>
    </row>
    <row r="794" spans="1:14">
      <c r="A794" t="str">
        <f ca="1"/>
        <v>TRX1534</v>
      </c>
      <c r="B794" t="str">
        <f ca="1"/>
        <v>#69</v>
      </c>
      <c r="C794">
        <f ca="1"/>
        <v>46067.416666666599</v>
      </c>
      <c r="D794">
        <f ca="1"/>
        <v>793.5</v>
      </c>
      <c r="E794" t="str">
        <f ca="1"/>
        <v>MXN</v>
      </c>
      <c r="F794" t="str">
        <f ca="1"/>
        <v>Gustavo Rivas</v>
      </c>
      <c r="G794" t="str">
        <f ca="1"/>
        <v>REST ZERU LOMAS        CIUDAD DE MEX MEX</v>
      </c>
      <c r="H794" t="str">
        <f ca="1"/>
        <v>Rest Zeru Lomas Ciudad De Mex Mex</v>
      </c>
      <c r="I794" t="str">
        <f ca="1"/>
        <v>Sales</v>
      </c>
      <c r="J794" t="str">
        <f ca="1"/>
        <v>Comida CA para FDA</v>
      </c>
      <c r="K794" t="str">
        <f ca="1"/>
        <v>18EE0917-782A-49B4-8EB8-5089B8D09426</v>
      </c>
      <c r="L794" t="str">
        <f ca="1">VLOOKUP(B794,[1]Total!$B:$Q,16,0)</f>
        <v>603.81.006 Gastos Administativos de venta</v>
      </c>
      <c r="M794">
        <f t="shared" ca="1" si="25"/>
        <v>793.5</v>
      </c>
      <c r="N794" t="str">
        <f t="shared" ca="1" si="26"/>
        <v xml:space="preserve">Gustavo Rivas REST ZERU LOMAS        CIUDAD DE MEX MEX Rest Zeru Lomas Ciudad De Mex Mex Sales Comida CA para FDA 18EE0917-782A-49B4-8EB8-5089B8D09426 </v>
      </c>
    </row>
    <row r="795" spans="1:14">
      <c r="A795" t="str">
        <f ca="1"/>
        <v>TRX1695</v>
      </c>
      <c r="B795" t="str">
        <f ca="1"/>
        <v>#69</v>
      </c>
      <c r="C795">
        <f ca="1"/>
        <v>46067.416666666599</v>
      </c>
      <c r="D795">
        <f ca="1"/>
        <v>3433.9</v>
      </c>
      <c r="E795" t="str">
        <f ca="1"/>
        <v>MXN</v>
      </c>
      <c r="F795" t="str">
        <f ca="1"/>
        <v>Gustavo Rivas</v>
      </c>
      <c r="G795" t="str">
        <f ca="1"/>
        <v>REST PRICELESS WITH ES CIUDAD DE MEX MEX</v>
      </c>
      <c r="H795" t="str">
        <f ca="1"/>
        <v>Rest Priceless With Es Ciudad De Mex Mex</v>
      </c>
      <c r="I795" t="str">
        <f ca="1"/>
        <v>Sales</v>
      </c>
      <c r="J795" t="str">
        <f ca="1"/>
        <v>Comida con City Express</v>
      </c>
      <c r="K795" t="str">
        <f ca="1"/>
        <v>BBBC8F23-F2A2-4D95-B30D-B47045A2D40B</v>
      </c>
      <c r="L795" t="str">
        <f ca="1">VLOOKUP(B795,[1]Total!$B:$Q,16,0)</f>
        <v>603.81.006 Gastos Administativos de venta</v>
      </c>
      <c r="M795">
        <f t="shared" ca="1" si="25"/>
        <v>3433.9</v>
      </c>
      <c r="N795" t="str">
        <f t="shared" ca="1" si="26"/>
        <v xml:space="preserve">Gustavo Rivas REST PRICELESS WITH ES CIUDAD DE MEX MEX Rest Priceless With Es Ciudad De Mex Mex Sales Comida con City Express BBBC8F23-F2A2-4D95-B30D-B47045A2D40B </v>
      </c>
    </row>
    <row r="796" spans="1:14">
      <c r="A796" t="str">
        <f ca="1"/>
        <v>TRX1532</v>
      </c>
      <c r="B796" t="str">
        <f ca="1"/>
        <v>#69</v>
      </c>
      <c r="C796">
        <f ca="1"/>
        <v>46069.416666666599</v>
      </c>
      <c r="D796">
        <f ca="1"/>
        <v>8897.3799999999992</v>
      </c>
      <c r="E796" t="str">
        <f ca="1"/>
        <v>MXN</v>
      </c>
      <c r="F796" t="str">
        <f ca="1"/>
        <v>Gustavo Rivas</v>
      </c>
      <c r="G796" t="str">
        <f ca="1"/>
        <v>VIVA AEROBUS CIB       APODACA       MEX</v>
      </c>
      <c r="H796" t="str">
        <f ca="1"/>
        <v>Viva Aerobus Cib Apodaca Mex</v>
      </c>
      <c r="I796" t="str">
        <f ca="1"/>
        <v>Sales</v>
      </c>
      <c r="J796" t="str">
        <f ca="1"/>
        <v>PO 2264</v>
      </c>
      <c r="K796" t="str">
        <f ca="1"/>
        <v>09cdea4e-a304-4873-b32c-30aced749461</v>
      </c>
      <c r="L796" t="str">
        <f ca="1">VLOOKUP(B796,[1]Total!$B:$Q,16,0)</f>
        <v>603.81.006 Gastos Administativos de venta</v>
      </c>
      <c r="M796">
        <f t="shared" ca="1" si="25"/>
        <v>8897.3799999999992</v>
      </c>
      <c r="N796" t="str">
        <f t="shared" ca="1" si="26"/>
        <v xml:space="preserve">Gustavo Rivas VIVA AEROBUS CIB       APODACA       MEX Viva Aerobus Cib Apodaca Mex Sales PO 2264 09cdea4e-a304-4873-b32c-30aced749461 </v>
      </c>
    </row>
    <row r="797" spans="1:14">
      <c r="A797" t="str">
        <f ca="1"/>
        <v>TRX1692</v>
      </c>
      <c r="B797" t="str">
        <f ca="1"/>
        <v>#69</v>
      </c>
      <c r="C797">
        <f ca="1"/>
        <v>46070.416666666599</v>
      </c>
      <c r="D797">
        <f ca="1"/>
        <v>29.77</v>
      </c>
      <c r="E797" t="str">
        <f ca="1"/>
        <v>MXN</v>
      </c>
      <c r="F797" t="str">
        <f ca="1"/>
        <v>Gustavo Rivas</v>
      </c>
      <c r="G797" t="str">
        <f ca="1"/>
        <v>UBER * PENDING         CMX           MEX</v>
      </c>
      <c r="H797" t="str">
        <f ca="1"/>
        <v>Uber</v>
      </c>
      <c r="I797" t="str">
        <f ca="1"/>
        <v>Sales</v>
      </c>
      <c r="J797" t="str">
        <f ca="1"/>
        <v>PO 2264</v>
      </c>
      <c r="K797">
        <f ca="1"/>
        <v>0</v>
      </c>
      <c r="L797" t="str">
        <f ca="1">VLOOKUP(B797,[1]Total!$B:$Q,16,0)</f>
        <v>603.81.006 Gastos Administativos de venta</v>
      </c>
      <c r="M797">
        <f t="shared" ca="1" si="25"/>
        <v>29.77</v>
      </c>
      <c r="N797" t="str">
        <f t="shared" ca="1" si="26"/>
        <v xml:space="preserve">Gustavo Rivas UBER * PENDING         CMX           MEX Uber Sales PO 2264 0 </v>
      </c>
    </row>
    <row r="798" spans="1:14">
      <c r="A798" t="str">
        <f ca="1"/>
        <v>TRX1786</v>
      </c>
      <c r="B798" t="str">
        <f ca="1"/>
        <v>#69</v>
      </c>
      <c r="C798">
        <f ca="1"/>
        <v>46071.416666666599</v>
      </c>
      <c r="D798">
        <f ca="1"/>
        <v>181.5</v>
      </c>
      <c r="E798" t="str">
        <f ca="1"/>
        <v>MXN</v>
      </c>
      <c r="F798" t="str">
        <f ca="1"/>
        <v>Gustavo Rivas</v>
      </c>
      <c r="G798" t="str">
        <f ca="1"/>
        <v>REST LPQ ISLA AIFA     ZUMPANGO EM   MEX</v>
      </c>
      <c r="H798" t="str">
        <f ca="1"/>
        <v>Rest L</v>
      </c>
      <c r="I798" t="str">
        <f ca="1"/>
        <v>Sales</v>
      </c>
      <c r="J798" t="str">
        <f ca="1"/>
        <v>PO 2264</v>
      </c>
      <c r="K798" t="str">
        <f ca="1"/>
        <v>bb4d675b-2823-459d-8ae5-0f4bcabf397b</v>
      </c>
      <c r="L798" t="str">
        <f ca="1">VLOOKUP(B798,[1]Total!$B:$Q,16,0)</f>
        <v>603.81.006 Gastos Administativos de venta</v>
      </c>
      <c r="M798">
        <f t="shared" ca="1" si="25"/>
        <v>181.5</v>
      </c>
      <c r="N798" t="str">
        <f t="shared" ca="1" si="26"/>
        <v xml:space="preserve">Gustavo Rivas REST LPQ ISLA AIFA     ZUMPANGO EM   MEX Rest L Sales PO 2264 bb4d675b-2823-459d-8ae5-0f4bcabf397b </v>
      </c>
    </row>
    <row r="799" spans="1:14">
      <c r="A799" t="str">
        <f ca="1"/>
        <v>TRX1367</v>
      </c>
      <c r="B799" t="str">
        <f ca="1"/>
        <v>#69</v>
      </c>
      <c r="C799">
        <f ca="1"/>
        <v>46071.416666666599</v>
      </c>
      <c r="D799">
        <f ca="1"/>
        <v>1478</v>
      </c>
      <c r="E799" t="str">
        <f ca="1"/>
        <v>MXN</v>
      </c>
      <c r="F799" t="str">
        <f ca="1"/>
        <v>Gustavo Rivas</v>
      </c>
      <c r="G799" t="str">
        <f ca="1"/>
        <v>CLIP MX*AGEN TAXI COLI CUAJIMALPA DE MEX</v>
      </c>
      <c r="H799" t="str">
        <f ca="1"/>
        <v>Clip Mx Agen Taxi Coli Cuajimalpa De Mex</v>
      </c>
      <c r="I799" t="str">
        <f ca="1"/>
        <v>Sales</v>
      </c>
      <c r="J799" t="str">
        <f ca="1"/>
        <v>PO 2264</v>
      </c>
      <c r="K799">
        <f ca="1"/>
        <v>0</v>
      </c>
      <c r="L799" t="str">
        <f ca="1">VLOOKUP(B799,[1]Total!$B:$Q,16,0)</f>
        <v>603.81.006 Gastos Administativos de venta</v>
      </c>
      <c r="M799">
        <f t="shared" ca="1" si="25"/>
        <v>1478</v>
      </c>
      <c r="N799" t="str">
        <f t="shared" ca="1" si="26"/>
        <v xml:space="preserve">Gustavo Rivas CLIP MX*AGEN TAXI COLI CUAJIMALPA DE MEX Clip Mx Agen Taxi Coli Cuajimalpa De Mex Sales PO 2264 0 </v>
      </c>
    </row>
    <row r="800" spans="1:14">
      <c r="A800" t="str">
        <f ca="1"/>
        <v>TRX1673</v>
      </c>
      <c r="B800" t="str">
        <f ca="1"/>
        <v>#69</v>
      </c>
      <c r="C800">
        <f ca="1"/>
        <v>46071.417361111096</v>
      </c>
      <c r="D800">
        <f ca="1"/>
        <v>3040.6</v>
      </c>
      <c r="E800" t="str">
        <f ca="1"/>
        <v>MXN</v>
      </c>
      <c r="F800" t="str">
        <f ca="1"/>
        <v>Gustavo Rivas</v>
      </c>
      <c r="G800" t="str">
        <f ca="1"/>
        <v>REST BODEGA 8          TIJUANA BCN   MEX</v>
      </c>
      <c r="H800" t="str">
        <f ca="1"/>
        <v>Rest Bodega 8 Tijuana Bcn Mex</v>
      </c>
      <c r="I800" t="str">
        <f ca="1"/>
        <v>Sales</v>
      </c>
      <c r="J800" t="str">
        <f ca="1"/>
        <v>PO 2264</v>
      </c>
      <c r="K800" t="str">
        <f ca="1"/>
        <v>10cd9e3d-935c-41bb-b13e-d8d7dd615fdf</v>
      </c>
      <c r="L800" t="str">
        <f ca="1">VLOOKUP(B800,[1]Total!$B:$Q,16,0)</f>
        <v>603.81.006 Gastos Administativos de venta</v>
      </c>
      <c r="M800">
        <f t="shared" ca="1" si="25"/>
        <v>3040.6</v>
      </c>
      <c r="N800" t="str">
        <f t="shared" ca="1" si="26"/>
        <v xml:space="preserve">Gustavo Rivas REST BODEGA 8          TIJUANA BCN   MEX Rest Bodega 8 Tijuana Bcn Mex Sales PO 2264 10cd9e3d-935c-41bb-b13e-d8d7dd615fdf </v>
      </c>
    </row>
    <row r="801" spans="1:14">
      <c r="A801" t="str">
        <f ca="1"/>
        <v>TRX2008</v>
      </c>
      <c r="B801" t="str">
        <f ca="1"/>
        <v>#69</v>
      </c>
      <c r="C801">
        <f ca="1"/>
        <v>46072.416666666599</v>
      </c>
      <c r="D801">
        <f ca="1"/>
        <v>449.98</v>
      </c>
      <c r="E801" t="str">
        <f ca="1"/>
        <v>MXN</v>
      </c>
      <c r="F801" t="str">
        <f ca="1"/>
        <v>Gustavo Rivas</v>
      </c>
      <c r="G801" t="str">
        <f ca="1"/>
        <v>UBER * PENDING         CMX           MEX</v>
      </c>
      <c r="H801" t="str">
        <f ca="1"/>
        <v>Uber</v>
      </c>
      <c r="I801" t="str">
        <f ca="1"/>
        <v>Sales</v>
      </c>
      <c r="J801" t="str">
        <f ca="1"/>
        <v>PO 2264</v>
      </c>
      <c r="K801">
        <f ca="1"/>
        <v>0</v>
      </c>
      <c r="L801" t="str">
        <f ca="1">VLOOKUP(B801,[1]Total!$B:$Q,16,0)</f>
        <v>603.81.006 Gastos Administativos de venta</v>
      </c>
      <c r="M801">
        <f t="shared" ca="1" si="25"/>
        <v>449.98</v>
      </c>
      <c r="N801" t="str">
        <f t="shared" ca="1" si="26"/>
        <v xml:space="preserve">Gustavo Rivas UBER * PENDING         CMX           MEX Uber Sales PO 2264 0 </v>
      </c>
    </row>
    <row r="802" spans="1:14">
      <c r="A802" t="str">
        <f ca="1"/>
        <v>TRX1188</v>
      </c>
      <c r="B802" t="str">
        <f ca="1"/>
        <v>#69</v>
      </c>
      <c r="C802">
        <f ca="1"/>
        <v>46072.416666666599</v>
      </c>
      <c r="D802">
        <f ca="1"/>
        <v>179.98</v>
      </c>
      <c r="E802" t="str">
        <f ca="1"/>
        <v>MXN</v>
      </c>
      <c r="F802" t="str">
        <f ca="1"/>
        <v>Gustavo Rivas</v>
      </c>
      <c r="G802" t="str">
        <f ca="1"/>
        <v>UBER * PENDING         CMX           MEX</v>
      </c>
      <c r="H802" t="str">
        <f ca="1"/>
        <v>Uber</v>
      </c>
      <c r="I802" t="str">
        <f ca="1"/>
        <v>Sales</v>
      </c>
      <c r="J802" t="str">
        <f ca="1"/>
        <v>PO 2264</v>
      </c>
      <c r="K802">
        <f ca="1"/>
        <v>0</v>
      </c>
      <c r="L802" t="str">
        <f ca="1">VLOOKUP(B802,[1]Total!$B:$Q,16,0)</f>
        <v>603.81.006 Gastos Administativos de venta</v>
      </c>
      <c r="M802">
        <f t="shared" ca="1" si="25"/>
        <v>179.98</v>
      </c>
      <c r="N802" t="str">
        <f t="shared" ca="1" si="26"/>
        <v xml:space="preserve">Gustavo Rivas UBER * PENDING         CMX           MEX Uber Sales PO 2264 0 </v>
      </c>
    </row>
    <row r="803" spans="1:14">
      <c r="A803" t="str">
        <f ca="1"/>
        <v>TRX1185</v>
      </c>
      <c r="B803" t="str">
        <f ca="1"/>
        <v>#69</v>
      </c>
      <c r="C803">
        <f ca="1"/>
        <v>46072.416666666599</v>
      </c>
      <c r="D803">
        <f ca="1"/>
        <v>52</v>
      </c>
      <c r="E803" t="str">
        <f ca="1"/>
        <v>MXN</v>
      </c>
      <c r="F803" t="str">
        <f ca="1"/>
        <v>Gustavo Rivas</v>
      </c>
      <c r="G803" t="str">
        <f ca="1"/>
        <v>VTA A BORDO VAEROBUS   CIUDAD DE MEX MEX</v>
      </c>
      <c r="H803" t="str">
        <f ca="1"/>
        <v>Vta A Bordo Vaerobus Ciudad De Mex Mex</v>
      </c>
      <c r="I803" t="str">
        <f ca="1"/>
        <v>Sales</v>
      </c>
      <c r="J803" t="str">
        <f ca="1"/>
        <v>PO 2264</v>
      </c>
      <c r="K803" t="str">
        <f ca="1"/>
        <v>E9BEF934-27F7-419B-A48C-9B9D2C51D502</v>
      </c>
      <c r="L803" t="str">
        <f ca="1">VLOOKUP(B803,[1]Total!$B:$Q,16,0)</f>
        <v>603.81.006 Gastos Administativos de venta</v>
      </c>
      <c r="M803">
        <f t="shared" ca="1" si="25"/>
        <v>52</v>
      </c>
      <c r="N803" t="str">
        <f t="shared" ca="1" si="26"/>
        <v xml:space="preserve">Gustavo Rivas VTA A BORDO VAEROBUS   CIUDAD DE MEX MEX Vta A Bordo Vaerobus Ciudad De Mex Mex Sales PO 2264 E9BEF934-27F7-419B-A48C-9B9D2C51D502 </v>
      </c>
    </row>
    <row r="804" spans="1:14">
      <c r="A804" t="str">
        <f ca="1"/>
        <v>TRX1059</v>
      </c>
      <c r="B804" t="str">
        <f ca="1"/>
        <v>#69</v>
      </c>
      <c r="C804">
        <f ca="1"/>
        <v>46075.416666666599</v>
      </c>
      <c r="D804">
        <f ca="1"/>
        <v>2335.65</v>
      </c>
      <c r="E804" t="str">
        <f ca="1"/>
        <v>MXN</v>
      </c>
      <c r="F804" t="str">
        <f ca="1"/>
        <v>Gustavo Rivas</v>
      </c>
      <c r="G804" t="str">
        <f ca="1"/>
        <v>MOCHOMOS ARCOS BOSQUES CIUDAD DE MEX MEX</v>
      </c>
      <c r="H804" t="str">
        <f ca="1"/>
        <v>Mochomos Arcos Bosques Ciudad De Mex Mex</v>
      </c>
      <c r="I804" t="str">
        <f ca="1"/>
        <v>Sales</v>
      </c>
      <c r="J804">
        <f ca="1"/>
        <v>0</v>
      </c>
      <c r="K804">
        <f ca="1"/>
        <v>0</v>
      </c>
      <c r="L804" t="str">
        <f ca="1">VLOOKUP(B804,[1]Total!$B:$Q,16,0)</f>
        <v>603.81.006 Gastos Administativos de venta</v>
      </c>
      <c r="M804">
        <f t="shared" ca="1" si="25"/>
        <v>2335.65</v>
      </c>
      <c r="N804" t="str">
        <f t="shared" ca="1" si="26"/>
        <v xml:space="preserve">Gustavo Rivas MOCHOMOS ARCOS BOSQUES CIUDAD DE MEX MEX Mochomos Arcos Bosques Ciudad De Mex Mex Sales 0 0 </v>
      </c>
    </row>
    <row r="805" spans="1:14">
      <c r="A805" t="str">
        <f ca="1"/>
        <v>TRX1255</v>
      </c>
      <c r="B805" t="str">
        <f ca="1"/>
        <v>#69</v>
      </c>
      <c r="C805">
        <f ca="1"/>
        <v>46081.416666666599</v>
      </c>
      <c r="D805">
        <f ca="1"/>
        <v>85</v>
      </c>
      <c r="E805" t="str">
        <f ca="1"/>
        <v>MXN</v>
      </c>
      <c r="F805" t="str">
        <f ca="1"/>
        <v>Gustavo Rivas</v>
      </c>
      <c r="G805" t="str">
        <f ca="1"/>
        <v>ST REGIS               CIUDAD DE MEX MEX</v>
      </c>
      <c r="H805" t="str">
        <f ca="1"/>
        <v>St Regis Ciudad De Mex Mex</v>
      </c>
      <c r="I805" t="str">
        <f ca="1"/>
        <v>Sales</v>
      </c>
      <c r="J805">
        <f ca="1"/>
        <v>0</v>
      </c>
      <c r="K805">
        <f ca="1"/>
        <v>0</v>
      </c>
      <c r="L805" t="str">
        <f ca="1">VLOOKUP(B805,[1]Total!$B:$Q,16,0)</f>
        <v>603.81.006 Gastos Administativos de venta</v>
      </c>
      <c r="M805">
        <f t="shared" ca="1" si="25"/>
        <v>85</v>
      </c>
      <c r="N805" t="str">
        <f t="shared" ca="1" si="26"/>
        <v xml:space="preserve">Gustavo Rivas ST REGIS               CIUDAD DE MEX MEX St Regis Ciudad De Mex Mex Sales 0 0 </v>
      </c>
    </row>
    <row r="806" spans="1:14">
      <c r="A806" t="str">
        <f ca="1"/>
        <v>TRX1256</v>
      </c>
      <c r="B806" t="str">
        <f ca="1"/>
        <v>#69</v>
      </c>
      <c r="C806">
        <f ca="1"/>
        <v>46081.416666666599</v>
      </c>
      <c r="D806">
        <f ca="1"/>
        <v>240.39</v>
      </c>
      <c r="E806" t="str">
        <f ca="1"/>
        <v>MXN</v>
      </c>
      <c r="F806" t="str">
        <f ca="1"/>
        <v>Gustavo Rivas</v>
      </c>
      <c r="G806" t="str">
        <f ca="1"/>
        <v>DLO*UBER RIDES         CIUDAD DE MEX MEX</v>
      </c>
      <c r="H806" t="str">
        <f ca="1"/>
        <v>Uber</v>
      </c>
      <c r="I806" t="str">
        <f ca="1"/>
        <v>Sales</v>
      </c>
      <c r="J806" t="str">
        <f ca="1"/>
        <v>Sin PO</v>
      </c>
      <c r="K806">
        <f ca="1"/>
        <v>0</v>
      </c>
      <c r="L806" t="str">
        <f ca="1">VLOOKUP(B806,[1]Total!$B:$Q,16,0)</f>
        <v>603.81.006 Gastos Administativos de venta</v>
      </c>
      <c r="M806">
        <f t="shared" ca="1" si="25"/>
        <v>240.39</v>
      </c>
      <c r="N806" t="str">
        <f t="shared" ca="1" si="26"/>
        <v xml:space="preserve">Gustavo Rivas DLO*UBER RIDES         CIUDAD DE MEX MEX Uber Sales Sin PO 0 </v>
      </c>
    </row>
    <row r="807" spans="1:14">
      <c r="A807" t="str">
        <f ca="1"/>
        <v>TRX1270</v>
      </c>
      <c r="B807" t="str">
        <f ca="1"/>
        <v>#69</v>
      </c>
      <c r="C807">
        <f ca="1"/>
        <v>46081.416666666599</v>
      </c>
      <c r="D807">
        <f ca="1"/>
        <v>291.92</v>
      </c>
      <c r="E807" t="str">
        <f ca="1"/>
        <v>MXN</v>
      </c>
      <c r="F807" t="str">
        <f ca="1"/>
        <v>Gustavo Rivas</v>
      </c>
      <c r="G807" t="str">
        <f ca="1"/>
        <v>DLO*Uber               CDMX          MEX</v>
      </c>
      <c r="H807" t="str">
        <f ca="1"/>
        <v>Uber</v>
      </c>
      <c r="I807" t="str">
        <f ca="1"/>
        <v>Sales</v>
      </c>
      <c r="J807" t="str">
        <f ca="1"/>
        <v>Sin PO</v>
      </c>
      <c r="K807">
        <f ca="1"/>
        <v>0</v>
      </c>
      <c r="L807" t="str">
        <f ca="1">VLOOKUP(B807,[1]Total!$B:$Q,16,0)</f>
        <v>603.81.006 Gastos Administativos de venta</v>
      </c>
      <c r="M807">
        <f t="shared" ca="1" si="25"/>
        <v>291.92</v>
      </c>
      <c r="N807" t="str">
        <f t="shared" ca="1" si="26"/>
        <v xml:space="preserve">Gustavo Rivas DLO*Uber               CDMX          MEX Uber Sales Sin PO 0 </v>
      </c>
    </row>
    <row r="808" spans="1:14">
      <c r="A808" t="str">
        <f ca="1"/>
        <v>TRX1100</v>
      </c>
      <c r="B808" t="str">
        <f ca="1"/>
        <v>#70</v>
      </c>
      <c r="C808">
        <f ca="1"/>
        <v>46064.416666666599</v>
      </c>
      <c r="D808">
        <f ca="1"/>
        <v>166.32</v>
      </c>
      <c r="E808" t="str">
        <f ca="1"/>
        <v>MXN</v>
      </c>
      <c r="F808" t="str">
        <f ca="1"/>
        <v>Alfonso Bello</v>
      </c>
      <c r="G808" t="str">
        <f ca="1"/>
        <v>UBER * PENDING         CMX           MEX</v>
      </c>
      <c r="H808" t="str">
        <f ca="1"/>
        <v>Uber</v>
      </c>
      <c r="I808" t="str">
        <f ca="1"/>
        <v>G&amp;A expenses</v>
      </c>
      <c r="J808" t="str">
        <f ca="1"/>
        <v>P.O 1162 - Transporte</v>
      </c>
      <c r="K808" t="str">
        <f ca="1"/>
        <v>.</v>
      </c>
      <c r="L808" t="str">
        <f ca="1">VLOOKUP(B808,[1]Total!$B:$Q,16,0)</f>
        <v>603.81.006 Gastos Administativos de venta</v>
      </c>
      <c r="M808">
        <f t="shared" ca="1" si="25"/>
        <v>166.32</v>
      </c>
      <c r="N808" t="str">
        <f t="shared" ca="1" si="26"/>
        <v xml:space="preserve">Alfonso Bello UBER * PENDING         CMX           MEX Uber G&amp;A expenses P.O 1162 - Transporte . </v>
      </c>
    </row>
    <row r="809" spans="1:14">
      <c r="A809" t="str">
        <f ca="1"/>
        <v>TRX1915</v>
      </c>
      <c r="B809" t="str">
        <f ca="1"/>
        <v>-</v>
      </c>
      <c r="C809">
        <f ca="1"/>
        <v>46064.416666666599</v>
      </c>
      <c r="D809">
        <f ca="1"/>
        <v>142.84</v>
      </c>
      <c r="E809" t="str">
        <f ca="1"/>
        <v>MXN</v>
      </c>
      <c r="F809" t="str">
        <f ca="1"/>
        <v>Alfonso Bello</v>
      </c>
      <c r="G809" t="str">
        <f ca="1"/>
        <v>UBER * PENDING         CMX           MEX</v>
      </c>
      <c r="H809" t="str">
        <f ca="1"/>
        <v>Uber</v>
      </c>
      <c r="I809" t="str">
        <f ca="1"/>
        <v>G&amp;A expenses</v>
      </c>
      <c r="J809" t="str">
        <f ca="1"/>
        <v>P.O 1162 - Transporte</v>
      </c>
      <c r="K809" t="str">
        <f ca="1"/>
        <v>.</v>
      </c>
      <c r="L809" t="str">
        <f ca="1">VLOOKUP(B809,[1]Total!$B:$Q,16,0)</f>
        <v>603.81.006 Gastos Administativos de venta</v>
      </c>
      <c r="M809">
        <f t="shared" ca="1" si="25"/>
        <v>142.84</v>
      </c>
      <c r="N809" t="str">
        <f t="shared" ca="1" si="26"/>
        <v xml:space="preserve">Alfonso Bello UBER * PENDING         CMX           MEX Uber G&amp;A expenses P.O 1162 - Transporte . </v>
      </c>
    </row>
    <row r="810" spans="1:14">
      <c r="A810" t="str">
        <f ca="1"/>
        <v>TRX1706</v>
      </c>
      <c r="B810" t="str">
        <f ca="1"/>
        <v>-</v>
      </c>
      <c r="C810">
        <f ca="1"/>
        <v>46066.416666666599</v>
      </c>
      <c r="D810">
        <f ca="1"/>
        <v>301.14999999999998</v>
      </c>
      <c r="E810" t="str">
        <f ca="1"/>
        <v>MXN</v>
      </c>
      <c r="F810" t="str">
        <f ca="1"/>
        <v>Alfonso Bello</v>
      </c>
      <c r="G810" t="str">
        <f ca="1"/>
        <v>UBER * PENDING         CMX           MEX</v>
      </c>
      <c r="H810" t="str">
        <f ca="1"/>
        <v>Uber</v>
      </c>
      <c r="I810" t="str">
        <f ca="1"/>
        <v>G&amp;A expenses</v>
      </c>
      <c r="J810" t="str">
        <f ca="1"/>
        <v>P.O 1162 - Transporte</v>
      </c>
      <c r="K810" t="str">
        <f ca="1"/>
        <v>.</v>
      </c>
      <c r="L810" t="str">
        <f ca="1">VLOOKUP(B810,[1]Total!$B:$Q,16,0)</f>
        <v>603.81.006 Gastos Administativos de venta</v>
      </c>
      <c r="M810">
        <f t="shared" ca="1" si="25"/>
        <v>301.14999999999998</v>
      </c>
      <c r="N810" t="str">
        <f t="shared" ca="1" si="26"/>
        <v xml:space="preserve">Alfonso Bello UBER * PENDING         CMX           MEX Uber G&amp;A expenses P.O 1162 - Transporte . </v>
      </c>
    </row>
    <row r="811" spans="1:14">
      <c r="A811" t="str">
        <f ca="1"/>
        <v>TRX1901</v>
      </c>
      <c r="B811" t="str">
        <f ca="1"/>
        <v>-</v>
      </c>
      <c r="C811">
        <f ca="1"/>
        <v>46066.416666666599</v>
      </c>
      <c r="D811">
        <f ca="1"/>
        <v>205.77</v>
      </c>
      <c r="E811" t="str">
        <f ca="1"/>
        <v>MXN</v>
      </c>
      <c r="F811" t="str">
        <f ca="1"/>
        <v>Alfonso Bello</v>
      </c>
      <c r="G811" t="str">
        <f ca="1"/>
        <v>UBER *TRIP HELP.UBER.C CMX           MEX</v>
      </c>
      <c r="H811" t="str">
        <f ca="1"/>
        <v>Uber</v>
      </c>
      <c r="I811" t="str">
        <f ca="1"/>
        <v>G&amp;A expenses</v>
      </c>
      <c r="J811" t="str">
        <f ca="1"/>
        <v>P.O 1162 - Transporte</v>
      </c>
      <c r="K811" t="str">
        <f ca="1"/>
        <v>.</v>
      </c>
      <c r="L811" t="str">
        <f ca="1">VLOOKUP(B811,[1]Total!$B:$Q,16,0)</f>
        <v>603.81.006 Gastos Administativos de venta</v>
      </c>
      <c r="M811">
        <f t="shared" ca="1" si="25"/>
        <v>205.77</v>
      </c>
      <c r="N811" t="str">
        <f t="shared" ca="1" si="26"/>
        <v xml:space="preserve">Alfonso Bello UBER *TRIP HELP.UBER.C CMX           MEX Uber G&amp;A expenses P.O 1162 - Transporte . </v>
      </c>
    </row>
    <row r="812" spans="1:14" hidden="1">
      <c r="A812" t="str">
        <f ca="1"/>
        <v>#N/A</v>
      </c>
      <c r="B812">
        <f ca="1"/>
        <v>0</v>
      </c>
      <c r="C812">
        <f ca="1"/>
        <v>0</v>
      </c>
      <c r="D812" t="str">
        <f ca="1"/>
        <v>#N/A</v>
      </c>
      <c r="E812" t="str">
        <f ca="1"/>
        <v>#N/A</v>
      </c>
      <c r="F812" t="str">
        <f ca="1"/>
        <v>#N/A</v>
      </c>
      <c r="G812" t="str">
        <f ca="1"/>
        <v>#N/A</v>
      </c>
      <c r="H812">
        <f ca="1"/>
        <v>0</v>
      </c>
      <c r="I812" t="str">
        <f ca="1"/>
        <v>Sales</v>
      </c>
      <c r="J812">
        <f ca="1"/>
        <v>0</v>
      </c>
      <c r="K812" t="str">
        <f ca="1"/>
        <v>.</v>
      </c>
      <c r="L812" t="e">
        <f ca="1">VLOOKUP(B812,[1]Total!$B:$Q,16,0)</f>
        <v>#N/A</v>
      </c>
      <c r="M812" t="str">
        <f t="shared" ca="1" si="25"/>
        <v>#N/A</v>
      </c>
      <c r="N812" t="str">
        <f t="shared" ca="1" si="26"/>
        <v xml:space="preserve">#N/A #N/A 0 Sales 0 . </v>
      </c>
    </row>
    <row r="813" spans="1:14" hidden="1">
      <c r="A813" t="str">
        <f ca="1"/>
        <v>#N/A</v>
      </c>
      <c r="B813">
        <f ca="1"/>
        <v>0</v>
      </c>
      <c r="C813">
        <f ca="1"/>
        <v>0</v>
      </c>
      <c r="D813" t="str">
        <f ca="1"/>
        <v>#N/A</v>
      </c>
      <c r="E813" t="str">
        <f ca="1"/>
        <v>#N/A</v>
      </c>
      <c r="F813" t="str">
        <f ca="1"/>
        <v>#N/A</v>
      </c>
      <c r="G813" t="str">
        <f ca="1"/>
        <v>#N/A</v>
      </c>
      <c r="H813">
        <f ca="1"/>
        <v>0</v>
      </c>
      <c r="I813" t="str">
        <f ca="1"/>
        <v>G&amp;A expenses</v>
      </c>
      <c r="J813" t="str">
        <f ca="1"/>
        <v>Compra de asientos para no perder el vuelo de regreso</v>
      </c>
      <c r="K813" t="str">
        <f ca="1"/>
        <v>.</v>
      </c>
      <c r="L813" t="e">
        <f ca="1">VLOOKUP(B813,[1]Total!$B:$Q,16,0)</f>
        <v>#N/A</v>
      </c>
      <c r="M813" t="str">
        <f t="shared" ca="1" si="25"/>
        <v>#N/A</v>
      </c>
      <c r="N813" t="str">
        <f t="shared" ca="1" si="26"/>
        <v xml:space="preserve">#N/A #N/A 0 G&amp;A expenses Compra de asientos para no perder el vuelo de regreso . </v>
      </c>
    </row>
    <row r="814" spans="1:14" hidden="1">
      <c r="A814" t="str">
        <f ca="1"/>
        <v>#N/A</v>
      </c>
      <c r="B814">
        <f ca="1"/>
        <v>0</v>
      </c>
      <c r="C814">
        <f ca="1"/>
        <v>0</v>
      </c>
      <c r="D814" t="str">
        <f ca="1"/>
        <v>#N/A</v>
      </c>
      <c r="E814" t="str">
        <f ca="1"/>
        <v>#N/A</v>
      </c>
      <c r="F814" t="str">
        <f ca="1"/>
        <v>#N/A</v>
      </c>
      <c r="G814" t="str">
        <f ca="1"/>
        <v>#N/A</v>
      </c>
      <c r="H814">
        <f ca="1"/>
        <v>0</v>
      </c>
      <c r="I814" t="str">
        <f ca="1"/>
        <v>Sales</v>
      </c>
      <c r="J814">
        <f ca="1"/>
        <v>0</v>
      </c>
      <c r="K814" t="str">
        <f ca="1"/>
        <v>.</v>
      </c>
      <c r="L814" t="e">
        <f ca="1">VLOOKUP(B814,[1]Total!$B:$Q,16,0)</f>
        <v>#N/A</v>
      </c>
      <c r="M814" t="str">
        <f t="shared" ca="1" si="25"/>
        <v>#N/A</v>
      </c>
      <c r="N814" t="str">
        <f t="shared" ca="1" si="26"/>
        <v xml:space="preserve">#N/A #N/A 0 Sales 0 . </v>
      </c>
    </row>
    <row r="815" spans="1:14">
      <c r="A815" t="str">
        <f ca="1"/>
        <v>TRX1254</v>
      </c>
      <c r="B815" t="str">
        <f ca="1"/>
        <v>#74</v>
      </c>
      <c r="C815">
        <f ca="1"/>
        <v>46058.416666666599</v>
      </c>
      <c r="D815">
        <f ca="1"/>
        <v>59.94</v>
      </c>
      <c r="E815" t="str">
        <f ca="1"/>
        <v>MXN</v>
      </c>
      <c r="F815" t="str">
        <f ca="1"/>
        <v>Julio Cesar Guemes Reynoso</v>
      </c>
      <c r="G815" t="str">
        <f ca="1"/>
        <v>UBER * PENDING         CMX           MEX</v>
      </c>
      <c r="H815" t="str">
        <f ca="1"/>
        <v>Uber</v>
      </c>
      <c r="I815" t="str">
        <f ca="1"/>
        <v>Sales</v>
      </c>
      <c r="J815" t="str">
        <f ca="1"/>
        <v>Traslados en CDMX</v>
      </c>
      <c r="K815">
        <f ca="1"/>
        <v>0</v>
      </c>
      <c r="L815" t="str">
        <f ca="1">VLOOKUP(B815,[1]Total!$B:$Q,16,0)</f>
        <v>603.81.006 Gastos Administativos de venta</v>
      </c>
      <c r="M815">
        <f t="shared" ca="1" si="25"/>
        <v>59.94</v>
      </c>
      <c r="N815" t="str">
        <f t="shared" ca="1" si="26"/>
        <v xml:space="preserve">Julio Cesar Guemes Reynoso UBER * PENDING         CMX           MEX Uber Sales Traslados en CDMX 0 </v>
      </c>
    </row>
    <row r="816" spans="1:14">
      <c r="A816" t="str">
        <f ca="1"/>
        <v>TRX1253</v>
      </c>
      <c r="B816" t="str">
        <f ca="1"/>
        <v>#74</v>
      </c>
      <c r="C816">
        <f ca="1"/>
        <v>46058.416666666599</v>
      </c>
      <c r="D816">
        <f ca="1"/>
        <v>70.81</v>
      </c>
      <c r="E816" t="str">
        <f ca="1"/>
        <v>MXN</v>
      </c>
      <c r="F816" t="str">
        <f ca="1"/>
        <v>Julio Cesar Guemes Reynoso</v>
      </c>
      <c r="G816" t="str">
        <f ca="1"/>
        <v>UBER *TRIP HELP.UBER.C CMX           MEX</v>
      </c>
      <c r="H816" t="str">
        <f ca="1"/>
        <v>Uber</v>
      </c>
      <c r="I816" t="str">
        <f ca="1"/>
        <v>Sales</v>
      </c>
      <c r="J816" t="str">
        <f ca="1"/>
        <v>Traslados en CDMX</v>
      </c>
      <c r="K816">
        <f ca="1"/>
        <v>0</v>
      </c>
      <c r="L816" t="str">
        <f ca="1">VLOOKUP(B816,[1]Total!$B:$Q,16,0)</f>
        <v>603.81.006 Gastos Administativos de venta</v>
      </c>
      <c r="M816">
        <f t="shared" ca="1" si="25"/>
        <v>70.81</v>
      </c>
      <c r="N816" t="str">
        <f t="shared" ca="1" si="26"/>
        <v xml:space="preserve">Julio Cesar Guemes Reynoso UBER *TRIP HELP.UBER.C CMX           MEX Uber Sales Traslados en CDMX 0 </v>
      </c>
    </row>
    <row r="817" spans="1:14">
      <c r="A817" t="str">
        <f ca="1"/>
        <v>TRX1250</v>
      </c>
      <c r="B817" t="str">
        <f ca="1"/>
        <v>#74</v>
      </c>
      <c r="C817">
        <f ca="1"/>
        <v>46058.416666666599</v>
      </c>
      <c r="D817">
        <f ca="1"/>
        <v>69.95</v>
      </c>
      <c r="E817" t="str">
        <f ca="1"/>
        <v>MXN</v>
      </c>
      <c r="F817" t="str">
        <f ca="1"/>
        <v>Julio Cesar Guemes Reynoso</v>
      </c>
      <c r="G817" t="str">
        <f ca="1"/>
        <v>UBER * PENDING         CMX           MEX</v>
      </c>
      <c r="H817" t="str">
        <f ca="1"/>
        <v>Uber</v>
      </c>
      <c r="I817" t="str">
        <f ca="1"/>
        <v>Sales</v>
      </c>
      <c r="J817" t="str">
        <f ca="1"/>
        <v>Traslados en CDMX</v>
      </c>
      <c r="K817">
        <f ca="1"/>
        <v>0</v>
      </c>
      <c r="L817" t="str">
        <f ca="1">VLOOKUP(B817,[1]Total!$B:$Q,16,0)</f>
        <v>603.81.006 Gastos Administativos de venta</v>
      </c>
      <c r="M817">
        <f t="shared" ca="1" si="25"/>
        <v>69.95</v>
      </c>
      <c r="N817" t="str">
        <f t="shared" ca="1" si="26"/>
        <v xml:space="preserve">Julio Cesar Guemes Reynoso UBER * PENDING         CMX           MEX Uber Sales Traslados en CDMX 0 </v>
      </c>
    </row>
    <row r="818" spans="1:14">
      <c r="A818" t="str">
        <f ca="1"/>
        <v>TRX1245</v>
      </c>
      <c r="B818" t="str">
        <f ca="1"/>
        <v>#74</v>
      </c>
      <c r="C818">
        <f ca="1"/>
        <v>46058.416666666599</v>
      </c>
      <c r="D818">
        <f ca="1"/>
        <v>459.94</v>
      </c>
      <c r="E818" t="str">
        <f ca="1"/>
        <v>MXN</v>
      </c>
      <c r="F818" t="str">
        <f ca="1"/>
        <v>Julio Cesar Guemes Reynoso</v>
      </c>
      <c r="G818" t="str">
        <f ca="1"/>
        <v>UBER * PENDING         CMX           MEX</v>
      </c>
      <c r="H818" t="str">
        <f ca="1"/>
        <v>Uber</v>
      </c>
      <c r="I818" t="str">
        <f ca="1"/>
        <v>Sales</v>
      </c>
      <c r="J818" t="str">
        <f ca="1"/>
        <v>Traslados en CDMX</v>
      </c>
      <c r="K818">
        <f ca="1"/>
        <v>0</v>
      </c>
      <c r="L818" t="str">
        <f ca="1">VLOOKUP(B818,[1]Total!$B:$Q,16,0)</f>
        <v>603.81.006 Gastos Administativos de venta</v>
      </c>
      <c r="M818">
        <f t="shared" ca="1" si="25"/>
        <v>459.94</v>
      </c>
      <c r="N818" t="str">
        <f t="shared" ca="1" si="26"/>
        <v xml:space="preserve">Julio Cesar Guemes Reynoso UBER * PENDING         CMX           MEX Uber Sales Traslados en CDMX 0 </v>
      </c>
    </row>
    <row r="819" spans="1:14">
      <c r="A819" t="str">
        <f ca="1"/>
        <v>TRX1243</v>
      </c>
      <c r="B819" t="str">
        <f ca="1"/>
        <v>#74</v>
      </c>
      <c r="C819">
        <f ca="1"/>
        <v>46058.416666666599</v>
      </c>
      <c r="D819">
        <f ca="1"/>
        <v>462</v>
      </c>
      <c r="E819" t="str">
        <f ca="1"/>
        <v>MXN</v>
      </c>
      <c r="F819" t="str">
        <f ca="1"/>
        <v>Julio Cesar Guemes Reynoso</v>
      </c>
      <c r="G819" t="str">
        <f ca="1"/>
        <v>CASA BENELL SUE TB     APODACA NL    MEX</v>
      </c>
      <c r="H819" t="str">
        <f ca="1"/>
        <v>Casa Benell Sue Tb Apodaca Nl Mex</v>
      </c>
      <c r="I819" t="str">
        <f ca="1"/>
        <v>Sales</v>
      </c>
      <c r="J819" t="str">
        <f ca="1"/>
        <v>Hotel Visita a Areya</v>
      </c>
      <c r="K819">
        <f ca="1"/>
        <v>0</v>
      </c>
      <c r="L819" t="str">
        <f ca="1">VLOOKUP(B819,[1]Total!$B:$Q,16,0)</f>
        <v>603.81.006 Gastos Administativos de venta</v>
      </c>
      <c r="M819">
        <f t="shared" ca="1" si="25"/>
        <v>462</v>
      </c>
      <c r="N819" t="str">
        <f t="shared" ca="1" si="26"/>
        <v xml:space="preserve">Julio Cesar Guemes Reynoso CASA BENELL SUE TB     APODACA NL    MEX Casa Benell Sue Tb Apodaca Nl Mex Sales Hotel Visita a Areya 0 </v>
      </c>
    </row>
    <row r="820" spans="1:14">
      <c r="A820" t="str">
        <f ca="1"/>
        <v>TRX1229</v>
      </c>
      <c r="B820" t="str">
        <f ca="1"/>
        <v>#74</v>
      </c>
      <c r="C820">
        <f ca="1"/>
        <v>46058.416666666599</v>
      </c>
      <c r="D820">
        <f ca="1"/>
        <v>4468.5600000000004</v>
      </c>
      <c r="E820" t="str">
        <f ca="1"/>
        <v>MXN</v>
      </c>
      <c r="F820" t="str">
        <f ca="1"/>
        <v>Julio Cesar Guemes Reynoso</v>
      </c>
      <c r="G820" t="str">
        <f ca="1"/>
        <v>HOTELES COM            CIUDAD DE MEX MEX</v>
      </c>
      <c r="H820" t="str">
        <f ca="1"/>
        <v>Hoteles Com Ciudad De Mex Mex</v>
      </c>
      <c r="I820" t="str">
        <f ca="1"/>
        <v>Sales</v>
      </c>
      <c r="J820" t="str">
        <f ca="1"/>
        <v>Hotel Phoenix visita a M3</v>
      </c>
      <c r="K820">
        <f ca="1"/>
        <v>0</v>
      </c>
      <c r="L820" t="str">
        <f ca="1">VLOOKUP(B820,[1]Total!$B:$Q,16,0)</f>
        <v>603.81.006 Gastos Administativos de venta</v>
      </c>
      <c r="M820">
        <f t="shared" ca="1" si="25"/>
        <v>4468.5600000000004</v>
      </c>
      <c r="N820" t="str">
        <f t="shared" ca="1" si="26"/>
        <v xml:space="preserve">Julio Cesar Guemes Reynoso HOTELES COM            CIUDAD DE MEX MEX Hoteles Com Ciudad De Mex Mex Sales Hotel Phoenix visita a M3 0 </v>
      </c>
    </row>
    <row r="821" spans="1:14">
      <c r="A821" t="str">
        <f ca="1"/>
        <v>TRX1227</v>
      </c>
      <c r="B821" t="str">
        <f ca="1"/>
        <v>#74</v>
      </c>
      <c r="C821">
        <f ca="1"/>
        <v>46058.416666666599</v>
      </c>
      <c r="D821">
        <f ca="1"/>
        <v>5423.7</v>
      </c>
      <c r="E821" t="str">
        <f ca="1"/>
        <v>MXN</v>
      </c>
      <c r="F821" t="str">
        <f ca="1"/>
        <v>Julio Cesar Guemes Reynoso</v>
      </c>
      <c r="G821" t="str">
        <f ca="1"/>
        <v>VIVA AEROBUS CIB       APODACA       MEX</v>
      </c>
      <c r="H821" t="str">
        <f ca="1"/>
        <v>Viva Aerobus Cib Apodaca Mex</v>
      </c>
      <c r="I821" t="str">
        <f ca="1"/>
        <v>Sales</v>
      </c>
      <c r="J821" t="str">
        <f ca="1"/>
        <v>Vuelo a Mty visita a Areya</v>
      </c>
      <c r="K821">
        <f ca="1"/>
        <v>0</v>
      </c>
      <c r="L821" t="str">
        <f ca="1">VLOOKUP(B821,[1]Total!$B:$Q,16,0)</f>
        <v>603.81.006 Gastos Administativos de venta</v>
      </c>
      <c r="M821">
        <f t="shared" ca="1" si="25"/>
        <v>5423.7</v>
      </c>
      <c r="N821" t="str">
        <f t="shared" ca="1" si="26"/>
        <v xml:space="preserve">Julio Cesar Guemes Reynoso VIVA AEROBUS CIB       APODACA       MEX Viva Aerobus Cib Apodaca Mex Sales Vuelo a Mty visita a Areya 0 </v>
      </c>
    </row>
    <row r="822" spans="1:14">
      <c r="A822" t="str">
        <f ca="1"/>
        <v>TRX1778</v>
      </c>
      <c r="B822" t="str">
        <f ca="1"/>
        <v>-</v>
      </c>
      <c r="C822">
        <f ca="1"/>
        <v>46059.417361111096</v>
      </c>
      <c r="D822">
        <f ca="1"/>
        <v>2719</v>
      </c>
      <c r="E822" t="str">
        <f ca="1"/>
        <v>MXN</v>
      </c>
      <c r="F822" t="str">
        <f ca="1"/>
        <v>Julio Cesar Guemes Reynoso</v>
      </c>
      <c r="G822" t="str">
        <f ca="1"/>
        <v>AEROMEXICO WEB PN      CIUDAD DE MEX MEX</v>
      </c>
      <c r="H822" t="str">
        <f ca="1"/>
        <v>Aeromexico</v>
      </c>
      <c r="I822" t="str">
        <f ca="1"/>
        <v>Sales</v>
      </c>
      <c r="J822" t="str">
        <f ca="1"/>
        <v>Vuelo a CDMX</v>
      </c>
      <c r="K822">
        <f ca="1"/>
        <v>0</v>
      </c>
      <c r="L822" t="str">
        <f ca="1">VLOOKUP(B822,[1]Total!$B:$Q,16,0)</f>
        <v>603.81.006 Gastos Administativos de venta</v>
      </c>
      <c r="M822">
        <f t="shared" ca="1" si="25"/>
        <v>2719</v>
      </c>
      <c r="N822" t="str">
        <f t="shared" ca="1" si="26"/>
        <v xml:space="preserve">Julio Cesar Guemes Reynoso AEROMEXICO WEB PN      CIUDAD DE MEX MEX Aeromexico Sales Vuelo a CDMX 0 </v>
      </c>
    </row>
    <row r="823" spans="1:14">
      <c r="A823" t="str">
        <f ca="1"/>
        <v>TRX1430</v>
      </c>
      <c r="B823" t="str">
        <f ca="1"/>
        <v>#74</v>
      </c>
      <c r="C823">
        <f ca="1"/>
        <v>46060.416666666599</v>
      </c>
      <c r="D823">
        <f ca="1"/>
        <v>174.36</v>
      </c>
      <c r="E823" t="str">
        <f ca="1"/>
        <v>MXN</v>
      </c>
      <c r="F823" t="str">
        <f ca="1"/>
        <v>Julio Cesar Guemes Reynoso</v>
      </c>
      <c r="G823" t="str">
        <f ca="1"/>
        <v>UBER * PENDING         CMX           MEX</v>
      </c>
      <c r="H823" t="str">
        <f ca="1"/>
        <v>Uber</v>
      </c>
      <c r="I823" t="str">
        <f ca="1"/>
        <v>Sales</v>
      </c>
      <c r="J823" t="str">
        <f ca="1"/>
        <v>Traslados en CDMX</v>
      </c>
      <c r="K823">
        <f ca="1"/>
        <v>0</v>
      </c>
      <c r="L823" t="str">
        <f ca="1">VLOOKUP(B823,[1]Total!$B:$Q,16,0)</f>
        <v>603.81.006 Gastos Administativos de venta</v>
      </c>
      <c r="M823">
        <f t="shared" ca="1" si="25"/>
        <v>174.36</v>
      </c>
      <c r="N823" t="str">
        <f t="shared" ca="1" si="26"/>
        <v xml:space="preserve">Julio Cesar Guemes Reynoso UBER * PENDING         CMX           MEX Uber Sales Traslados en CDMX 0 </v>
      </c>
    </row>
    <row r="824" spans="1:14">
      <c r="A824" t="str">
        <f ca="1"/>
        <v>TRX1717</v>
      </c>
      <c r="B824" t="str">
        <f ca="1"/>
        <v>#74</v>
      </c>
      <c r="C824">
        <f ca="1"/>
        <v>46060.416666666599</v>
      </c>
      <c r="D824">
        <f ca="1"/>
        <v>265.3</v>
      </c>
      <c r="E824" t="str">
        <f ca="1"/>
        <v>MXN</v>
      </c>
      <c r="F824" t="str">
        <f ca="1"/>
        <v>Julio Cesar Guemes Reynoso</v>
      </c>
      <c r="G824" t="str">
        <f ca="1"/>
        <v>UBER *TRIP HELP.UBER.C CMX           MEX</v>
      </c>
      <c r="H824" t="str">
        <f ca="1"/>
        <v>Uber</v>
      </c>
      <c r="I824" t="str">
        <f ca="1"/>
        <v>Sales</v>
      </c>
      <c r="J824" t="str">
        <f ca="1"/>
        <v>Traslados en CDMX</v>
      </c>
      <c r="K824" t="str">
        <f ca="1"/>
        <v>.</v>
      </c>
      <c r="L824" t="str">
        <f ca="1">VLOOKUP(B824,[1]Total!$B:$Q,16,0)</f>
        <v>603.81.006 Gastos Administativos de venta</v>
      </c>
      <c r="M824">
        <f t="shared" ca="1" si="25"/>
        <v>265.3</v>
      </c>
      <c r="N824" t="str">
        <f t="shared" ca="1" si="26"/>
        <v xml:space="preserve">Julio Cesar Guemes Reynoso UBER *TRIP HELP.UBER.C CMX           MEX Uber Sales Traslados en CDMX . </v>
      </c>
    </row>
    <row r="825" spans="1:14">
      <c r="A825" t="str">
        <f ca="1"/>
        <v>TRX1046</v>
      </c>
      <c r="B825" t="str">
        <f ca="1"/>
        <v>#74</v>
      </c>
      <c r="C825">
        <f ca="1"/>
        <v>46060.416666666599</v>
      </c>
      <c r="D825">
        <f ca="1"/>
        <v>324.97000000000003</v>
      </c>
      <c r="E825" t="str">
        <f ca="1"/>
        <v>MXN</v>
      </c>
      <c r="F825" t="str">
        <f ca="1"/>
        <v>Julio Cesar Guemes Reynoso</v>
      </c>
      <c r="G825" t="str">
        <f ca="1"/>
        <v>UBER *TRIP HELP.UBER.C CMX           MEX</v>
      </c>
      <c r="H825" t="str">
        <f ca="1"/>
        <v>Uber</v>
      </c>
      <c r="I825" t="str">
        <f ca="1"/>
        <v>Sales</v>
      </c>
      <c r="J825" t="str">
        <f ca="1"/>
        <v>Traslados en CDMX</v>
      </c>
      <c r="K825" t="str">
        <f ca="1"/>
        <v>.</v>
      </c>
      <c r="L825" t="str">
        <f ca="1">VLOOKUP(B825,[1]Total!$B:$Q,16,0)</f>
        <v>603.81.006 Gastos Administativos de venta</v>
      </c>
      <c r="M825">
        <f t="shared" ca="1" si="25"/>
        <v>324.97000000000003</v>
      </c>
      <c r="N825" t="str">
        <f t="shared" ca="1" si="26"/>
        <v xml:space="preserve">Julio Cesar Guemes Reynoso UBER *TRIP HELP.UBER.C CMX           MEX Uber Sales Traslados en CDMX . </v>
      </c>
    </row>
    <row r="826" spans="1:14">
      <c r="A826" t="str">
        <f ca="1"/>
        <v>TRX1009</v>
      </c>
      <c r="B826" t="str">
        <f ca="1"/>
        <v>#74</v>
      </c>
      <c r="C826">
        <f ca="1"/>
        <v>46060.417361111096</v>
      </c>
      <c r="D826">
        <f ca="1"/>
        <v>815.5</v>
      </c>
      <c r="E826" t="str">
        <f ca="1"/>
        <v>MXN</v>
      </c>
      <c r="F826" t="str">
        <f ca="1"/>
        <v>Julio Cesar Guemes Reynoso</v>
      </c>
      <c r="G826" t="str">
        <f ca="1"/>
        <v>AEB WEB ECOMMERCE      CIUDAD DE MEX MEX</v>
      </c>
      <c r="H826" t="str">
        <f ca="1"/>
        <v>Aeb Web Ecommerce Ciudad De Mex Mex</v>
      </c>
      <c r="I826" t="str">
        <f ca="1"/>
        <v>Sales</v>
      </c>
      <c r="J826" t="str">
        <f ca="1"/>
        <v>Gasolina CDMX-SLP</v>
      </c>
      <c r="K826" t="str">
        <f ca="1"/>
        <v>.</v>
      </c>
      <c r="L826" t="str">
        <f ca="1">VLOOKUP(B826,[1]Total!$B:$Q,16,0)</f>
        <v>603.81.006 Gastos Administativos de venta</v>
      </c>
      <c r="M826">
        <f t="shared" ca="1" si="25"/>
        <v>815.5</v>
      </c>
      <c r="N826" t="str">
        <f t="shared" ca="1" si="26"/>
        <v xml:space="preserve">Julio Cesar Guemes Reynoso AEB WEB ECOMMERCE      CIUDAD DE MEX MEX Aeb Web Ecommerce Ciudad De Mex Mex Sales Gasolina CDMX-SLP . </v>
      </c>
    </row>
    <row r="827" spans="1:14">
      <c r="A827" t="str">
        <f ca="1"/>
        <v>TRX1977</v>
      </c>
      <c r="B827" t="str">
        <f ca="1"/>
        <v>-</v>
      </c>
      <c r="C827">
        <f ca="1"/>
        <v>46060.417361111096</v>
      </c>
      <c r="D827">
        <f ca="1"/>
        <v>328.9</v>
      </c>
      <c r="E827" t="str">
        <f ca="1"/>
        <v>MXN</v>
      </c>
      <c r="F827" t="str">
        <f ca="1"/>
        <v>Julio Cesar Guemes Reynoso</v>
      </c>
      <c r="G827" t="str">
        <f ca="1"/>
        <v>REST NX DE MEXICO IKAA SOLEDAD DE GR MEX</v>
      </c>
      <c r="H827" t="str">
        <f ca="1"/>
        <v>Rest Nx De Mexico Ikaa Soledad De Gr Mex</v>
      </c>
      <c r="I827" t="str">
        <f ca="1"/>
        <v>Sales</v>
      </c>
      <c r="J827" t="str">
        <f ca="1"/>
        <v>Desayuno camino a CDMX</v>
      </c>
      <c r="K827" t="str">
        <f ca="1"/>
        <v>.</v>
      </c>
      <c r="L827" t="str">
        <f ca="1">VLOOKUP(B827,[1]Total!$B:$Q,16,0)</f>
        <v>603.81.006 Gastos Administativos de venta</v>
      </c>
      <c r="M827">
        <f t="shared" ca="1" si="25"/>
        <v>328.9</v>
      </c>
      <c r="N827" t="str">
        <f t="shared" ca="1" si="26"/>
        <v xml:space="preserve">Julio Cesar Guemes Reynoso REST NX DE MEXICO IKAA SOLEDAD DE GR MEX Rest Nx De Mexico Ikaa Soledad De Gr Mex Sales Desayuno camino a CDMX . </v>
      </c>
    </row>
    <row r="828" spans="1:14">
      <c r="A828" t="str">
        <f ca="1"/>
        <v>TRX1311</v>
      </c>
      <c r="B828" t="str">
        <f ca="1"/>
        <v>#74</v>
      </c>
      <c r="C828">
        <f ca="1"/>
        <v>46060.417361111096</v>
      </c>
      <c r="D828">
        <f ca="1"/>
        <v>185</v>
      </c>
      <c r="E828" t="str">
        <f ca="1"/>
        <v>MXN</v>
      </c>
      <c r="F828" t="str">
        <f ca="1"/>
        <v>Julio Cesar Guemes Reynoso</v>
      </c>
      <c r="G828" t="str">
        <f ca="1"/>
        <v>PANDA EXPRESS PRADO NT CIUDAD DE MEX MEX</v>
      </c>
      <c r="H828" t="str">
        <f ca="1"/>
        <v>Panda Express</v>
      </c>
      <c r="I828" t="str">
        <f ca="1"/>
        <v>Sales</v>
      </c>
      <c r="J828" t="str">
        <f ca="1"/>
        <v>Comida en CDMX</v>
      </c>
      <c r="K828" t="str">
        <f ca="1"/>
        <v>.</v>
      </c>
      <c r="L828" t="str">
        <f ca="1">VLOOKUP(B828,[1]Total!$B:$Q,16,0)</f>
        <v>603.81.006 Gastos Administativos de venta</v>
      </c>
      <c r="M828">
        <f t="shared" ca="1" si="25"/>
        <v>185</v>
      </c>
      <c r="N828" t="str">
        <f t="shared" ca="1" si="26"/>
        <v xml:space="preserve">Julio Cesar Guemes Reynoso PANDA EXPRESS PRADO NT CIUDAD DE MEX MEX Panda Express Sales Comida en CDMX . </v>
      </c>
    </row>
    <row r="829" spans="1:14">
      <c r="A829" t="str">
        <f ca="1"/>
        <v>TRX1165</v>
      </c>
      <c r="B829" t="str">
        <f ca="1"/>
        <v>#74</v>
      </c>
      <c r="C829">
        <f ca="1"/>
        <v>46061.416666666599</v>
      </c>
      <c r="D829">
        <f ca="1"/>
        <v>452.47</v>
      </c>
      <c r="E829" t="str">
        <f ca="1"/>
        <v>MXN</v>
      </c>
      <c r="F829" t="str">
        <f ca="1"/>
        <v>Julio Cesar Guemes Reynoso</v>
      </c>
      <c r="G829" t="str">
        <f ca="1"/>
        <v>UBER *TRIP HELP.UBER.C CMX           MEX</v>
      </c>
      <c r="H829" t="str">
        <f ca="1"/>
        <v>Uber</v>
      </c>
      <c r="I829" t="str">
        <f ca="1"/>
        <v>Sales</v>
      </c>
      <c r="J829" t="str">
        <f ca="1"/>
        <v>Traslados en CDMX</v>
      </c>
      <c r="K829" t="str">
        <f ca="1"/>
        <v>.</v>
      </c>
      <c r="L829" t="str">
        <f ca="1">VLOOKUP(B829,[1]Total!$B:$Q,16,0)</f>
        <v>603.81.006 Gastos Administativos de venta</v>
      </c>
      <c r="M829">
        <f t="shared" ca="1" si="25"/>
        <v>452.47</v>
      </c>
      <c r="N829" t="str">
        <f t="shared" ca="1" si="26"/>
        <v xml:space="preserve">Julio Cesar Guemes Reynoso UBER *TRIP HELP.UBER.C CMX           MEX Uber Sales Traslados en CDMX . </v>
      </c>
    </row>
    <row r="830" spans="1:14">
      <c r="A830" t="str">
        <f ca="1"/>
        <v>TRX1693</v>
      </c>
      <c r="B830" t="str">
        <f ca="1"/>
        <v>#74</v>
      </c>
      <c r="C830">
        <f ca="1"/>
        <v>46064.416666666599</v>
      </c>
      <c r="D830">
        <f ca="1"/>
        <v>411.4</v>
      </c>
      <c r="E830" t="str">
        <f ca="1"/>
        <v>MXN</v>
      </c>
      <c r="F830" t="str">
        <f ca="1"/>
        <v>Julio Cesar Guemes Reynoso</v>
      </c>
      <c r="G830" t="str">
        <f ca="1"/>
        <v>UN LUGAR DE LA MANCHA  CIUDAD DE MEX MEX</v>
      </c>
      <c r="H830" t="str">
        <f ca="1"/>
        <v>Un Lugar De La Mancha Ciudad De Mex Mex</v>
      </c>
      <c r="I830" t="str">
        <f ca="1"/>
        <v>Sales</v>
      </c>
      <c r="J830" t="str">
        <f ca="1"/>
        <v>Comida en CDMX</v>
      </c>
      <c r="K830" t="str">
        <f ca="1"/>
        <v>.</v>
      </c>
      <c r="L830" t="str">
        <f ca="1">VLOOKUP(B830,[1]Total!$B:$Q,16,0)</f>
        <v>603.81.006 Gastos Administativos de venta</v>
      </c>
      <c r="M830">
        <f t="shared" ca="1" si="25"/>
        <v>411.4</v>
      </c>
      <c r="N830" t="str">
        <f t="shared" ca="1" si="26"/>
        <v xml:space="preserve">Julio Cesar Guemes Reynoso UN LUGAR DE LA MANCHA  CIUDAD DE MEX MEX Un Lugar De La Mancha Ciudad De Mex Mex Sales Comida en CDMX . </v>
      </c>
    </row>
    <row r="831" spans="1:14">
      <c r="A831" t="str">
        <f ca="1"/>
        <v>TRX1515</v>
      </c>
      <c r="B831" t="str">
        <f ca="1"/>
        <v>#74</v>
      </c>
      <c r="C831">
        <f ca="1"/>
        <v>46065.416666666599</v>
      </c>
      <c r="D831">
        <f ca="1"/>
        <v>149.94999999999999</v>
      </c>
      <c r="E831" t="str">
        <f ca="1"/>
        <v>MXN</v>
      </c>
      <c r="F831" t="str">
        <f ca="1"/>
        <v>Julio Cesar Guemes Reynoso</v>
      </c>
      <c r="G831" t="str">
        <f ca="1"/>
        <v>UBER * PENDING         CMX           MEX</v>
      </c>
      <c r="H831" t="str">
        <f ca="1"/>
        <v>Uber</v>
      </c>
      <c r="I831" t="str">
        <f ca="1"/>
        <v>Sales</v>
      </c>
      <c r="J831" t="str">
        <f ca="1"/>
        <v>Traslados en Chihuahua</v>
      </c>
      <c r="K831" t="str">
        <f ca="1"/>
        <v>.</v>
      </c>
      <c r="L831" t="str">
        <f ca="1">VLOOKUP(B831,[1]Total!$B:$Q,16,0)</f>
        <v>603.81.006 Gastos Administativos de venta</v>
      </c>
      <c r="M831">
        <f t="shared" ca="1" si="25"/>
        <v>149.94999999999999</v>
      </c>
      <c r="N831" t="str">
        <f t="shared" ca="1" si="26"/>
        <v xml:space="preserve">Julio Cesar Guemes Reynoso UBER * PENDING         CMX           MEX Uber Sales Traslados en Chihuahua . </v>
      </c>
    </row>
    <row r="832" spans="1:14">
      <c r="A832" t="str">
        <f ca="1"/>
        <v>TRX1987</v>
      </c>
      <c r="B832" t="str">
        <f ca="1"/>
        <v>#74</v>
      </c>
      <c r="C832">
        <f ca="1"/>
        <v>46066.416666666599</v>
      </c>
      <c r="D832">
        <f ca="1"/>
        <v>568.86</v>
      </c>
      <c r="E832" t="str">
        <f ca="1"/>
        <v>MXN</v>
      </c>
      <c r="F832" t="str">
        <f ca="1"/>
        <v>Julio Cesar Guemes Reynoso</v>
      </c>
      <c r="G832" t="str">
        <f ca="1"/>
        <v>UBER *TRIP HELP.UBER.C CMX           MEX</v>
      </c>
      <c r="H832" t="str">
        <f ca="1"/>
        <v>Uber</v>
      </c>
      <c r="I832" t="str">
        <f ca="1"/>
        <v>Sales</v>
      </c>
      <c r="J832" t="str">
        <f ca="1"/>
        <v>Traslados en Chihuahua</v>
      </c>
      <c r="K832" t="str">
        <f ca="1"/>
        <v>.</v>
      </c>
      <c r="L832" t="str">
        <f ca="1">VLOOKUP(B832,[1]Total!$B:$Q,16,0)</f>
        <v>603.81.006 Gastos Administativos de venta</v>
      </c>
      <c r="M832">
        <f t="shared" ca="1" si="25"/>
        <v>568.86</v>
      </c>
      <c r="N832" t="str">
        <f t="shared" ca="1" si="26"/>
        <v xml:space="preserve">Julio Cesar Guemes Reynoso UBER *TRIP HELP.UBER.C CMX           MEX Uber Sales Traslados en Chihuahua . </v>
      </c>
    </row>
    <row r="833" spans="1:14">
      <c r="A833" t="str">
        <f ca="1"/>
        <v>TRX1209</v>
      </c>
      <c r="B833" t="str">
        <f ca="1"/>
        <v>#74</v>
      </c>
      <c r="C833">
        <f ca="1"/>
        <v>46066.417361111096</v>
      </c>
      <c r="D833">
        <f ca="1"/>
        <v>183</v>
      </c>
      <c r="E833" t="str">
        <f ca="1"/>
        <v>MXN</v>
      </c>
      <c r="F833" t="str">
        <f ca="1"/>
        <v>Julio Cesar Guemes Reynoso</v>
      </c>
      <c r="G833" t="str">
        <f ca="1"/>
        <v>PANDA EXPRESS PRADO NT CIUDAD DE MEX MEX</v>
      </c>
      <c r="H833" t="str">
        <f ca="1"/>
        <v>Panda Express</v>
      </c>
      <c r="I833" t="str">
        <f ca="1"/>
        <v>Sales</v>
      </c>
      <c r="J833" t="str">
        <f ca="1"/>
        <v>Comida en CDMX</v>
      </c>
      <c r="K833" t="str">
        <f ca="1"/>
        <v>.</v>
      </c>
      <c r="L833" t="str">
        <f ca="1">VLOOKUP(B833,[1]Total!$B:$Q,16,0)</f>
        <v>603.81.006 Gastos Administativos de venta</v>
      </c>
      <c r="M833">
        <f t="shared" ca="1" si="25"/>
        <v>183</v>
      </c>
      <c r="N833" t="str">
        <f t="shared" ca="1" si="26"/>
        <v xml:space="preserve">Julio Cesar Guemes Reynoso PANDA EXPRESS PRADO NT CIUDAD DE MEX MEX Panda Express Sales Comida en CDMX . </v>
      </c>
    </row>
    <row r="834" spans="1:14">
      <c r="A834" t="str">
        <f ca="1"/>
        <v>TRX1511</v>
      </c>
      <c r="B834" t="str">
        <f ca="1"/>
        <v>#74</v>
      </c>
      <c r="C834">
        <f ca="1"/>
        <v>46067.416666666599</v>
      </c>
      <c r="D834">
        <f ca="1"/>
        <v>186.76</v>
      </c>
      <c r="E834" t="str">
        <f ca="1"/>
        <v>MXN</v>
      </c>
      <c r="F834" t="str">
        <f ca="1"/>
        <v>Julio Cesar Guemes Reynoso</v>
      </c>
      <c r="G834" t="str">
        <f ca="1"/>
        <v>UBER *TRIP HELP.UBER.C CMX           MEX</v>
      </c>
      <c r="H834" t="str">
        <f ca="1"/>
        <v>Uber</v>
      </c>
      <c r="I834" t="str">
        <f ca="1"/>
        <v>Sales</v>
      </c>
      <c r="J834" t="str">
        <f ca="1"/>
        <v>Traslados en Chihuahua</v>
      </c>
      <c r="K834" t="str">
        <f ca="1"/>
        <v>.</v>
      </c>
      <c r="L834" t="str">
        <f ca="1">VLOOKUP(B834,[1]Total!$B:$Q,16,0)</f>
        <v>603.81.006 Gastos Administativos de venta</v>
      </c>
      <c r="M834">
        <f t="shared" ca="1" si="25"/>
        <v>186.76</v>
      </c>
      <c r="N834" t="str">
        <f t="shared" ca="1" si="26"/>
        <v xml:space="preserve">Julio Cesar Guemes Reynoso UBER *TRIP HELP.UBER.C CMX           MEX Uber Sales Traslados en Chihuahua . </v>
      </c>
    </row>
    <row r="835" spans="1:14">
      <c r="A835" t="str">
        <f ca="1"/>
        <v>TRX1814</v>
      </c>
      <c r="B835" t="str">
        <f ca="1"/>
        <v>#74</v>
      </c>
      <c r="C835">
        <f ca="1"/>
        <v>46067.416666666599</v>
      </c>
      <c r="D835">
        <f ca="1"/>
        <v>46.39</v>
      </c>
      <c r="E835" t="str">
        <f ca="1"/>
        <v>MXN</v>
      </c>
      <c r="F835" t="str">
        <f ca="1"/>
        <v>Julio Cesar Guemes Reynoso</v>
      </c>
      <c r="G835" t="str">
        <f ca="1"/>
        <v>UBER *TRIP HELP.UBER.C CMX           MEX</v>
      </c>
      <c r="H835" t="str">
        <f ca="1"/>
        <v>Uber</v>
      </c>
      <c r="I835" t="str">
        <f ca="1"/>
        <v>Sales</v>
      </c>
      <c r="J835" t="str">
        <f ca="1"/>
        <v>Traslados en Chihuahua</v>
      </c>
      <c r="K835" t="str">
        <f ca="1"/>
        <v>.</v>
      </c>
      <c r="L835" t="str">
        <f ca="1">VLOOKUP(B835,[1]Total!$B:$Q,16,0)</f>
        <v>603.81.006 Gastos Administativos de venta</v>
      </c>
      <c r="M835">
        <f t="shared" ref="M835:M898" ca="1" si="27">D835</f>
        <v>46.39</v>
      </c>
      <c r="N835" t="str">
        <f t="shared" ref="N835:N898" ca="1" si="28">CONCATENATE(F835," ",G835," ",H835," ",I835," ",J835," ",K835," ")</f>
        <v xml:space="preserve">Julio Cesar Guemes Reynoso UBER *TRIP HELP.UBER.C CMX           MEX Uber Sales Traslados en Chihuahua . </v>
      </c>
    </row>
    <row r="836" spans="1:14">
      <c r="A836" t="str">
        <f ca="1"/>
        <v>TRX1177</v>
      </c>
      <c r="B836" t="str">
        <f ca="1"/>
        <v>#74</v>
      </c>
      <c r="C836">
        <f ca="1"/>
        <v>46067.416666666599</v>
      </c>
      <c r="D836">
        <f ca="1"/>
        <v>43.12</v>
      </c>
      <c r="E836" t="str">
        <f ca="1"/>
        <v>MXN</v>
      </c>
      <c r="F836" t="str">
        <f ca="1"/>
        <v>Julio Cesar Guemes Reynoso</v>
      </c>
      <c r="G836" t="str">
        <f ca="1"/>
        <v>UBER * PENDING         CMX           MEX</v>
      </c>
      <c r="H836" t="str">
        <f ca="1"/>
        <v>Uber</v>
      </c>
      <c r="I836" t="str">
        <f ca="1"/>
        <v>Sales</v>
      </c>
      <c r="J836" t="str">
        <f ca="1"/>
        <v>Traslados en Chihuahua</v>
      </c>
      <c r="K836" t="str">
        <f ca="1"/>
        <v>.</v>
      </c>
      <c r="L836" t="str">
        <f ca="1">VLOOKUP(B836,[1]Total!$B:$Q,16,0)</f>
        <v>603.81.006 Gastos Administativos de venta</v>
      </c>
      <c r="M836">
        <f t="shared" ca="1" si="27"/>
        <v>43.12</v>
      </c>
      <c r="N836" t="str">
        <f t="shared" ca="1" si="28"/>
        <v xml:space="preserve">Julio Cesar Guemes Reynoso UBER * PENDING         CMX           MEX Uber Sales Traslados en Chihuahua . </v>
      </c>
    </row>
    <row r="837" spans="1:14">
      <c r="A837" t="str">
        <f ca="1"/>
        <v>TRX1774</v>
      </c>
      <c r="B837" t="str">
        <f ca="1"/>
        <v>#74</v>
      </c>
      <c r="C837">
        <f ca="1"/>
        <v>46067.416666666599</v>
      </c>
      <c r="D837">
        <f ca="1"/>
        <v>248.74</v>
      </c>
      <c r="E837" t="str">
        <f ca="1"/>
        <v>MXN</v>
      </c>
      <c r="F837" t="str">
        <f ca="1"/>
        <v>Julio Cesar Guemes Reynoso</v>
      </c>
      <c r="G837" t="str">
        <f ca="1"/>
        <v>UBER *TRIP HELP.UBER.C CMX           MEX</v>
      </c>
      <c r="H837" t="str">
        <f ca="1"/>
        <v>Uber</v>
      </c>
      <c r="I837" t="str">
        <f ca="1"/>
        <v>Sales</v>
      </c>
      <c r="J837" t="str">
        <f ca="1"/>
        <v>Traslados en CDMX</v>
      </c>
      <c r="K837" t="str">
        <f ca="1"/>
        <v>.</v>
      </c>
      <c r="L837" t="str">
        <f ca="1">VLOOKUP(B837,[1]Total!$B:$Q,16,0)</f>
        <v>603.81.006 Gastos Administativos de venta</v>
      </c>
      <c r="M837">
        <f t="shared" ca="1" si="27"/>
        <v>248.74</v>
      </c>
      <c r="N837" t="str">
        <f t="shared" ca="1" si="28"/>
        <v xml:space="preserve">Julio Cesar Guemes Reynoso UBER *TRIP HELP.UBER.C CMX           MEX Uber Sales Traslados en CDMX . </v>
      </c>
    </row>
    <row r="838" spans="1:14">
      <c r="A838" t="str">
        <f ca="1"/>
        <v>TRX1359</v>
      </c>
      <c r="B838" t="str">
        <f ca="1"/>
        <v>#74</v>
      </c>
      <c r="C838">
        <f ca="1"/>
        <v>46067.416666666599</v>
      </c>
      <c r="D838">
        <f ca="1"/>
        <v>49.99</v>
      </c>
      <c r="E838" t="str">
        <f ca="1"/>
        <v>MXN</v>
      </c>
      <c r="F838" t="str">
        <f ca="1"/>
        <v>Julio Cesar Guemes Reynoso</v>
      </c>
      <c r="G838" t="str">
        <f ca="1"/>
        <v>UBER * PENDING         CMX           MEX</v>
      </c>
      <c r="H838" t="str">
        <f ca="1"/>
        <v>Uber</v>
      </c>
      <c r="I838" t="str">
        <f ca="1"/>
        <v>Sales</v>
      </c>
      <c r="J838" t="str">
        <f ca="1"/>
        <v>Traslados en Cdmx</v>
      </c>
      <c r="K838" t="str">
        <f ca="1"/>
        <v>.</v>
      </c>
      <c r="L838" t="str">
        <f ca="1">VLOOKUP(B838,[1]Total!$B:$Q,16,0)</f>
        <v>603.81.006 Gastos Administativos de venta</v>
      </c>
      <c r="M838">
        <f t="shared" ca="1" si="27"/>
        <v>49.99</v>
      </c>
      <c r="N838" t="str">
        <f t="shared" ca="1" si="28"/>
        <v xml:space="preserve">Julio Cesar Guemes Reynoso UBER * PENDING         CMX           MEX Uber Sales Traslados en Cdmx . </v>
      </c>
    </row>
    <row r="839" spans="1:14">
      <c r="A839" t="str">
        <f ca="1"/>
        <v>TRX1399</v>
      </c>
      <c r="B839" t="str">
        <f ca="1"/>
        <v>#74</v>
      </c>
      <c r="C839">
        <f ca="1"/>
        <v>46067.416666666599</v>
      </c>
      <c r="D839">
        <f ca="1"/>
        <v>152.94</v>
      </c>
      <c r="E839" t="str">
        <f ca="1"/>
        <v>MXN</v>
      </c>
      <c r="F839" t="str">
        <f ca="1"/>
        <v>Julio Cesar Guemes Reynoso</v>
      </c>
      <c r="G839" t="str">
        <f ca="1"/>
        <v>UBER * PENDING         CMX           MEX</v>
      </c>
      <c r="H839" t="str">
        <f ca="1"/>
        <v>Uber</v>
      </c>
      <c r="I839" t="str">
        <f ca="1"/>
        <v>Sales</v>
      </c>
      <c r="J839" t="str">
        <f ca="1"/>
        <v>Traslados en Cdmx</v>
      </c>
      <c r="K839" t="str">
        <f ca="1"/>
        <v>.</v>
      </c>
      <c r="L839" t="str">
        <f ca="1">VLOOKUP(B839,[1]Total!$B:$Q,16,0)</f>
        <v>603.81.006 Gastos Administativos de venta</v>
      </c>
      <c r="M839">
        <f t="shared" ca="1" si="27"/>
        <v>152.94</v>
      </c>
      <c r="N839" t="str">
        <f t="shared" ca="1" si="28"/>
        <v xml:space="preserve">Julio Cesar Guemes Reynoso UBER * PENDING         CMX           MEX Uber Sales Traslados en Cdmx . </v>
      </c>
    </row>
    <row r="840" spans="1:14">
      <c r="A840" t="str">
        <f ca="1"/>
        <v>TRX1751</v>
      </c>
      <c r="B840" t="str">
        <f ca="1"/>
        <v>-</v>
      </c>
      <c r="C840">
        <f ca="1"/>
        <v>46067.417361111096</v>
      </c>
      <c r="D840">
        <f ca="1"/>
        <v>1724.8</v>
      </c>
      <c r="E840" t="str">
        <f ca="1"/>
        <v>MXN</v>
      </c>
      <c r="F840" t="str">
        <f ca="1"/>
        <v>Julio Cesar Guemes Reynoso</v>
      </c>
      <c r="G840" t="str">
        <f ca="1"/>
        <v>REST LA CASONA         CHIHUAHUA CHI MEX</v>
      </c>
      <c r="H840" t="str">
        <f ca="1"/>
        <v>Rest La Casona Chihuahua Chi Mex</v>
      </c>
      <c r="I840" t="str">
        <f ca="1"/>
        <v>Sales</v>
      </c>
      <c r="J840" t="str">
        <f ca="1"/>
        <v>Comida Chihuahua Encuentro de Negocios con Carlos Abogado</v>
      </c>
      <c r="K840" t="str">
        <f ca="1"/>
        <v>.</v>
      </c>
      <c r="L840" t="str">
        <f ca="1">VLOOKUP(B840,[1]Total!$B:$Q,16,0)</f>
        <v>603.81.006 Gastos Administativos de venta</v>
      </c>
      <c r="M840">
        <f t="shared" ca="1" si="27"/>
        <v>1724.8</v>
      </c>
      <c r="N840" t="str">
        <f t="shared" ca="1" si="28"/>
        <v xml:space="preserve">Julio Cesar Guemes Reynoso REST LA CASONA         CHIHUAHUA CHI MEX Rest La Casona Chihuahua Chi Mex Sales Comida Chihuahua Encuentro de Negocios con Carlos Abogado . </v>
      </c>
    </row>
    <row r="841" spans="1:14">
      <c r="A841" t="str">
        <f ca="1"/>
        <v>TRX1091</v>
      </c>
      <c r="B841" t="str">
        <f ca="1"/>
        <v>#74</v>
      </c>
      <c r="C841">
        <f ca="1"/>
        <v>46067.417361111096</v>
      </c>
      <c r="D841">
        <f ca="1"/>
        <v>880</v>
      </c>
      <c r="E841" t="str">
        <f ca="1"/>
        <v>MXN</v>
      </c>
      <c r="F841" t="str">
        <f ca="1"/>
        <v>Julio Cesar Guemes Reynoso</v>
      </c>
      <c r="G841" t="str">
        <f ca="1"/>
        <v>IBIS CHIHUAHUA         CHIHUAHUA CHI MEX</v>
      </c>
      <c r="H841" t="str">
        <f ca="1"/>
        <v>Ibis Chihuahua Chihuahua Chi Mex</v>
      </c>
      <c r="I841" t="str">
        <f ca="1"/>
        <v>Sales</v>
      </c>
      <c r="J841" t="str">
        <f ca="1"/>
        <v>Hotel Chihuahua Encuentro de Negocios Mineria</v>
      </c>
      <c r="K841" t="str">
        <f ca="1"/>
        <v>.</v>
      </c>
      <c r="L841" t="str">
        <f ca="1">VLOOKUP(B841,[1]Total!$B:$Q,16,0)</f>
        <v>603.81.006 Gastos Administativos de venta</v>
      </c>
      <c r="M841">
        <f t="shared" ca="1" si="27"/>
        <v>880</v>
      </c>
      <c r="N841" t="str">
        <f t="shared" ca="1" si="28"/>
        <v xml:space="preserve">Julio Cesar Guemes Reynoso IBIS CHIHUAHUA         CHIHUAHUA CHI MEX Ibis Chihuahua Chihuahua Chi Mex Sales Hotel Chihuahua Encuentro de Negocios Mineria . </v>
      </c>
    </row>
    <row r="842" spans="1:14">
      <c r="A842" t="str">
        <f ca="1"/>
        <v>TRX1448</v>
      </c>
      <c r="B842" t="str">
        <f ca="1"/>
        <v>#74</v>
      </c>
      <c r="C842">
        <f ca="1"/>
        <v>46068.416666666599</v>
      </c>
      <c r="D842">
        <f ca="1"/>
        <v>125.3</v>
      </c>
      <c r="E842" t="str">
        <f ca="1"/>
        <v>MXN</v>
      </c>
      <c r="F842" t="str">
        <f ca="1"/>
        <v>Julio Cesar Guemes Reynoso</v>
      </c>
      <c r="G842" t="str">
        <f ca="1"/>
        <v>UBER *TRIP HELP.UBER.C CMX           MEX</v>
      </c>
      <c r="H842" t="str">
        <f ca="1"/>
        <v>Uber</v>
      </c>
      <c r="I842" t="str">
        <f ca="1"/>
        <v>Sales</v>
      </c>
      <c r="J842" t="str">
        <f ca="1"/>
        <v>Traslados en Cdmx</v>
      </c>
      <c r="K842" t="str">
        <f ca="1"/>
        <v>.</v>
      </c>
      <c r="L842" t="str">
        <f ca="1">VLOOKUP(B842,[1]Total!$B:$Q,16,0)</f>
        <v>603.81.006 Gastos Administativos de venta</v>
      </c>
      <c r="M842">
        <f t="shared" ca="1" si="27"/>
        <v>125.3</v>
      </c>
      <c r="N842" t="str">
        <f t="shared" ca="1" si="28"/>
        <v xml:space="preserve">Julio Cesar Guemes Reynoso UBER *TRIP HELP.UBER.C CMX           MEX Uber Sales Traslados en Cdmx . </v>
      </c>
    </row>
    <row r="843" spans="1:14">
      <c r="A843" t="str">
        <f ca="1"/>
        <v>TRX1560</v>
      </c>
      <c r="B843" t="str">
        <f ca="1"/>
        <v>#74</v>
      </c>
      <c r="C843">
        <f ca="1"/>
        <v>46068.416666666599</v>
      </c>
      <c r="D843">
        <f ca="1"/>
        <v>28.54</v>
      </c>
      <c r="E843" t="str">
        <f ca="1"/>
        <v>MXN</v>
      </c>
      <c r="F843" t="str">
        <f ca="1"/>
        <v>Julio Cesar Guemes Reynoso</v>
      </c>
      <c r="G843" t="str">
        <f ca="1"/>
        <v>UBER *TRIP HELP.UBER.C CMX           MEX</v>
      </c>
      <c r="H843" t="str">
        <f ca="1"/>
        <v>Uber</v>
      </c>
      <c r="I843" t="str">
        <f ca="1"/>
        <v>Sales</v>
      </c>
      <c r="J843" t="str">
        <f ca="1"/>
        <v>Traslados en Cdmx</v>
      </c>
      <c r="K843" t="str">
        <f ca="1"/>
        <v>.</v>
      </c>
      <c r="L843" t="str">
        <f ca="1">VLOOKUP(B843,[1]Total!$B:$Q,16,0)</f>
        <v>603.81.006 Gastos Administativos de venta</v>
      </c>
      <c r="M843">
        <f t="shared" ca="1" si="27"/>
        <v>28.54</v>
      </c>
      <c r="N843" t="str">
        <f t="shared" ca="1" si="28"/>
        <v xml:space="preserve">Julio Cesar Guemes Reynoso UBER *TRIP HELP.UBER.C CMX           MEX Uber Sales Traslados en Cdmx . </v>
      </c>
    </row>
    <row r="844" spans="1:14">
      <c r="A844" t="str">
        <f ca="1"/>
        <v>TRX1728</v>
      </c>
      <c r="B844" t="str">
        <f ca="1"/>
        <v>-</v>
      </c>
      <c r="C844">
        <f ca="1"/>
        <v>46068.416666666599</v>
      </c>
      <c r="D844">
        <f ca="1"/>
        <v>48.11</v>
      </c>
      <c r="E844" t="str">
        <f ca="1"/>
        <v>MXN</v>
      </c>
      <c r="F844" t="str">
        <f ca="1"/>
        <v>Julio Cesar Guemes Reynoso</v>
      </c>
      <c r="G844" t="str">
        <f ca="1"/>
        <v>UBER * PENDING         CMX           MEX</v>
      </c>
      <c r="H844" t="str">
        <f ca="1"/>
        <v>Uber</v>
      </c>
      <c r="I844" t="str">
        <f ca="1"/>
        <v>Sales</v>
      </c>
      <c r="J844" t="str">
        <f ca="1"/>
        <v>Traslados en Cdmx</v>
      </c>
      <c r="K844" t="str">
        <f ca="1"/>
        <v>.</v>
      </c>
      <c r="L844" t="str">
        <f ca="1">VLOOKUP(B844,[1]Total!$B:$Q,16,0)</f>
        <v>603.81.006 Gastos Administativos de venta</v>
      </c>
      <c r="M844">
        <f t="shared" ca="1" si="27"/>
        <v>48.11</v>
      </c>
      <c r="N844" t="str">
        <f t="shared" ca="1" si="28"/>
        <v xml:space="preserve">Julio Cesar Guemes Reynoso UBER * PENDING         CMX           MEX Uber Sales Traslados en Cdmx . </v>
      </c>
    </row>
    <row r="845" spans="1:14">
      <c r="A845" t="str">
        <f ca="1"/>
        <v>TRX1456</v>
      </c>
      <c r="B845" t="str">
        <f ca="1"/>
        <v>#74</v>
      </c>
      <c r="C845">
        <f ca="1"/>
        <v>46069.416666666599</v>
      </c>
      <c r="D845">
        <f ca="1"/>
        <v>369.98</v>
      </c>
      <c r="E845" t="str">
        <f ca="1"/>
        <v>MXN</v>
      </c>
      <c r="F845" t="str">
        <f ca="1"/>
        <v>Julio Cesar Guemes Reynoso</v>
      </c>
      <c r="G845" t="str">
        <f ca="1"/>
        <v>UBER * PENDING         CMX           MEX</v>
      </c>
      <c r="H845" t="str">
        <f ca="1"/>
        <v>Uber</v>
      </c>
      <c r="I845" t="str">
        <f ca="1"/>
        <v>Sales</v>
      </c>
      <c r="J845" t="str">
        <f ca="1"/>
        <v>Traslados en Cdmx</v>
      </c>
      <c r="K845" t="str">
        <f ca="1"/>
        <v>.</v>
      </c>
      <c r="L845" t="str">
        <f ca="1">VLOOKUP(B845,[1]Total!$B:$Q,16,0)</f>
        <v>603.81.006 Gastos Administativos de venta</v>
      </c>
      <c r="M845">
        <f t="shared" ca="1" si="27"/>
        <v>369.98</v>
      </c>
      <c r="N845" t="str">
        <f t="shared" ca="1" si="28"/>
        <v xml:space="preserve">Julio Cesar Guemes Reynoso UBER * PENDING         CMX           MEX Uber Sales Traslados en Cdmx . </v>
      </c>
    </row>
    <row r="846" spans="1:14">
      <c r="A846" t="str">
        <f ca="1"/>
        <v>TRX1748</v>
      </c>
      <c r="B846" t="str">
        <f ca="1"/>
        <v>-</v>
      </c>
      <c r="C846">
        <f ca="1"/>
        <v>46069.416666666599</v>
      </c>
      <c r="D846">
        <f ca="1"/>
        <v>224.45</v>
      </c>
      <c r="E846" t="str">
        <f ca="1"/>
        <v>MXN</v>
      </c>
      <c r="F846" t="str">
        <f ca="1"/>
        <v>Julio Cesar Guemes Reynoso</v>
      </c>
      <c r="G846" t="str">
        <f ca="1"/>
        <v>UBER *TRIP HELP.UBER.C CMX           MEX</v>
      </c>
      <c r="H846" t="str">
        <f ca="1"/>
        <v>Uber</v>
      </c>
      <c r="I846" t="str">
        <f ca="1"/>
        <v>Sales</v>
      </c>
      <c r="J846" t="str">
        <f ca="1"/>
        <v>Traslados en Cdmx</v>
      </c>
      <c r="K846" t="str">
        <f ca="1"/>
        <v>.</v>
      </c>
      <c r="L846" t="str">
        <f ca="1">VLOOKUP(B846,[1]Total!$B:$Q,16,0)</f>
        <v>603.81.006 Gastos Administativos de venta</v>
      </c>
      <c r="M846">
        <f t="shared" ca="1" si="27"/>
        <v>224.45</v>
      </c>
      <c r="N846" t="str">
        <f t="shared" ca="1" si="28"/>
        <v xml:space="preserve">Julio Cesar Guemes Reynoso UBER *TRIP HELP.UBER.C CMX           MEX Uber Sales Traslados en Cdmx . </v>
      </c>
    </row>
    <row r="847" spans="1:14">
      <c r="A847" t="str">
        <f ca="1"/>
        <v>TRX1697</v>
      </c>
      <c r="B847" t="str">
        <f ca="1"/>
        <v>-</v>
      </c>
      <c r="C847">
        <f ca="1"/>
        <v>46069.416666666599</v>
      </c>
      <c r="D847">
        <f ca="1"/>
        <v>1000</v>
      </c>
      <c r="E847" t="str">
        <f ca="1"/>
        <v>MXN</v>
      </c>
      <c r="F847" t="str">
        <f ca="1"/>
        <v>Julio Cesar Guemes Reynoso</v>
      </c>
      <c r="G847" t="str">
        <f ca="1"/>
        <v>CLIP MX*PAQ EL SHADAI  ZUMPANGO      MEX</v>
      </c>
      <c r="H847" t="str">
        <f ca="1"/>
        <v>Clip Mx Paq El Shadai Zumpango Mex</v>
      </c>
      <c r="I847" t="str">
        <f ca="1"/>
        <v>Sales</v>
      </c>
      <c r="J847" t="str">
        <f ca="1"/>
        <v>Taxi AIFA-CDMX</v>
      </c>
      <c r="K847" t="str">
        <f ca="1"/>
        <v>.</v>
      </c>
      <c r="L847" t="str">
        <f ca="1">VLOOKUP(B847,[1]Total!$B:$Q,16,0)</f>
        <v>603.81.006 Gastos Administativos de venta</v>
      </c>
      <c r="M847">
        <f t="shared" ca="1" si="27"/>
        <v>1000</v>
      </c>
      <c r="N847" t="str">
        <f t="shared" ca="1" si="28"/>
        <v xml:space="preserve">Julio Cesar Guemes Reynoso CLIP MX*PAQ EL SHADAI  ZUMPANGO      MEX Clip Mx Paq El Shadai Zumpango Mex Sales Taxi AIFA-CDMX . </v>
      </c>
    </row>
    <row r="848" spans="1:14">
      <c r="A848" t="str">
        <f ca="1"/>
        <v>TRX2009</v>
      </c>
      <c r="B848" t="str">
        <f ca="1"/>
        <v>#74</v>
      </c>
      <c r="C848">
        <f ca="1"/>
        <v>46071.416666666599</v>
      </c>
      <c r="D848">
        <f ca="1"/>
        <v>69.98</v>
      </c>
      <c r="E848" t="str">
        <f ca="1"/>
        <v>MXN</v>
      </c>
      <c r="F848" t="str">
        <f ca="1"/>
        <v>Julio Cesar Guemes Reynoso</v>
      </c>
      <c r="G848" t="str">
        <f ca="1"/>
        <v>UBER * PENDING         CMX           MEX</v>
      </c>
      <c r="H848" t="str">
        <f ca="1"/>
        <v>Uber</v>
      </c>
      <c r="I848" t="str">
        <f ca="1"/>
        <v>Sales</v>
      </c>
      <c r="J848" t="str">
        <f ca="1"/>
        <v>Traslados en Cdmx</v>
      </c>
      <c r="K848" t="str">
        <f ca="1"/>
        <v>.</v>
      </c>
      <c r="L848" t="str">
        <f ca="1">VLOOKUP(B848,[1]Total!$B:$Q,16,0)</f>
        <v>603.81.006 Gastos Administativos de venta</v>
      </c>
      <c r="M848">
        <f t="shared" ca="1" si="27"/>
        <v>69.98</v>
      </c>
      <c r="N848" t="str">
        <f t="shared" ca="1" si="28"/>
        <v xml:space="preserve">Julio Cesar Guemes Reynoso UBER * PENDING         CMX           MEX Uber Sales Traslados en Cdmx . </v>
      </c>
    </row>
    <row r="849" spans="1:14">
      <c r="A849" t="str">
        <f ca="1"/>
        <v>TRX1295</v>
      </c>
      <c r="B849" t="str">
        <f ca="1"/>
        <v>#74</v>
      </c>
      <c r="C849">
        <f ca="1"/>
        <v>46071.416666666599</v>
      </c>
      <c r="D849">
        <f ca="1"/>
        <v>59.94</v>
      </c>
      <c r="E849" t="str">
        <f ca="1"/>
        <v>MXN</v>
      </c>
      <c r="F849" t="str">
        <f ca="1"/>
        <v>Julio Cesar Guemes Reynoso</v>
      </c>
      <c r="G849" t="str">
        <f ca="1"/>
        <v>UBER * PENDING         CMX           MEX</v>
      </c>
      <c r="H849" t="str">
        <f ca="1"/>
        <v>Uber</v>
      </c>
      <c r="I849" t="str">
        <f ca="1"/>
        <v>Sales</v>
      </c>
      <c r="J849" t="str">
        <f ca="1"/>
        <v>Traslados en Cdmx</v>
      </c>
      <c r="K849" t="str">
        <f ca="1"/>
        <v>.</v>
      </c>
      <c r="L849" t="str">
        <f ca="1">VLOOKUP(B849,[1]Total!$B:$Q,16,0)</f>
        <v>603.81.006 Gastos Administativos de venta</v>
      </c>
      <c r="M849">
        <f t="shared" ca="1" si="27"/>
        <v>59.94</v>
      </c>
      <c r="N849" t="str">
        <f t="shared" ca="1" si="28"/>
        <v xml:space="preserve">Julio Cesar Guemes Reynoso UBER * PENDING         CMX           MEX Uber Sales Traslados en Cdmx . </v>
      </c>
    </row>
    <row r="850" spans="1:14">
      <c r="A850" t="str">
        <f ca="1"/>
        <v>TRX1088</v>
      </c>
      <c r="B850" t="str">
        <f ca="1"/>
        <v>#74</v>
      </c>
      <c r="C850">
        <f ca="1"/>
        <v>46071.416666666599</v>
      </c>
      <c r="D850">
        <f ca="1"/>
        <v>149.97</v>
      </c>
      <c r="E850" t="str">
        <f ca="1"/>
        <v>MXN</v>
      </c>
      <c r="F850" t="str">
        <f ca="1"/>
        <v>Julio Cesar Guemes Reynoso</v>
      </c>
      <c r="G850" t="str">
        <f ca="1"/>
        <v>UBER * PENDING         CMX           MEX</v>
      </c>
      <c r="H850" t="str">
        <f ca="1"/>
        <v>Uber</v>
      </c>
      <c r="I850" t="str">
        <f ca="1"/>
        <v>Sales</v>
      </c>
      <c r="J850" t="str">
        <f ca="1"/>
        <v>Traslados en Cdmx</v>
      </c>
      <c r="K850" t="str">
        <f ca="1"/>
        <v>.</v>
      </c>
      <c r="L850" t="str">
        <f ca="1">VLOOKUP(B850,[1]Total!$B:$Q,16,0)</f>
        <v>603.81.006 Gastos Administativos de venta</v>
      </c>
      <c r="M850">
        <f t="shared" ca="1" si="27"/>
        <v>149.97</v>
      </c>
      <c r="N850" t="str">
        <f t="shared" ca="1" si="28"/>
        <v xml:space="preserve">Julio Cesar Guemes Reynoso UBER * PENDING         CMX           MEX Uber Sales Traslados en Cdmx . </v>
      </c>
    </row>
    <row r="851" spans="1:14">
      <c r="A851" t="str">
        <f ca="1"/>
        <v>TRX1735</v>
      </c>
      <c r="B851" t="str">
        <f ca="1"/>
        <v>-</v>
      </c>
      <c r="C851">
        <f ca="1"/>
        <v>46071.416666666599</v>
      </c>
      <c r="D851">
        <f ca="1"/>
        <v>156.01</v>
      </c>
      <c r="E851" t="str">
        <f ca="1"/>
        <v>MXN</v>
      </c>
      <c r="F851" t="str">
        <f ca="1"/>
        <v>Julio Cesar Guemes Reynoso</v>
      </c>
      <c r="G851" t="str">
        <f ca="1"/>
        <v>UBER *TRIP HELP.UBER.C CMX           MEX</v>
      </c>
      <c r="H851" t="str">
        <f ca="1"/>
        <v>Uber</v>
      </c>
      <c r="I851" t="str">
        <f ca="1"/>
        <v>Sales</v>
      </c>
      <c r="J851" t="str">
        <f ca="1"/>
        <v>Traslados en Cdmx</v>
      </c>
      <c r="K851" t="str">
        <f ca="1"/>
        <v>.</v>
      </c>
      <c r="L851" t="str">
        <f ca="1">VLOOKUP(B851,[1]Total!$B:$Q,16,0)</f>
        <v>603.81.006 Gastos Administativos de venta</v>
      </c>
      <c r="M851">
        <f t="shared" ca="1" si="27"/>
        <v>156.01</v>
      </c>
      <c r="N851" t="str">
        <f t="shared" ca="1" si="28"/>
        <v xml:space="preserve">Julio Cesar Guemes Reynoso UBER *TRIP HELP.UBER.C CMX           MEX Uber Sales Traslados en Cdmx . </v>
      </c>
    </row>
    <row r="852" spans="1:14">
      <c r="A852" t="str">
        <f ca="1"/>
        <v>TRX1199</v>
      </c>
      <c r="B852" t="str">
        <f ca="1"/>
        <v>#74</v>
      </c>
      <c r="C852">
        <f ca="1"/>
        <v>46072.416666666599</v>
      </c>
      <c r="D852">
        <f ca="1"/>
        <v>129.97</v>
      </c>
      <c r="E852" t="str">
        <f ca="1"/>
        <v>MXN</v>
      </c>
      <c r="F852" t="str">
        <f ca="1"/>
        <v>Julio Cesar Guemes Reynoso</v>
      </c>
      <c r="G852" t="str">
        <f ca="1"/>
        <v>UBER * PENDING         CMX           MEX</v>
      </c>
      <c r="H852" t="str">
        <f ca="1"/>
        <v>Uber</v>
      </c>
      <c r="I852" t="str">
        <f ca="1"/>
        <v>Sales</v>
      </c>
      <c r="J852" t="str">
        <f ca="1"/>
        <v>Traslados en Cdmx</v>
      </c>
      <c r="K852" t="str">
        <f ca="1"/>
        <v>.</v>
      </c>
      <c r="L852" t="str">
        <f ca="1">VLOOKUP(B852,[1]Total!$B:$Q,16,0)</f>
        <v>603.81.006 Gastos Administativos de venta</v>
      </c>
      <c r="M852">
        <f t="shared" ca="1" si="27"/>
        <v>129.97</v>
      </c>
      <c r="N852" t="str">
        <f t="shared" ca="1" si="28"/>
        <v xml:space="preserve">Julio Cesar Guemes Reynoso UBER * PENDING         CMX           MEX Uber Sales Traslados en Cdmx . </v>
      </c>
    </row>
    <row r="853" spans="1:14">
      <c r="A853" t="str">
        <f ca="1"/>
        <v>TRX1181</v>
      </c>
      <c r="B853" t="str">
        <f ca="1"/>
        <v>#74</v>
      </c>
      <c r="C853">
        <f ca="1"/>
        <v>46072.416666666599</v>
      </c>
      <c r="D853">
        <f ca="1"/>
        <v>489.99</v>
      </c>
      <c r="E853" t="str">
        <f ca="1"/>
        <v>MXN</v>
      </c>
      <c r="F853" t="str">
        <f ca="1"/>
        <v>Julio Cesar Guemes Reynoso</v>
      </c>
      <c r="G853" t="str">
        <f ca="1"/>
        <v>UBER * PENDING         CMX           MEX</v>
      </c>
      <c r="H853" t="str">
        <f ca="1"/>
        <v>Uber</v>
      </c>
      <c r="I853" t="str">
        <f ca="1"/>
        <v>Sales</v>
      </c>
      <c r="J853" t="str">
        <f ca="1"/>
        <v>Traslados en Cdmx</v>
      </c>
      <c r="K853" t="str">
        <f ca="1"/>
        <v>.</v>
      </c>
      <c r="L853" t="str">
        <f ca="1">VLOOKUP(B853,[1]Total!$B:$Q,16,0)</f>
        <v>603.81.006 Gastos Administativos de venta</v>
      </c>
      <c r="M853">
        <f t="shared" ca="1" si="27"/>
        <v>489.99</v>
      </c>
      <c r="N853" t="str">
        <f t="shared" ca="1" si="28"/>
        <v xml:space="preserve">Julio Cesar Guemes Reynoso UBER * PENDING         CMX           MEX Uber Sales Traslados en Cdmx . </v>
      </c>
    </row>
    <row r="854" spans="1:14">
      <c r="A854" t="str">
        <f ca="1"/>
        <v>TRX1437</v>
      </c>
      <c r="B854" t="str">
        <f ca="1"/>
        <v>#74</v>
      </c>
      <c r="C854">
        <f ca="1"/>
        <v>46073.416666666599</v>
      </c>
      <c r="D854">
        <f ca="1"/>
        <v>71.11</v>
      </c>
      <c r="E854" t="str">
        <f ca="1"/>
        <v>MXN</v>
      </c>
      <c r="F854" t="str">
        <f ca="1"/>
        <v>Julio Cesar Guemes Reynoso</v>
      </c>
      <c r="G854" t="str">
        <f ca="1"/>
        <v>UBER * PENDING         CMX           MEX</v>
      </c>
      <c r="H854" t="str">
        <f ca="1"/>
        <v>Uber</v>
      </c>
      <c r="I854" t="str">
        <f ca="1"/>
        <v>Sales</v>
      </c>
      <c r="J854" t="str">
        <f ca="1"/>
        <v>Traslados en Cdmx</v>
      </c>
      <c r="K854" t="str">
        <f ca="1"/>
        <v>.</v>
      </c>
      <c r="L854" t="str">
        <f ca="1">VLOOKUP(B854,[1]Total!$B:$Q,16,0)</f>
        <v>603.81.006 Gastos Administativos de venta</v>
      </c>
      <c r="M854">
        <f t="shared" ca="1" si="27"/>
        <v>71.11</v>
      </c>
      <c r="N854" t="str">
        <f t="shared" ca="1" si="28"/>
        <v xml:space="preserve">Julio Cesar Guemes Reynoso UBER * PENDING         CMX           MEX Uber Sales Traslados en Cdmx . </v>
      </c>
    </row>
    <row r="855" spans="1:14">
      <c r="A855" t="str">
        <f ca="1"/>
        <v>TRX1465</v>
      </c>
      <c r="B855" t="str">
        <f ca="1"/>
        <v>#74</v>
      </c>
      <c r="C855">
        <f ca="1"/>
        <v>46073.416666666599</v>
      </c>
      <c r="D855">
        <f ca="1"/>
        <v>99.99</v>
      </c>
      <c r="E855" t="str">
        <f ca="1"/>
        <v>MXN</v>
      </c>
      <c r="F855" t="str">
        <f ca="1"/>
        <v>Julio Cesar Guemes Reynoso</v>
      </c>
      <c r="G855" t="str">
        <f ca="1"/>
        <v>UBER * PENDING         CMX           MEX</v>
      </c>
      <c r="H855" t="str">
        <f ca="1"/>
        <v>Uber</v>
      </c>
      <c r="I855" t="str">
        <f ca="1"/>
        <v>Sales</v>
      </c>
      <c r="J855" t="str">
        <f ca="1"/>
        <v>Traslados en Cdmx</v>
      </c>
      <c r="K855" t="str">
        <f ca="1"/>
        <v>.</v>
      </c>
      <c r="L855" t="str">
        <f ca="1">VLOOKUP(B855,[1]Total!$B:$Q,16,0)</f>
        <v>603.81.006 Gastos Administativos de venta</v>
      </c>
      <c r="M855">
        <f t="shared" ca="1" si="27"/>
        <v>99.99</v>
      </c>
      <c r="N855" t="str">
        <f t="shared" ca="1" si="28"/>
        <v xml:space="preserve">Julio Cesar Guemes Reynoso UBER * PENDING         CMX           MEX Uber Sales Traslados en Cdmx . </v>
      </c>
    </row>
    <row r="856" spans="1:14">
      <c r="A856" t="str">
        <f ca="1"/>
        <v>TRX1129</v>
      </c>
      <c r="B856" t="str">
        <f ca="1"/>
        <v>#74</v>
      </c>
      <c r="C856">
        <f ca="1"/>
        <v>46073.416666666599</v>
      </c>
      <c r="D856">
        <f ca="1"/>
        <v>442.96</v>
      </c>
      <c r="E856" t="str">
        <f ca="1"/>
        <v>MXN</v>
      </c>
      <c r="F856" t="str">
        <f ca="1"/>
        <v>Julio Cesar Guemes Reynoso</v>
      </c>
      <c r="G856" t="str">
        <f ca="1"/>
        <v>UBER *TRIP HELP.UBER.C CMX           MEX</v>
      </c>
      <c r="H856" t="str">
        <f ca="1"/>
        <v>Uber</v>
      </c>
      <c r="I856" t="str">
        <f ca="1"/>
        <v>Sales</v>
      </c>
      <c r="J856" t="str">
        <f ca="1"/>
        <v>Traslados en Cdmx</v>
      </c>
      <c r="K856" t="str">
        <f ca="1"/>
        <v>.</v>
      </c>
      <c r="L856" t="str">
        <f ca="1">VLOOKUP(B856,[1]Total!$B:$Q,16,0)</f>
        <v>603.81.006 Gastos Administativos de venta</v>
      </c>
      <c r="M856">
        <f t="shared" ca="1" si="27"/>
        <v>442.96</v>
      </c>
      <c r="N856" t="str">
        <f t="shared" ca="1" si="28"/>
        <v xml:space="preserve">Julio Cesar Guemes Reynoso UBER *TRIP HELP.UBER.C CMX           MEX Uber Sales Traslados en Cdmx . </v>
      </c>
    </row>
    <row r="857" spans="1:14">
      <c r="A857" t="str">
        <f ca="1"/>
        <v>TRX1365</v>
      </c>
      <c r="B857" t="str">
        <f ca="1"/>
        <v>#74</v>
      </c>
      <c r="C857">
        <f ca="1"/>
        <v>46073.416666666599</v>
      </c>
      <c r="D857">
        <f ca="1"/>
        <v>189</v>
      </c>
      <c r="E857" t="str">
        <f ca="1"/>
        <v>MXN</v>
      </c>
      <c r="F857" t="str">
        <f ca="1"/>
        <v>Julio Cesar Guemes Reynoso</v>
      </c>
      <c r="G857" t="str">
        <f ca="1"/>
        <v>COM RAP VIPS SENDEROS  CIUDAD DE MEX MEX</v>
      </c>
      <c r="H857" t="str">
        <f ca="1"/>
        <v>Com Rap Vips Senderos Ciudad De Mex Mex</v>
      </c>
      <c r="I857" t="str">
        <f ca="1"/>
        <v>Sales</v>
      </c>
      <c r="J857" t="str">
        <f ca="1"/>
        <v>Comida central de camiones</v>
      </c>
      <c r="K857" t="str">
        <f ca="1"/>
        <v>.</v>
      </c>
      <c r="L857" t="str">
        <f ca="1">VLOOKUP(B857,[1]Total!$B:$Q,16,0)</f>
        <v>603.81.006 Gastos Administativos de venta</v>
      </c>
      <c r="M857">
        <f t="shared" ca="1" si="27"/>
        <v>189</v>
      </c>
      <c r="N857" t="str">
        <f t="shared" ca="1" si="28"/>
        <v xml:space="preserve">Julio Cesar Guemes Reynoso COM RAP VIPS SENDEROS  CIUDAD DE MEX MEX Com Rap Vips Senderos Ciudad De Mex Mex Sales Comida central de camiones . </v>
      </c>
    </row>
    <row r="858" spans="1:14">
      <c r="A858" t="str">
        <f ca="1"/>
        <v>TRX1196</v>
      </c>
      <c r="B858" t="str">
        <f ca="1"/>
        <v>#74</v>
      </c>
      <c r="C858">
        <f ca="1"/>
        <v>46073.417361111096</v>
      </c>
      <c r="D858">
        <f ca="1"/>
        <v>875.6</v>
      </c>
      <c r="E858" t="str">
        <f ca="1"/>
        <v>MXN</v>
      </c>
      <c r="F858" t="str">
        <f ca="1"/>
        <v>Julio Cesar Guemes Reynoso</v>
      </c>
      <c r="G858" t="str">
        <f ca="1"/>
        <v>UN LUGAR DE LA MANCHA  CIUDAD DE MEX MEX</v>
      </c>
      <c r="H858" t="str">
        <f ca="1"/>
        <v>Un Lugar De La Mancha Ciudad De Mex Mex</v>
      </c>
      <c r="I858" t="str">
        <f ca="1"/>
        <v>Sales</v>
      </c>
      <c r="J858" t="str">
        <f ca="1"/>
        <v>Comida en CDMX</v>
      </c>
      <c r="K858" t="str">
        <f ca="1"/>
        <v>.</v>
      </c>
      <c r="L858" t="str">
        <f ca="1">VLOOKUP(B858,[1]Total!$B:$Q,16,0)</f>
        <v>603.81.006 Gastos Administativos de venta</v>
      </c>
      <c r="M858">
        <f t="shared" ca="1" si="27"/>
        <v>875.6</v>
      </c>
      <c r="N858" t="str">
        <f t="shared" ca="1" si="28"/>
        <v xml:space="preserve">Julio Cesar Guemes Reynoso UN LUGAR DE LA MANCHA  CIUDAD DE MEX MEX Un Lugar De La Mancha Ciudad De Mex Mex Sales Comida en CDMX . </v>
      </c>
    </row>
    <row r="859" spans="1:14">
      <c r="A859" t="str">
        <f ca="1"/>
        <v>TRX1332</v>
      </c>
      <c r="B859" t="str">
        <f ca="1"/>
        <v>#74</v>
      </c>
      <c r="C859">
        <f ca="1"/>
        <v>46073.417361111096</v>
      </c>
      <c r="D859">
        <f ca="1"/>
        <v>805.5</v>
      </c>
      <c r="E859" t="str">
        <f ca="1"/>
        <v>MXN</v>
      </c>
      <c r="F859" t="str">
        <f ca="1"/>
        <v>Julio Cesar Guemes Reynoso</v>
      </c>
      <c r="G859" t="str">
        <f ca="1"/>
        <v>AEB WEB ECOMMERCE      CIUDAD DE MEX MEX</v>
      </c>
      <c r="H859" t="str">
        <f ca="1"/>
        <v>Aeb Web Ecommerce Ciudad De Mex Mex</v>
      </c>
      <c r="I859" t="str">
        <f ca="1"/>
        <v>Sales</v>
      </c>
      <c r="J859" t="str">
        <f ca="1"/>
        <v>Camion CDMX-SLP</v>
      </c>
      <c r="K859" t="str">
        <f ca="1"/>
        <v>.</v>
      </c>
      <c r="L859" t="str">
        <f ca="1">VLOOKUP(B859,[1]Total!$B:$Q,16,0)</f>
        <v>603.81.006 Gastos Administativos de venta</v>
      </c>
      <c r="M859">
        <f t="shared" ca="1" si="27"/>
        <v>805.5</v>
      </c>
      <c r="N859" t="str">
        <f t="shared" ca="1" si="28"/>
        <v xml:space="preserve">Julio Cesar Guemes Reynoso AEB WEB ECOMMERCE      CIUDAD DE MEX MEX Aeb Web Ecommerce Ciudad De Mex Mex Sales Camion CDMX-SLP . </v>
      </c>
    </row>
    <row r="860" spans="1:14">
      <c r="A860" t="str">
        <f ca="1"/>
        <v>TRX1120</v>
      </c>
      <c r="B860" t="str">
        <f ca="1"/>
        <v>#74</v>
      </c>
      <c r="C860">
        <f ca="1"/>
        <v>46074.416666666599</v>
      </c>
      <c r="D860">
        <f ca="1"/>
        <v>156</v>
      </c>
      <c r="E860" t="str">
        <f ca="1"/>
        <v>MXN</v>
      </c>
      <c r="F860" t="str">
        <f ca="1"/>
        <v>Julio Cesar Guemes Reynoso</v>
      </c>
      <c r="G860" t="str">
        <f ca="1"/>
        <v>DLO DIDI RIDES MX      CIUDAD DE MEX MEX</v>
      </c>
      <c r="H860" t="str">
        <f ca="1"/>
        <v>Didi Chuxing</v>
      </c>
      <c r="I860" t="str">
        <f ca="1"/>
        <v>Sales</v>
      </c>
      <c r="J860" t="str">
        <f ca="1"/>
        <v>Traslado central de camiones SLP</v>
      </c>
      <c r="K860" t="str">
        <f ca="1"/>
        <v>.</v>
      </c>
      <c r="L860" t="str">
        <f ca="1">VLOOKUP(B860,[1]Total!$B:$Q,16,0)</f>
        <v>603.81.006 Gastos Administativos de venta</v>
      </c>
      <c r="M860">
        <f t="shared" ca="1" si="27"/>
        <v>156</v>
      </c>
      <c r="N860" t="str">
        <f t="shared" ca="1" si="28"/>
        <v xml:space="preserve">Julio Cesar Guemes Reynoso DLO DIDI RIDES MX      CIUDAD DE MEX MEX Didi Chuxing Sales Traslado central de camiones SLP . </v>
      </c>
    </row>
    <row r="861" spans="1:14">
      <c r="A861" t="str">
        <f ca="1"/>
        <v>TRX1052</v>
      </c>
      <c r="B861" t="str">
        <f ca="1"/>
        <v>#74</v>
      </c>
      <c r="C861">
        <f ca="1"/>
        <v>46075.416666666599</v>
      </c>
      <c r="D861">
        <f ca="1"/>
        <v>111</v>
      </c>
      <c r="E861" t="str">
        <f ca="1"/>
        <v>MXN</v>
      </c>
      <c r="F861" t="str">
        <f ca="1"/>
        <v>Julio Cesar Guemes Reynoso</v>
      </c>
      <c r="G861" t="str">
        <f ca="1"/>
        <v>UBER *TRIP HELP.UBER.C CMX           MEX</v>
      </c>
      <c r="H861" t="str">
        <f ca="1"/>
        <v>Uber</v>
      </c>
      <c r="I861" t="str">
        <f ca="1"/>
        <v>Sales</v>
      </c>
      <c r="J861" t="str">
        <f ca="1"/>
        <v>Traslados CMDX</v>
      </c>
      <c r="K861" t="str">
        <f ca="1"/>
        <v>.</v>
      </c>
      <c r="L861" t="str">
        <f ca="1">VLOOKUP(B861,[1]Total!$B:$Q,16,0)</f>
        <v>603.81.006 Gastos Administativos de venta</v>
      </c>
      <c r="M861">
        <f t="shared" ca="1" si="27"/>
        <v>111</v>
      </c>
      <c r="N861" t="str">
        <f t="shared" ca="1" si="28"/>
        <v xml:space="preserve">Julio Cesar Guemes Reynoso UBER *TRIP HELP.UBER.C CMX           MEX Uber Sales Traslados CMDX . </v>
      </c>
    </row>
    <row r="862" spans="1:14">
      <c r="A862" t="str">
        <f ca="1"/>
        <v>TRX1053</v>
      </c>
      <c r="B862" t="str">
        <f ca="1"/>
        <v>#74</v>
      </c>
      <c r="C862">
        <f ca="1"/>
        <v>46075.416666666599</v>
      </c>
      <c r="D862">
        <f ca="1"/>
        <v>80</v>
      </c>
      <c r="E862" t="str">
        <f ca="1"/>
        <v>MXN</v>
      </c>
      <c r="F862" t="str">
        <f ca="1"/>
        <v>Julio Cesar Guemes Reynoso</v>
      </c>
      <c r="G862" t="str">
        <f ca="1"/>
        <v>UBER *TRIP HELP.UBER.C CMX           MEX</v>
      </c>
      <c r="H862" t="str">
        <f ca="1"/>
        <v>Uber</v>
      </c>
      <c r="I862" t="str">
        <f ca="1"/>
        <v>Sales</v>
      </c>
      <c r="J862" t="str">
        <f ca="1"/>
        <v>Traslados CDMX</v>
      </c>
      <c r="K862" t="str">
        <f ca="1"/>
        <v>.</v>
      </c>
      <c r="L862" t="str">
        <f ca="1">VLOOKUP(B862,[1]Total!$B:$Q,16,0)</f>
        <v>603.81.006 Gastos Administativos de venta</v>
      </c>
      <c r="M862">
        <f t="shared" ca="1" si="27"/>
        <v>80</v>
      </c>
      <c r="N862" t="str">
        <f t="shared" ca="1" si="28"/>
        <v xml:space="preserve">Julio Cesar Guemes Reynoso UBER *TRIP HELP.UBER.C CMX           MEX Uber Sales Traslados CDMX . </v>
      </c>
    </row>
    <row r="863" spans="1:14">
      <c r="A863" t="str">
        <f ca="1"/>
        <v>TRX1222</v>
      </c>
      <c r="B863" t="str">
        <f ca="1"/>
        <v>#74</v>
      </c>
      <c r="C863">
        <f ca="1"/>
        <v>46080.416666666599</v>
      </c>
      <c r="D863">
        <f ca="1"/>
        <v>1314.5</v>
      </c>
      <c r="E863" t="str">
        <f ca="1"/>
        <v>MXN</v>
      </c>
      <c r="F863" t="str">
        <f ca="1"/>
        <v>Julio Cesar Guemes Reynoso</v>
      </c>
      <c r="G863" t="str">
        <f ca="1"/>
        <v>GAS ESTAC SERV BOLONIA CIUDAD DE MEX MEX</v>
      </c>
      <c r="H863" t="str">
        <f ca="1"/>
        <v>Gas Estac Serv Bolonia Ciudad De Mex Mex</v>
      </c>
      <c r="I863" t="str">
        <f ca="1"/>
        <v>Sales</v>
      </c>
      <c r="J863" t="str">
        <f ca="1"/>
        <v>Gasolina SLP-CDMX</v>
      </c>
      <c r="K863" t="str">
        <f ca="1"/>
        <v>.</v>
      </c>
      <c r="L863" t="str">
        <f ca="1">VLOOKUP(B863,[1]Total!$B:$Q,16,0)</f>
        <v>603.81.006 Gastos Administativos de venta</v>
      </c>
      <c r="M863">
        <f t="shared" ca="1" si="27"/>
        <v>1314.5</v>
      </c>
      <c r="N863" t="str">
        <f t="shared" ca="1" si="28"/>
        <v xml:space="preserve">Julio Cesar Guemes Reynoso GAS ESTAC SERV BOLONIA CIUDAD DE MEX MEX Gas Estac Serv Bolonia Ciudad De Mex Mex Sales Gasolina SLP-CDMX . </v>
      </c>
    </row>
    <row r="864" spans="1:14">
      <c r="A864" t="str">
        <f ca="1"/>
        <v>TRX1237</v>
      </c>
      <c r="B864" t="str">
        <f ca="1"/>
        <v>#74</v>
      </c>
      <c r="C864">
        <f ca="1"/>
        <v>46080.417361111096</v>
      </c>
      <c r="D864">
        <f ca="1"/>
        <v>367.4</v>
      </c>
      <c r="E864" t="str">
        <f ca="1"/>
        <v>MXN</v>
      </c>
      <c r="F864" t="str">
        <f ca="1"/>
        <v>Julio Cesar Guemes Reynoso</v>
      </c>
      <c r="G864" t="str">
        <f ca="1"/>
        <v>VIPS APTO S BRAVO      CIUDAD DE MEX MEX</v>
      </c>
      <c r="H864" t="str">
        <f ca="1"/>
        <v>Vips Apto S Bravo Ciudad De Mex Mex</v>
      </c>
      <c r="I864" t="str">
        <f ca="1"/>
        <v>Sales</v>
      </c>
      <c r="J864" t="str">
        <f ca="1"/>
        <v>Comida central de camiones</v>
      </c>
      <c r="K864" t="str">
        <f ca="1"/>
        <v>.</v>
      </c>
      <c r="L864" t="str">
        <f ca="1">VLOOKUP(B864,[1]Total!$B:$Q,16,0)</f>
        <v>603.81.006 Gastos Administativos de venta</v>
      </c>
      <c r="M864">
        <f t="shared" ca="1" si="27"/>
        <v>367.4</v>
      </c>
      <c r="N864" t="str">
        <f t="shared" ca="1" si="28"/>
        <v xml:space="preserve">Julio Cesar Guemes Reynoso VIPS APTO S BRAVO      CIUDAD DE MEX MEX Vips Apto S Bravo Ciudad De Mex Mex Sales Comida central de camiones . </v>
      </c>
    </row>
    <row r="865" spans="1:14">
      <c r="A865" t="str">
        <f ca="1"/>
        <v>TRX1228</v>
      </c>
      <c r="B865" t="str">
        <f ca="1"/>
        <v>-</v>
      </c>
      <c r="C865">
        <f ca="1"/>
        <v>46058.416666666599</v>
      </c>
      <c r="D865">
        <f ca="1"/>
        <v>80</v>
      </c>
      <c r="E865" t="str">
        <f ca="1"/>
        <v>MXN</v>
      </c>
      <c r="F865" t="str">
        <f ca="1"/>
        <v>Manuel Caldera Urcuyo</v>
      </c>
      <c r="G865" t="str">
        <f ca="1"/>
        <v>G68 THE MARKET         APODACA NL    MEX</v>
      </c>
      <c r="H865" t="str">
        <f ca="1"/>
        <v>G68 The Market Apodaca Nl Mex</v>
      </c>
      <c r="I865" t="str">
        <f ca="1"/>
        <v>Sales</v>
      </c>
      <c r="J865" t="str">
        <f ca="1"/>
        <v>subscription for editing proposals</v>
      </c>
      <c r="K865">
        <f ca="1"/>
        <v>0</v>
      </c>
      <c r="L865" t="str">
        <f ca="1">VLOOKUP(B865,[1]Total!$B:$Q,16,0)</f>
        <v>603.81.006 Gastos Administativos de venta</v>
      </c>
      <c r="M865">
        <f t="shared" ca="1" si="27"/>
        <v>80</v>
      </c>
      <c r="N865" t="str">
        <f t="shared" ca="1" si="28"/>
        <v xml:space="preserve">Manuel Caldera Urcuyo G68 THE MARKET         APODACA NL    MEX G68 The Market Apodaca Nl Mex Sales subscription for editing proposals 0 </v>
      </c>
    </row>
    <row r="866" spans="1:14">
      <c r="A866" t="str">
        <f ca="1"/>
        <v>TRX1194</v>
      </c>
      <c r="B866" t="str">
        <f ca="1"/>
        <v>-</v>
      </c>
      <c r="C866">
        <f ca="1"/>
        <v>46058.418055555499</v>
      </c>
      <c r="D866">
        <f ca="1"/>
        <v>3540.75</v>
      </c>
      <c r="E866" t="str">
        <f ca="1"/>
        <v>USD</v>
      </c>
      <c r="F866" t="str">
        <f ca="1"/>
        <v>Manuel Caldera Urcuyo</v>
      </c>
      <c r="G866" t="str">
        <f ca="1"/>
        <v>THE CANNON - BERING    HOUSTON       USA</v>
      </c>
      <c r="H866" t="str">
        <f ca="1"/>
        <v>The Cannon Bering Houston USA</v>
      </c>
      <c r="I866" t="str">
        <f ca="1"/>
        <v>Sales</v>
      </c>
      <c r="J866" t="str">
        <f ca="1"/>
        <v>subscription for editing proposals</v>
      </c>
      <c r="K866">
        <f ca="1"/>
        <v>0</v>
      </c>
      <c r="L866" t="str">
        <f ca="1">VLOOKUP(B866,[1]Total!$B:$Q,16,0)</f>
        <v>603.81.006 Gastos Administativos de venta</v>
      </c>
      <c r="M866">
        <f t="shared" ca="1" si="27"/>
        <v>3540.75</v>
      </c>
      <c r="N866" t="str">
        <f t="shared" ca="1" si="28"/>
        <v xml:space="preserve">Manuel Caldera Urcuyo THE CANNON - BERING    HOUSTON       USA The Cannon Bering Houston USA Sales subscription for editing proposals 0 </v>
      </c>
    </row>
    <row r="867" spans="1:14">
      <c r="A867" t="str">
        <f ca="1"/>
        <v>TRX1191</v>
      </c>
      <c r="B867" t="str">
        <f ca="1"/>
        <v>-</v>
      </c>
      <c r="C867">
        <f ca="1"/>
        <v>46058.418055555499</v>
      </c>
      <c r="D867">
        <f ca="1"/>
        <v>113.49</v>
      </c>
      <c r="E867" t="str">
        <f ca="1"/>
        <v>USD</v>
      </c>
      <c r="F867" t="str">
        <f ca="1"/>
        <v>Manuel Caldera Urcuyo</v>
      </c>
      <c r="G867" t="str">
        <f ca="1"/>
        <v>THE CANNON - BERING    HOUSTON       USA</v>
      </c>
      <c r="H867" t="str">
        <f ca="1"/>
        <v>The Cannon Bering Houston USA</v>
      </c>
      <c r="I867" t="str">
        <f ca="1"/>
        <v>Sales</v>
      </c>
      <c r="J867" t="str">
        <f ca="1"/>
        <v>Westminster invoicing</v>
      </c>
      <c r="K867">
        <f ca="1"/>
        <v>0</v>
      </c>
      <c r="L867" t="str">
        <f ca="1">VLOOKUP(B867,[1]Total!$B:$Q,16,0)</f>
        <v>603.81.006 Gastos Administativos de venta</v>
      </c>
      <c r="M867">
        <f t="shared" ca="1" si="27"/>
        <v>113.49</v>
      </c>
      <c r="N867" t="str">
        <f t="shared" ca="1" si="28"/>
        <v xml:space="preserve">Manuel Caldera Urcuyo THE CANNON - BERING    HOUSTON       USA The Cannon Bering Houston USA Sales Westminster invoicing 0 </v>
      </c>
    </row>
    <row r="868" spans="1:14">
      <c r="A868" t="str">
        <f ca="1"/>
        <v>TRX1188</v>
      </c>
      <c r="B868" t="str">
        <f ca="1"/>
        <v>-</v>
      </c>
      <c r="C868">
        <f ca="1"/>
        <v>46058.418055555499</v>
      </c>
      <c r="D868">
        <f ca="1"/>
        <v>1970.84</v>
      </c>
      <c r="E868" t="str">
        <f ca="1"/>
        <v>USD</v>
      </c>
      <c r="F868" t="str">
        <f ca="1"/>
        <v>Manuel Caldera Urcuyo</v>
      </c>
      <c r="G868" t="str">
        <f ca="1"/>
        <v>PAMPA GRILL &amp; MARKET   HOUSTON       USA</v>
      </c>
      <c r="H868" t="str">
        <f ca="1"/>
        <v>Pampa Grill &amp; Market Houston USA</v>
      </c>
      <c r="I868" t="str">
        <f ca="1"/>
        <v>Sales</v>
      </c>
      <c r="J868" t="str">
        <f ca="1"/>
        <v>Printing for Westminster project</v>
      </c>
      <c r="K868">
        <f ca="1"/>
        <v>0</v>
      </c>
      <c r="L868" t="str">
        <f ca="1">VLOOKUP(B868,[1]Total!$B:$Q,16,0)</f>
        <v>603.81.006 Gastos Administativos de venta</v>
      </c>
      <c r="M868">
        <f t="shared" ca="1" si="27"/>
        <v>1970.84</v>
      </c>
      <c r="N868" t="str">
        <f t="shared" ca="1" si="28"/>
        <v xml:space="preserve">Manuel Caldera Urcuyo PAMPA GRILL &amp; MARKET   HOUSTON       USA Pampa Grill &amp; Market Houston USA Sales Printing for Westminster project 0 </v>
      </c>
    </row>
    <row r="869" spans="1:14">
      <c r="A869" t="str">
        <f ca="1"/>
        <v>TRX1175</v>
      </c>
      <c r="B869" t="str">
        <f ca="1"/>
        <v>-</v>
      </c>
      <c r="C869">
        <f ca="1"/>
        <v>46059.416666666599</v>
      </c>
      <c r="D869">
        <f ca="1"/>
        <v>20</v>
      </c>
      <c r="E869" t="str">
        <f ca="1"/>
        <v>MXN</v>
      </c>
      <c r="F869" t="str">
        <f ca="1"/>
        <v>Manuel Caldera Urcuyo</v>
      </c>
      <c r="G869" t="str">
        <f ca="1"/>
        <v>UBER *TRIP HELP.UBER.C CMX           MEX</v>
      </c>
      <c r="H869" t="str">
        <f ca="1"/>
        <v>Uber</v>
      </c>
      <c r="I869" t="str">
        <f ca="1"/>
        <v>Sales</v>
      </c>
      <c r="J869" t="str">
        <f ca="1"/>
        <v>Travel meal</v>
      </c>
      <c r="K869">
        <f ca="1"/>
        <v>0</v>
      </c>
      <c r="L869" t="str">
        <f ca="1">VLOOKUP(B869,[1]Total!$B:$Q,16,0)</f>
        <v>603.81.006 Gastos Administativos de venta</v>
      </c>
      <c r="M869">
        <f t="shared" ca="1" si="27"/>
        <v>20</v>
      </c>
      <c r="N869" t="str">
        <f t="shared" ca="1" si="28"/>
        <v xml:space="preserve">Manuel Caldera Urcuyo UBER *TRIP HELP.UBER.C CMX           MEX Uber Sales Travel meal 0 </v>
      </c>
    </row>
    <row r="870" spans="1:14">
      <c r="A870" t="str">
        <f ca="1"/>
        <v>TRX1172</v>
      </c>
      <c r="B870" t="str">
        <f ca="1"/>
        <v>-</v>
      </c>
      <c r="C870">
        <f ca="1"/>
        <v>46059.416666666599</v>
      </c>
      <c r="D870">
        <f ca="1"/>
        <v>2203.88</v>
      </c>
      <c r="E870" t="str">
        <f ca="1"/>
        <v>MXN</v>
      </c>
      <c r="F870" t="str">
        <f ca="1"/>
        <v>Manuel Caldera Urcuyo</v>
      </c>
      <c r="G870" t="str">
        <f ca="1"/>
        <v>SMARTPY*HOTCITYCEMTA   KAPA          MEX</v>
      </c>
      <c r="H870" t="str">
        <f ca="1"/>
        <v>Smartpy Hotcitycemta Kapa Mex</v>
      </c>
      <c r="I870" t="str">
        <f ca="1"/>
        <v>Sales</v>
      </c>
      <c r="J870" t="str">
        <f ca="1"/>
        <v>Notarization for Westminster billing</v>
      </c>
      <c r="K870" t="str">
        <f ca="1"/>
        <v>.</v>
      </c>
      <c r="L870" t="str">
        <f ca="1">VLOOKUP(B870,[1]Total!$B:$Q,16,0)</f>
        <v>603.81.006 Gastos Administativos de venta</v>
      </c>
      <c r="M870">
        <f t="shared" ca="1" si="27"/>
        <v>2203.88</v>
      </c>
      <c r="N870" t="str">
        <f t="shared" ca="1" si="28"/>
        <v xml:space="preserve">Manuel Caldera Urcuyo SMARTPY*HOTCITYCEMTA   KAPA          MEX Smartpy Hotcitycemta Kapa Mex Sales Notarization for Westminster billing . </v>
      </c>
    </row>
    <row r="871" spans="1:14">
      <c r="A871" t="str">
        <f ca="1"/>
        <v>TRX1162</v>
      </c>
      <c r="B871" t="str">
        <f ca="1"/>
        <v>-</v>
      </c>
      <c r="C871">
        <f ca="1"/>
        <v>46059.416666666599</v>
      </c>
      <c r="D871">
        <f ca="1"/>
        <v>689.97</v>
      </c>
      <c r="E871" t="str">
        <f ca="1"/>
        <v>MXN</v>
      </c>
      <c r="F871" t="str">
        <f ca="1"/>
        <v>Manuel Caldera Urcuyo</v>
      </c>
      <c r="G871" t="str">
        <f ca="1"/>
        <v>DLO*UBER RIDE          CIUDAD DE MEX MEX</v>
      </c>
      <c r="H871" t="str">
        <f ca="1"/>
        <v>Uber</v>
      </c>
      <c r="I871" t="str">
        <f ca="1"/>
        <v>Sales</v>
      </c>
      <c r="J871" t="str">
        <f ca="1"/>
        <v>Travel meal</v>
      </c>
      <c r="K871" t="str">
        <f ca="1"/>
        <v>.</v>
      </c>
      <c r="L871" t="str">
        <f ca="1">VLOOKUP(B871,[1]Total!$B:$Q,16,0)</f>
        <v>603.81.006 Gastos Administativos de venta</v>
      </c>
      <c r="M871">
        <f t="shared" ca="1" si="27"/>
        <v>689.97</v>
      </c>
      <c r="N871" t="str">
        <f t="shared" ca="1" si="28"/>
        <v xml:space="preserve">Manuel Caldera Urcuyo DLO*UBER RIDE          CIUDAD DE MEX MEX Uber Sales Travel meal . </v>
      </c>
    </row>
    <row r="872" spans="1:14">
      <c r="A872" t="str">
        <f ca="1"/>
        <v>TRX1206</v>
      </c>
      <c r="B872" t="str">
        <f ca="1"/>
        <v>-</v>
      </c>
      <c r="C872">
        <f ca="1"/>
        <v>46059.417361111096</v>
      </c>
      <c r="D872">
        <f ca="1"/>
        <v>976.34</v>
      </c>
      <c r="E872" t="str">
        <f ca="1"/>
        <v>USD</v>
      </c>
      <c r="F872" t="str">
        <f ca="1"/>
        <v>Manuel Caldera Urcuyo</v>
      </c>
      <c r="G872" t="str">
        <f ca="1"/>
        <v>UBER   *TRIP           SAN FRANCISCO USA</v>
      </c>
      <c r="H872" t="str">
        <f ca="1"/>
        <v>Uber</v>
      </c>
      <c r="I872" t="str">
        <f ca="1"/>
        <v>Sales</v>
      </c>
      <c r="J872" t="str">
        <f ca="1"/>
        <v>Hotel in Austin</v>
      </c>
      <c r="K872" t="str">
        <f ca="1"/>
        <v>.</v>
      </c>
      <c r="L872" t="str">
        <f ca="1">VLOOKUP(B872,[1]Total!$B:$Q,16,0)</f>
        <v>603.81.006 Gastos Administativos de venta</v>
      </c>
      <c r="M872">
        <f t="shared" ca="1" si="27"/>
        <v>976.34</v>
      </c>
      <c r="N872" t="str">
        <f t="shared" ca="1" si="28"/>
        <v xml:space="preserve">Manuel Caldera Urcuyo UBER   *TRIP           SAN FRANCISCO USA Uber Sales Hotel in Austin . </v>
      </c>
    </row>
    <row r="873" spans="1:14">
      <c r="A873" t="str">
        <f ca="1"/>
        <v>TRX1388</v>
      </c>
      <c r="B873" t="str">
        <f ca="1"/>
        <v>-</v>
      </c>
      <c r="C873">
        <f ca="1"/>
        <v>46059.417361111096</v>
      </c>
      <c r="D873">
        <f ca="1"/>
        <v>997.7</v>
      </c>
      <c r="E873" t="str">
        <f ca="1"/>
        <v>MXN</v>
      </c>
      <c r="F873" t="str">
        <f ca="1"/>
        <v>Manuel Caldera Urcuyo</v>
      </c>
      <c r="G873" t="str">
        <f ca="1"/>
        <v>EL PAPALOTE PALO BLANC SN PEDRO GARZ MEX</v>
      </c>
      <c r="H873" t="str">
        <f ca="1"/>
        <v>El Papalote Palo Blanc Sn Pedro Garz Mex</v>
      </c>
      <c r="I873" t="str">
        <f ca="1"/>
        <v>Sales</v>
      </c>
      <c r="J873" t="str">
        <f ca="1"/>
        <v>Travel meal</v>
      </c>
      <c r="K873" t="str">
        <f ca="1"/>
        <v>.</v>
      </c>
      <c r="L873" t="str">
        <f ca="1">VLOOKUP(B873,[1]Total!$B:$Q,16,0)</f>
        <v>603.81.006 Gastos Administativos de venta</v>
      </c>
      <c r="M873">
        <f t="shared" ca="1" si="27"/>
        <v>997.7</v>
      </c>
      <c r="N873" t="str">
        <f t="shared" ca="1" si="28"/>
        <v xml:space="preserve">Manuel Caldera Urcuyo EL PAPALOTE PALO BLANC SN PEDRO GARZ MEX El Papalote Palo Blanc Sn Pedro Garz Mex Sales Travel meal . </v>
      </c>
    </row>
    <row r="874" spans="1:14">
      <c r="A874" t="str">
        <f ca="1"/>
        <v>TRX1131</v>
      </c>
      <c r="B874" t="str">
        <f ca="1"/>
        <v>-</v>
      </c>
      <c r="C874">
        <f ca="1"/>
        <v>46059.417361111096</v>
      </c>
      <c r="D874">
        <f ca="1"/>
        <v>1083.25</v>
      </c>
      <c r="E874" t="str">
        <f ca="1"/>
        <v>USD</v>
      </c>
      <c r="F874" t="str">
        <f ca="1"/>
        <v>Manuel Caldera Urcuyo</v>
      </c>
      <c r="G874" t="str">
        <f ca="1"/>
        <v>UBER   *TRIP           SAN FRANCISCO USA</v>
      </c>
      <c r="H874" t="str">
        <f ca="1"/>
        <v>Uber</v>
      </c>
      <c r="I874" t="str">
        <f ca="1"/>
        <v>Sales</v>
      </c>
      <c r="J874" t="str">
        <f ca="1"/>
        <v>Bolts for Westminster project</v>
      </c>
      <c r="K874" t="str">
        <f ca="1"/>
        <v>.</v>
      </c>
      <c r="L874" t="str">
        <f ca="1">VLOOKUP(B874,[1]Total!$B:$Q,16,0)</f>
        <v>603.81.006 Gastos Administativos de venta</v>
      </c>
      <c r="M874">
        <f t="shared" ca="1" si="27"/>
        <v>1083.25</v>
      </c>
      <c r="N874" t="str">
        <f t="shared" ca="1" si="28"/>
        <v xml:space="preserve">Manuel Caldera Urcuyo UBER   *TRIP           SAN FRANCISCO USA Uber Sales Bolts for Westminster project . </v>
      </c>
    </row>
    <row r="875" spans="1:14">
      <c r="A875" t="str">
        <f ca="1"/>
        <v>TRX1028</v>
      </c>
      <c r="B875" t="str">
        <f ca="1"/>
        <v>-</v>
      </c>
      <c r="C875">
        <f ca="1"/>
        <v>46059.417361111096</v>
      </c>
      <c r="D875">
        <f ca="1"/>
        <v>90.29</v>
      </c>
      <c r="E875" t="str">
        <f ca="1"/>
        <v>USD</v>
      </c>
      <c r="F875" t="str">
        <f ca="1"/>
        <v>Manuel Caldera Urcuyo</v>
      </c>
      <c r="G875" t="str">
        <f ca="1"/>
        <v>UBER   *TRIP           SAN FRANCISCO USA</v>
      </c>
      <c r="H875" t="str">
        <f ca="1"/>
        <v>Uber</v>
      </c>
      <c r="I875" t="str">
        <f ca="1"/>
        <v>Sales</v>
      </c>
      <c r="J875" t="str">
        <f ca="1"/>
        <v>business cards for commercial ambassador</v>
      </c>
      <c r="K875" t="str">
        <f ca="1"/>
        <v>.</v>
      </c>
      <c r="L875" t="str">
        <f ca="1">VLOOKUP(B875,[1]Total!$B:$Q,16,0)</f>
        <v>603.81.006 Gastos Administativos de venta</v>
      </c>
      <c r="M875">
        <f t="shared" ca="1" si="27"/>
        <v>90.29</v>
      </c>
      <c r="N875" t="str">
        <f t="shared" ca="1" si="28"/>
        <v xml:space="preserve">Manuel Caldera Urcuyo UBER   *TRIP           SAN FRANCISCO USA Uber Sales business cards for commercial ambassador . </v>
      </c>
    </row>
    <row r="876" spans="1:14">
      <c r="A876" t="str">
        <f ca="1"/>
        <v>TRX1553</v>
      </c>
      <c r="B876" t="str">
        <f ca="1"/>
        <v>-</v>
      </c>
      <c r="C876">
        <f ca="1"/>
        <v>46061.417361111096</v>
      </c>
      <c r="D876">
        <f ca="1"/>
        <v>457.03</v>
      </c>
      <c r="E876" t="str">
        <f ca="1"/>
        <v>USD</v>
      </c>
      <c r="F876" t="str">
        <f ca="1"/>
        <v>Manuel Caldera Urcuyo</v>
      </c>
      <c r="G876" t="str">
        <f ca="1"/>
        <v>BONCHON - MIDTOWN      HOUSTON       USA</v>
      </c>
      <c r="H876" t="str">
        <f ca="1"/>
        <v>Bonchon Midtown Houston USA</v>
      </c>
      <c r="I876" t="str">
        <f ca="1"/>
        <v>Sales</v>
      </c>
      <c r="J876" t="str">
        <f ca="1"/>
        <v>Travel meal</v>
      </c>
      <c r="K876" t="str">
        <f ca="1"/>
        <v>.</v>
      </c>
      <c r="L876" t="str">
        <f ca="1">VLOOKUP(B876,[1]Total!$B:$Q,16,0)</f>
        <v>603.81.006 Gastos Administativos de venta</v>
      </c>
      <c r="M876">
        <f t="shared" ca="1" si="27"/>
        <v>457.03</v>
      </c>
      <c r="N876" t="str">
        <f t="shared" ca="1" si="28"/>
        <v xml:space="preserve">Manuel Caldera Urcuyo BONCHON - MIDTOWN      HOUSTON       USA Bonchon Midtown Houston USA Sales Travel meal . </v>
      </c>
    </row>
    <row r="877" spans="1:14">
      <c r="A877" t="str">
        <f ca="1"/>
        <v>TRX1688</v>
      </c>
      <c r="B877" t="str">
        <f ca="1"/>
        <v>-</v>
      </c>
      <c r="C877">
        <f ca="1"/>
        <v>46064.417361111096</v>
      </c>
      <c r="D877">
        <f ca="1"/>
        <v>906.2</v>
      </c>
      <c r="E877" t="str">
        <f ca="1"/>
        <v>USD</v>
      </c>
      <c r="F877" t="str">
        <f ca="1"/>
        <v>Manuel Caldera Urcuyo</v>
      </c>
      <c r="G877" t="str">
        <f ca="1"/>
        <v>ASA-HOUSTON CHAPTER    HOUSTON       USA</v>
      </c>
      <c r="H877" t="str">
        <f ca="1"/>
        <v>Asa Houston Chapter Houston USA</v>
      </c>
      <c r="I877" t="str">
        <f ca="1"/>
        <v>Sales</v>
      </c>
      <c r="J877" t="str">
        <f ca="1"/>
        <v>Subscription to sign contracts</v>
      </c>
      <c r="K877" t="str">
        <f ca="1"/>
        <v>.</v>
      </c>
      <c r="L877" t="str">
        <f ca="1">VLOOKUP(B877,[1]Total!$B:$Q,16,0)</f>
        <v>603.81.006 Gastos Administativos de venta</v>
      </c>
      <c r="M877">
        <f t="shared" ca="1" si="27"/>
        <v>906.2</v>
      </c>
      <c r="N877" t="str">
        <f t="shared" ca="1" si="28"/>
        <v xml:space="preserve">Manuel Caldera Urcuyo ASA-HOUSTON CHAPTER    HOUSTON       USA Asa Houston Chapter Houston USA Sales Subscription to sign contracts . </v>
      </c>
    </row>
    <row r="878" spans="1:14">
      <c r="A878" t="str">
        <f ca="1"/>
        <v>TRX1683</v>
      </c>
      <c r="B878" t="str">
        <f ca="1"/>
        <v>#75</v>
      </c>
      <c r="C878">
        <f ca="1"/>
        <v>46064.417361111096</v>
      </c>
      <c r="D878">
        <f ca="1"/>
        <v>8424.73</v>
      </c>
      <c r="E878" t="str">
        <f ca="1"/>
        <v>USD</v>
      </c>
      <c r="F878" t="str">
        <f ca="1"/>
        <v>Manuel Caldera Urcuyo</v>
      </c>
      <c r="G878" t="str">
        <f ca="1"/>
        <v>HOTELCOM73370269604291 SEATTLE       USA</v>
      </c>
      <c r="H878" t="str">
        <f ca="1"/>
        <v>Hotelcom Seattle USA</v>
      </c>
      <c r="I878" t="str">
        <f ca="1"/>
        <v>Sales</v>
      </c>
      <c r="J878" t="str">
        <f ca="1"/>
        <v>Travel transportation</v>
      </c>
      <c r="K878" t="str">
        <f ca="1"/>
        <v>.</v>
      </c>
      <c r="L878" s="137" t="s">
        <v>2018</v>
      </c>
      <c r="M878">
        <f t="shared" ca="1" si="27"/>
        <v>8424.73</v>
      </c>
      <c r="N878" t="str">
        <f t="shared" ca="1" si="28"/>
        <v xml:space="preserve">Manuel Caldera Urcuyo HOTELCOM73370269604291 SEATTLE       USA Hotelcom Seattle USA Sales Travel transportation . </v>
      </c>
    </row>
    <row r="879" spans="1:14">
      <c r="A879" t="str">
        <f ca="1"/>
        <v>TRX1983</v>
      </c>
      <c r="B879" t="str">
        <f ca="1"/>
        <v>#75</v>
      </c>
      <c r="C879">
        <f ca="1"/>
        <v>46065.417361111096</v>
      </c>
      <c r="D879">
        <f ca="1"/>
        <v>1359.3</v>
      </c>
      <c r="E879" t="str">
        <f ca="1"/>
        <v>USD</v>
      </c>
      <c r="F879" t="str">
        <f ca="1"/>
        <v>Manuel Caldera Urcuyo</v>
      </c>
      <c r="G879" t="str">
        <f ca="1"/>
        <v>INSTITUTE SUPPLY MGMT  TEMPE         USA</v>
      </c>
      <c r="H879" t="str">
        <f ca="1"/>
        <v>Institute Supply Mgmt Tempe USA</v>
      </c>
      <c r="I879" t="str">
        <f ca="1"/>
        <v>Sales</v>
      </c>
      <c r="J879" t="str">
        <f ca="1"/>
        <v>Travel transportation</v>
      </c>
      <c r="K879" t="str">
        <f ca="1"/>
        <v>.</v>
      </c>
      <c r="L879" s="137" t="s">
        <v>2018</v>
      </c>
      <c r="M879">
        <f t="shared" ca="1" si="27"/>
        <v>1359.3</v>
      </c>
      <c r="N879" t="str">
        <f t="shared" ca="1" si="28"/>
        <v xml:space="preserve">Manuel Caldera Urcuyo INSTITUTE SUPPLY MGMT  TEMPE         USA Institute Supply Mgmt Tempe USA Sales Travel transportation . </v>
      </c>
    </row>
    <row r="880" spans="1:14">
      <c r="A880" t="str">
        <f ca="1"/>
        <v>TRX1375</v>
      </c>
      <c r="B880" t="str">
        <f ca="1"/>
        <v>-</v>
      </c>
      <c r="C880">
        <f ca="1"/>
        <v>46066.416666666599</v>
      </c>
      <c r="D880">
        <f ca="1"/>
        <v>429.98</v>
      </c>
      <c r="E880" t="str">
        <f ca="1"/>
        <v>MXN</v>
      </c>
      <c r="F880" t="str">
        <f ca="1"/>
        <v>Manuel Caldera Urcuyo</v>
      </c>
      <c r="G880" t="str">
        <f ca="1"/>
        <v>UBER * PENDING         CMX           MEX</v>
      </c>
      <c r="H880" t="str">
        <f ca="1"/>
        <v>Uber</v>
      </c>
      <c r="I880" t="str">
        <f ca="1"/>
        <v>Sales</v>
      </c>
      <c r="J880" t="str">
        <f ca="1"/>
        <v>Travel meal</v>
      </c>
      <c r="K880" t="str">
        <f ca="1"/>
        <v>.</v>
      </c>
      <c r="L880" t="str">
        <f ca="1">VLOOKUP(B880,[1]Total!$B:$Q,16,0)</f>
        <v>603.81.006 Gastos Administativos de venta</v>
      </c>
      <c r="M880">
        <f t="shared" ca="1" si="27"/>
        <v>429.98</v>
      </c>
      <c r="N880" t="str">
        <f t="shared" ca="1" si="28"/>
        <v xml:space="preserve">Manuel Caldera Urcuyo UBER * PENDING         CMX           MEX Uber Sales Travel meal . </v>
      </c>
    </row>
    <row r="881" spans="1:14">
      <c r="A881" t="str">
        <f ca="1"/>
        <v>TRX1347</v>
      </c>
      <c r="B881" t="str">
        <f ca="1"/>
        <v>#75</v>
      </c>
      <c r="C881">
        <f ca="1"/>
        <v>46066.416666666599</v>
      </c>
      <c r="D881">
        <f ca="1"/>
        <v>119.98</v>
      </c>
      <c r="E881" t="str">
        <f ca="1"/>
        <v>MXN</v>
      </c>
      <c r="F881" t="str">
        <f ca="1"/>
        <v>Manuel Caldera Urcuyo</v>
      </c>
      <c r="G881" t="str">
        <f ca="1"/>
        <v>UBER * PENDING         CMX           MEX</v>
      </c>
      <c r="H881" t="str">
        <f ca="1"/>
        <v>Uber</v>
      </c>
      <c r="I881" t="str">
        <f ca="1"/>
        <v>Sales</v>
      </c>
      <c r="J881" t="str">
        <f ca="1"/>
        <v>Travel transportation</v>
      </c>
      <c r="K881" t="str">
        <f ca="1"/>
        <v>.</v>
      </c>
      <c r="L881" s="137" t="s">
        <v>2018</v>
      </c>
      <c r="M881">
        <f t="shared" ca="1" si="27"/>
        <v>119.98</v>
      </c>
      <c r="N881" t="str">
        <f t="shared" ca="1" si="28"/>
        <v xml:space="preserve">Manuel Caldera Urcuyo UBER * PENDING         CMX           MEX Uber Sales Travel transportation . </v>
      </c>
    </row>
    <row r="882" spans="1:14">
      <c r="A882" t="str">
        <f ca="1"/>
        <v>TRX1454</v>
      </c>
      <c r="B882" t="str">
        <f ca="1"/>
        <v>-</v>
      </c>
      <c r="C882">
        <f ca="1"/>
        <v>46066.416666666599</v>
      </c>
      <c r="D882">
        <f ca="1"/>
        <v>20</v>
      </c>
      <c r="E882" t="str">
        <f ca="1"/>
        <v>MXN</v>
      </c>
      <c r="F882" t="str">
        <f ca="1"/>
        <v>Manuel Caldera Urcuyo</v>
      </c>
      <c r="G882" t="str">
        <f ca="1"/>
        <v>UBER *TRIP HELP.UBER.C CMX           MEX</v>
      </c>
      <c r="H882" t="str">
        <f ca="1"/>
        <v>Uber</v>
      </c>
      <c r="I882" t="str">
        <f ca="1"/>
        <v>Sales</v>
      </c>
      <c r="J882" t="str">
        <f ca="1"/>
        <v>Travel transportation</v>
      </c>
      <c r="K882" t="str">
        <f ca="1"/>
        <v>.</v>
      </c>
      <c r="L882" t="str">
        <f ca="1">VLOOKUP(B882,[1]Total!$B:$Q,16,0)</f>
        <v>603.81.006 Gastos Administativos de venta</v>
      </c>
      <c r="M882">
        <f t="shared" ca="1" si="27"/>
        <v>20</v>
      </c>
      <c r="N882" t="str">
        <f t="shared" ca="1" si="28"/>
        <v xml:space="preserve">Manuel Caldera Urcuyo UBER *TRIP HELP.UBER.C CMX           MEX Uber Sales Travel transportation . </v>
      </c>
    </row>
    <row r="883" spans="1:14">
      <c r="A883" t="str">
        <f ca="1"/>
        <v>TRX1415</v>
      </c>
      <c r="B883" t="str">
        <f ca="1"/>
        <v>-</v>
      </c>
      <c r="C883">
        <f ca="1"/>
        <v>46066.417361111096</v>
      </c>
      <c r="D883">
        <f ca="1"/>
        <v>303.60000000000002</v>
      </c>
      <c r="E883" t="str">
        <f ca="1"/>
        <v>MXN</v>
      </c>
      <c r="F883" t="str">
        <f ca="1"/>
        <v>Manuel Caldera Urcuyo</v>
      </c>
      <c r="G883" t="str">
        <f ca="1"/>
        <v>REST EL FOGONCI SALA 6 CIUDAD DE MEX MEX</v>
      </c>
      <c r="H883" t="str">
        <f ca="1"/>
        <v>Rest El Fogonci Sala 6 Ciudad De Mex Mex</v>
      </c>
      <c r="I883" t="str">
        <f ca="1"/>
        <v>Sales</v>
      </c>
      <c r="J883" t="str">
        <f ca="1"/>
        <v>Travel transportation</v>
      </c>
      <c r="K883" t="str">
        <f ca="1"/>
        <v>.</v>
      </c>
      <c r="L883" t="str">
        <f ca="1">VLOOKUP(B883,[1]Total!$B:$Q,16,0)</f>
        <v>603.81.006 Gastos Administativos de venta</v>
      </c>
      <c r="M883">
        <f t="shared" ca="1" si="27"/>
        <v>303.60000000000002</v>
      </c>
      <c r="N883" t="str">
        <f t="shared" ca="1" si="28"/>
        <v xml:space="preserve">Manuel Caldera Urcuyo REST EL FOGONCI SALA 6 CIUDAD DE MEX MEX Rest El Fogonci Sala 6 Ciudad De Mex Mex Sales Travel transportation . </v>
      </c>
    </row>
    <row r="884" spans="1:14">
      <c r="A884" t="str">
        <f ca="1"/>
        <v>TRX1630</v>
      </c>
      <c r="B884" t="str">
        <f ca="1"/>
        <v>-</v>
      </c>
      <c r="C884">
        <f ca="1"/>
        <v>46066.417361111096</v>
      </c>
      <c r="D884">
        <f ca="1"/>
        <v>1219.1500000000001</v>
      </c>
      <c r="E884" t="str">
        <f ca="1"/>
        <v>USD</v>
      </c>
      <c r="F884" t="str">
        <f ca="1"/>
        <v>Manuel Caldera Urcuyo</v>
      </c>
      <c r="G884" t="str">
        <f ca="1"/>
        <v>UBER   *TRIP           SAN FRANCISCO USA</v>
      </c>
      <c r="H884" t="str">
        <f ca="1"/>
        <v>Uber</v>
      </c>
      <c r="I884" t="str">
        <f ca="1"/>
        <v>Sales</v>
      </c>
      <c r="J884" t="str">
        <f ca="1"/>
        <v>Travel transportation</v>
      </c>
      <c r="K884" t="str">
        <f ca="1"/>
        <v>.</v>
      </c>
      <c r="L884" t="str">
        <f ca="1">VLOOKUP(B884,[1]Total!$B:$Q,16,0)</f>
        <v>603.81.006 Gastos Administativos de venta</v>
      </c>
      <c r="M884">
        <f t="shared" ca="1" si="27"/>
        <v>1219.1500000000001</v>
      </c>
      <c r="N884" t="str">
        <f t="shared" ca="1" si="28"/>
        <v xml:space="preserve">Manuel Caldera Urcuyo UBER   *TRIP           SAN FRANCISCO USA Uber Sales Travel transportation . </v>
      </c>
    </row>
    <row r="885" spans="1:14">
      <c r="A885" t="str">
        <f ca="1"/>
        <v>TRX1772</v>
      </c>
      <c r="B885" t="str">
        <f ca="1"/>
        <v>#75</v>
      </c>
      <c r="C885">
        <f ca="1"/>
        <v>46067.416666666599</v>
      </c>
      <c r="D885">
        <f ca="1"/>
        <v>61.5</v>
      </c>
      <c r="E885" t="str">
        <f ca="1"/>
        <v>MXN</v>
      </c>
      <c r="F885" t="str">
        <f ca="1"/>
        <v>Manuel Caldera Urcuyo</v>
      </c>
      <c r="G885" t="str">
        <f ca="1"/>
        <v>UBER *TRIP HELP.UBER.C CMX           MEX</v>
      </c>
      <c r="H885" t="str">
        <f ca="1"/>
        <v>Uber</v>
      </c>
      <c r="I885" t="str">
        <f ca="1"/>
        <v>Sales</v>
      </c>
      <c r="J885" t="str">
        <f ca="1"/>
        <v>Travel transportation</v>
      </c>
      <c r="K885" t="str">
        <f ca="1"/>
        <v>.</v>
      </c>
      <c r="L885" s="137" t="s">
        <v>2018</v>
      </c>
      <c r="M885">
        <f t="shared" ca="1" si="27"/>
        <v>61.5</v>
      </c>
      <c r="N885" t="str">
        <f t="shared" ca="1" si="28"/>
        <v xml:space="preserve">Manuel Caldera Urcuyo UBER *TRIP HELP.UBER.C CMX           MEX Uber Sales Travel transportation . </v>
      </c>
    </row>
    <row r="886" spans="1:14">
      <c r="A886" t="str">
        <f ca="1"/>
        <v>TRX1771</v>
      </c>
      <c r="B886" t="str">
        <f ca="1"/>
        <v>#75</v>
      </c>
      <c r="C886">
        <f ca="1"/>
        <v>46067.416666666599</v>
      </c>
      <c r="D886">
        <f ca="1"/>
        <v>20</v>
      </c>
      <c r="E886" t="str">
        <f ca="1"/>
        <v>MXN</v>
      </c>
      <c r="F886" t="str">
        <f ca="1"/>
        <v>Manuel Caldera Urcuyo</v>
      </c>
      <c r="G886" t="str">
        <f ca="1"/>
        <v>UBER *TRIP HELP.UBER.C CMX           MEX</v>
      </c>
      <c r="H886" t="str">
        <f ca="1"/>
        <v>Uber</v>
      </c>
      <c r="I886" t="str">
        <f ca="1"/>
        <v>Sales</v>
      </c>
      <c r="J886" t="str">
        <f ca="1"/>
        <v>Travel meal</v>
      </c>
      <c r="K886" t="str">
        <f ca="1"/>
        <v>.</v>
      </c>
      <c r="L886" s="137" t="s">
        <v>2018</v>
      </c>
      <c r="M886">
        <f t="shared" ca="1" si="27"/>
        <v>20</v>
      </c>
      <c r="N886" t="str">
        <f t="shared" ca="1" si="28"/>
        <v xml:space="preserve">Manuel Caldera Urcuyo UBER *TRIP HELP.UBER.C CMX           MEX Uber Sales Travel meal . </v>
      </c>
    </row>
    <row r="887" spans="1:14">
      <c r="A887" t="str">
        <f ca="1"/>
        <v>TRX1704</v>
      </c>
      <c r="B887" t="str">
        <f ca="1"/>
        <v>-</v>
      </c>
      <c r="C887">
        <f ca="1"/>
        <v>46067.416666666599</v>
      </c>
      <c r="D887">
        <f ca="1"/>
        <v>230</v>
      </c>
      <c r="E887" t="str">
        <f ca="1"/>
        <v>MXN</v>
      </c>
      <c r="F887" t="str">
        <f ca="1"/>
        <v>Manuel Caldera Urcuyo</v>
      </c>
      <c r="G887" t="str">
        <f ca="1"/>
        <v>MERCADOPAGO *TACOSLO   Miguel Hidalg MEX</v>
      </c>
      <c r="H887" t="str">
        <f ca="1"/>
        <v>Mercadopago</v>
      </c>
      <c r="I887" t="str">
        <f ca="1"/>
        <v>Sales</v>
      </c>
      <c r="J887" t="str">
        <f ca="1"/>
        <v>Travel transportation</v>
      </c>
      <c r="K887" t="str">
        <f ca="1"/>
        <v>.</v>
      </c>
      <c r="L887" t="str">
        <f ca="1">VLOOKUP(B887,[1]Total!$B:$Q,16,0)</f>
        <v>603.81.006 Gastos Administativos de venta</v>
      </c>
      <c r="M887">
        <f t="shared" ca="1" si="27"/>
        <v>230</v>
      </c>
      <c r="N887" t="str">
        <f t="shared" ca="1" si="28"/>
        <v xml:space="preserve">Manuel Caldera Urcuyo MERCADOPAGO *TACOSLO   Miguel Hidalg MEX Mercadopago Sales Travel transportation . </v>
      </c>
    </row>
    <row r="888" spans="1:14">
      <c r="A888" t="str">
        <f ca="1"/>
        <v>TRX1961</v>
      </c>
      <c r="B888" t="str">
        <f ca="1"/>
        <v>#75</v>
      </c>
      <c r="C888">
        <f ca="1"/>
        <v>46067.417361111096</v>
      </c>
      <c r="D888">
        <f ca="1"/>
        <v>678.5</v>
      </c>
      <c r="E888" t="str">
        <f ca="1"/>
        <v>MXN</v>
      </c>
      <c r="F888" t="str">
        <f ca="1"/>
        <v>Manuel Caldera Urcuyo</v>
      </c>
      <c r="G888" t="str">
        <f ca="1"/>
        <v>FOUGASSE PRADO NORTE 1 CIUDAD DE MEX MEX</v>
      </c>
      <c r="H888" t="str">
        <f ca="1"/>
        <v>Fougasse Prado Norte 1 Ciudad De Mex Mex</v>
      </c>
      <c r="I888" t="str">
        <f ca="1"/>
        <v>Sales</v>
      </c>
      <c r="J888" t="str">
        <f ca="1"/>
        <v>Travel meal</v>
      </c>
      <c r="K888" t="str">
        <f ca="1"/>
        <v>.</v>
      </c>
      <c r="L888" s="137" t="s">
        <v>2018</v>
      </c>
      <c r="M888">
        <f t="shared" ca="1" si="27"/>
        <v>678.5</v>
      </c>
      <c r="N888" t="str">
        <f t="shared" ca="1" si="28"/>
        <v xml:space="preserve">Manuel Caldera Urcuyo FOUGASSE PRADO NORTE 1 CIUDAD DE MEX MEX Fougasse Prado Norte 1 Ciudad De Mex Mex Sales Travel meal . </v>
      </c>
    </row>
    <row r="889" spans="1:14">
      <c r="A889" t="str">
        <f ca="1"/>
        <v>TRX1293</v>
      </c>
      <c r="B889" t="str">
        <f ca="1"/>
        <v>-</v>
      </c>
      <c r="C889">
        <f ca="1"/>
        <v>46068.416666666599</v>
      </c>
      <c r="D889">
        <f ca="1"/>
        <v>49.98</v>
      </c>
      <c r="E889" t="str">
        <f ca="1"/>
        <v>MXN</v>
      </c>
      <c r="F889" t="str">
        <f ca="1"/>
        <v>Manuel Caldera Urcuyo</v>
      </c>
      <c r="G889" t="str">
        <f ca="1"/>
        <v>UBER * PENDING         CMX           MEX</v>
      </c>
      <c r="H889" t="str">
        <f ca="1"/>
        <v>Uber</v>
      </c>
      <c r="I889" t="str">
        <f ca="1"/>
        <v>Sales</v>
      </c>
      <c r="J889" t="str">
        <f ca="1"/>
        <v>Hotel</v>
      </c>
      <c r="K889" t="str">
        <f ca="1"/>
        <v>.</v>
      </c>
      <c r="L889" t="str">
        <f ca="1">VLOOKUP(B889,[1]Total!$B:$Q,16,0)</f>
        <v>603.81.006 Gastos Administativos de venta</v>
      </c>
      <c r="M889">
        <f t="shared" ca="1" si="27"/>
        <v>49.98</v>
      </c>
      <c r="N889" t="str">
        <f t="shared" ca="1" si="28"/>
        <v xml:space="preserve">Manuel Caldera Urcuyo UBER * PENDING         CMX           MEX Uber Sales Hotel . </v>
      </c>
    </row>
    <row r="890" spans="1:14">
      <c r="A890" t="str">
        <f ca="1"/>
        <v>TRX1499</v>
      </c>
      <c r="B890" t="str">
        <f ca="1"/>
        <v>#75</v>
      </c>
      <c r="C890">
        <f ca="1"/>
        <v>46068.416666666599</v>
      </c>
      <c r="D890">
        <f ca="1"/>
        <v>20</v>
      </c>
      <c r="E890" t="str">
        <f ca="1"/>
        <v>MXN</v>
      </c>
      <c r="F890" t="str">
        <f ca="1"/>
        <v>Manuel Caldera Urcuyo</v>
      </c>
      <c r="G890" t="str">
        <f ca="1"/>
        <v>UBER *TRIP HELP.UBER.C CMX           MEX</v>
      </c>
      <c r="H890" t="str">
        <f ca="1"/>
        <v>Uber</v>
      </c>
      <c r="I890" t="str">
        <f ca="1"/>
        <v>Sales</v>
      </c>
      <c r="J890" t="str">
        <f ca="1"/>
        <v>Travel meal</v>
      </c>
      <c r="K890" t="str">
        <f ca="1"/>
        <v>.</v>
      </c>
      <c r="L890" s="137" t="s">
        <v>2018</v>
      </c>
      <c r="M890">
        <f t="shared" ca="1" si="27"/>
        <v>20</v>
      </c>
      <c r="N890" t="str">
        <f t="shared" ca="1" si="28"/>
        <v xml:space="preserve">Manuel Caldera Urcuyo UBER *TRIP HELP.UBER.C CMX           MEX Uber Sales Travel meal . </v>
      </c>
    </row>
    <row r="891" spans="1:14">
      <c r="A891" t="str">
        <f ca="1"/>
        <v>TRX1476</v>
      </c>
      <c r="B891" t="str">
        <f ca="1"/>
        <v>-</v>
      </c>
      <c r="C891">
        <f ca="1"/>
        <v>46068.416666666599</v>
      </c>
      <c r="D891">
        <f ca="1"/>
        <v>299.99</v>
      </c>
      <c r="E891" t="str">
        <f ca="1"/>
        <v>MXN</v>
      </c>
      <c r="F891" t="str">
        <f ca="1"/>
        <v>Manuel Caldera Urcuyo</v>
      </c>
      <c r="G891" t="str">
        <f ca="1"/>
        <v>UBER * PENDING         CMX           MEX</v>
      </c>
      <c r="H891" t="str">
        <f ca="1"/>
        <v>Uber</v>
      </c>
      <c r="I891" t="str">
        <f ca="1"/>
        <v>Sales</v>
      </c>
      <c r="J891" t="str">
        <f ca="1"/>
        <v>Prima office in Houston</v>
      </c>
      <c r="K891" t="str">
        <f ca="1"/>
        <v>.</v>
      </c>
      <c r="L891" t="str">
        <f ca="1">VLOOKUP(B891,[1]Total!$B:$Q,16,0)</f>
        <v>603.81.006 Gastos Administativos de venta</v>
      </c>
      <c r="M891">
        <f t="shared" ca="1" si="27"/>
        <v>299.99</v>
      </c>
      <c r="N891" t="str">
        <f t="shared" ca="1" si="28"/>
        <v xml:space="preserve">Manuel Caldera Urcuyo UBER * PENDING         CMX           MEX Uber Sales Prima office in Houston . </v>
      </c>
    </row>
    <row r="892" spans="1:14">
      <c r="A892" t="str">
        <f ca="1"/>
        <v>TRX1417</v>
      </c>
      <c r="B892" t="str">
        <f ca="1"/>
        <v>#75</v>
      </c>
      <c r="C892">
        <f ca="1"/>
        <v>46068.416666666599</v>
      </c>
      <c r="D892">
        <f ca="1"/>
        <v>20</v>
      </c>
      <c r="E892" t="str">
        <f ca="1"/>
        <v>MXN</v>
      </c>
      <c r="F892" t="str">
        <f ca="1"/>
        <v>Manuel Caldera Urcuyo</v>
      </c>
      <c r="G892" t="str">
        <f ca="1"/>
        <v>UBER *TRIP HELP.UBER.C CMX           MEX</v>
      </c>
      <c r="H892" t="str">
        <f ca="1"/>
        <v>Uber</v>
      </c>
      <c r="I892" t="str">
        <f ca="1"/>
        <v>Sales</v>
      </c>
      <c r="J892" t="str">
        <f ca="1"/>
        <v>Travel meal</v>
      </c>
      <c r="K892" t="str">
        <f ca="1"/>
        <v>.</v>
      </c>
      <c r="L892" s="137" t="s">
        <v>2018</v>
      </c>
      <c r="M892">
        <f t="shared" ca="1" si="27"/>
        <v>20</v>
      </c>
      <c r="N892" t="str">
        <f t="shared" ca="1" si="28"/>
        <v xml:space="preserve">Manuel Caldera Urcuyo UBER *TRIP HELP.UBER.C CMX           MEX Uber Sales Travel meal . </v>
      </c>
    </row>
    <row r="893" spans="1:14">
      <c r="A893" t="str">
        <f ca="1"/>
        <v>TRX1150</v>
      </c>
      <c r="B893" t="str">
        <f ca="1"/>
        <v>-</v>
      </c>
      <c r="C893">
        <f ca="1"/>
        <v>46068.416666666599</v>
      </c>
      <c r="D893">
        <f ca="1"/>
        <v>20</v>
      </c>
      <c r="E893" t="str">
        <f ca="1"/>
        <v>MXN</v>
      </c>
      <c r="F893" t="str">
        <f ca="1"/>
        <v>Manuel Caldera Urcuyo</v>
      </c>
      <c r="G893" t="str">
        <f ca="1"/>
        <v>DLO*Uber               CDMX          MEX</v>
      </c>
      <c r="H893" t="str">
        <f ca="1"/>
        <v>Uber</v>
      </c>
      <c r="I893" t="str">
        <f ca="1"/>
        <v>Sales</v>
      </c>
      <c r="J893" t="str">
        <f ca="1"/>
        <v>Hotel</v>
      </c>
      <c r="K893" t="str">
        <f ca="1"/>
        <v>.</v>
      </c>
      <c r="L893" t="str">
        <f ca="1">VLOOKUP(B893,[1]Total!$B:$Q,16,0)</f>
        <v>603.81.006 Gastos Administativos de venta</v>
      </c>
      <c r="M893">
        <f t="shared" ca="1" si="27"/>
        <v>20</v>
      </c>
      <c r="N893" t="str">
        <f t="shared" ca="1" si="28"/>
        <v xml:space="preserve">Manuel Caldera Urcuyo DLO*Uber               CDMX          MEX Uber Sales Hotel . </v>
      </c>
    </row>
    <row r="894" spans="1:14">
      <c r="A894" t="str">
        <f ca="1"/>
        <v>TRX1288</v>
      </c>
      <c r="B894" t="str">
        <f ca="1"/>
        <v>-</v>
      </c>
      <c r="C894">
        <f ca="1"/>
        <v>46068.417361111096</v>
      </c>
      <c r="D894">
        <f ca="1"/>
        <v>1317.12</v>
      </c>
      <c r="E894" t="str">
        <f ca="1"/>
        <v>USD</v>
      </c>
      <c r="F894" t="str">
        <f ca="1"/>
        <v>Manuel Caldera Urcuyo</v>
      </c>
      <c r="G894" t="str">
        <f ca="1"/>
        <v>UBER   *TRIP           SAN FRANCISCO USA</v>
      </c>
      <c r="H894" t="str">
        <f ca="1"/>
        <v>Uber</v>
      </c>
      <c r="I894" t="str">
        <f ca="1"/>
        <v>Sales</v>
      </c>
      <c r="J894" t="str">
        <f ca="1"/>
        <v>Travel meal</v>
      </c>
      <c r="K894" t="str">
        <f ca="1"/>
        <v>.</v>
      </c>
      <c r="L894" t="str">
        <f ca="1">VLOOKUP(B894,[1]Total!$B:$Q,16,0)</f>
        <v>603.81.006 Gastos Administativos de venta</v>
      </c>
      <c r="M894">
        <f t="shared" ca="1" si="27"/>
        <v>1317.12</v>
      </c>
      <c r="N894" t="str">
        <f t="shared" ca="1" si="28"/>
        <v xml:space="preserve">Manuel Caldera Urcuyo UBER   *TRIP           SAN FRANCISCO USA Uber Sales Travel meal . </v>
      </c>
    </row>
    <row r="895" spans="1:14">
      <c r="A895" t="str">
        <f ca="1"/>
        <v>TRX1042</v>
      </c>
      <c r="B895" t="str">
        <f ca="1"/>
        <v>#75</v>
      </c>
      <c r="C895">
        <f ca="1"/>
        <v>46074.418055555499</v>
      </c>
      <c r="D895">
        <f ca="1"/>
        <v>359.9</v>
      </c>
      <c r="E895" t="str">
        <f ca="1"/>
        <v>USD</v>
      </c>
      <c r="F895" t="str">
        <f ca="1"/>
        <v>Manuel Caldera Urcuyo</v>
      </c>
      <c r="G895" t="str">
        <f ca="1"/>
        <v>THE UPS STORE 1733     HOUSTON       USA</v>
      </c>
      <c r="H895" t="str">
        <f ca="1"/>
        <v>UPS</v>
      </c>
      <c r="I895" t="str">
        <f ca="1"/>
        <v>Sales</v>
      </c>
      <c r="J895" t="str">
        <f ca="1"/>
        <v>Hotel</v>
      </c>
      <c r="K895" t="str">
        <f ca="1"/>
        <v>.</v>
      </c>
      <c r="L895" s="137" t="s">
        <v>2018</v>
      </c>
      <c r="M895">
        <f t="shared" ca="1" si="27"/>
        <v>359.9</v>
      </c>
      <c r="N895" t="str">
        <f t="shared" ca="1" si="28"/>
        <v xml:space="preserve">Manuel Caldera Urcuyo THE UPS STORE 1733     HOUSTON       USA UPS Sales Hotel . </v>
      </c>
    </row>
    <row r="896" spans="1:14">
      <c r="A896" t="str">
        <f ca="1"/>
        <v>TRX1086</v>
      </c>
      <c r="B896" t="str">
        <f ca="1"/>
        <v>#75</v>
      </c>
      <c r="C896">
        <f ca="1"/>
        <v>46075.417361111096</v>
      </c>
      <c r="D896">
        <f ca="1"/>
        <v>7774.91</v>
      </c>
      <c r="E896" t="str">
        <f ca="1"/>
        <v>USD</v>
      </c>
      <c r="F896" t="str">
        <f ca="1"/>
        <v>Manuel Caldera Urcuyo</v>
      </c>
      <c r="G896" t="str">
        <f ca="1"/>
        <v>SPIRIT AIR ONLINE SALE MIRAMAR       USA</v>
      </c>
      <c r="H896" t="str">
        <f ca="1"/>
        <v>Spirit Airlines</v>
      </c>
      <c r="I896" t="str">
        <f ca="1"/>
        <v>Sales</v>
      </c>
      <c r="J896" t="str">
        <f ca="1"/>
        <v>Travel transportation</v>
      </c>
      <c r="K896" t="str">
        <f ca="1"/>
        <v>.</v>
      </c>
      <c r="L896" s="137" t="s">
        <v>2018</v>
      </c>
      <c r="M896">
        <f t="shared" ca="1" si="27"/>
        <v>7774.91</v>
      </c>
      <c r="N896" t="str">
        <f t="shared" ca="1" si="28"/>
        <v xml:space="preserve">Manuel Caldera Urcuyo SPIRIT AIR ONLINE SALE MIRAMAR       USA Spirit Airlines Sales Travel transportation . </v>
      </c>
    </row>
    <row r="897" spans="1:14">
      <c r="A897" t="str">
        <f ca="1"/>
        <v>TRX1087</v>
      </c>
      <c r="B897" t="str">
        <f ca="1"/>
        <v>#75</v>
      </c>
      <c r="C897">
        <f ca="1"/>
        <v>46075.417361111096</v>
      </c>
      <c r="D897">
        <f ca="1"/>
        <v>10827.55</v>
      </c>
      <c r="E897" t="str">
        <f ca="1"/>
        <v>USD</v>
      </c>
      <c r="F897" t="str">
        <f ca="1"/>
        <v>Manuel Caldera Urcuyo</v>
      </c>
      <c r="G897" t="str">
        <f ca="1"/>
        <v>SPIRIT AIR ONLINE SALE MIRAMAR       USA</v>
      </c>
      <c r="H897" t="str">
        <f ca="1"/>
        <v>Spirit Airlines</v>
      </c>
      <c r="I897" t="str">
        <f ca="1"/>
        <v>Sales</v>
      </c>
      <c r="J897">
        <f ca="1"/>
        <v>0</v>
      </c>
      <c r="K897" t="str">
        <f ca="1"/>
        <v>.</v>
      </c>
      <c r="L897" s="137" t="s">
        <v>2018</v>
      </c>
      <c r="M897">
        <f t="shared" ca="1" si="27"/>
        <v>10827.55</v>
      </c>
      <c r="N897" t="str">
        <f t="shared" ca="1" si="28"/>
        <v xml:space="preserve">Manuel Caldera Urcuyo SPIRIT AIR ONLINE SALE MIRAMAR       USA Spirit Airlines Sales 0 . </v>
      </c>
    </row>
    <row r="898" spans="1:14">
      <c r="A898" t="str">
        <f ca="1"/>
        <v>TRX1089</v>
      </c>
      <c r="B898" t="str">
        <f ca="1"/>
        <v>#75</v>
      </c>
      <c r="C898">
        <f ca="1"/>
        <v>46075.417361111096</v>
      </c>
      <c r="D898">
        <f ca="1"/>
        <v>719.78</v>
      </c>
      <c r="E898" t="str">
        <f ca="1"/>
        <v>USD</v>
      </c>
      <c r="F898" t="str">
        <f ca="1"/>
        <v>Manuel Caldera Urcuyo</v>
      </c>
      <c r="G898" t="str">
        <f ca="1"/>
        <v>CIRCLE K #2742588      HOUSTON       USA</v>
      </c>
      <c r="H898" t="str">
        <f ca="1"/>
        <v>Circle K</v>
      </c>
      <c r="I898" t="str">
        <f ca="1"/>
        <v>Sales</v>
      </c>
      <c r="J898">
        <f ca="1"/>
        <v>0</v>
      </c>
      <c r="K898" t="str">
        <f ca="1"/>
        <v>.</v>
      </c>
      <c r="L898" s="137" t="s">
        <v>2018</v>
      </c>
      <c r="M898">
        <f t="shared" ca="1" si="27"/>
        <v>719.78</v>
      </c>
      <c r="N898" t="str">
        <f t="shared" ca="1" si="28"/>
        <v xml:space="preserve">Manuel Caldera Urcuyo CIRCLE K #2742588      HOUSTON       USA Circle K Sales 0 . </v>
      </c>
    </row>
    <row r="899" spans="1:14">
      <c r="A899" t="str">
        <f ca="1"/>
        <v>TRX1172</v>
      </c>
      <c r="B899" t="str">
        <f ca="1"/>
        <v>#75</v>
      </c>
      <c r="C899">
        <f ca="1"/>
        <v>46078.417361111096</v>
      </c>
      <c r="D899">
        <f ca="1"/>
        <v>3376.73</v>
      </c>
      <c r="E899" t="str">
        <f ca="1"/>
        <v>USD</v>
      </c>
      <c r="F899" t="str">
        <f ca="1"/>
        <v>Manuel Caldera Urcuyo</v>
      </c>
      <c r="G899" t="str">
        <f ca="1"/>
        <v>PAPPASITO'S CANTINA 32 HOUSTON       USA</v>
      </c>
      <c r="H899" t="str">
        <f ca="1"/>
        <v>Pappasito's Cantina</v>
      </c>
      <c r="I899" t="str">
        <f ca="1"/>
        <v>Sales</v>
      </c>
      <c r="J899">
        <f ca="1"/>
        <v>0</v>
      </c>
      <c r="K899" t="str">
        <f ca="1"/>
        <v>.</v>
      </c>
      <c r="L899" s="137" t="s">
        <v>2018</v>
      </c>
      <c r="M899">
        <f t="shared" ref="M899:M962" ca="1" si="29">D899</f>
        <v>3376.73</v>
      </c>
      <c r="N899" t="str">
        <f t="shared" ref="N899:N962" ca="1" si="30">CONCATENATE(F899," ",G899," ",H899," ",I899," ",J899," ",K899," ")</f>
        <v xml:space="preserve">Manuel Caldera Urcuyo PAPPASITO'S CANTINA 32 HOUSTON       USA Pappasito's Cantina Sales 0 . </v>
      </c>
    </row>
    <row r="900" spans="1:14">
      <c r="A900" t="str">
        <f ca="1"/>
        <v>TRX1238</v>
      </c>
      <c r="B900" t="str">
        <f ca="1"/>
        <v>#75</v>
      </c>
      <c r="C900">
        <f ca="1"/>
        <v>46080.417361111096</v>
      </c>
      <c r="D900">
        <f ca="1"/>
        <v>609.29999999999995</v>
      </c>
      <c r="E900" t="str">
        <f ca="1"/>
        <v>USD</v>
      </c>
      <c r="F900" t="str">
        <f ca="1"/>
        <v>Manuel Caldera Urcuyo</v>
      </c>
      <c r="G900" t="str">
        <f ca="1"/>
        <v>UBER   *TRIP           SAN FRANCISCO USA</v>
      </c>
      <c r="H900" t="str">
        <f ca="1"/>
        <v>Uber</v>
      </c>
      <c r="I900" t="str">
        <f ca="1"/>
        <v>Sales</v>
      </c>
      <c r="J900">
        <f ca="1"/>
        <v>0</v>
      </c>
      <c r="K900" t="str">
        <f ca="1"/>
        <v>.</v>
      </c>
      <c r="L900" s="137" t="s">
        <v>2018</v>
      </c>
      <c r="M900">
        <f t="shared" ca="1" si="29"/>
        <v>609.29999999999995</v>
      </c>
      <c r="N900" t="str">
        <f t="shared" ca="1" si="30"/>
        <v xml:space="preserve">Manuel Caldera Urcuyo UBER   *TRIP           SAN FRANCISCO USA Uber Sales 0 . </v>
      </c>
    </row>
    <row r="901" spans="1:14">
      <c r="A901" t="str">
        <f ca="1"/>
        <v>TRX1241</v>
      </c>
      <c r="B901" t="str">
        <f ca="1"/>
        <v>#75</v>
      </c>
      <c r="C901">
        <f ca="1"/>
        <v>46080.417361111096</v>
      </c>
      <c r="D901">
        <f ca="1"/>
        <v>848.13</v>
      </c>
      <c r="E901" t="str">
        <f ca="1"/>
        <v>USD</v>
      </c>
      <c r="F901" t="str">
        <f ca="1"/>
        <v>Manuel Caldera Urcuyo</v>
      </c>
      <c r="G901" t="str">
        <f ca="1"/>
        <v>UBER   *TRIP           SAN FRANCISCO USA</v>
      </c>
      <c r="H901" t="str">
        <f ca="1"/>
        <v>Uber</v>
      </c>
      <c r="I901">
        <f ca="1"/>
        <v>0</v>
      </c>
      <c r="J901">
        <f ca="1"/>
        <v>0</v>
      </c>
      <c r="K901" t="str">
        <f ca="1"/>
        <v>.</v>
      </c>
      <c r="L901" s="137" t="s">
        <v>2018</v>
      </c>
      <c r="M901">
        <f t="shared" ca="1" si="29"/>
        <v>848.13</v>
      </c>
      <c r="N901" t="str">
        <f t="shared" ca="1" si="30"/>
        <v xml:space="preserve">Manuel Caldera Urcuyo UBER   *TRIP           SAN FRANCISCO USA Uber 0 0 . </v>
      </c>
    </row>
    <row r="902" spans="1:14">
      <c r="A902" t="str">
        <f ca="1"/>
        <v>TRX1242</v>
      </c>
      <c r="B902" t="str">
        <f ca="1"/>
        <v>#75</v>
      </c>
      <c r="C902">
        <f ca="1"/>
        <v>46080.417361111096</v>
      </c>
      <c r="D902">
        <f ca="1"/>
        <v>787.87</v>
      </c>
      <c r="E902" t="str">
        <f ca="1"/>
        <v>USD</v>
      </c>
      <c r="F902" t="str">
        <f ca="1"/>
        <v>Manuel Caldera Urcuyo</v>
      </c>
      <c r="G902" t="str">
        <f ca="1"/>
        <v>UBER   *TRIP           SAN FRANCISCO USA</v>
      </c>
      <c r="H902" t="str">
        <f ca="1"/>
        <v>Uber</v>
      </c>
      <c r="I902">
        <f ca="1"/>
        <v>0</v>
      </c>
      <c r="J902">
        <f ca="1"/>
        <v>0</v>
      </c>
      <c r="K902" t="str">
        <f ca="1"/>
        <v>.</v>
      </c>
      <c r="L902" s="137" t="s">
        <v>2018</v>
      </c>
      <c r="M902">
        <f t="shared" ca="1" si="29"/>
        <v>787.87</v>
      </c>
      <c r="N902" t="str">
        <f t="shared" ca="1" si="30"/>
        <v xml:space="preserve">Manuel Caldera Urcuyo UBER   *TRIP           SAN FRANCISCO USA Uber 0 0 . </v>
      </c>
    </row>
    <row r="903" spans="1:14">
      <c r="A903" t="str">
        <f ca="1"/>
        <v>TRX1278</v>
      </c>
      <c r="B903" t="str">
        <f ca="1"/>
        <v>#75</v>
      </c>
      <c r="C903">
        <f ca="1"/>
        <v>46081.417361111096</v>
      </c>
      <c r="D903">
        <f ca="1"/>
        <v>90.06</v>
      </c>
      <c r="E903" t="str">
        <f ca="1"/>
        <v>USD</v>
      </c>
      <c r="F903" t="str">
        <f ca="1"/>
        <v>Manuel Caldera Urcuyo</v>
      </c>
      <c r="G903" t="str">
        <f ca="1"/>
        <v>UBER   *TRIP           SAN FRANCISCO USA</v>
      </c>
      <c r="H903" t="str">
        <f ca="1"/>
        <v>Uber</v>
      </c>
      <c r="I903">
        <f ca="1"/>
        <v>0</v>
      </c>
      <c r="J903">
        <f ca="1"/>
        <v>0</v>
      </c>
      <c r="K903" t="str">
        <f ca="1"/>
        <v>.</v>
      </c>
      <c r="L903" s="137" t="s">
        <v>2018</v>
      </c>
      <c r="M903">
        <f t="shared" ca="1" si="29"/>
        <v>90.06</v>
      </c>
      <c r="N903" t="str">
        <f t="shared" ca="1" si="30"/>
        <v xml:space="preserve">Manuel Caldera Urcuyo UBER   *TRIP           SAN FRANCISCO USA Uber 0 0 . </v>
      </c>
    </row>
    <row r="904" spans="1:14">
      <c r="A904" t="str">
        <f ca="1"/>
        <v>TRX1281</v>
      </c>
      <c r="B904" t="str">
        <f ca="1"/>
        <v>#75</v>
      </c>
      <c r="C904">
        <f ca="1"/>
        <v>46081.417361111096</v>
      </c>
      <c r="D904">
        <f ca="1"/>
        <v>972.41</v>
      </c>
      <c r="E904" t="str">
        <f ca="1"/>
        <v>USD</v>
      </c>
      <c r="F904" t="str">
        <f ca="1"/>
        <v>Manuel Caldera Urcuyo</v>
      </c>
      <c r="G904" t="str">
        <f ca="1"/>
        <v>UBER   * PENDING       SAN FRANCISCO USA</v>
      </c>
      <c r="H904" t="str">
        <f ca="1"/>
        <v>Uber</v>
      </c>
      <c r="I904">
        <f ca="1"/>
        <v>0</v>
      </c>
      <c r="J904">
        <f ca="1"/>
        <v>0</v>
      </c>
      <c r="K904" t="str">
        <f ca="1"/>
        <v>.</v>
      </c>
      <c r="L904" s="137" t="s">
        <v>2018</v>
      </c>
      <c r="M904">
        <f t="shared" ca="1" si="29"/>
        <v>972.41</v>
      </c>
      <c r="N904" t="str">
        <f t="shared" ca="1" si="30"/>
        <v xml:space="preserve">Manuel Caldera Urcuyo UBER   * PENDING       SAN FRANCISCO USA Uber 0 0 . </v>
      </c>
    </row>
    <row r="905" spans="1:14" hidden="1">
      <c r="A905" t="str">
        <f ca="1"/>
        <v>#N/A</v>
      </c>
      <c r="B905">
        <f ca="1"/>
        <v>0</v>
      </c>
      <c r="C905">
        <f ca="1"/>
        <v>0</v>
      </c>
      <c r="D905" t="str">
        <f ca="1"/>
        <v>#N/A</v>
      </c>
      <c r="E905" t="str">
        <f ca="1"/>
        <v>#N/A</v>
      </c>
      <c r="F905" t="str">
        <f ca="1"/>
        <v>#N/A</v>
      </c>
      <c r="G905" t="str">
        <f ca="1"/>
        <v>#N/A</v>
      </c>
      <c r="H905">
        <f ca="1"/>
        <v>0</v>
      </c>
      <c r="I905" t="str">
        <f ca="1"/>
        <v/>
      </c>
      <c r="J905">
        <f ca="1"/>
        <v>0</v>
      </c>
      <c r="K905" t="str">
        <f ca="1"/>
        <v>.</v>
      </c>
      <c r="L905" t="e">
        <f ca="1">VLOOKUP(B905,[1]Total!$B:$Q,16,0)</f>
        <v>#N/A</v>
      </c>
      <c r="M905" t="str">
        <f t="shared" ca="1" si="29"/>
        <v>#N/A</v>
      </c>
      <c r="N905" t="str">
        <f t="shared" ca="1" si="30"/>
        <v xml:space="preserve">#N/A #N/A 0  0 . </v>
      </c>
    </row>
    <row r="906" spans="1:14">
      <c r="A906" t="str">
        <f ca="1"/>
        <v>TRX1257</v>
      </c>
      <c r="B906" t="str">
        <f ca="1"/>
        <v>-</v>
      </c>
      <c r="C906">
        <f ca="1"/>
        <v>46058.416666666599</v>
      </c>
      <c r="D906">
        <f ca="1"/>
        <v>89.94</v>
      </c>
      <c r="E906" t="str">
        <f ca="1"/>
        <v>MXN</v>
      </c>
      <c r="F906" t="str">
        <f ca="1"/>
        <v>Naomi Gonzalez</v>
      </c>
      <c r="G906" t="str">
        <f ca="1"/>
        <v>UBER * PENDING         CMX           MEX</v>
      </c>
      <c r="H906" t="str">
        <f ca="1"/>
        <v>Uber</v>
      </c>
      <c r="I906" t="str">
        <f ca="1"/>
        <v>Transaction cost</v>
      </c>
      <c r="J906" t="str">
        <f ca="1"/>
        <v xml:space="preserve">PO-1953 Envio de muestras </v>
      </c>
      <c r="K906" t="str">
        <f ca="1"/>
        <v>No puede generar la factura</v>
      </c>
      <c r="L906" t="str">
        <f ca="1">VLOOKUP(B906,[1]Total!$B:$Q,16,0)</f>
        <v>603.81.006 Gastos Administativos de venta</v>
      </c>
      <c r="M906">
        <f t="shared" ca="1" si="29"/>
        <v>89.94</v>
      </c>
      <c r="N906" t="str">
        <f t="shared" ca="1" si="30"/>
        <v xml:space="preserve">Naomi Gonzalez UBER * PENDING         CMX           MEX Uber Transaction cost PO-1953 Envio de muestras  No puede generar la factura </v>
      </c>
    </row>
    <row r="907" spans="1:14">
      <c r="A907" t="str">
        <f ca="1"/>
        <v>TRX1220</v>
      </c>
      <c r="B907" t="str">
        <f ca="1"/>
        <v>-</v>
      </c>
      <c r="C907">
        <f ca="1"/>
        <v>46058.417361111096</v>
      </c>
      <c r="D907">
        <f ca="1"/>
        <v>446</v>
      </c>
      <c r="E907" t="str">
        <f ca="1"/>
        <v>MXN</v>
      </c>
      <c r="F907" t="str">
        <f ca="1"/>
        <v>Naomi Gonzalez</v>
      </c>
      <c r="G907" t="str">
        <f ca="1"/>
        <v>CLIP MX*REST SHAKA 808 MIGUEL HIDALG MEX</v>
      </c>
      <c r="H907" t="str">
        <f ca="1"/>
        <v>Clip Mx Rest Shaka 808 Miguel Hidalg Mex</v>
      </c>
      <c r="I907" t="str">
        <f ca="1"/>
        <v>Transaction cost</v>
      </c>
      <c r="J907" t="str">
        <f ca="1"/>
        <v xml:space="preserve">PO-1953 Comida 2 personas </v>
      </c>
      <c r="K907">
        <f ca="1"/>
        <v>1823</v>
      </c>
      <c r="L907" t="str">
        <f ca="1">VLOOKUP(B907,[1]Total!$B:$Q,16,0)</f>
        <v>603.81.006 Gastos Administativos de venta</v>
      </c>
      <c r="M907">
        <f t="shared" ca="1" si="29"/>
        <v>446</v>
      </c>
      <c r="N907" t="str">
        <f t="shared" ca="1" si="30"/>
        <v xml:space="preserve">Naomi Gonzalez CLIP MX*REST SHAKA 808 MIGUEL HIDALG MEX Clip Mx Rest Shaka 808 Miguel Hidalg Mex Transaction cost PO-1953 Comida 2 personas  1823 </v>
      </c>
    </row>
    <row r="908" spans="1:14">
      <c r="A908" t="str">
        <f ca="1"/>
        <v>TRX1229</v>
      </c>
      <c r="B908" t="str">
        <f ca="1"/>
        <v>-</v>
      </c>
      <c r="C908">
        <f ca="1"/>
        <v>46067.416666666599</v>
      </c>
      <c r="D908">
        <f ca="1"/>
        <v>79.959999999999994</v>
      </c>
      <c r="E908" t="str">
        <f ca="1"/>
        <v>MXN</v>
      </c>
      <c r="F908" t="str">
        <f ca="1"/>
        <v>Naomi Gonzalez</v>
      </c>
      <c r="G908" t="str">
        <f ca="1"/>
        <v>UBER * PENDING         CMX           MEX</v>
      </c>
      <c r="H908" t="str">
        <f ca="1"/>
        <v>Uber</v>
      </c>
      <c r="I908" t="str">
        <f ca="1"/>
        <v>Transaction cost</v>
      </c>
      <c r="J908" t="str">
        <f ca="1"/>
        <v xml:space="preserve">PO-1953 Envio de muestras </v>
      </c>
      <c r="K908" t="str">
        <f ca="1"/>
        <v>TER-143365272</v>
      </c>
      <c r="L908" t="str">
        <f ca="1">VLOOKUP(B908,[1]Total!$B:$Q,16,0)</f>
        <v>603.81.006 Gastos Administativos de venta</v>
      </c>
      <c r="M908">
        <f t="shared" ca="1" si="29"/>
        <v>79.959999999999994</v>
      </c>
      <c r="N908" t="str">
        <f t="shared" ca="1" si="30"/>
        <v xml:space="preserve">Naomi Gonzalez UBER * PENDING         CMX           MEX Uber Transaction cost PO-1953 Envio de muestras  TER-143365272 </v>
      </c>
    </row>
    <row r="909" spans="1:14">
      <c r="A909" t="str">
        <f ca="1"/>
        <v>TRX1392</v>
      </c>
      <c r="B909" t="str">
        <f ca="1"/>
        <v>-</v>
      </c>
      <c r="C909">
        <f ca="1"/>
        <v>46069.416666666599</v>
      </c>
      <c r="D909">
        <f ca="1"/>
        <v>139</v>
      </c>
      <c r="E909" t="str">
        <f ca="1"/>
        <v>MXN</v>
      </c>
      <c r="F909" t="str">
        <f ca="1"/>
        <v>Naomi Gonzalez</v>
      </c>
      <c r="G909" t="str">
        <f ca="1"/>
        <v>OFFICE DEPOT MIYANA    CIUDAD DE MEX MEX</v>
      </c>
      <c r="H909" t="str">
        <f ca="1"/>
        <v>Office Depot</v>
      </c>
      <c r="I909" t="str">
        <f ca="1"/>
        <v>Office expenses</v>
      </c>
      <c r="J909" t="str">
        <f ca="1"/>
        <v xml:space="preserve">PO-1953 Baterias para laser medición </v>
      </c>
      <c r="K909" t="str">
        <f ca="1"/>
        <v>POSE81725663</v>
      </c>
      <c r="L909" t="str">
        <f ca="1">VLOOKUP(B909,[1]Total!$B:$Q,16,0)</f>
        <v>603.81.006 Gastos Administativos de venta</v>
      </c>
      <c r="M909">
        <f t="shared" ca="1" si="29"/>
        <v>139</v>
      </c>
      <c r="N909" t="str">
        <f t="shared" ca="1" si="30"/>
        <v xml:space="preserve">Naomi Gonzalez OFFICE DEPOT MIYANA    CIUDAD DE MEX MEX Office Depot Office expenses PO-1953 Baterias para laser medición  POSE81725663 </v>
      </c>
    </row>
    <row r="910" spans="1:14">
      <c r="A910" t="str">
        <f ca="1"/>
        <v>TRX1886</v>
      </c>
      <c r="B910" t="str">
        <f ca="1"/>
        <v>-</v>
      </c>
      <c r="C910">
        <f ca="1"/>
        <v>46070.416666666599</v>
      </c>
      <c r="D910">
        <f ca="1"/>
        <v>182.74</v>
      </c>
      <c r="E910" t="str">
        <f ca="1"/>
        <v>MXN</v>
      </c>
      <c r="F910" t="str">
        <f ca="1"/>
        <v>Naomi Gonzalez</v>
      </c>
      <c r="G910" t="str">
        <f ca="1"/>
        <v>UBER * PENDING         CMX           MEX</v>
      </c>
      <c r="H910" t="str">
        <f ca="1"/>
        <v>Uber</v>
      </c>
      <c r="I910" t="str">
        <f ca="1"/>
        <v>Transaction cost</v>
      </c>
      <c r="J910" t="str">
        <f ca="1"/>
        <v>Cliente Potencial Traslado a terminal autobus</v>
      </c>
      <c r="K910" t="str">
        <f ca="1"/>
        <v>45679-0002648</v>
      </c>
      <c r="L910" t="str">
        <f ca="1">VLOOKUP(B910,[1]Total!$B:$Q,16,0)</f>
        <v>603.81.006 Gastos Administativos de venta</v>
      </c>
      <c r="M910">
        <f t="shared" ca="1" si="29"/>
        <v>182.74</v>
      </c>
      <c r="N910" t="str">
        <f t="shared" ca="1" si="30"/>
        <v xml:space="preserve">Naomi Gonzalez UBER * PENDING         CMX           MEX Uber Transaction cost Cliente Potencial Traslado a terminal autobus 45679-0002648 </v>
      </c>
    </row>
    <row r="911" spans="1:14">
      <c r="A911" t="str">
        <f ca="1"/>
        <v>TRX1510</v>
      </c>
      <c r="B911" t="str">
        <f ca="1"/>
        <v>-</v>
      </c>
      <c r="C911">
        <f ca="1"/>
        <v>46071.416666666599</v>
      </c>
      <c r="D911">
        <f ca="1"/>
        <v>178</v>
      </c>
      <c r="E911" t="str">
        <f ca="1"/>
        <v>MXN</v>
      </c>
      <c r="F911" t="str">
        <f ca="1"/>
        <v>Naomi Gonzalez</v>
      </c>
      <c r="G911" t="str">
        <f ca="1"/>
        <v>MERCADOPAGO *EBUS      Ciudad de Mex MEX</v>
      </c>
      <c r="H911" t="str">
        <f ca="1"/>
        <v>Mercadopago</v>
      </c>
      <c r="I911" t="str">
        <f ca="1"/>
        <v>Transaction cost</v>
      </c>
      <c r="J911" t="str">
        <f ca="1"/>
        <v xml:space="preserve">Cliente Potencial Bus a aeropuerto </v>
      </c>
      <c r="K911" t="str">
        <f ca="1"/>
        <v>TTPD-820280</v>
      </c>
      <c r="L911" t="str">
        <f ca="1">VLOOKUP(B911,[1]Total!$B:$Q,16,0)</f>
        <v>603.81.006 Gastos Administativos de venta</v>
      </c>
      <c r="M911">
        <f t="shared" ca="1" si="29"/>
        <v>178</v>
      </c>
      <c r="N911" t="str">
        <f t="shared" ca="1" si="30"/>
        <v xml:space="preserve">Naomi Gonzalez MERCADOPAGO *EBUS      Ciudad de Mex MEX Mercadopago Transaction cost Cliente Potencial Bus a aeropuerto  TTPD-820280 </v>
      </c>
    </row>
    <row r="912" spans="1:14">
      <c r="A912" t="str">
        <f ca="1"/>
        <v>TRX1897</v>
      </c>
      <c r="B912" t="str">
        <f ca="1"/>
        <v>-</v>
      </c>
      <c r="C912">
        <f ca="1"/>
        <v>46071.417361111096</v>
      </c>
      <c r="D912">
        <f ca="1"/>
        <v>25</v>
      </c>
      <c r="E912" t="str">
        <f ca="1"/>
        <v>MXN</v>
      </c>
      <c r="F912" t="str">
        <f ca="1"/>
        <v>Naomi Gonzalez</v>
      </c>
      <c r="G912" t="str">
        <f ca="1"/>
        <v>TELCEL RECARGAS FONY   CIUDAD DE MEX MEX</v>
      </c>
      <c r="H912" t="str">
        <f ca="1"/>
        <v>Telcel</v>
      </c>
      <c r="I912" t="str">
        <f ca="1"/>
        <v>Transaction cost</v>
      </c>
      <c r="J912">
        <f ca="1"/>
        <v>0</v>
      </c>
      <c r="K912" t="str">
        <f ca="1"/>
        <v>.</v>
      </c>
      <c r="L912" t="str">
        <f ca="1">VLOOKUP(B912,[1]Total!$B:$Q,16,0)</f>
        <v>603.81.006 Gastos Administativos de venta</v>
      </c>
      <c r="M912">
        <f t="shared" ca="1" si="29"/>
        <v>25</v>
      </c>
      <c r="N912" t="str">
        <f t="shared" ca="1" si="30"/>
        <v xml:space="preserve">Naomi Gonzalez TELCEL RECARGAS FONY   CIUDAD DE MEX MEX Telcel Transaction cost 0 . </v>
      </c>
    </row>
    <row r="913" spans="1:14">
      <c r="A913" t="str">
        <f ca="1"/>
        <v>TRX1040</v>
      </c>
      <c r="B913" t="str">
        <f ca="1"/>
        <v>-</v>
      </c>
      <c r="C913">
        <f ca="1"/>
        <v>46072.416666666599</v>
      </c>
      <c r="D913">
        <f ca="1"/>
        <v>259.95</v>
      </c>
      <c r="E913" t="str">
        <f ca="1"/>
        <v>MXN</v>
      </c>
      <c r="F913" t="str">
        <f ca="1"/>
        <v>Naomi Gonzalez</v>
      </c>
      <c r="G913" t="str">
        <f ca="1"/>
        <v>UBER * PENDING         CMX           MEX</v>
      </c>
      <c r="H913" t="str">
        <f ca="1"/>
        <v>Uber</v>
      </c>
      <c r="I913" t="str">
        <f ca="1"/>
        <v>Transaction cost</v>
      </c>
      <c r="J913" t="str">
        <f ca="1"/>
        <v>Cliente Potencial Traslado de aeropuerto</v>
      </c>
      <c r="K913" t="str">
        <f ca="1"/>
        <v>No puede generar la factura</v>
      </c>
      <c r="L913" t="str">
        <f ca="1">VLOOKUP(B913,[1]Total!$B:$Q,16,0)</f>
        <v>603.81.006 Gastos Administativos de venta</v>
      </c>
      <c r="M913">
        <f t="shared" ca="1" si="29"/>
        <v>259.95</v>
      </c>
      <c r="N913" t="str">
        <f t="shared" ca="1" si="30"/>
        <v xml:space="preserve">Naomi Gonzalez UBER * PENDING         CMX           MEX Uber Transaction cost Cliente Potencial Traslado de aeropuerto No puede generar la factura </v>
      </c>
    </row>
    <row r="914" spans="1:14">
      <c r="A914" t="str">
        <f ca="1"/>
        <v>TRX1756</v>
      </c>
      <c r="B914" t="str">
        <f ca="1"/>
        <v>#77</v>
      </c>
      <c r="C914">
        <f ca="1"/>
        <v>46072.416666666599</v>
      </c>
      <c r="D914">
        <f ca="1"/>
        <v>204</v>
      </c>
      <c r="E914" t="str">
        <f ca="1"/>
        <v>MXN</v>
      </c>
      <c r="F914" t="str">
        <f ca="1"/>
        <v>Naomi Gonzalez</v>
      </c>
      <c r="G914" t="str">
        <f ca="1"/>
        <v>COM RAP DRIVE VIA PONI TIJUANA BCN   MEX</v>
      </c>
      <c r="H914" t="str">
        <f ca="1"/>
        <v>Com Rap Drive Via Poni Tijuana Bcn Mex</v>
      </c>
      <c r="I914" t="str">
        <f ca="1"/>
        <v>Transaction cost</v>
      </c>
      <c r="J914" t="str">
        <f ca="1"/>
        <v>Cliente Potencial Comida</v>
      </c>
      <c r="K914" t="str">
        <f ca="1"/>
        <v>AA 1792421</v>
      </c>
      <c r="L914" t="str">
        <f ca="1">VLOOKUP(B914,[1]Total!$B:$Q,16,0)</f>
        <v>603.81.006 Gastos Administativos de venta</v>
      </c>
      <c r="M914">
        <f t="shared" ca="1" si="29"/>
        <v>204</v>
      </c>
      <c r="N914" t="str">
        <f t="shared" ca="1" si="30"/>
        <v xml:space="preserve">Naomi Gonzalez COM RAP DRIVE VIA PONI TIJUANA BCN   MEX Com Rap Drive Via Poni Tijuana Bcn Mex Transaction cost Cliente Potencial Comida AA 1792421 </v>
      </c>
    </row>
    <row r="915" spans="1:14">
      <c r="A915" t="str">
        <f ca="1"/>
        <v>TRX1552</v>
      </c>
      <c r="B915" t="str">
        <f ca="1"/>
        <v>-</v>
      </c>
      <c r="C915">
        <f ca="1"/>
        <v>46073.416666666599</v>
      </c>
      <c r="D915">
        <f ca="1"/>
        <v>248.37</v>
      </c>
      <c r="E915" t="str">
        <f ca="1"/>
        <v>MXN</v>
      </c>
      <c r="F915" t="str">
        <f ca="1"/>
        <v>Naomi Gonzalez</v>
      </c>
      <c r="G915" t="str">
        <f ca="1"/>
        <v>UBER *TRIP HELP.UBER.C CMX           MEX</v>
      </c>
      <c r="H915" t="str">
        <f ca="1"/>
        <v>Uber</v>
      </c>
      <c r="I915" t="str">
        <f ca="1"/>
        <v>Transaction cost</v>
      </c>
      <c r="J915" t="str">
        <f ca="1"/>
        <v>Cliente Potencial Traslado oficina de cliente</v>
      </c>
      <c r="K915" t="str">
        <f ca="1"/>
        <v>BFEPIY-I-0002843</v>
      </c>
      <c r="L915" t="str">
        <f ca="1">VLOOKUP(B915,[1]Total!$B:$Q,16,0)</f>
        <v>603.81.006 Gastos Administativos de venta</v>
      </c>
      <c r="M915">
        <f t="shared" ca="1" si="29"/>
        <v>248.37</v>
      </c>
      <c r="N915" t="str">
        <f t="shared" ca="1" si="30"/>
        <v xml:space="preserve">Naomi Gonzalez UBER *TRIP HELP.UBER.C CMX           MEX Uber Transaction cost Cliente Potencial Traslado oficina de cliente BFEPIY-I-0002843 </v>
      </c>
    </row>
    <row r="916" spans="1:14">
      <c r="A916" t="str">
        <f ca="1"/>
        <v>TRX1008</v>
      </c>
      <c r="B916" t="str">
        <f ca="1"/>
        <v>#77</v>
      </c>
      <c r="C916">
        <f ca="1"/>
        <v>46073.416666666599</v>
      </c>
      <c r="D916">
        <f ca="1"/>
        <v>199.95</v>
      </c>
      <c r="E916" t="str">
        <f ca="1"/>
        <v>MXN</v>
      </c>
      <c r="F916" t="str">
        <f ca="1"/>
        <v>Naomi Gonzalez</v>
      </c>
      <c r="G916" t="str">
        <f ca="1"/>
        <v>UBER * PENDING         CMX           MEX</v>
      </c>
      <c r="H916" t="str">
        <f ca="1"/>
        <v>Uber</v>
      </c>
      <c r="I916" t="str">
        <f ca="1"/>
        <v>Transaction cost</v>
      </c>
      <c r="J916" t="str">
        <f ca="1"/>
        <v xml:space="preserve">Cliente Potencial Traslado oficina de cliena a oficina </v>
      </c>
      <c r="K916" t="str">
        <f ca="1"/>
        <v>9655D-0002451</v>
      </c>
      <c r="L916" t="str">
        <f ca="1">VLOOKUP(B916,[1]Total!$B:$Q,16,0)</f>
        <v>603.81.006 Gastos Administativos de venta</v>
      </c>
      <c r="M916">
        <f t="shared" ca="1" si="29"/>
        <v>199.95</v>
      </c>
      <c r="N916" t="str">
        <f t="shared" ca="1" si="30"/>
        <v xml:space="preserve">Naomi Gonzalez UBER * PENDING         CMX           MEX Uber Transaction cost Cliente Potencial Traslado oficina de cliena a oficina  9655D-0002451 </v>
      </c>
    </row>
    <row r="917" spans="1:14">
      <c r="A917" t="str">
        <f ca="1"/>
        <v>TRX1130</v>
      </c>
      <c r="B917" t="str">
        <f ca="1"/>
        <v>#77</v>
      </c>
      <c r="C917">
        <f ca="1"/>
        <v>46078.416666666599</v>
      </c>
      <c r="D917">
        <f ca="1"/>
        <v>11</v>
      </c>
      <c r="E917" t="str">
        <f ca="1"/>
        <v>MXN</v>
      </c>
      <c r="F917" t="str">
        <f ca="1"/>
        <v>Naomi Gonzalez</v>
      </c>
      <c r="G917" t="str">
        <f ca="1"/>
        <v>UBER *TRIP HELP.UBER.C CMX           MEX</v>
      </c>
      <c r="H917" t="str">
        <f ca="1"/>
        <v>Uber</v>
      </c>
      <c r="I917" t="str">
        <f ca="1"/>
        <v>Transaction cost</v>
      </c>
      <c r="J917" t="str">
        <f ca="1"/>
        <v xml:space="preserve">Ajuste de tarifa </v>
      </c>
      <c r="K917" t="str">
        <f ca="1"/>
        <v>9655D-0002451</v>
      </c>
      <c r="L917" t="str">
        <f ca="1">VLOOKUP(B917,[1]Total!$B:$Q,16,0)</f>
        <v>603.81.006 Gastos Administativos de venta</v>
      </c>
      <c r="M917">
        <f t="shared" ca="1" si="29"/>
        <v>11</v>
      </c>
      <c r="N917" t="str">
        <f t="shared" ca="1" si="30"/>
        <v xml:space="preserve">Naomi Gonzalez UBER *TRIP HELP.UBER.C CMX           MEX Uber Transaction cost Ajuste de tarifa  9655D-0002451 </v>
      </c>
    </row>
    <row r="918" spans="1:14">
      <c r="A918" t="str">
        <f ca="1"/>
        <v>TRX1269</v>
      </c>
      <c r="B918" t="str">
        <f ca="1"/>
        <v>#77</v>
      </c>
      <c r="C918">
        <f ca="1"/>
        <v>46081.416666666599</v>
      </c>
      <c r="D918">
        <f ca="1"/>
        <v>169.94</v>
      </c>
      <c r="E918" t="str">
        <f ca="1"/>
        <v>MXN</v>
      </c>
      <c r="F918" t="str">
        <f ca="1"/>
        <v>Naomi Gonzalez</v>
      </c>
      <c r="G918" t="str">
        <f ca="1"/>
        <v>STRIPE *UBER TRIP      CIUDAD DE MEX MEX</v>
      </c>
      <c r="H918" t="str">
        <f ca="1"/>
        <v>Uber</v>
      </c>
      <c r="I918" t="str">
        <f ca="1"/>
        <v>Transaction cost</v>
      </c>
      <c r="J918" t="str">
        <f ca="1"/>
        <v>PO-1953 Envio de muestras</v>
      </c>
      <c r="K918" t="str">
        <f ca="1"/>
        <v>TER-58301170</v>
      </c>
      <c r="L918" t="str">
        <f ca="1">VLOOKUP(B918,[1]Total!$B:$Q,16,0)</f>
        <v>603.81.006 Gastos Administativos de venta</v>
      </c>
      <c r="M918">
        <f t="shared" ca="1" si="29"/>
        <v>169.94</v>
      </c>
      <c r="N918" t="str">
        <f t="shared" ca="1" si="30"/>
        <v xml:space="preserve">Naomi Gonzalez STRIPE *UBER TRIP      CIUDAD DE MEX MEX Uber Transaction cost PO-1953 Envio de muestras TER-58301170 </v>
      </c>
    </row>
    <row r="919" spans="1:14">
      <c r="A919" t="str">
        <f ca="1"/>
        <v>TRX1194</v>
      </c>
      <c r="B919" t="str">
        <f ca="1"/>
        <v>-</v>
      </c>
      <c r="C919">
        <f ca="1"/>
        <v>46059.417361111096</v>
      </c>
      <c r="D919">
        <f ca="1"/>
        <v>2169.48</v>
      </c>
      <c r="E919" t="str">
        <f ca="1"/>
        <v>USD</v>
      </c>
      <c r="F919" t="str">
        <f ca="1"/>
        <v>#N/A</v>
      </c>
      <c r="G919" t="str">
        <f ca="1"/>
        <v>MISUMI USA INC.        SCHAUMBURG    USA</v>
      </c>
      <c r="H919" t="str">
        <f ca="1"/>
        <v>Misumi USA Schaumburg USA</v>
      </c>
      <c r="I919" t="str">
        <f ca="1"/>
        <v>G&amp;A expenses</v>
      </c>
      <c r="J919" t="str">
        <f ca="1"/>
        <v>PO 5118 / WO 2226 - No es correcto el costo, son 119.48 USD</v>
      </c>
      <c r="K919" t="str">
        <f ca="1"/>
        <v>E4C8708A-0BC5-11F1-8798-F7FCBDF12893</v>
      </c>
      <c r="L919" t="str">
        <f ca="1">VLOOKUP(B919,[1]Total!$B:$Q,16,0)</f>
        <v>603.81.006 Gastos Administativos de venta</v>
      </c>
      <c r="M919">
        <f t="shared" ca="1" si="29"/>
        <v>2169.48</v>
      </c>
      <c r="N919" t="str">
        <f t="shared" ca="1" si="30"/>
        <v xml:space="preserve">#N/A MISUMI USA INC.        SCHAUMBURG    USA Misumi USA Schaumburg USA G&amp;A expenses PO 5118 / WO 2226 - No es correcto el costo, son 119.48 USD E4C8708A-0BC5-11F1-8798-F7FCBDF12893 </v>
      </c>
    </row>
    <row r="920" spans="1:14">
      <c r="A920" t="str">
        <f ca="1"/>
        <v>TRX1885</v>
      </c>
      <c r="B920" t="str">
        <f ca="1"/>
        <v>#78</v>
      </c>
      <c r="C920">
        <f ca="1"/>
        <v>46061.417361111096</v>
      </c>
      <c r="D920">
        <f ca="1"/>
        <v>916.3</v>
      </c>
      <c r="E920" t="str">
        <f ca="1"/>
        <v>MXN</v>
      </c>
      <c r="F920">
        <f ca="1"/>
        <v>0</v>
      </c>
      <c r="G920" t="str">
        <f ca="1"/>
        <v>TACOS DEL VALLE        SN PEDRO GARZ MEX</v>
      </c>
      <c r="H920" t="str">
        <f ca="1"/>
        <v>Tacos Del Valle Sn Pedro Garz Mex</v>
      </c>
      <c r="I920" t="str">
        <f ca="1"/>
        <v>G&amp;A expenses</v>
      </c>
      <c r="J920" t="str">
        <f ca="1"/>
        <v>Comida despedida Emi y Antonio Lopez</v>
      </c>
      <c r="K920">
        <f ca="1"/>
        <v>0</v>
      </c>
      <c r="L920" t="str">
        <f ca="1">VLOOKUP(B920,[1]Total!$B:$Q,16,0)</f>
        <v>603.81.006 Gastos Administativos de venta</v>
      </c>
      <c r="M920">
        <f t="shared" ca="1" si="29"/>
        <v>916.3</v>
      </c>
      <c r="N920" t="str">
        <f t="shared" ca="1" si="30"/>
        <v xml:space="preserve">0 TACOS DEL VALLE        SN PEDRO GARZ MEX Tacos Del Valle Sn Pedro Garz Mex G&amp;A expenses Comida despedida Emi y Antonio Lopez 0 </v>
      </c>
    </row>
    <row r="921" spans="1:14">
      <c r="A921" t="str">
        <f ca="1"/>
        <v>TRX1625</v>
      </c>
      <c r="B921" t="str">
        <f ca="1"/>
        <v>-</v>
      </c>
      <c r="C921">
        <f ca="1"/>
        <v>46072.416666666599</v>
      </c>
      <c r="D921">
        <f ca="1"/>
        <v>1639.29</v>
      </c>
      <c r="E921" t="str">
        <f ca="1"/>
        <v>MXN</v>
      </c>
      <c r="F921">
        <f ca="1"/>
        <v>0</v>
      </c>
      <c r="G921" t="str">
        <f ca="1"/>
        <v>DHL PLAZA SAN SEBASTIA MONTERREY     MEX</v>
      </c>
      <c r="H921" t="str">
        <f ca="1"/>
        <v>DHL</v>
      </c>
      <c r="I921" t="str">
        <f ca="1"/>
        <v>G&amp;A expenses</v>
      </c>
      <c r="J921" t="str">
        <f ca="1"/>
        <v>PO 2000 - haskris (Envio muestras a USA)</v>
      </c>
      <c r="K921" t="str">
        <f ca="1"/>
        <v>2F493B77-6B3A-430E-9647-6BAB16D36447</v>
      </c>
      <c r="L921" t="str">
        <f ca="1">VLOOKUP(B921,[1]Total!$B:$Q,16,0)</f>
        <v>603.81.006 Gastos Administativos de venta</v>
      </c>
      <c r="M921">
        <f t="shared" ca="1" si="29"/>
        <v>1639.29</v>
      </c>
      <c r="N921" t="str">
        <f t="shared" ca="1" si="30"/>
        <v xml:space="preserve">0 DHL PLAZA SAN SEBASTIA MONTERREY     MEX DHL G&amp;A expenses PO 2000 - haskris (Envio muestras a USA) 2F493B77-6B3A-430E-9647-6BAB16D36447 </v>
      </c>
    </row>
    <row r="922" spans="1:14">
      <c r="A922" t="str">
        <f ca="1"/>
        <v>TRX1235</v>
      </c>
      <c r="B922" t="str">
        <f ca="1"/>
        <v>-</v>
      </c>
      <c r="C922">
        <f ca="1"/>
        <v>46058.416666666599</v>
      </c>
      <c r="D922">
        <f ca="1"/>
        <v>171</v>
      </c>
      <c r="E922" t="str">
        <f ca="1"/>
        <v>MXN</v>
      </c>
      <c r="F922" t="str">
        <f ca="1"/>
        <v>TONANCY ISIDORO PENA</v>
      </c>
      <c r="G922" t="str">
        <f ca="1"/>
        <v>MERCADOPAGO *EBANOCAF  Benito jurez  MEX</v>
      </c>
      <c r="H922" t="str">
        <f ca="1"/>
        <v>Mercadopago</v>
      </c>
      <c r="I922" t="str">
        <f ca="1"/>
        <v>Transaction cost</v>
      </c>
      <c r="J922" t="str">
        <f ca="1"/>
        <v>PO 1726, Gasto de combustible, proyecto Grajales</v>
      </c>
      <c r="K922" t="str">
        <f ca="1"/>
        <v>.3AC7CBD8-2325-48FB-852C-BFB8D00D5021</v>
      </c>
      <c r="L922" t="str">
        <f ca="1">VLOOKUP(B922,[1]Total!$B:$Q,16,0)</f>
        <v>603.81.006 Gastos Administativos de venta</v>
      </c>
      <c r="M922">
        <f t="shared" ca="1" si="29"/>
        <v>171</v>
      </c>
      <c r="N922" t="str">
        <f t="shared" ca="1" si="30"/>
        <v xml:space="preserve">TONANCY ISIDORO PENA MERCADOPAGO *EBANOCAF  Benito jurez  MEX Mercadopago Transaction cost PO 1726, Gasto de combustible, proyecto Grajales .3AC7CBD8-2325-48FB-852C-BFB8D00D5021 </v>
      </c>
    </row>
    <row r="923" spans="1:14">
      <c r="A923" t="str">
        <f ca="1"/>
        <v>TRX1234</v>
      </c>
      <c r="B923" t="str">
        <f ca="1"/>
        <v>-</v>
      </c>
      <c r="C923">
        <f ca="1"/>
        <v>46058.416666666599</v>
      </c>
      <c r="D923">
        <f ca="1"/>
        <v>600</v>
      </c>
      <c r="E923" t="str">
        <f ca="1"/>
        <v>MXN</v>
      </c>
      <c r="F923" t="str">
        <f ca="1"/>
        <v>TONANCY ISIDORO PENA</v>
      </c>
      <c r="G923" t="str">
        <f ca="1"/>
        <v>HF                     LERMA EM      MEX</v>
      </c>
      <c r="H923" t="str">
        <f ca="1"/>
        <v>Hf Lerma Em Mex</v>
      </c>
      <c r="I923" t="str">
        <f ca="1"/>
        <v>G&amp;A expenses</v>
      </c>
      <c r="J923" t="str">
        <f ca="1"/>
        <v>PO 1726, Gasto de viáticos, alimentos 1personas proyecto Grajales</v>
      </c>
      <c r="K923" t="str">
        <f ca="1"/>
        <v>.e2278b46-1877-4dfe-8318-a3a07890dd25</v>
      </c>
      <c r="L923" t="str">
        <f ca="1">VLOOKUP(B923,[1]Total!$B:$Q,16,0)</f>
        <v>603.81.006 Gastos Administativos de venta</v>
      </c>
      <c r="M923">
        <f t="shared" ca="1" si="29"/>
        <v>600</v>
      </c>
      <c r="N923" t="str">
        <f t="shared" ca="1" si="30"/>
        <v xml:space="preserve">TONANCY ISIDORO PENA HF                     LERMA EM      MEX Hf Lerma Em Mex G&amp;A expenses PO 1726, Gasto de viáticos, alimentos 1personas proyecto Grajales .e2278b46-1877-4dfe-8318-a3a07890dd25 </v>
      </c>
    </row>
    <row r="924" spans="1:14">
      <c r="A924" t="str">
        <f ca="1"/>
        <v>TRX1224</v>
      </c>
      <c r="B924" t="str">
        <f ca="1"/>
        <v>-</v>
      </c>
      <c r="C924">
        <f ca="1"/>
        <v>46058.417361111096</v>
      </c>
      <c r="D924">
        <f ca="1"/>
        <v>110</v>
      </c>
      <c r="E924" t="str">
        <f ca="1"/>
        <v>MXN</v>
      </c>
      <c r="F924" t="str">
        <f ca="1"/>
        <v>TONANCY ISIDORO PENA</v>
      </c>
      <c r="G924" t="str">
        <f ca="1"/>
        <v>CONEKTA*MIBAIT         DF            MEX</v>
      </c>
      <c r="H924" t="str">
        <f ca="1"/>
        <v>Conekta Mibait Df Mex</v>
      </c>
      <c r="I924" t="str">
        <f ca="1"/>
        <v>Transaction cost</v>
      </c>
      <c r="J924" t="str">
        <f ca="1"/>
        <v>PO 1726, Estacionamiento</v>
      </c>
      <c r="K924" t="str">
        <f ca="1"/>
        <v>.-</v>
      </c>
      <c r="L924" t="str">
        <f ca="1">VLOOKUP(B924,[1]Total!$B:$Q,16,0)</f>
        <v>603.81.006 Gastos Administativos de venta</v>
      </c>
      <c r="M924">
        <f t="shared" ca="1" si="29"/>
        <v>110</v>
      </c>
      <c r="N924" t="str">
        <f t="shared" ca="1" si="30"/>
        <v xml:space="preserve">TONANCY ISIDORO PENA CONEKTA*MIBAIT         DF            MEX Conekta Mibait Df Mex Transaction cost PO 1726, Estacionamiento .- </v>
      </c>
    </row>
    <row r="925" spans="1:14">
      <c r="A925" t="str">
        <f ca="1"/>
        <v>TRX1167</v>
      </c>
      <c r="B925" t="str">
        <f ca="1"/>
        <v>-</v>
      </c>
      <c r="C925">
        <f ca="1"/>
        <v>46062.416666666599</v>
      </c>
      <c r="D925">
        <f ca="1"/>
        <v>250</v>
      </c>
      <c r="E925" t="str">
        <f ca="1"/>
        <v>MXN</v>
      </c>
      <c r="F925" t="str">
        <f ca="1"/>
        <v>TONANCY ISIDORO PENA</v>
      </c>
      <c r="G925" t="str">
        <f ca="1"/>
        <v>HF                     LERMA EM      MEX</v>
      </c>
      <c r="H925" t="str">
        <f ca="1"/>
        <v>Hf Lerma Em Mex</v>
      </c>
      <c r="I925" t="str">
        <f ca="1"/>
        <v>Transaction cost</v>
      </c>
      <c r="J925" t="str">
        <f ca="1"/>
        <v>PO 1726, Gasto de combustible, proyecto Grajales</v>
      </c>
      <c r="K925" t="str">
        <f ca="1"/>
        <v>.bf8b84e9-1eb6-4c70-812d-876eadb2ae7f</v>
      </c>
      <c r="L925" t="str">
        <f ca="1">VLOOKUP(B925,[1]Total!$B:$Q,16,0)</f>
        <v>603.81.006 Gastos Administativos de venta</v>
      </c>
      <c r="M925">
        <f t="shared" ca="1" si="29"/>
        <v>250</v>
      </c>
      <c r="N925" t="str">
        <f t="shared" ca="1" si="30"/>
        <v xml:space="preserve">TONANCY ISIDORO PENA HF                     LERMA EM      MEX Hf Lerma Em Mex Transaction cost PO 1726, Gasto de combustible, proyecto Grajales .bf8b84e9-1eb6-4c70-812d-876eadb2ae7f </v>
      </c>
    </row>
    <row r="926" spans="1:14">
      <c r="A926" t="str">
        <f ca="1"/>
        <v>TRX1422</v>
      </c>
      <c r="B926" t="str">
        <f ca="1"/>
        <v>-</v>
      </c>
      <c r="C926">
        <f ca="1"/>
        <v>46065.416666666599</v>
      </c>
      <c r="D926">
        <f ca="1"/>
        <v>400</v>
      </c>
      <c r="E926" t="str">
        <f ca="1"/>
        <v>MXN</v>
      </c>
      <c r="F926" t="str">
        <f ca="1"/>
        <v>TONANCY ISIDORO PENA</v>
      </c>
      <c r="G926" t="str">
        <f ca="1"/>
        <v>HF                     LERMA EM      MEX</v>
      </c>
      <c r="H926" t="str">
        <f ca="1"/>
        <v>Hf Lerma Em Mex</v>
      </c>
      <c r="I926" t="str">
        <f ca="1"/>
        <v>Transaction cost</v>
      </c>
      <c r="J926" t="str">
        <f ca="1"/>
        <v>PO 1726, Gasto de combustible, proyecto Grajales</v>
      </c>
      <c r="K926" t="str">
        <f ca="1"/>
        <v>.4e5fc8be-78d7-471f-8587-9969542d953f</v>
      </c>
      <c r="L926" t="str">
        <f ca="1">VLOOKUP(B926,[1]Total!$B:$Q,16,0)</f>
        <v>603.81.006 Gastos Administativos de venta</v>
      </c>
      <c r="M926">
        <f t="shared" ca="1" si="29"/>
        <v>400</v>
      </c>
      <c r="N926" t="str">
        <f t="shared" ca="1" si="30"/>
        <v xml:space="preserve">TONANCY ISIDORO PENA HF                     LERMA EM      MEX Hf Lerma Em Mex Transaction cost PO 1726, Gasto de combustible, proyecto Grajales .4e5fc8be-78d7-471f-8587-9969542d953f </v>
      </c>
    </row>
    <row r="927" spans="1:14">
      <c r="A927" t="str">
        <f ca="1"/>
        <v>TRX1959</v>
      </c>
      <c r="B927" t="str">
        <f ca="1"/>
        <v>-</v>
      </c>
      <c r="C927">
        <f ca="1"/>
        <v>46066.417361111096</v>
      </c>
      <c r="D927">
        <f ca="1"/>
        <v>328</v>
      </c>
      <c r="E927" t="str">
        <f ca="1"/>
        <v>MXN</v>
      </c>
      <c r="F927" t="str">
        <f ca="1"/>
        <v>TONANCY ISIDORO PENA</v>
      </c>
      <c r="G927" t="str">
        <f ca="1"/>
        <v>BK SENDERO FS          LERMA EM      MEX</v>
      </c>
      <c r="H927" t="str">
        <f ca="1"/>
        <v>Bk Sendero Fs Lerma Em Mex</v>
      </c>
      <c r="I927" t="str">
        <f ca="1"/>
        <v>Transaction cost</v>
      </c>
      <c r="J927" t="str">
        <f ca="1"/>
        <v>PO 1726, Gasto de viáticos, alimentos proyecto Grajales</v>
      </c>
      <c r="K927" t="str">
        <f ca="1"/>
        <v>.b0eccc72-6d59-498b-8659-b9f80a9db4a4</v>
      </c>
      <c r="L927" t="str">
        <f ca="1">VLOOKUP(B927,[1]Total!$B:$Q,16,0)</f>
        <v>603.81.006 Gastos Administativos de venta</v>
      </c>
      <c r="M927">
        <f t="shared" ca="1" si="29"/>
        <v>328</v>
      </c>
      <c r="N927" t="str">
        <f t="shared" ca="1" si="30"/>
        <v xml:space="preserve">TONANCY ISIDORO PENA BK SENDERO FS          LERMA EM      MEX Bk Sendero Fs Lerma Em Mex Transaction cost PO 1726, Gasto de viáticos, alimentos proyecto Grajales .b0eccc72-6d59-498b-8659-b9f80a9db4a4 </v>
      </c>
    </row>
    <row r="928" spans="1:14">
      <c r="A928" t="str">
        <f ca="1"/>
        <v>TRX1358</v>
      </c>
      <c r="B928" t="str">
        <f ca="1"/>
        <v>-</v>
      </c>
      <c r="C928">
        <f ca="1"/>
        <v>46066.417361111096</v>
      </c>
      <c r="D928">
        <f ca="1"/>
        <v>400</v>
      </c>
      <c r="E928" t="str">
        <f ca="1"/>
        <v>MXN</v>
      </c>
      <c r="F928" t="str">
        <f ca="1"/>
        <v>TONANCY ISIDORO PENA</v>
      </c>
      <c r="G928" t="str">
        <f ca="1"/>
        <v>SER GASOL AJIL TEMOAYA TEMOAYA EM    MEX</v>
      </c>
      <c r="H928" t="str">
        <f ca="1"/>
        <v>Ser Gasol Ajil Temoaya Temoaya Em Mex</v>
      </c>
      <c r="I928" t="str">
        <f ca="1"/>
        <v>Transaction cost</v>
      </c>
      <c r="J928" t="str">
        <f ca="1"/>
        <v>PO 1726, Gasto de combustible, proyecto Grajales</v>
      </c>
      <c r="K928" t="str">
        <f ca="1"/>
        <v>.17AFA0B1-2DD3-4FAE-9391-B278F95390A4</v>
      </c>
      <c r="L928" t="str">
        <f ca="1">VLOOKUP(B928,[1]Total!$B:$Q,16,0)</f>
        <v>603.81.006 Gastos Administativos de venta</v>
      </c>
      <c r="M928">
        <f t="shared" ca="1" si="29"/>
        <v>400</v>
      </c>
      <c r="N928" t="str">
        <f t="shared" ca="1" si="30"/>
        <v xml:space="preserve">TONANCY ISIDORO PENA SER GASOL AJIL TEMOAYA TEMOAYA EM    MEX Ser Gasol Ajil Temoaya Temoaya Em Mex Transaction cost PO 1726, Gasto de combustible, proyecto Grajales .17AFA0B1-2DD3-4FAE-9391-B278F95390A4 </v>
      </c>
    </row>
    <row r="929" spans="1:14">
      <c r="A929" t="str">
        <f ca="1"/>
        <v>TRX1157</v>
      </c>
      <c r="B929" t="str">
        <f ca="1"/>
        <v>-</v>
      </c>
      <c r="C929">
        <f ca="1"/>
        <v>46071.416666666599</v>
      </c>
      <c r="D929">
        <f ca="1"/>
        <v>450</v>
      </c>
      <c r="E929" t="str">
        <f ca="1"/>
        <v>MXN</v>
      </c>
      <c r="F929" t="str">
        <f ca="1"/>
        <v>TONANCY ISIDORO PENA</v>
      </c>
      <c r="G929" t="str">
        <f ca="1"/>
        <v>HF                     LERMA EM      MEX</v>
      </c>
      <c r="H929" t="str">
        <f ca="1"/>
        <v>Hf Lerma Em Mex</v>
      </c>
      <c r="I929" t="str">
        <f ca="1"/>
        <v>Transaction cost</v>
      </c>
      <c r="J929" t="str">
        <f ca="1"/>
        <v>PO 1726, Gasto de viáticos, alimentos proyecto Grajales</v>
      </c>
      <c r="K929" t="str">
        <f ca="1"/>
        <v>.5c96c7a3-da66-4f2c-80e7-824712ca2581</v>
      </c>
      <c r="L929" t="str">
        <f ca="1">VLOOKUP(B929,[1]Total!$B:$Q,16,0)</f>
        <v>603.81.006 Gastos Administativos de venta</v>
      </c>
      <c r="M929">
        <f t="shared" ca="1" si="29"/>
        <v>450</v>
      </c>
      <c r="N929" t="str">
        <f t="shared" ca="1" si="30"/>
        <v xml:space="preserve">TONANCY ISIDORO PENA HF                     LERMA EM      MEX Hf Lerma Em Mex Transaction cost PO 1726, Gasto de viáticos, alimentos proyecto Grajales .5c96c7a3-da66-4f2c-80e7-824712ca2581 </v>
      </c>
    </row>
    <row r="930" spans="1:14">
      <c r="A930" t="str">
        <f ca="1"/>
        <v>TRX1342</v>
      </c>
      <c r="B930" t="str">
        <f ca="1"/>
        <v>-</v>
      </c>
      <c r="C930">
        <f ca="1"/>
        <v>46073.416666666599</v>
      </c>
      <c r="D930">
        <f ca="1"/>
        <v>450</v>
      </c>
      <c r="E930" t="str">
        <f ca="1"/>
        <v>MXN</v>
      </c>
      <c r="F930" t="str">
        <f ca="1"/>
        <v>TONANCY ISIDORO PENA</v>
      </c>
      <c r="G930" t="str">
        <f ca="1"/>
        <v>GASOLINERIA ENCINOS    OCOYOACAC EM  MEX</v>
      </c>
      <c r="H930" t="str">
        <f ca="1"/>
        <v>Gasolineria Encinos Ocoyoacac Em Mex</v>
      </c>
      <c r="I930" t="str">
        <f ca="1"/>
        <v>Transaction cost</v>
      </c>
      <c r="J930" t="str">
        <f ca="1"/>
        <v>PO 1726, Gasto en vehículo, refacción-llanta</v>
      </c>
      <c r="K930" t="str">
        <f ca="1"/>
        <v>.47334db5-3937-4d2b-813d-80a5d332d024</v>
      </c>
      <c r="L930" t="str">
        <f ca="1">VLOOKUP(B930,[1]Total!$B:$Q,16,0)</f>
        <v>603.81.006 Gastos Administativos de venta</v>
      </c>
      <c r="M930">
        <f t="shared" ca="1" si="29"/>
        <v>450</v>
      </c>
      <c r="N930" t="str">
        <f t="shared" ca="1" si="30"/>
        <v xml:space="preserve">TONANCY ISIDORO PENA GASOLINERIA ENCINOS    OCOYOACAC EM  MEX Gasolineria Encinos Ocoyoacac Em Mex Transaction cost PO 1726, Gasto en vehículo, refacción-llanta .47334db5-3937-4d2b-813d-80a5d332d024 </v>
      </c>
    </row>
    <row r="931" spans="1:14">
      <c r="A931" t="str">
        <f ca="1"/>
        <v>TRX1582</v>
      </c>
      <c r="B931" t="str">
        <f ca="1"/>
        <v>-</v>
      </c>
      <c r="C931">
        <f ca="1"/>
        <v>46073.416666666599</v>
      </c>
      <c r="D931">
        <f ca="1"/>
        <v>301</v>
      </c>
      <c r="E931" t="str">
        <f ca="1"/>
        <v>MXN</v>
      </c>
      <c r="F931" t="str">
        <f ca="1"/>
        <v>TONANCY ISIDORO PENA</v>
      </c>
      <c r="G931" t="str">
        <f ca="1"/>
        <v>REST MR SUSHI          OCOYOACAC EM  MEX</v>
      </c>
      <c r="H931" t="str">
        <f ca="1"/>
        <v>Rest Mr Sushi Ocoyoacac Em Mex</v>
      </c>
      <c r="I931" t="str">
        <f ca="1"/>
        <v>Transaction cost</v>
      </c>
      <c r="J931" t="str">
        <f ca="1"/>
        <v>PO 1726, Gasto de combustible, proyecto Grajales</v>
      </c>
      <c r="K931" t="str">
        <f ca="1"/>
        <v>.960C9449-2AF5-46A3-B8B1-D3378D723967</v>
      </c>
      <c r="L931" t="str">
        <f ca="1">VLOOKUP(B931,[1]Total!$B:$Q,16,0)</f>
        <v>603.81.006 Gastos Administativos de venta</v>
      </c>
      <c r="M931">
        <f t="shared" ca="1" si="29"/>
        <v>301</v>
      </c>
      <c r="N931" t="str">
        <f t="shared" ca="1" si="30"/>
        <v xml:space="preserve">TONANCY ISIDORO PENA REST MR SUSHI          OCOYOACAC EM  MEX Rest Mr Sushi Ocoyoacac Em Mex Transaction cost PO 1726, Gasto de combustible, proyecto Grajales .960C9449-2AF5-46A3-B8B1-D3378D723967 </v>
      </c>
    </row>
    <row r="932" spans="1:14">
      <c r="A932" t="str">
        <f ca="1"/>
        <v>TRX1147</v>
      </c>
      <c r="B932" t="str">
        <f ca="1"/>
        <v>-</v>
      </c>
      <c r="C932">
        <f ca="1"/>
        <v>46073.416666666599</v>
      </c>
      <c r="D932">
        <f ca="1"/>
        <v>114</v>
      </c>
      <c r="E932" t="str">
        <f ca="1"/>
        <v>MXN</v>
      </c>
      <c r="F932" t="str">
        <f ca="1"/>
        <v>TONANCY ISIDORO PENA</v>
      </c>
      <c r="G932" t="str">
        <f ca="1"/>
        <v>TIMHOR OCOYOACAC I     OCOYOACAC EM  MEX</v>
      </c>
      <c r="H932" t="str">
        <f ca="1"/>
        <v>Timhor Ocoyoacac I Ocoyoacac Em Mex</v>
      </c>
      <c r="I932" t="str">
        <f ca="1"/>
        <v>Transaction cost</v>
      </c>
      <c r="J932" t="str">
        <f ca="1"/>
        <v>PO 1726, Gasto de combustible, proyecto Grajales</v>
      </c>
      <c r="K932" t="str">
        <f ca="1"/>
        <v>.-</v>
      </c>
      <c r="L932" t="str">
        <f ca="1">VLOOKUP(B932,[1]Total!$B:$Q,16,0)</f>
        <v>603.81.006 Gastos Administativos de venta</v>
      </c>
      <c r="M932">
        <f t="shared" ca="1" si="29"/>
        <v>114</v>
      </c>
      <c r="N932" t="str">
        <f t="shared" ca="1" si="30"/>
        <v xml:space="preserve">TONANCY ISIDORO PENA TIMHOR OCOYOACAC I     OCOYOACAC EM  MEX Timhor Ocoyoacac I Ocoyoacac Em Mex Transaction cost PO 1726, Gasto de combustible, proyecto Grajales .- </v>
      </c>
    </row>
    <row r="933" spans="1:14">
      <c r="A933" t="str">
        <f ca="1"/>
        <v>TRX1188</v>
      </c>
      <c r="B933" t="str">
        <f ca="1"/>
        <v>#79</v>
      </c>
      <c r="C933">
        <f ca="1"/>
        <v>46079.416666666599</v>
      </c>
      <c r="D933">
        <f ca="1"/>
        <v>450</v>
      </c>
      <c r="E933" t="str">
        <f ca="1"/>
        <v>MXN</v>
      </c>
      <c r="F933" t="str">
        <f ca="1"/>
        <v>TONANCY ISIDORO PENA</v>
      </c>
      <c r="G933" t="str">
        <f ca="1"/>
        <v>HF                     LERMA EM      MEX</v>
      </c>
      <c r="H933" t="str">
        <f ca="1"/>
        <v>Hf Lerma Em Mex</v>
      </c>
      <c r="I933" t="str">
        <f ca="1"/>
        <v>Transaction cost</v>
      </c>
      <c r="J933" t="str">
        <f ca="1"/>
        <v>PO 1726, Gasto de combustible, proyecto Grajales</v>
      </c>
      <c r="K933" t="str">
        <f ca="1"/>
        <v>.5132c9b1-cadc-475a-81e6-a7c10b999f0d</v>
      </c>
      <c r="L933" s="137" t="s">
        <v>2018</v>
      </c>
      <c r="M933">
        <f t="shared" ca="1" si="29"/>
        <v>450</v>
      </c>
      <c r="N933" t="str">
        <f t="shared" ca="1" si="30"/>
        <v xml:space="preserve">TONANCY ISIDORO PENA HF                     LERMA EM      MEX Hf Lerma Em Mex Transaction cost PO 1726, Gasto de combustible, proyecto Grajales .5132c9b1-cadc-475a-81e6-a7c10b999f0d </v>
      </c>
    </row>
    <row r="934" spans="1:14">
      <c r="A934" t="str">
        <f ca="1"/>
        <v>TRX1200</v>
      </c>
      <c r="B934" t="str">
        <f ca="1"/>
        <v>#79</v>
      </c>
      <c r="C934">
        <f ca="1"/>
        <v>46079.416666666599</v>
      </c>
      <c r="D934">
        <f ca="1"/>
        <v>48</v>
      </c>
      <c r="E934" t="str">
        <f ca="1"/>
        <v>MXN</v>
      </c>
      <c r="F934" t="str">
        <f ca="1"/>
        <v>TONANCY ISIDORO PENA</v>
      </c>
      <c r="G934" t="str">
        <f ca="1"/>
        <v>OXXO ALISAS            LERMA EM      MEX</v>
      </c>
      <c r="H934" t="str">
        <f ca="1"/>
        <v>Oxxo</v>
      </c>
      <c r="I934" t="str">
        <f ca="1"/>
        <v>G&amp;A expenses</v>
      </c>
      <c r="J934" t="str">
        <f ca="1"/>
        <v>PO 1726, Gasto de viáticos, alimentos proyecto Grajales</v>
      </c>
      <c r="K934" t="str">
        <f ca="1"/>
        <v>.50695666-914b-4bb9-be5f-03f0d9e61615</v>
      </c>
      <c r="L934" s="137" t="s">
        <v>2018</v>
      </c>
      <c r="M934">
        <f t="shared" ca="1" si="29"/>
        <v>48</v>
      </c>
      <c r="N934" t="str">
        <f t="shared" ca="1" si="30"/>
        <v xml:space="preserve">TONANCY ISIDORO PENA OXXO ALISAS            LERMA EM      MEX Oxxo G&amp;A expenses PO 1726, Gasto de viáticos, alimentos proyecto Grajales .50695666-914b-4bb9-be5f-03f0d9e61615 </v>
      </c>
    </row>
    <row r="935" spans="1:14">
      <c r="A935" t="str">
        <f ca="1"/>
        <v>TRX1289</v>
      </c>
      <c r="B935" t="str">
        <f ca="1"/>
        <v>-</v>
      </c>
      <c r="C935">
        <f ca="1"/>
        <v>46056.416666666599</v>
      </c>
      <c r="D935">
        <f ca="1"/>
        <v>1317.13</v>
      </c>
      <c r="E935" t="str">
        <f ca="1"/>
        <v>MXN</v>
      </c>
      <c r="F935" t="str">
        <f ca="1"/>
        <v>Daniel Caraveo</v>
      </c>
      <c r="G935" t="str">
        <f ca="1"/>
        <v>WM EXPRESS BONAMPAK    CANCUN QROO   MEX</v>
      </c>
      <c r="H935" t="str">
        <f ca="1"/>
        <v>Wm Express Bonampak Cancun Qroo Mex</v>
      </c>
      <c r="I935" t="str">
        <f ca="1"/>
        <v>G&amp;A expenses</v>
      </c>
      <c r="J935" t="str">
        <f ca="1"/>
        <v>Viaticos para estancia prolongada en provincia por proyecto</v>
      </c>
      <c r="K935" t="str">
        <f ca="1"/>
        <v>494632CA-73F5-4A45-9469-A2CF33866096</v>
      </c>
      <c r="L935" t="str">
        <f ca="1">VLOOKUP(B935,[1]Total!$B:$Q,16,0)</f>
        <v>603.81.006 Gastos Administativos de venta</v>
      </c>
      <c r="M935">
        <f t="shared" ca="1" si="29"/>
        <v>1317.13</v>
      </c>
      <c r="N935" t="str">
        <f t="shared" ca="1" si="30"/>
        <v xml:space="preserve">Daniel Caraveo WM EXPRESS BONAMPAK    CANCUN QROO   MEX Wm Express Bonampak Cancun Qroo Mex G&amp;A expenses Viaticos para estancia prolongada en provincia por proyecto 494632CA-73F5-4A45-9469-A2CF33866096 </v>
      </c>
    </row>
    <row r="936" spans="1:14">
      <c r="A936" t="str">
        <f ca="1"/>
        <v>TRX1226</v>
      </c>
      <c r="B936" t="str">
        <f ca="1"/>
        <v>-</v>
      </c>
      <c r="C936">
        <f ca="1"/>
        <v>46058.416666666599</v>
      </c>
      <c r="D936">
        <f ca="1"/>
        <v>355</v>
      </c>
      <c r="E936" t="str">
        <f ca="1"/>
        <v>MXN</v>
      </c>
      <c r="F936" t="str">
        <f ca="1"/>
        <v>Daniel Caraveo</v>
      </c>
      <c r="G936" t="str">
        <f ca="1"/>
        <v>RITUAL CAFE            CANCUN QROO   MEX</v>
      </c>
      <c r="H936" t="str">
        <f ca="1"/>
        <v>Ritual Cafe Cancun Qroo Mex</v>
      </c>
      <c r="I936" t="str">
        <f ca="1"/>
        <v>G&amp;A expenses</v>
      </c>
      <c r="J936" t="str">
        <f ca="1"/>
        <v>comida en sitio</v>
      </c>
      <c r="K936" t="str">
        <f ca="1"/>
        <v>F128074F-95E6-44A3-9B4D-828A349C283E</v>
      </c>
      <c r="L936" t="str">
        <f ca="1">VLOOKUP(B936,[1]Total!$B:$Q,16,0)</f>
        <v>603.81.006 Gastos Administativos de venta</v>
      </c>
      <c r="M936">
        <f t="shared" ca="1" si="29"/>
        <v>355</v>
      </c>
      <c r="N936" t="str">
        <f t="shared" ca="1" si="30"/>
        <v xml:space="preserve">Daniel Caraveo RITUAL CAFE            CANCUN QROO   MEX Ritual Cafe Cancun Qroo Mex G&amp;A expenses comida en sitio F128074F-95E6-44A3-9B4D-828A349C283E </v>
      </c>
    </row>
    <row r="937" spans="1:14">
      <c r="A937" t="str">
        <f ca="1"/>
        <v>TRX1225</v>
      </c>
      <c r="B937" t="str">
        <f ca="1"/>
        <v>-</v>
      </c>
      <c r="C937">
        <f ca="1"/>
        <v>46058.417361111096</v>
      </c>
      <c r="D937">
        <f ca="1"/>
        <v>178</v>
      </c>
      <c r="E937" t="str">
        <f ca="1"/>
        <v>MXN</v>
      </c>
      <c r="F937" t="str">
        <f ca="1"/>
        <v>Daniel Caraveo</v>
      </c>
      <c r="G937" t="str">
        <f ca="1"/>
        <v>LAVANDERIA ALBORADA    CANCUN QROO   MEX</v>
      </c>
      <c r="H937" t="str">
        <f ca="1"/>
        <v>Lavanderia Alborada Cancun Qroo Mex</v>
      </c>
      <c r="I937" t="str">
        <f ca="1"/>
        <v>G&amp;A expenses</v>
      </c>
      <c r="J937" t="str">
        <f ca="1"/>
        <v>Lavado de ropa estancia prolongada</v>
      </c>
      <c r="K937" t="str">
        <f ca="1"/>
        <v>El local no me proporciono factura</v>
      </c>
      <c r="L937" t="str">
        <f ca="1">VLOOKUP(B937,[1]Total!$B:$Q,16,0)</f>
        <v>603.81.006 Gastos Administativos de venta</v>
      </c>
      <c r="M937">
        <f t="shared" ca="1" si="29"/>
        <v>178</v>
      </c>
      <c r="N937" t="str">
        <f t="shared" ca="1" si="30"/>
        <v xml:space="preserve">Daniel Caraveo LAVANDERIA ALBORADA    CANCUN QROO   MEX Lavanderia Alborada Cancun Qroo Mex G&amp;A expenses Lavado de ropa estancia prolongada El local no me proporciono factura </v>
      </c>
    </row>
    <row r="938" spans="1:14">
      <c r="A938" t="str">
        <f ca="1"/>
        <v>TRX1173</v>
      </c>
      <c r="B938" t="str">
        <f ca="1"/>
        <v>-</v>
      </c>
      <c r="C938">
        <f ca="1"/>
        <v>46059.416666666599</v>
      </c>
      <c r="D938">
        <f ca="1"/>
        <v>41.91</v>
      </c>
      <c r="E938" t="str">
        <f ca="1"/>
        <v>MXN</v>
      </c>
      <c r="F938" t="str">
        <f ca="1"/>
        <v>Daniel Caraveo</v>
      </c>
      <c r="G938" t="str">
        <f ca="1"/>
        <v>UBER * PENDING         CMX           MEX</v>
      </c>
      <c r="H938" t="str">
        <f ca="1"/>
        <v>Uber</v>
      </c>
      <c r="I938" t="str">
        <f ca="1"/>
        <v>G&amp;A expenses</v>
      </c>
      <c r="J938" t="str">
        <f ca="1"/>
        <v>TRASLADO CASA - OBRA - CASA</v>
      </c>
      <c r="K938" t="str">
        <f ca="1"/>
        <v>78C4B18C-42AD-5BA6-B65D-564F326CC9C4</v>
      </c>
      <c r="L938" t="str">
        <f ca="1">VLOOKUP(B938,[1]Total!$B:$Q,16,0)</f>
        <v>603.81.006 Gastos Administativos de venta</v>
      </c>
      <c r="M938">
        <f t="shared" ca="1" si="29"/>
        <v>41.91</v>
      </c>
      <c r="N938" t="str">
        <f t="shared" ca="1" si="30"/>
        <v xml:space="preserve">Daniel Caraveo UBER * PENDING         CMX           MEX Uber G&amp;A expenses TRASLADO CASA - OBRA - CASA 78C4B18C-42AD-5BA6-B65D-564F326CC9C4 </v>
      </c>
    </row>
    <row r="939" spans="1:14">
      <c r="A939" t="str">
        <f ca="1"/>
        <v>TRX1163</v>
      </c>
      <c r="B939" t="str">
        <f ca="1"/>
        <v>-</v>
      </c>
      <c r="C939">
        <f ca="1"/>
        <v>46059.416666666599</v>
      </c>
      <c r="D939">
        <f ca="1"/>
        <v>171</v>
      </c>
      <c r="E939" t="str">
        <f ca="1"/>
        <v>MXN</v>
      </c>
      <c r="F939" t="str">
        <f ca="1"/>
        <v>Daniel Caraveo</v>
      </c>
      <c r="G939" t="str">
        <f ca="1"/>
        <v>STARBUCKS PUERTO CANC  ROO           MEX</v>
      </c>
      <c r="H939" t="str">
        <f ca="1"/>
        <v>Starbucks</v>
      </c>
      <c r="I939" t="str">
        <f ca="1"/>
        <v>G&amp;A expenses</v>
      </c>
      <c r="J939" t="str">
        <f ca="1"/>
        <v>comida en sitio</v>
      </c>
      <c r="K939" t="str">
        <f ca="1"/>
        <v>49919CB8-8FB4-409F-808F-97DC26317572</v>
      </c>
      <c r="L939" t="str">
        <f ca="1">VLOOKUP(B939,[1]Total!$B:$Q,16,0)</f>
        <v>603.81.006 Gastos Administativos de venta</v>
      </c>
      <c r="M939">
        <f t="shared" ca="1" si="29"/>
        <v>171</v>
      </c>
      <c r="N939" t="str">
        <f t="shared" ca="1" si="30"/>
        <v xml:space="preserve">Daniel Caraveo STARBUCKS PUERTO CANC  ROO           MEX Starbucks G&amp;A expenses comida en sitio 49919CB8-8FB4-409F-808F-97DC26317572 </v>
      </c>
    </row>
    <row r="940" spans="1:14">
      <c r="A940" t="str">
        <f ca="1"/>
        <v>TRX1158</v>
      </c>
      <c r="B940" t="str">
        <f ca="1"/>
        <v>-</v>
      </c>
      <c r="C940">
        <f ca="1"/>
        <v>46059.417361111096</v>
      </c>
      <c r="D940">
        <f ca="1"/>
        <v>328.9</v>
      </c>
      <c r="E940" t="str">
        <f ca="1"/>
        <v>MXN</v>
      </c>
      <c r="F940" t="str">
        <f ca="1"/>
        <v>Daniel Caraveo</v>
      </c>
      <c r="G940" t="str">
        <f ca="1"/>
        <v>REST LA PIZZARRA       CIUDAD DE MEX MEX</v>
      </c>
      <c r="H940" t="str">
        <f ca="1"/>
        <v>Rest La Pizzarra Ciudad De Mex Mex</v>
      </c>
      <c r="I940" t="str">
        <f ca="1"/>
        <v>G&amp;A expenses</v>
      </c>
      <c r="J940" t="str">
        <f ca="1"/>
        <v>comida en sitio</v>
      </c>
      <c r="K940" t="str">
        <f ca="1"/>
        <v>02036246-1F07-4918-91BC-8FBCBCBD208C</v>
      </c>
      <c r="L940" t="str">
        <f ca="1">VLOOKUP(B940,[1]Total!$B:$Q,16,0)</f>
        <v>603.81.006 Gastos Administativos de venta</v>
      </c>
      <c r="M940">
        <f t="shared" ca="1" si="29"/>
        <v>328.9</v>
      </c>
      <c r="N940" t="str">
        <f t="shared" ca="1" si="30"/>
        <v xml:space="preserve">Daniel Caraveo REST LA PIZZARRA       CIUDAD DE MEX MEX Rest La Pizzarra Ciudad De Mex Mex G&amp;A expenses comida en sitio 02036246-1F07-4918-91BC-8FBCBCBD208C </v>
      </c>
    </row>
    <row r="941" spans="1:14">
      <c r="A941" t="str">
        <f ca="1"/>
        <v>TRX1757</v>
      </c>
      <c r="B941" t="str">
        <f ca="1"/>
        <v>-</v>
      </c>
      <c r="C941">
        <f ca="1"/>
        <v>46060.416666666599</v>
      </c>
      <c r="D941">
        <f ca="1"/>
        <v>101.77</v>
      </c>
      <c r="E941" t="str">
        <f ca="1"/>
        <v>MXN</v>
      </c>
      <c r="F941" t="str">
        <f ca="1"/>
        <v>Daniel Caraveo</v>
      </c>
      <c r="G941" t="str">
        <f ca="1"/>
        <v>UBER * PENDING         CMX           MEX</v>
      </c>
      <c r="H941" t="str">
        <f ca="1"/>
        <v>Uber</v>
      </c>
      <c r="I941" t="str">
        <f ca="1"/>
        <v>G&amp;A expenses</v>
      </c>
      <c r="J941" t="str">
        <f ca="1"/>
        <v>Taslado en sitio</v>
      </c>
      <c r="K941" t="str">
        <f ca="1"/>
        <v>EL SOCIO CONDUCTOR NO EMITE FACTURA</v>
      </c>
      <c r="L941" t="str">
        <f ca="1">VLOOKUP(B941,[1]Total!$B:$Q,16,0)</f>
        <v>603.81.006 Gastos Administativos de venta</v>
      </c>
      <c r="M941">
        <f t="shared" ca="1" si="29"/>
        <v>101.77</v>
      </c>
      <c r="N941" t="str">
        <f t="shared" ca="1" si="30"/>
        <v xml:space="preserve">Daniel Caraveo UBER * PENDING         CMX           MEX Uber G&amp;A expenses Taslado en sitio EL SOCIO CONDUCTOR NO EMITE FACTURA </v>
      </c>
    </row>
    <row r="942" spans="1:14">
      <c r="A942" t="str">
        <f ca="1"/>
        <v>TRX1954</v>
      </c>
      <c r="B942" t="str">
        <f ca="1"/>
        <v>-</v>
      </c>
      <c r="C942">
        <f ca="1"/>
        <v>46060.416666666599</v>
      </c>
      <c r="D942">
        <f ca="1"/>
        <v>52.28</v>
      </c>
      <c r="E942" t="str">
        <f ca="1"/>
        <v>MXN</v>
      </c>
      <c r="F942" t="str">
        <f ca="1"/>
        <v>Daniel Caraveo</v>
      </c>
      <c r="G942" t="str">
        <f ca="1"/>
        <v>UBER * PENDING         CMX           MEX</v>
      </c>
      <c r="H942" t="str">
        <f ca="1"/>
        <v>Uber</v>
      </c>
      <c r="I942" t="str">
        <f ca="1"/>
        <v>G&amp;A expenses</v>
      </c>
      <c r="J942" t="str">
        <f ca="1"/>
        <v>TRASLADO CASA - OBRA - CASA</v>
      </c>
      <c r="K942" t="str">
        <f ca="1"/>
        <v>64FC6B14-2D71-5788-AE7A-3F084AEC2149</v>
      </c>
      <c r="L942" t="str">
        <f ca="1">VLOOKUP(B942,[1]Total!$B:$Q,16,0)</f>
        <v>603.81.006 Gastos Administativos de venta</v>
      </c>
      <c r="M942">
        <f t="shared" ca="1" si="29"/>
        <v>52.28</v>
      </c>
      <c r="N942" t="str">
        <f t="shared" ca="1" si="30"/>
        <v xml:space="preserve">Daniel Caraveo UBER * PENDING         CMX           MEX Uber G&amp;A expenses TRASLADO CASA - OBRA - CASA 64FC6B14-2D71-5788-AE7A-3F084AEC2149 </v>
      </c>
    </row>
    <row r="943" spans="1:14">
      <c r="A943" t="str">
        <f ca="1"/>
        <v>TRX1407</v>
      </c>
      <c r="B943" t="str">
        <f ca="1"/>
        <v>-</v>
      </c>
      <c r="C943">
        <f ca="1"/>
        <v>46060.417361111096</v>
      </c>
      <c r="D943">
        <f ca="1"/>
        <v>806</v>
      </c>
      <c r="E943" t="str">
        <f ca="1"/>
        <v>MXN</v>
      </c>
      <c r="F943" t="str">
        <f ca="1"/>
        <v>Daniel Caraveo</v>
      </c>
      <c r="G943" t="str">
        <f ca="1"/>
        <v>DOMINOS PTO CANCUN     BENITO JUAREZ MEX</v>
      </c>
      <c r="H943" t="str">
        <f ca="1"/>
        <v>Domino's</v>
      </c>
      <c r="I943" t="str">
        <f ca="1"/>
        <v>G&amp;A expenses</v>
      </c>
      <c r="J943" t="str">
        <f ca="1"/>
        <v>Comida en sitio personal y personal operativo</v>
      </c>
      <c r="K943" t="str">
        <f ca="1"/>
        <v>1B11076C-5369-4765-BB04-97DC2631DEF0</v>
      </c>
      <c r="L943" t="str">
        <f ca="1">VLOOKUP(B943,[1]Total!$B:$Q,16,0)</f>
        <v>603.81.006 Gastos Administativos de venta</v>
      </c>
      <c r="M943">
        <f t="shared" ca="1" si="29"/>
        <v>806</v>
      </c>
      <c r="N943" t="str">
        <f t="shared" ca="1" si="30"/>
        <v xml:space="preserve">Daniel Caraveo DOMINOS PTO CANCUN     BENITO JUAREZ MEX Domino's G&amp;A expenses Comida en sitio personal y personal operativo 1B11076C-5369-4765-BB04-97DC2631DEF0 </v>
      </c>
    </row>
    <row r="944" spans="1:14">
      <c r="A944" t="str">
        <f ca="1"/>
        <v>TRX1079</v>
      </c>
      <c r="B944" t="str">
        <f ca="1"/>
        <v>-</v>
      </c>
      <c r="C944">
        <f ca="1"/>
        <v>46061.416666666599</v>
      </c>
      <c r="D944">
        <f ca="1"/>
        <v>62.04</v>
      </c>
      <c r="E944" t="str">
        <f ca="1"/>
        <v>MXN</v>
      </c>
      <c r="F944" t="str">
        <f ca="1"/>
        <v>Daniel Caraveo</v>
      </c>
      <c r="G944" t="str">
        <f ca="1"/>
        <v>UBER * PENDING         CMX           MEX</v>
      </c>
      <c r="H944" t="str">
        <f ca="1"/>
        <v>Uber</v>
      </c>
      <c r="I944" t="str">
        <f ca="1"/>
        <v>G&amp;A expenses</v>
      </c>
      <c r="J944" t="str">
        <f ca="1"/>
        <v>Taslado en sitio</v>
      </c>
      <c r="K944" t="str">
        <f ca="1"/>
        <v>EL SOCIO CONDUCTOR NO EMITE FACTURA</v>
      </c>
      <c r="L944" t="str">
        <f ca="1">VLOOKUP(B944,[1]Total!$B:$Q,16,0)</f>
        <v>603.81.006 Gastos Administativos de venta</v>
      </c>
      <c r="M944">
        <f t="shared" ca="1" si="29"/>
        <v>62.04</v>
      </c>
      <c r="N944" t="str">
        <f t="shared" ca="1" si="30"/>
        <v xml:space="preserve">Daniel Caraveo UBER * PENDING         CMX           MEX Uber G&amp;A expenses Taslado en sitio EL SOCIO CONDUCTOR NO EMITE FACTURA </v>
      </c>
    </row>
    <row r="945" spans="1:14">
      <c r="A945" t="str">
        <f ca="1"/>
        <v>TRX1444</v>
      </c>
      <c r="B945" t="str">
        <f ca="1"/>
        <v>-</v>
      </c>
      <c r="C945">
        <f ca="1"/>
        <v>46061.416666666599</v>
      </c>
      <c r="D945">
        <f ca="1"/>
        <v>285</v>
      </c>
      <c r="E945" t="str">
        <f ca="1"/>
        <v>MXN</v>
      </c>
      <c r="F945" t="str">
        <f ca="1"/>
        <v>Daniel Caraveo</v>
      </c>
      <c r="G945" t="str">
        <f ca="1"/>
        <v>REST DISTRITOGOURMET   CANCUN QROO   MEX</v>
      </c>
      <c r="H945" t="str">
        <f ca="1"/>
        <v>Rest Distritogourmet Cancun Qroo Mex</v>
      </c>
      <c r="I945" t="str">
        <f ca="1"/>
        <v>G&amp;A expenses</v>
      </c>
      <c r="J945" t="str">
        <f ca="1"/>
        <v>comida en sitio</v>
      </c>
      <c r="K945" t="str">
        <f ca="1"/>
        <v>FEFE8534-A49C-48C0-B5A8-9297D57C7E2A</v>
      </c>
      <c r="L945" t="str">
        <f ca="1">VLOOKUP(B945,[1]Total!$B:$Q,16,0)</f>
        <v>603.81.006 Gastos Administativos de venta</v>
      </c>
      <c r="M945">
        <f t="shared" ca="1" si="29"/>
        <v>285</v>
      </c>
      <c r="N945" t="str">
        <f t="shared" ca="1" si="30"/>
        <v xml:space="preserve">Daniel Caraveo REST DISTRITOGOURMET   CANCUN QROO   MEX Rest Distritogourmet Cancun Qroo Mex G&amp;A expenses comida en sitio FEFE8534-A49C-48C0-B5A8-9297D57C7E2A </v>
      </c>
    </row>
    <row r="946" spans="1:14">
      <c r="A946" t="str">
        <f ca="1"/>
        <v>TRX1958</v>
      </c>
      <c r="B946" t="str">
        <f ca="1"/>
        <v>-</v>
      </c>
      <c r="C946">
        <f ca="1"/>
        <v>46062.416666666599</v>
      </c>
      <c r="D946">
        <f ca="1"/>
        <v>149.58000000000001</v>
      </c>
      <c r="E946" t="str">
        <f ca="1"/>
        <v>MXN</v>
      </c>
      <c r="F946" t="str">
        <f ca="1"/>
        <v>Daniel Caraveo</v>
      </c>
      <c r="G946" t="str">
        <f ca="1"/>
        <v>UBER * PENDING         CMX           MEX</v>
      </c>
      <c r="H946" t="str">
        <f ca="1"/>
        <v>Uber</v>
      </c>
      <c r="I946" t="str">
        <f ca="1"/>
        <v>G&amp;A expenses</v>
      </c>
      <c r="J946" t="str">
        <f ca="1"/>
        <v>TRASLADO CASA - OBRA - CASA</v>
      </c>
      <c r="K946" t="str">
        <f ca="1"/>
        <v>B700D2AA-EFC1-5419-B825-7BC767E8AC61</v>
      </c>
      <c r="L946" t="str">
        <f ca="1">VLOOKUP(B946,[1]Total!$B:$Q,16,0)</f>
        <v>603.81.006 Gastos Administativos de venta</v>
      </c>
      <c r="M946">
        <f t="shared" ca="1" si="29"/>
        <v>149.58000000000001</v>
      </c>
      <c r="N946" t="str">
        <f t="shared" ca="1" si="30"/>
        <v xml:space="preserve">Daniel Caraveo UBER * PENDING         CMX           MEX Uber G&amp;A expenses TRASLADO CASA - OBRA - CASA B700D2AA-EFC1-5419-B825-7BC767E8AC61 </v>
      </c>
    </row>
    <row r="947" spans="1:14">
      <c r="A947" t="str">
        <f ca="1"/>
        <v>TRX1116</v>
      </c>
      <c r="B947" t="str">
        <f ca="1"/>
        <v>-</v>
      </c>
      <c r="C947">
        <f ca="1"/>
        <v>46062.416666666599</v>
      </c>
      <c r="D947">
        <f ca="1"/>
        <v>251.68</v>
      </c>
      <c r="E947" t="str">
        <f ca="1"/>
        <v>MXN</v>
      </c>
      <c r="F947" t="str">
        <f ca="1"/>
        <v>Daniel Caraveo</v>
      </c>
      <c r="G947" t="str">
        <f ca="1"/>
        <v>UBER * PENDING         CMX           MEX</v>
      </c>
      <c r="H947" t="str">
        <f ca="1"/>
        <v>Uber</v>
      </c>
      <c r="I947" t="str">
        <f ca="1"/>
        <v>G&amp;A expenses</v>
      </c>
      <c r="J947" t="str">
        <f ca="1"/>
        <v>TRASLADO CASA - OBRA - CASA</v>
      </c>
      <c r="K947" t="str">
        <f ca="1"/>
        <v>B1271243-4BF5-5409-8184-CF8FF6B72A03</v>
      </c>
      <c r="L947" t="str">
        <f ca="1">VLOOKUP(B947,[1]Total!$B:$Q,16,0)</f>
        <v>603.81.006 Gastos Administativos de venta</v>
      </c>
      <c r="M947">
        <f t="shared" ca="1" si="29"/>
        <v>251.68</v>
      </c>
      <c r="N947" t="str">
        <f t="shared" ca="1" si="30"/>
        <v xml:space="preserve">Daniel Caraveo UBER * PENDING         CMX           MEX Uber G&amp;A expenses TRASLADO CASA - OBRA - CASA B1271243-4BF5-5409-8184-CF8FF6B72A03 </v>
      </c>
    </row>
    <row r="948" spans="1:14">
      <c r="A948" t="str">
        <f ca="1"/>
        <v>TRX1684</v>
      </c>
      <c r="B948" t="str">
        <f ca="1"/>
        <v>-</v>
      </c>
      <c r="C948">
        <f ca="1"/>
        <v>46062.416666666599</v>
      </c>
      <c r="D948">
        <f ca="1"/>
        <v>379.5</v>
      </c>
      <c r="E948" t="str">
        <f ca="1"/>
        <v>MXN</v>
      </c>
      <c r="F948" t="str">
        <f ca="1"/>
        <v>Daniel Caraveo</v>
      </c>
      <c r="G948" t="str">
        <f ca="1"/>
        <v>RITUAL CAFE            CANCUN QROO   MEX</v>
      </c>
      <c r="H948" t="str">
        <f ca="1"/>
        <v>Ritual Cafe Cancun Qroo Mex</v>
      </c>
      <c r="I948" t="str">
        <f ca="1"/>
        <v>G&amp;A expenses</v>
      </c>
      <c r="J948" t="str">
        <f ca="1"/>
        <v>comida en sitio</v>
      </c>
      <c r="K948" t="str">
        <f ca="1"/>
        <v>F128074F-95E6-44A3-9B4D-828A349C283E</v>
      </c>
      <c r="L948" t="str">
        <f ca="1">VLOOKUP(B948,[1]Total!$B:$Q,16,0)</f>
        <v>603.81.006 Gastos Administativos de venta</v>
      </c>
      <c r="M948">
        <f t="shared" ca="1" si="29"/>
        <v>379.5</v>
      </c>
      <c r="N948" t="str">
        <f t="shared" ca="1" si="30"/>
        <v xml:space="preserve">Daniel Caraveo RITUAL CAFE            CANCUN QROO   MEX Ritual Cafe Cancun Qroo Mex G&amp;A expenses comida en sitio F128074F-95E6-44A3-9B4D-828A349C283E </v>
      </c>
    </row>
    <row r="949" spans="1:14">
      <c r="A949" t="str">
        <f ca="1"/>
        <v>TRX1696</v>
      </c>
      <c r="B949" t="str">
        <f ca="1"/>
        <v>-</v>
      </c>
      <c r="C949">
        <f ca="1"/>
        <v>46062.416666666599</v>
      </c>
      <c r="D949">
        <f ca="1"/>
        <v>456.89</v>
      </c>
      <c r="E949" t="str">
        <f ca="1"/>
        <v>MXN</v>
      </c>
      <c r="F949" t="str">
        <f ca="1"/>
        <v>Daniel Caraveo</v>
      </c>
      <c r="G949" t="str">
        <f ca="1"/>
        <v>TDAS CHEDRAUI S CAN 3  CANCUN QROO   MEX</v>
      </c>
      <c r="H949" t="str">
        <f ca="1"/>
        <v>Tdas Chedraui S Can 3 Cancun Qroo Mex</v>
      </c>
      <c r="I949" t="str">
        <f ca="1"/>
        <v>G&amp;A expenses</v>
      </c>
      <c r="J949" t="str">
        <f ca="1"/>
        <v>Viaticos para estancia prolongada en provincia por proyecto</v>
      </c>
      <c r="K949" t="str">
        <f ca="1"/>
        <v>B86A7C31-1B81-4BFC-B5F6-67390F4095CE</v>
      </c>
      <c r="L949" t="str">
        <f ca="1">VLOOKUP(B949,[1]Total!$B:$Q,16,0)</f>
        <v>603.81.006 Gastos Administativos de venta</v>
      </c>
      <c r="M949">
        <f t="shared" ca="1" si="29"/>
        <v>456.89</v>
      </c>
      <c r="N949" t="str">
        <f t="shared" ca="1" si="30"/>
        <v xml:space="preserve">Daniel Caraveo TDAS CHEDRAUI S CAN 3  CANCUN QROO   MEX Tdas Chedraui S Can 3 Cancun Qroo Mex G&amp;A expenses Viaticos para estancia prolongada en provincia por proyecto B86A7C31-1B81-4BFC-B5F6-67390F4095CE </v>
      </c>
    </row>
    <row r="950" spans="1:14">
      <c r="A950" t="str">
        <f ca="1"/>
        <v>TRX1588</v>
      </c>
      <c r="B950" t="str">
        <f ca="1"/>
        <v>-</v>
      </c>
      <c r="C950">
        <f ca="1"/>
        <v>46062.416666666599</v>
      </c>
      <c r="D950">
        <f ca="1"/>
        <v>470.8</v>
      </c>
      <c r="E950" t="str">
        <f ca="1"/>
        <v>MXN</v>
      </c>
      <c r="F950" t="str">
        <f ca="1"/>
        <v>Daniel Caraveo</v>
      </c>
      <c r="G950" t="str">
        <f ca="1"/>
        <v>SUSHI ROLL CANCUN      CANCUN QROO   MEX</v>
      </c>
      <c r="H950" t="str">
        <f ca="1"/>
        <v>Sushi Roll Cancun Cancun Qroo Mex</v>
      </c>
      <c r="I950" t="str">
        <f ca="1"/>
        <v>G&amp;A expenses</v>
      </c>
      <c r="J950" t="str">
        <f ca="1"/>
        <v>comida en sitio</v>
      </c>
      <c r="K950" t="str">
        <f ca="1"/>
        <v>B0E9E3F5-BBD5-4124-9E31-3764342765D0</v>
      </c>
      <c r="L950" t="str">
        <f ca="1">VLOOKUP(B950,[1]Total!$B:$Q,16,0)</f>
        <v>603.81.006 Gastos Administativos de venta</v>
      </c>
      <c r="M950">
        <f t="shared" ca="1" si="29"/>
        <v>470.8</v>
      </c>
      <c r="N950" t="str">
        <f t="shared" ca="1" si="30"/>
        <v xml:space="preserve">Daniel Caraveo SUSHI ROLL CANCUN      CANCUN QROO   MEX Sushi Roll Cancun Cancun Qroo Mex G&amp;A expenses comida en sitio B0E9E3F5-BBD5-4124-9E31-3764342765D0 </v>
      </c>
    </row>
    <row r="951" spans="1:14">
      <c r="A951" t="str">
        <f ca="1"/>
        <v>TRX1466</v>
      </c>
      <c r="B951" t="str">
        <f ca="1"/>
        <v>-</v>
      </c>
      <c r="C951">
        <f ca="1"/>
        <v>46062.416666666599</v>
      </c>
      <c r="D951">
        <f ca="1"/>
        <v>1595</v>
      </c>
      <c r="E951" t="str">
        <f ca="1"/>
        <v>MXN</v>
      </c>
      <c r="F951" t="str">
        <f ca="1"/>
        <v>Daniel Caraveo</v>
      </c>
      <c r="G951" t="str">
        <f ca="1"/>
        <v>PLUS LAS AMERICAS      BENITO JUAREZ MEX</v>
      </c>
      <c r="H951" t="str">
        <f ca="1"/>
        <v>Plus Las Americas Benito Juarez Mex</v>
      </c>
      <c r="I951" t="str">
        <f ca="1"/>
        <v>G&amp;A expenses</v>
      </c>
      <c r="J951" t="str">
        <f ca="1"/>
        <v>EPP - CAMISA PROTECCION UV PARA OBRA EN CUBIERTA AL IRE LIBRE EN CANCUN</v>
      </c>
      <c r="K951" t="str">
        <f ca="1"/>
        <v>261c5388-312e-47c7-a894-5acade919c1f</v>
      </c>
      <c r="L951" t="str">
        <f ca="1">VLOOKUP(B951,[1]Total!$B:$Q,16,0)</f>
        <v>603.81.006 Gastos Administativos de venta</v>
      </c>
      <c r="M951">
        <f t="shared" ca="1" si="29"/>
        <v>1595</v>
      </c>
      <c r="N951" t="str">
        <f t="shared" ca="1" si="30"/>
        <v xml:space="preserve">Daniel Caraveo PLUS LAS AMERICAS      BENITO JUAREZ MEX Plus Las Americas Benito Juarez Mex G&amp;A expenses EPP - CAMISA PROTECCION UV PARA OBRA EN CUBIERTA AL IRE LIBRE EN CANCUN 261c5388-312e-47c7-a894-5acade919c1f </v>
      </c>
    </row>
    <row r="952" spans="1:14">
      <c r="A952" t="str">
        <f ca="1"/>
        <v>TRX2003</v>
      </c>
      <c r="B952" t="str">
        <f ca="1"/>
        <v>-</v>
      </c>
      <c r="C952">
        <f ca="1"/>
        <v>46063.416666666599</v>
      </c>
      <c r="D952">
        <f ca="1"/>
        <v>107.96</v>
      </c>
      <c r="E952" t="str">
        <f ca="1"/>
        <v>MXN</v>
      </c>
      <c r="F952" t="str">
        <f ca="1"/>
        <v>Daniel Caraveo</v>
      </c>
      <c r="G952" t="str">
        <f ca="1"/>
        <v>UBER * PENDING         CMX           MEX</v>
      </c>
      <c r="H952" t="str">
        <f ca="1"/>
        <v>Uber</v>
      </c>
      <c r="I952" t="str">
        <f ca="1"/>
        <v>G&amp;A expenses</v>
      </c>
      <c r="J952" t="str">
        <f ca="1"/>
        <v>TRASLADO CASA - OBRA - CASA</v>
      </c>
      <c r="K952" t="str">
        <f ca="1"/>
        <v>9852C259-A902-530E-9EBD-ABE59BB609A0</v>
      </c>
      <c r="L952" t="str">
        <f ca="1">VLOOKUP(B952,[1]Total!$B:$Q,16,0)</f>
        <v>603.81.006 Gastos Administativos de venta</v>
      </c>
      <c r="M952">
        <f t="shared" ca="1" si="29"/>
        <v>107.96</v>
      </c>
      <c r="N952" t="str">
        <f t="shared" ca="1" si="30"/>
        <v xml:space="preserve">Daniel Caraveo UBER * PENDING         CMX           MEX Uber G&amp;A expenses TRASLADO CASA - OBRA - CASA 9852C259-A902-530E-9EBD-ABE59BB609A0 </v>
      </c>
    </row>
    <row r="953" spans="1:14">
      <c r="A953" t="str">
        <f ca="1"/>
        <v>TRX1675</v>
      </c>
      <c r="B953" t="str">
        <f ca="1"/>
        <v>-</v>
      </c>
      <c r="C953">
        <f ca="1"/>
        <v>46063.416666666599</v>
      </c>
      <c r="D953">
        <f ca="1"/>
        <v>115</v>
      </c>
      <c r="E953" t="str">
        <f ca="1"/>
        <v>MXN</v>
      </c>
      <c r="F953" t="str">
        <f ca="1"/>
        <v>Daniel Caraveo</v>
      </c>
      <c r="G953" t="str">
        <f ca="1"/>
        <v>UBER * PENDING         CMX           MEX</v>
      </c>
      <c r="H953" t="str">
        <f ca="1"/>
        <v>Uber</v>
      </c>
      <c r="I953" t="str">
        <f ca="1"/>
        <v>G&amp;A expenses</v>
      </c>
      <c r="J953" t="str">
        <f ca="1"/>
        <v>TRASLADO CASA - OBRA - CASA</v>
      </c>
      <c r="K953" t="str">
        <f ca="1"/>
        <v>95843F81-96FB-5381-BC61-5C48E1B3C625</v>
      </c>
      <c r="L953" t="str">
        <f ca="1">VLOOKUP(B953,[1]Total!$B:$Q,16,0)</f>
        <v>603.81.006 Gastos Administativos de venta</v>
      </c>
      <c r="M953">
        <f t="shared" ca="1" si="29"/>
        <v>115</v>
      </c>
      <c r="N953" t="str">
        <f t="shared" ca="1" si="30"/>
        <v xml:space="preserve">Daniel Caraveo UBER * PENDING         CMX           MEX Uber G&amp;A expenses TRASLADO CASA - OBRA - CASA 95843F81-96FB-5381-BC61-5C48E1B3C625 </v>
      </c>
    </row>
    <row r="954" spans="1:14">
      <c r="A954" t="str">
        <f ca="1"/>
        <v>TRX1109</v>
      </c>
      <c r="B954" t="str">
        <f ca="1"/>
        <v>-</v>
      </c>
      <c r="C954">
        <f ca="1"/>
        <v>46063.416666666599</v>
      </c>
      <c r="D954">
        <f ca="1"/>
        <v>637</v>
      </c>
      <c r="E954" t="str">
        <f ca="1"/>
        <v>MXN</v>
      </c>
      <c r="F954" t="str">
        <f ca="1"/>
        <v>Daniel Caraveo</v>
      </c>
      <c r="G954" t="str">
        <f ca="1"/>
        <v>REST ROLANDIS CUMBRE   CANCUN QROO   MEX</v>
      </c>
      <c r="H954" t="str">
        <f ca="1"/>
        <v>Rest Rolandis Cumbre Cancun Qroo Mex</v>
      </c>
      <c r="I954" t="str">
        <f ca="1"/>
        <v>G&amp;A expenses</v>
      </c>
      <c r="J954" t="str">
        <f ca="1"/>
        <v>comida en sitio</v>
      </c>
      <c r="K954" t="str">
        <f ca="1"/>
        <v>157EEAB3-863E-49A3-AAD0-5E2B6217AD73</v>
      </c>
      <c r="L954" t="str">
        <f ca="1">VLOOKUP(B954,[1]Total!$B:$Q,16,0)</f>
        <v>603.81.006 Gastos Administativos de venta</v>
      </c>
      <c r="M954">
        <f t="shared" ca="1" si="29"/>
        <v>637</v>
      </c>
      <c r="N954" t="str">
        <f t="shared" ca="1" si="30"/>
        <v xml:space="preserve">Daniel Caraveo REST ROLANDIS CUMBRE   CANCUN QROO   MEX Rest Rolandis Cumbre Cancun Qroo Mex G&amp;A expenses comida en sitio 157EEAB3-863E-49A3-AAD0-5E2B6217AD73 </v>
      </c>
    </row>
    <row r="955" spans="1:14">
      <c r="A955" t="str">
        <f ca="1"/>
        <v>TRX1145</v>
      </c>
      <c r="B955" t="str">
        <f ca="1"/>
        <v>-</v>
      </c>
      <c r="C955">
        <f ca="1"/>
        <v>46064.416666666599</v>
      </c>
      <c r="D955">
        <f ca="1"/>
        <v>57.87</v>
      </c>
      <c r="E955" t="str">
        <f ca="1"/>
        <v>MXN</v>
      </c>
      <c r="F955" t="str">
        <f ca="1"/>
        <v>Daniel Caraveo</v>
      </c>
      <c r="G955" t="str">
        <f ca="1"/>
        <v>UBER * PENDING         CMX           MEX</v>
      </c>
      <c r="H955" t="str">
        <f ca="1"/>
        <v>Uber</v>
      </c>
      <c r="I955" t="str">
        <f ca="1"/>
        <v>G&amp;A expenses</v>
      </c>
      <c r="J955" t="str">
        <f ca="1"/>
        <v>TRASLADO CASA - OBRA - CASA</v>
      </c>
      <c r="K955" t="str">
        <f ca="1"/>
        <v>74B64A62-DC8D-533E-8450-B37B7CEB52E5</v>
      </c>
      <c r="L955" t="str">
        <f ca="1">VLOOKUP(B955,[1]Total!$B:$Q,16,0)</f>
        <v>603.81.006 Gastos Administativos de venta</v>
      </c>
      <c r="M955">
        <f t="shared" ca="1" si="29"/>
        <v>57.87</v>
      </c>
      <c r="N955" t="str">
        <f t="shared" ca="1" si="30"/>
        <v xml:space="preserve">Daniel Caraveo UBER * PENDING         CMX           MEX Uber G&amp;A expenses TRASLADO CASA - OBRA - CASA 74B64A62-DC8D-533E-8450-B37B7CEB52E5 </v>
      </c>
    </row>
    <row r="956" spans="1:14">
      <c r="A956" t="str">
        <f ca="1"/>
        <v>TRX1770</v>
      </c>
      <c r="B956" t="str">
        <f ca="1"/>
        <v>-</v>
      </c>
      <c r="C956">
        <f ca="1"/>
        <v>46064.416666666599</v>
      </c>
      <c r="D956">
        <f ca="1"/>
        <v>56.75</v>
      </c>
      <c r="E956" t="str">
        <f ca="1"/>
        <v>MXN</v>
      </c>
      <c r="F956" t="str">
        <f ca="1"/>
        <v>Daniel Caraveo</v>
      </c>
      <c r="G956" t="str">
        <f ca="1"/>
        <v>UBER * PENDING         CMX           MEX</v>
      </c>
      <c r="H956" t="str">
        <f ca="1"/>
        <v>Uber</v>
      </c>
      <c r="I956" t="str">
        <f ca="1"/>
        <v>G&amp;A expenses</v>
      </c>
      <c r="J956" t="str">
        <f ca="1"/>
        <v>TRASLADO CASA - OBRA - CASA</v>
      </c>
      <c r="K956" t="str">
        <f ca="1"/>
        <v>D002CF18-2C4B-5E76-9B38-CF561C61D766</v>
      </c>
      <c r="L956" t="str">
        <f ca="1">VLOOKUP(B956,[1]Total!$B:$Q,16,0)</f>
        <v>603.81.006 Gastos Administativos de venta</v>
      </c>
      <c r="M956">
        <f t="shared" ca="1" si="29"/>
        <v>56.75</v>
      </c>
      <c r="N956" t="str">
        <f t="shared" ca="1" si="30"/>
        <v xml:space="preserve">Daniel Caraveo UBER * PENDING         CMX           MEX Uber G&amp;A expenses TRASLADO CASA - OBRA - CASA D002CF18-2C4B-5E76-9B38-CF561C61D766 </v>
      </c>
    </row>
    <row r="957" spans="1:14">
      <c r="A957" t="str">
        <f ca="1"/>
        <v>TRX1406</v>
      </c>
      <c r="B957" t="str">
        <f ca="1"/>
        <v>-</v>
      </c>
      <c r="C957">
        <f ca="1"/>
        <v>46064.416666666599</v>
      </c>
      <c r="D957">
        <f ca="1"/>
        <v>237</v>
      </c>
      <c r="E957" t="str">
        <f ca="1"/>
        <v>MXN</v>
      </c>
      <c r="F957" t="str">
        <f ca="1"/>
        <v>Daniel Caraveo</v>
      </c>
      <c r="G957" t="str">
        <f ca="1"/>
        <v>STARBUCKS PUERTO CANC  ROO           MEX</v>
      </c>
      <c r="H957" t="str">
        <f ca="1"/>
        <v>Starbucks</v>
      </c>
      <c r="I957" t="str">
        <f ca="1"/>
        <v>G&amp;A expenses</v>
      </c>
      <c r="J957" t="str">
        <f ca="1"/>
        <v>comida en sitio</v>
      </c>
      <c r="K957" t="str">
        <f ca="1"/>
        <v>AC74395A-784F-4E98-94B5-97DC26317A5E</v>
      </c>
      <c r="L957" t="str">
        <f ca="1">VLOOKUP(B957,[1]Total!$B:$Q,16,0)</f>
        <v>603.81.006 Gastos Administativos de venta</v>
      </c>
      <c r="M957">
        <f t="shared" ca="1" si="29"/>
        <v>237</v>
      </c>
      <c r="N957" t="str">
        <f t="shared" ca="1" si="30"/>
        <v xml:space="preserve">Daniel Caraveo STARBUCKS PUERTO CANC  ROO           MEX Starbucks G&amp;A expenses comida en sitio AC74395A-784F-4E98-94B5-97DC26317A5E </v>
      </c>
    </row>
    <row r="958" spans="1:14">
      <c r="A958" t="str">
        <f ca="1"/>
        <v>TRX1304</v>
      </c>
      <c r="B958" t="str">
        <f ca="1"/>
        <v>-</v>
      </c>
      <c r="C958">
        <f ca="1"/>
        <v>46064.416666666599</v>
      </c>
      <c r="D958">
        <f ca="1"/>
        <v>230.1</v>
      </c>
      <c r="E958" t="str">
        <f ca="1"/>
        <v>MXN</v>
      </c>
      <c r="F958" t="str">
        <f ca="1"/>
        <v>Daniel Caraveo</v>
      </c>
      <c r="G958" t="str">
        <f ca="1"/>
        <v>OFFICE MAX CAN CUN II  BENITO JUAREZ MEX</v>
      </c>
      <c r="H958" t="str">
        <f ca="1"/>
        <v>Office Depot</v>
      </c>
      <c r="I958" t="str">
        <f ca="1"/>
        <v>G&amp;A expenses</v>
      </c>
      <c r="J958" t="str">
        <f ca="1"/>
        <v>IMPRESION DE ESTIMACIONES Y PAPELERÍA</v>
      </c>
      <c r="K958" t="str">
        <f ca="1"/>
        <v>A3660CFA-78EE-471F-A503-350BBBE846DE.</v>
      </c>
      <c r="L958" t="str">
        <f ca="1">VLOOKUP(B958,[1]Total!$B:$Q,16,0)</f>
        <v>603.81.006 Gastos Administativos de venta</v>
      </c>
      <c r="M958">
        <f t="shared" ca="1" si="29"/>
        <v>230.1</v>
      </c>
      <c r="N958" t="str">
        <f t="shared" ca="1" si="30"/>
        <v xml:space="preserve">Daniel Caraveo OFFICE MAX CAN CUN II  BENITO JUAREZ MEX Office Depot G&amp;A expenses IMPRESION DE ESTIMACIONES Y PAPELERÍA A3660CFA-78EE-471F-A503-350BBBE846DE. </v>
      </c>
    </row>
    <row r="959" spans="1:14">
      <c r="A959" t="str">
        <f ca="1"/>
        <v>TRX1887</v>
      </c>
      <c r="B959" t="str">
        <f ca="1"/>
        <v>-</v>
      </c>
      <c r="C959">
        <f ca="1"/>
        <v>46064.416666666599</v>
      </c>
      <c r="D959">
        <f ca="1"/>
        <v>313.95999999999998</v>
      </c>
      <c r="E959" t="str">
        <f ca="1"/>
        <v>MXN</v>
      </c>
      <c r="F959" t="str">
        <f ca="1"/>
        <v>Daniel Caraveo</v>
      </c>
      <c r="G959" t="str">
        <f ca="1"/>
        <v>UBER * PENDING         CMX           MEX</v>
      </c>
      <c r="H959" t="str">
        <f ca="1"/>
        <v>Uber</v>
      </c>
      <c r="I959" t="str">
        <f ca="1"/>
        <v>G&amp;A expenses</v>
      </c>
      <c r="J959" t="str">
        <f ca="1"/>
        <v>TRASLADO CASA - OBRA - CASA</v>
      </c>
      <c r="K959" t="str">
        <f ca="1"/>
        <v>EL SOCIO CONDUCTOR NO EMITE FACTURA</v>
      </c>
      <c r="L959" t="str">
        <f ca="1">VLOOKUP(B959,[1]Total!$B:$Q,16,0)</f>
        <v>603.81.006 Gastos Administativos de venta</v>
      </c>
      <c r="M959">
        <f t="shared" ca="1" si="29"/>
        <v>313.95999999999998</v>
      </c>
      <c r="N959" t="str">
        <f t="shared" ca="1" si="30"/>
        <v xml:space="preserve">Daniel Caraveo UBER * PENDING         CMX           MEX Uber G&amp;A expenses TRASLADO CASA - OBRA - CASA EL SOCIO CONDUCTOR NO EMITE FACTURA </v>
      </c>
    </row>
    <row r="960" spans="1:14">
      <c r="A960" t="str">
        <f ca="1"/>
        <v>TRX1483</v>
      </c>
      <c r="B960" t="str">
        <f ca="1"/>
        <v>-</v>
      </c>
      <c r="C960">
        <f ca="1"/>
        <v>46065.416666666599</v>
      </c>
      <c r="D960">
        <f ca="1"/>
        <v>316.57</v>
      </c>
      <c r="E960" t="str">
        <f ca="1"/>
        <v>MXN</v>
      </c>
      <c r="F960" t="str">
        <f ca="1"/>
        <v>Daniel Caraveo</v>
      </c>
      <c r="G960" t="str">
        <f ca="1"/>
        <v>UBER * EATS PENDING    CMX           MEX</v>
      </c>
      <c r="H960" t="str">
        <f ca="1"/>
        <v>Uber Eats</v>
      </c>
      <c r="I960" t="str">
        <f ca="1"/>
        <v>G&amp;A expenses</v>
      </c>
      <c r="J960" t="str">
        <f ca="1"/>
        <v>comida en sitio</v>
      </c>
      <c r="K960" t="str">
        <f ca="1"/>
        <v>El local no me proporciono factura</v>
      </c>
      <c r="L960" t="str">
        <f ca="1">VLOOKUP(B960,[1]Total!$B:$Q,16,0)</f>
        <v>603.81.006 Gastos Administativos de venta</v>
      </c>
      <c r="M960">
        <f t="shared" ca="1" si="29"/>
        <v>316.57</v>
      </c>
      <c r="N960" t="str">
        <f t="shared" ca="1" si="30"/>
        <v xml:space="preserve">Daniel Caraveo UBER * EATS PENDING    CMX           MEX Uber Eats G&amp;A expenses comida en sitio El local no me proporciono factura </v>
      </c>
    </row>
    <row r="961" spans="1:14">
      <c r="A961" t="str">
        <f ca="1"/>
        <v>TRX1076</v>
      </c>
      <c r="B961" t="str">
        <f ca="1"/>
        <v>-</v>
      </c>
      <c r="C961">
        <f ca="1"/>
        <v>46066.416666666599</v>
      </c>
      <c r="D961">
        <f ca="1"/>
        <v>59.2</v>
      </c>
      <c r="E961" t="str">
        <f ca="1"/>
        <v>MXN</v>
      </c>
      <c r="F961" t="str">
        <f ca="1"/>
        <v>Daniel Caraveo</v>
      </c>
      <c r="G961" t="str">
        <f ca="1"/>
        <v>UBER * PENDING         CMX           MEX</v>
      </c>
      <c r="H961" t="str">
        <f ca="1"/>
        <v>Uber</v>
      </c>
      <c r="I961" t="str">
        <f ca="1"/>
        <v>G&amp;A expenses</v>
      </c>
      <c r="J961" t="str">
        <f ca="1"/>
        <v>TRASLADO CASA - OBRA - CASA</v>
      </c>
      <c r="K961" t="str">
        <f ca="1"/>
        <v>1ECD908B-7AF3-5EC7-B486-6786CEEB3FDE</v>
      </c>
      <c r="L961" t="str">
        <f ca="1">VLOOKUP(B961,[1]Total!$B:$Q,16,0)</f>
        <v>603.81.006 Gastos Administativos de venta</v>
      </c>
      <c r="M961">
        <f t="shared" ca="1" si="29"/>
        <v>59.2</v>
      </c>
      <c r="N961" t="str">
        <f t="shared" ca="1" si="30"/>
        <v xml:space="preserve">Daniel Caraveo UBER * PENDING         CMX           MEX Uber G&amp;A expenses TRASLADO CASA - OBRA - CASA 1ECD908B-7AF3-5EC7-B486-6786CEEB3FDE </v>
      </c>
    </row>
    <row r="962" spans="1:14">
      <c r="A962" t="str">
        <f ca="1"/>
        <v>TRX1988</v>
      </c>
      <c r="B962" t="str">
        <f ca="1"/>
        <v>-</v>
      </c>
      <c r="C962">
        <f ca="1"/>
        <v>46066.416666666599</v>
      </c>
      <c r="D962">
        <f ca="1"/>
        <v>47.52</v>
      </c>
      <c r="E962" t="str">
        <f ca="1"/>
        <v>MXN</v>
      </c>
      <c r="F962" t="str">
        <f ca="1"/>
        <v>Daniel Caraveo</v>
      </c>
      <c r="G962" t="str">
        <f ca="1"/>
        <v>UBER * PENDING         CMX           MEX</v>
      </c>
      <c r="H962" t="str">
        <f ca="1"/>
        <v>Uber</v>
      </c>
      <c r="I962" t="str">
        <f ca="1"/>
        <v>G&amp;A expenses</v>
      </c>
      <c r="J962" t="str">
        <f ca="1"/>
        <v>TRASLADO CASA - OBRA - CASA</v>
      </c>
      <c r="K962" t="str">
        <f ca="1"/>
        <v>7A41B42D-E7FA-5EEB-B90F-F616DD80C27A</v>
      </c>
      <c r="L962" t="str">
        <f ca="1">VLOOKUP(B962,[1]Total!$B:$Q,16,0)</f>
        <v>603.81.006 Gastos Administativos de venta</v>
      </c>
      <c r="M962">
        <f t="shared" ca="1" si="29"/>
        <v>47.52</v>
      </c>
      <c r="N962" t="str">
        <f t="shared" ca="1" si="30"/>
        <v xml:space="preserve">Daniel Caraveo UBER * PENDING         CMX           MEX Uber G&amp;A expenses TRASLADO CASA - OBRA - CASA 7A41B42D-E7FA-5EEB-B90F-F616DD80C27A </v>
      </c>
    </row>
    <row r="963" spans="1:14">
      <c r="A963" t="str">
        <f ca="1"/>
        <v>TRX1682</v>
      </c>
      <c r="B963" t="str">
        <f ca="1"/>
        <v>-</v>
      </c>
      <c r="C963">
        <f ca="1"/>
        <v>46066.416666666599</v>
      </c>
      <c r="D963">
        <f ca="1"/>
        <v>54.13</v>
      </c>
      <c r="E963" t="str">
        <f ca="1"/>
        <v>MXN</v>
      </c>
      <c r="F963" t="str">
        <f ca="1"/>
        <v>Daniel Caraveo</v>
      </c>
      <c r="G963" t="str">
        <f ca="1"/>
        <v>UBER * PENDING         CMX           MEX</v>
      </c>
      <c r="H963" t="str">
        <f ca="1"/>
        <v>Uber</v>
      </c>
      <c r="I963" t="str">
        <f ca="1"/>
        <v>G&amp;A expenses</v>
      </c>
      <c r="J963" t="str">
        <f ca="1"/>
        <v>TRASLADO CASA - OBRA - CASA</v>
      </c>
      <c r="K963" t="str">
        <f ca="1"/>
        <v>727340A4-6AD6-53C1-80E7-D30F732CF6AE</v>
      </c>
      <c r="L963" t="str">
        <f ca="1">VLOOKUP(B963,[1]Total!$B:$Q,16,0)</f>
        <v>603.81.006 Gastos Administativos de venta</v>
      </c>
      <c r="M963">
        <f t="shared" ref="M963:M1026" ca="1" si="31">D963</f>
        <v>54.13</v>
      </c>
      <c r="N963" t="str">
        <f t="shared" ref="N963:N1026" ca="1" si="32">CONCATENATE(F963," ",G963," ",H963," ",I963," ",J963," ",K963," ")</f>
        <v xml:space="preserve">Daniel Caraveo UBER * PENDING         CMX           MEX Uber G&amp;A expenses TRASLADO CASA - OBRA - CASA 727340A4-6AD6-53C1-80E7-D30F732CF6AE </v>
      </c>
    </row>
    <row r="964" spans="1:14">
      <c r="A964" t="str">
        <f ca="1"/>
        <v>TRX1459</v>
      </c>
      <c r="B964" t="str">
        <f ca="1"/>
        <v>-</v>
      </c>
      <c r="C964">
        <f ca="1"/>
        <v>46066.417361111096</v>
      </c>
      <c r="D964">
        <f ca="1"/>
        <v>65</v>
      </c>
      <c r="E964" t="str">
        <f ca="1"/>
        <v>MXN</v>
      </c>
      <c r="F964" t="str">
        <f ca="1"/>
        <v>Daniel Caraveo</v>
      </c>
      <c r="G964" t="str">
        <f ca="1"/>
        <v>CLIP MX*REST VEGGIE MX BENITO JUAREZ MEX</v>
      </c>
      <c r="H964" t="str">
        <f ca="1"/>
        <v>Clip Mx Rest Veggie Mx Benito Juarez Mex</v>
      </c>
      <c r="I964" t="str">
        <f ca="1"/>
        <v>G&amp;A expenses</v>
      </c>
      <c r="J964" t="str">
        <f ca="1"/>
        <v>comida en sitio</v>
      </c>
      <c r="K964" t="str">
        <f ca="1"/>
        <v>El local no me proporciono factura</v>
      </c>
      <c r="L964" t="str">
        <f ca="1">VLOOKUP(B964,[1]Total!$B:$Q,16,0)</f>
        <v>603.81.006 Gastos Administativos de venta</v>
      </c>
      <c r="M964">
        <f t="shared" ca="1" si="31"/>
        <v>65</v>
      </c>
      <c r="N964" t="str">
        <f t="shared" ca="1" si="32"/>
        <v xml:space="preserve">Daniel Caraveo CLIP MX*REST VEGGIE MX BENITO JUAREZ MEX Clip Mx Rest Veggie Mx Benito Juarez Mex G&amp;A expenses comida en sitio El local no me proporciono factura </v>
      </c>
    </row>
    <row r="965" spans="1:14">
      <c r="A965" t="str">
        <f ca="1"/>
        <v>TRX1698</v>
      </c>
      <c r="B965" t="str">
        <f ca="1"/>
        <v>-</v>
      </c>
      <c r="C965">
        <f ca="1"/>
        <v>46066.417361111096</v>
      </c>
      <c r="D965">
        <f ca="1"/>
        <v>385</v>
      </c>
      <c r="E965" t="str">
        <f ca="1"/>
        <v>MXN</v>
      </c>
      <c r="F965" t="str">
        <f ca="1"/>
        <v>Daniel Caraveo</v>
      </c>
      <c r="G965" t="str">
        <f ca="1"/>
        <v>CAFE ANTOINETTE        BENITO JUAREZ MEX</v>
      </c>
      <c r="H965" t="str">
        <f ca="1"/>
        <v>Cafe Antoinette Benito Juarez Mex</v>
      </c>
      <c r="I965" t="str">
        <f ca="1"/>
        <v>G&amp;A expenses</v>
      </c>
      <c r="J965" t="str">
        <f ca="1"/>
        <v>comida en sitio</v>
      </c>
      <c r="K965" t="str">
        <f ca="1"/>
        <v>932A9421-C507-4053-9739-7F217AAD5B70</v>
      </c>
      <c r="L965" t="str">
        <f ca="1">VLOOKUP(B965,[1]Total!$B:$Q,16,0)</f>
        <v>603.81.006 Gastos Administativos de venta</v>
      </c>
      <c r="M965">
        <f t="shared" ca="1" si="31"/>
        <v>385</v>
      </c>
      <c r="N965" t="str">
        <f t="shared" ca="1" si="32"/>
        <v xml:space="preserve">Daniel Caraveo CAFE ANTOINETTE        BENITO JUAREZ MEX Cafe Antoinette Benito Juarez Mex G&amp;A expenses comida en sitio 932A9421-C507-4053-9739-7F217AAD5B70 </v>
      </c>
    </row>
    <row r="966" spans="1:14">
      <c r="A966" t="str">
        <f ca="1"/>
        <v>TRX1667</v>
      </c>
      <c r="B966" t="str">
        <f ca="1"/>
        <v>-</v>
      </c>
      <c r="C966">
        <f ca="1"/>
        <v>46066.417361111096</v>
      </c>
      <c r="D966">
        <f ca="1"/>
        <v>295.55</v>
      </c>
      <c r="E966" t="str">
        <f ca="1"/>
        <v>MXN</v>
      </c>
      <c r="F966" t="str">
        <f ca="1"/>
        <v>Daniel Caraveo</v>
      </c>
      <c r="G966" t="str">
        <f ca="1"/>
        <v>WUZIPAY*FAST BONAMPAK  BENITO JUAREZ MEX</v>
      </c>
      <c r="H966" t="str">
        <f ca="1"/>
        <v>Wuzipay Fast Bonampak Benito Juarez Mex</v>
      </c>
      <c r="I966" t="str">
        <f ca="1"/>
        <v>G&amp;A expenses</v>
      </c>
      <c r="J966" t="str">
        <f ca="1"/>
        <v>comida en sitio</v>
      </c>
      <c r="K966" t="str">
        <f ca="1"/>
        <v>401286D0-C7B3-4365-90E8-6F583B6E1422</v>
      </c>
      <c r="L966" t="str">
        <f ca="1">VLOOKUP(B966,[1]Total!$B:$Q,16,0)</f>
        <v>603.81.006 Gastos Administativos de venta</v>
      </c>
      <c r="M966">
        <f t="shared" ca="1" si="31"/>
        <v>295.55</v>
      </c>
      <c r="N966" t="str">
        <f t="shared" ca="1" si="32"/>
        <v xml:space="preserve">Daniel Caraveo WUZIPAY*FAST BONAMPAK  BENITO JUAREZ MEX Wuzipay Fast Bonampak Benito Juarez Mex G&amp;A expenses comida en sitio 401286D0-C7B3-4365-90E8-6F583B6E1422 </v>
      </c>
    </row>
    <row r="967" spans="1:14">
      <c r="A967" t="str">
        <f ca="1"/>
        <v>TRX1376</v>
      </c>
      <c r="B967" t="str">
        <f ca="1"/>
        <v>-</v>
      </c>
      <c r="C967">
        <f ca="1"/>
        <v>46067.416666666599</v>
      </c>
      <c r="D967">
        <f ca="1"/>
        <v>49.23</v>
      </c>
      <c r="E967" t="str">
        <f ca="1"/>
        <v>MXN</v>
      </c>
      <c r="F967" t="str">
        <f ca="1"/>
        <v>Daniel Caraveo</v>
      </c>
      <c r="G967" t="str">
        <f ca="1"/>
        <v>UBER * PENDING         CMX           MEX</v>
      </c>
      <c r="H967" t="str">
        <f ca="1"/>
        <v>Uber</v>
      </c>
      <c r="I967" t="str">
        <f ca="1"/>
        <v>G&amp;A expenses</v>
      </c>
      <c r="J967" t="str">
        <f ca="1"/>
        <v>TRASLADO CASA - OBRA - CASA</v>
      </c>
      <c r="K967" t="str">
        <f ca="1"/>
        <v>FED4BCDD-F974-525D-B19A-E59B1FAE1AD8</v>
      </c>
      <c r="L967" t="str">
        <f ca="1">VLOOKUP(B967,[1]Total!$B:$Q,16,0)</f>
        <v>603.81.006 Gastos Administativos de venta</v>
      </c>
      <c r="M967">
        <f t="shared" ca="1" si="31"/>
        <v>49.23</v>
      </c>
      <c r="N967" t="str">
        <f t="shared" ca="1" si="32"/>
        <v xml:space="preserve">Daniel Caraveo UBER * PENDING         CMX           MEX Uber G&amp;A expenses TRASLADO CASA - OBRA - CASA FED4BCDD-F974-525D-B19A-E59B1FAE1AD8 </v>
      </c>
    </row>
    <row r="968" spans="1:14">
      <c r="A968" t="str">
        <f ca="1"/>
        <v>TRX1598</v>
      </c>
      <c r="B968" t="str">
        <f ca="1"/>
        <v>-</v>
      </c>
      <c r="C968">
        <f ca="1"/>
        <v>46067.416666666599</v>
      </c>
      <c r="D968">
        <f ca="1"/>
        <v>46.74</v>
      </c>
      <c r="E968" t="str">
        <f ca="1"/>
        <v>MXN</v>
      </c>
      <c r="F968" t="str">
        <f ca="1"/>
        <v>Daniel Caraveo</v>
      </c>
      <c r="G968" t="str">
        <f ca="1"/>
        <v>UBER * PENDING         CMX           MEX</v>
      </c>
      <c r="H968" t="str">
        <f ca="1"/>
        <v>Uber</v>
      </c>
      <c r="I968" t="str">
        <f ca="1"/>
        <v>G&amp;A expenses</v>
      </c>
      <c r="J968" t="str">
        <f ca="1"/>
        <v>TRASLADO CASA - OBRA - CASA</v>
      </c>
      <c r="K968" t="str">
        <f ca="1"/>
        <v>3576DE5E-0B2A-5D48-B456-7A02E97B36B4</v>
      </c>
      <c r="L968" t="str">
        <f ca="1">VLOOKUP(B968,[1]Total!$B:$Q,16,0)</f>
        <v>603.81.006 Gastos Administativos de venta</v>
      </c>
      <c r="M968">
        <f t="shared" ca="1" si="31"/>
        <v>46.74</v>
      </c>
      <c r="N968" t="str">
        <f t="shared" ca="1" si="32"/>
        <v xml:space="preserve">Daniel Caraveo UBER * PENDING         CMX           MEX Uber G&amp;A expenses TRASLADO CASA - OBRA - CASA 3576DE5E-0B2A-5D48-B456-7A02E97B36B4 </v>
      </c>
    </row>
    <row r="969" spans="1:14">
      <c r="A969" t="str">
        <f ca="1"/>
        <v>TRX1705</v>
      </c>
      <c r="B969" t="str">
        <f ca="1"/>
        <v>-</v>
      </c>
      <c r="C969">
        <f ca="1"/>
        <v>46067.416666666599</v>
      </c>
      <c r="D969">
        <f ca="1"/>
        <v>2511.2399999999998</v>
      </c>
      <c r="E969" t="str">
        <f ca="1"/>
        <v>MXN</v>
      </c>
      <c r="F969" t="str">
        <f ca="1"/>
        <v>Daniel Caraveo</v>
      </c>
      <c r="G969" t="str">
        <f ca="1"/>
        <v>VIVAAEROBUS WEB        APODACA NL    MEX</v>
      </c>
      <c r="H969" t="str">
        <f ca="1"/>
        <v>Vivaaerobus</v>
      </c>
      <c r="I969" t="str">
        <f ca="1"/>
        <v>G&amp;A expenses</v>
      </c>
      <c r="J969" t="str">
        <f ca="1"/>
        <v>TRASLADO AEREO</v>
      </c>
      <c r="K969" t="str">
        <f ca="1"/>
        <v>6e55cf92-0a7c-4eff-ac8c-672315e7eed4</v>
      </c>
      <c r="L969" t="str">
        <f ca="1">VLOOKUP(B969,[1]Total!$B:$Q,16,0)</f>
        <v>603.81.006 Gastos Administativos de venta</v>
      </c>
      <c r="M969">
        <f t="shared" ca="1" si="31"/>
        <v>2511.2399999999998</v>
      </c>
      <c r="N969" t="str">
        <f t="shared" ca="1" si="32"/>
        <v xml:space="preserve">Daniel Caraveo VIVAAEROBUS WEB        APODACA NL    MEX Vivaaerobus G&amp;A expenses TRASLADO AEREO 6e55cf92-0a7c-4eff-ac8c-672315e7eed4 </v>
      </c>
    </row>
    <row r="970" spans="1:14">
      <c r="A970" t="str">
        <f ca="1"/>
        <v>TRX1739</v>
      </c>
      <c r="B970" t="str">
        <f ca="1"/>
        <v>-</v>
      </c>
      <c r="C970">
        <f ca="1"/>
        <v>46068.416666666599</v>
      </c>
      <c r="D970">
        <f ca="1"/>
        <v>103.83</v>
      </c>
      <c r="E970" t="str">
        <f ca="1"/>
        <v>MXN</v>
      </c>
      <c r="F970" t="str">
        <f ca="1"/>
        <v>Daniel Caraveo</v>
      </c>
      <c r="G970" t="str">
        <f ca="1"/>
        <v>UBER * PENDING         CMX           MEX</v>
      </c>
      <c r="H970" t="str">
        <f ca="1"/>
        <v>Uber</v>
      </c>
      <c r="I970" t="str">
        <f ca="1"/>
        <v>G&amp;A expenses</v>
      </c>
      <c r="J970" t="str">
        <f ca="1"/>
        <v>TRASLADO CASA - OBRA - CASA</v>
      </c>
      <c r="K970" t="str">
        <f ca="1"/>
        <v>EL SOCIO CONDUCTOR NO EMITE FACTURA</v>
      </c>
      <c r="L970" t="str">
        <f ca="1">VLOOKUP(B970,[1]Total!$B:$Q,16,0)</f>
        <v>603.81.006 Gastos Administativos de venta</v>
      </c>
      <c r="M970">
        <f t="shared" ca="1" si="31"/>
        <v>103.83</v>
      </c>
      <c r="N970" t="str">
        <f t="shared" ca="1" si="32"/>
        <v xml:space="preserve">Daniel Caraveo UBER * PENDING         CMX           MEX Uber G&amp;A expenses TRASLADO CASA - OBRA - CASA EL SOCIO CONDUCTOR NO EMITE FACTURA </v>
      </c>
    </row>
    <row r="971" spans="1:14">
      <c r="A971" t="str">
        <f ca="1"/>
        <v>TRX1624</v>
      </c>
      <c r="B971" t="str">
        <f ca="1"/>
        <v>-</v>
      </c>
      <c r="C971">
        <f ca="1"/>
        <v>46068.416666666599</v>
      </c>
      <c r="D971">
        <f ca="1"/>
        <v>154.24</v>
      </c>
      <c r="E971" t="str">
        <f ca="1"/>
        <v>MXN</v>
      </c>
      <c r="F971" t="str">
        <f ca="1"/>
        <v>Daniel Caraveo</v>
      </c>
      <c r="G971" t="str">
        <f ca="1"/>
        <v>UBER * PENDING         CMX           MEX</v>
      </c>
      <c r="H971" t="str">
        <f ca="1"/>
        <v>Uber</v>
      </c>
      <c r="I971" t="str">
        <f ca="1"/>
        <v>G&amp;A expenses</v>
      </c>
      <c r="J971" t="str">
        <f ca="1"/>
        <v>TRASLADO CASA - OBRA - CASA</v>
      </c>
      <c r="K971" t="str">
        <f ca="1"/>
        <v>EL SOCIO CONDUCTOR NO EMITE FACTURA</v>
      </c>
      <c r="L971" t="str">
        <f ca="1">VLOOKUP(B971,[1]Total!$B:$Q,16,0)</f>
        <v>603.81.006 Gastos Administativos de venta</v>
      </c>
      <c r="M971">
        <f t="shared" ca="1" si="31"/>
        <v>154.24</v>
      </c>
      <c r="N971" t="str">
        <f t="shared" ca="1" si="32"/>
        <v xml:space="preserve">Daniel Caraveo UBER * PENDING         CMX           MEX Uber G&amp;A expenses TRASLADO CASA - OBRA - CASA EL SOCIO CONDUCTOR NO EMITE FACTURA </v>
      </c>
    </row>
    <row r="972" spans="1:14">
      <c r="A972" t="str">
        <f ca="1"/>
        <v>TRX1924</v>
      </c>
      <c r="B972" t="str">
        <f ca="1"/>
        <v>-</v>
      </c>
      <c r="C972">
        <f ca="1"/>
        <v>46068.416666666599</v>
      </c>
      <c r="D972">
        <f ca="1"/>
        <v>226</v>
      </c>
      <c r="E972" t="str">
        <f ca="1"/>
        <v>MXN</v>
      </c>
      <c r="F972" t="str">
        <f ca="1"/>
        <v>Daniel Caraveo</v>
      </c>
      <c r="G972" t="str">
        <f ca="1"/>
        <v>REST SUSHITTO CUMBRES  BENITO JUAREZ MEX</v>
      </c>
      <c r="H972" t="str">
        <f ca="1"/>
        <v>Rest Sushitto Cumbres Benito Juarez Mex</v>
      </c>
      <c r="I972" t="str">
        <f ca="1"/>
        <v>G&amp;A expenses</v>
      </c>
      <c r="J972" t="str">
        <f ca="1"/>
        <v>comida en sitio</v>
      </c>
      <c r="K972" t="str">
        <f ca="1"/>
        <v>3ACA3FA8‐79A8‐427A‐9587‐56D086FAEC52</v>
      </c>
      <c r="L972" t="str">
        <f ca="1">VLOOKUP(B972,[1]Total!$B:$Q,16,0)</f>
        <v>603.81.006 Gastos Administativos de venta</v>
      </c>
      <c r="M972">
        <f t="shared" ca="1" si="31"/>
        <v>226</v>
      </c>
      <c r="N972" t="str">
        <f t="shared" ca="1" si="32"/>
        <v xml:space="preserve">Daniel Caraveo REST SUSHITTO CUMBRES  BENITO JUAREZ MEX Rest Sushitto Cumbres Benito Juarez Mex G&amp;A expenses comida en sitio 3ACA3FA8‐79A8‐427A‐9587‐56D086FAEC52 </v>
      </c>
    </row>
    <row r="973" spans="1:14">
      <c r="A973" t="str">
        <f ca="1"/>
        <v>TRX1619</v>
      </c>
      <c r="B973" t="str">
        <f ca="1"/>
        <v>-</v>
      </c>
      <c r="C973">
        <f ca="1"/>
        <v>46069.416666666599</v>
      </c>
      <c r="D973">
        <f ca="1"/>
        <v>368.26</v>
      </c>
      <c r="E973" t="str">
        <f ca="1"/>
        <v>MXN</v>
      </c>
      <c r="F973" t="str">
        <f ca="1"/>
        <v>Daniel Caraveo</v>
      </c>
      <c r="G973" t="str">
        <f ca="1"/>
        <v>UBER * EATS PENDING    CMX           MEX</v>
      </c>
      <c r="H973" t="str">
        <f ca="1"/>
        <v>Uber Eats</v>
      </c>
      <c r="I973" t="str">
        <f ca="1"/>
        <v>G&amp;A expenses</v>
      </c>
      <c r="J973" t="str">
        <f ca="1"/>
        <v>comida en sitio</v>
      </c>
      <c r="K973" t="str">
        <f ca="1"/>
        <v>916AF4C4-CE21-4322-ACF5-97DC263138DE</v>
      </c>
      <c r="L973" t="str">
        <f ca="1">VLOOKUP(B973,[1]Total!$B:$Q,16,0)</f>
        <v>603.81.006 Gastos Administativos de venta</v>
      </c>
      <c r="M973">
        <f t="shared" ca="1" si="31"/>
        <v>368.26</v>
      </c>
      <c r="N973" t="str">
        <f t="shared" ca="1" si="32"/>
        <v xml:space="preserve">Daniel Caraveo UBER * EATS PENDING    CMX           MEX Uber Eats G&amp;A expenses comida en sitio 916AF4C4-CE21-4322-ACF5-97DC263138DE </v>
      </c>
    </row>
    <row r="974" spans="1:14">
      <c r="A974" t="str">
        <f ca="1"/>
        <v>TRX1035</v>
      </c>
      <c r="B974" t="str">
        <f ca="1"/>
        <v>-</v>
      </c>
      <c r="C974">
        <f ca="1"/>
        <v>46069.416666666599</v>
      </c>
      <c r="D974">
        <f ca="1"/>
        <v>74.89</v>
      </c>
      <c r="E974" t="str">
        <f ca="1"/>
        <v>MXN</v>
      </c>
      <c r="F974" t="str">
        <f ca="1"/>
        <v>Daniel Caraveo</v>
      </c>
      <c r="G974" t="str">
        <f ca="1"/>
        <v>UBER * PENDING         CMX           MEX</v>
      </c>
      <c r="H974" t="str">
        <f ca="1"/>
        <v>Uber</v>
      </c>
      <c r="I974" t="str">
        <f ca="1"/>
        <v>G&amp;A expenses</v>
      </c>
      <c r="J974" t="str">
        <f ca="1"/>
        <v>TRASLADO CASA - OBRA - CASA</v>
      </c>
      <c r="K974" t="str">
        <f ca="1"/>
        <v>ADFFE78E-4465-59A0-8D90-A71E8940FE8B</v>
      </c>
      <c r="L974" t="str">
        <f ca="1">VLOOKUP(B974,[1]Total!$B:$Q,16,0)</f>
        <v>603.81.006 Gastos Administativos de venta</v>
      </c>
      <c r="M974">
        <f t="shared" ca="1" si="31"/>
        <v>74.89</v>
      </c>
      <c r="N974" t="str">
        <f t="shared" ca="1" si="32"/>
        <v xml:space="preserve">Daniel Caraveo UBER * PENDING         CMX           MEX Uber G&amp;A expenses TRASLADO CASA - OBRA - CASA ADFFE78E-4465-59A0-8D90-A71E8940FE8B </v>
      </c>
    </row>
    <row r="975" spans="1:14">
      <c r="A975" t="str">
        <f ca="1"/>
        <v>TRX1932</v>
      </c>
      <c r="B975" t="str">
        <f ca="1"/>
        <v>-</v>
      </c>
      <c r="C975">
        <f ca="1"/>
        <v>46069.416666666599</v>
      </c>
      <c r="D975">
        <f ca="1"/>
        <v>94</v>
      </c>
      <c r="E975" t="str">
        <f ca="1"/>
        <v>MXN</v>
      </c>
      <c r="F975" t="str">
        <f ca="1"/>
        <v>Daniel Caraveo</v>
      </c>
      <c r="G975" t="str">
        <f ca="1"/>
        <v>STARBUCKS COFEE L 2626 BENITO JUAREZ MEX</v>
      </c>
      <c r="H975" t="str">
        <f ca="1"/>
        <v>Starbucks</v>
      </c>
      <c r="I975" t="str">
        <f ca="1"/>
        <v>G&amp;A expenses</v>
      </c>
      <c r="J975" t="str">
        <f ca="1"/>
        <v>comida en sitio</v>
      </c>
      <c r="K975" t="str">
        <f ca="1"/>
        <v>7A4BC04C-D35D-4B1F-8232-EF7A1A9B055F</v>
      </c>
      <c r="L975" t="str">
        <f ca="1">VLOOKUP(B975,[1]Total!$B:$Q,16,0)</f>
        <v>603.81.006 Gastos Administativos de venta</v>
      </c>
      <c r="M975">
        <f t="shared" ca="1" si="31"/>
        <v>94</v>
      </c>
      <c r="N975" t="str">
        <f t="shared" ca="1" si="32"/>
        <v xml:space="preserve">Daniel Caraveo STARBUCKS COFEE L 2626 BENITO JUAREZ MEX Starbucks G&amp;A expenses comida en sitio 7A4BC04C-D35D-4B1F-8232-EF7A1A9B055F </v>
      </c>
    </row>
    <row r="976" spans="1:14">
      <c r="A976" t="str">
        <f ca="1"/>
        <v>TRX1281</v>
      </c>
      <c r="B976" t="str">
        <f ca="1"/>
        <v>-</v>
      </c>
      <c r="C976">
        <f ca="1"/>
        <v>46070.416666666599</v>
      </c>
      <c r="D976">
        <f ca="1"/>
        <v>175</v>
      </c>
      <c r="E976" t="str">
        <f ca="1"/>
        <v>MXN</v>
      </c>
      <c r="F976" t="str">
        <f ca="1"/>
        <v>Daniel Caraveo</v>
      </c>
      <c r="G976" t="str">
        <f ca="1"/>
        <v>MC DONALD S DIVISION N CIUDAD DE MEX MEX</v>
      </c>
      <c r="H976" t="str">
        <f ca="1"/>
        <v>Mc Donald S Division N Ciudad De Mex Mex</v>
      </c>
      <c r="I976" t="str">
        <f ca="1"/>
        <v>G&amp;A expenses</v>
      </c>
      <c r="J976" t="str">
        <f ca="1"/>
        <v>comida en sitio</v>
      </c>
      <c r="K976" t="str">
        <f ca="1"/>
        <v>158E73A9-CFEB-4B20-96CB-B88F8E261B5B</v>
      </c>
      <c r="L976" t="str">
        <f ca="1">VLOOKUP(B976,[1]Total!$B:$Q,16,0)</f>
        <v>603.81.006 Gastos Administativos de venta</v>
      </c>
      <c r="M976">
        <f t="shared" ca="1" si="31"/>
        <v>175</v>
      </c>
      <c r="N976" t="str">
        <f t="shared" ca="1" si="32"/>
        <v xml:space="preserve">Daniel Caraveo MC DONALD S DIVISION N CIUDAD DE MEX MEX Mc Donald S Division N Ciudad De Mex Mex G&amp;A expenses comida en sitio 158E73A9-CFEB-4B20-96CB-B88F8E261B5B </v>
      </c>
    </row>
    <row r="977" spans="1:14">
      <c r="A977" t="str">
        <f ca="1"/>
        <v>TRX1174</v>
      </c>
      <c r="B977" t="str">
        <f ca="1"/>
        <v>-</v>
      </c>
      <c r="C977">
        <f ca="1"/>
        <v>46071.416666666599</v>
      </c>
      <c r="D977">
        <f ca="1"/>
        <v>300</v>
      </c>
      <c r="E977" t="str">
        <f ca="1"/>
        <v>MXN</v>
      </c>
      <c r="F977" t="str">
        <f ca="1"/>
        <v>Daniel Caraveo</v>
      </c>
      <c r="G977" t="str">
        <f ca="1"/>
        <v>RECARGA PASE TUTAG     CIUDAD DE MEX MEX</v>
      </c>
      <c r="H977" t="str">
        <f ca="1"/>
        <v>Recarga Pase Tutag Ciudad De Mex Mex</v>
      </c>
      <c r="I977" t="str">
        <f ca="1"/>
        <v>G&amp;A expenses</v>
      </c>
      <c r="J977" t="str">
        <f ca="1"/>
        <v>TAG PARA TRANSPORTE</v>
      </c>
      <c r="K977" t="str">
        <f ca="1"/>
        <v>7A3EA00C-18C5-4402-A3F1-46C4A15D0317</v>
      </c>
      <c r="L977" t="str">
        <f ca="1">VLOOKUP(B977,[1]Total!$B:$Q,16,0)</f>
        <v>603.81.006 Gastos Administativos de venta</v>
      </c>
      <c r="M977">
        <f t="shared" ca="1" si="31"/>
        <v>300</v>
      </c>
      <c r="N977" t="str">
        <f t="shared" ca="1" si="32"/>
        <v xml:space="preserve">Daniel Caraveo RECARGA PASE TUTAG     CIUDAD DE MEX MEX Recarga Pase Tutag Ciudad De Mex Mex G&amp;A expenses TAG PARA TRANSPORTE 7A3EA00C-18C5-4402-A3F1-46C4A15D0317 </v>
      </c>
    </row>
    <row r="978" spans="1:14">
      <c r="A978" t="str">
        <f ca="1"/>
        <v>TRX1894</v>
      </c>
      <c r="B978" t="str">
        <f ca="1"/>
        <v>-</v>
      </c>
      <c r="C978">
        <f ca="1"/>
        <v>46071.416666666599</v>
      </c>
      <c r="D978">
        <f ca="1"/>
        <v>100</v>
      </c>
      <c r="E978" t="str">
        <f ca="1"/>
        <v>MXN</v>
      </c>
      <c r="F978" t="str">
        <f ca="1"/>
        <v>Daniel Caraveo</v>
      </c>
      <c r="G978" t="str">
        <f ca="1"/>
        <v>MEXPAGO*MUEVECIUDAD    CIUDAD DE MEX MEX</v>
      </c>
      <c r="H978" t="str">
        <f ca="1"/>
        <v>Mexpago Mueveciudad Ciudad De Mex Mex</v>
      </c>
      <c r="I978" t="str">
        <f ca="1"/>
        <v>G&amp;A expenses</v>
      </c>
      <c r="J978" t="str">
        <f ca="1"/>
        <v>PAGO DE PARQUÍMETROS EN SITIO</v>
      </c>
      <c r="K978" t="str">
        <f ca="1"/>
        <v>d36974a6-977a-45a2-a333-786831324be3</v>
      </c>
      <c r="L978" t="str">
        <f ca="1">VLOOKUP(B978,[1]Total!$B:$Q,16,0)</f>
        <v>603.81.006 Gastos Administativos de venta</v>
      </c>
      <c r="M978">
        <f t="shared" ca="1" si="31"/>
        <v>100</v>
      </c>
      <c r="N978" t="str">
        <f t="shared" ca="1" si="32"/>
        <v xml:space="preserve">Daniel Caraveo MEXPAGO*MUEVECIUDAD    CIUDAD DE MEX MEX Mexpago Mueveciudad Ciudad De Mex Mex G&amp;A expenses PAGO DE PARQUÍMETROS EN SITIO d36974a6-977a-45a2-a333-786831324be3 </v>
      </c>
    </row>
    <row r="979" spans="1:14">
      <c r="A979" t="str">
        <f ca="1"/>
        <v>TRX1032</v>
      </c>
      <c r="B979" t="str">
        <f ca="1"/>
        <v>-</v>
      </c>
      <c r="C979">
        <f ca="1"/>
        <v>46072.417361111096</v>
      </c>
      <c r="D979">
        <f ca="1"/>
        <v>145</v>
      </c>
      <c r="E979" t="str">
        <f ca="1"/>
        <v>MXN</v>
      </c>
      <c r="F979" t="str">
        <f ca="1"/>
        <v>Daniel Caraveo</v>
      </c>
      <c r="G979" t="str">
        <f ca="1"/>
        <v>ESPERANZA SATELITE     NAUCALPAN DE  MEX</v>
      </c>
      <c r="H979" t="str">
        <f ca="1"/>
        <v>Esperanza Satelite Naucalpan De Mex</v>
      </c>
      <c r="I979" t="str">
        <f ca="1"/>
        <v>G&amp;A expenses</v>
      </c>
      <c r="J979" t="str">
        <f ca="1"/>
        <v>comida en sitio</v>
      </c>
      <c r="K979" t="str">
        <f ca="1"/>
        <v>6EE0FA69-BD12-43D3-852C-E7613A56AEB9</v>
      </c>
      <c r="L979" t="str">
        <f ca="1">VLOOKUP(B979,[1]Total!$B:$Q,16,0)</f>
        <v>603.81.006 Gastos Administativos de venta</v>
      </c>
      <c r="M979">
        <f t="shared" ca="1" si="31"/>
        <v>145</v>
      </c>
      <c r="N979" t="str">
        <f t="shared" ca="1" si="32"/>
        <v xml:space="preserve">Daniel Caraveo ESPERANZA SATELITE     NAUCALPAN DE  MEX Esperanza Satelite Naucalpan De Mex G&amp;A expenses comida en sitio 6EE0FA69-BD12-43D3-852C-E7613A56AEB9 </v>
      </c>
    </row>
    <row r="980" spans="1:14">
      <c r="A980" t="str">
        <f ca="1"/>
        <v>TRX1054</v>
      </c>
      <c r="B980" t="str">
        <f ca="1"/>
        <v>-</v>
      </c>
      <c r="C980">
        <f ca="1"/>
        <v>46073.416666666599</v>
      </c>
      <c r="D980">
        <f ca="1"/>
        <v>299.23</v>
      </c>
      <c r="E980" t="str">
        <f ca="1"/>
        <v>MXN</v>
      </c>
      <c r="F980" t="str">
        <f ca="1"/>
        <v>Daniel Caraveo</v>
      </c>
      <c r="G980" t="str">
        <f ca="1"/>
        <v>UBER * EATS PENDING    CMX           MEX</v>
      </c>
      <c r="H980" t="str">
        <f ca="1"/>
        <v>Uber Eats</v>
      </c>
      <c r="I980" t="str">
        <f ca="1"/>
        <v>G&amp;A expenses</v>
      </c>
      <c r="J980" t="str">
        <f ca="1"/>
        <v>comida en sitio</v>
      </c>
      <c r="K980" t="str">
        <f ca="1"/>
        <v>53036cf5-16c7-499a-8afd-88a6ea314378</v>
      </c>
      <c r="L980" t="str">
        <f ca="1">VLOOKUP(B980,[1]Total!$B:$Q,16,0)</f>
        <v>603.81.006 Gastos Administativos de venta</v>
      </c>
      <c r="M980">
        <f t="shared" ca="1" si="31"/>
        <v>299.23</v>
      </c>
      <c r="N980" t="str">
        <f t="shared" ca="1" si="32"/>
        <v xml:space="preserve">Daniel Caraveo UBER * EATS PENDING    CMX           MEX Uber Eats G&amp;A expenses comida en sitio 53036cf5-16c7-499a-8afd-88a6ea314378 </v>
      </c>
    </row>
    <row r="981" spans="1:14">
      <c r="A981" t="str">
        <f ca="1"/>
        <v>TRX1468</v>
      </c>
      <c r="B981" t="str">
        <f ca="1"/>
        <v>-</v>
      </c>
      <c r="C981">
        <f ca="1"/>
        <v>46073.416666666599</v>
      </c>
      <c r="D981">
        <f ca="1"/>
        <v>400</v>
      </c>
      <c r="E981" t="str">
        <f ca="1"/>
        <v>MXN</v>
      </c>
      <c r="F981" t="str">
        <f ca="1"/>
        <v>Daniel Caraveo</v>
      </c>
      <c r="G981" t="str">
        <f ca="1"/>
        <v>RECARGA PASE TUTAG     CIUDAD DE MEX MEX</v>
      </c>
      <c r="H981" t="str">
        <f ca="1"/>
        <v>Recarga Pase Tutag Ciudad De Mex Mex</v>
      </c>
      <c r="I981" t="str">
        <f ca="1"/>
        <v>G&amp;A expenses</v>
      </c>
      <c r="J981" t="str">
        <f ca="1"/>
        <v>TAG PARA TRANSPORTE</v>
      </c>
      <c r="K981" t="str">
        <f ca="1"/>
        <v>8DC1DD4D-4655-44CA-88BB-89DDB6F923EE</v>
      </c>
      <c r="L981" t="str">
        <f ca="1">VLOOKUP(B981,[1]Total!$B:$Q,16,0)</f>
        <v>603.81.006 Gastos Administativos de venta</v>
      </c>
      <c r="M981">
        <f t="shared" ca="1" si="31"/>
        <v>400</v>
      </c>
      <c r="N981" t="str">
        <f t="shared" ca="1" si="32"/>
        <v xml:space="preserve">Daniel Caraveo RECARGA PASE TUTAG     CIUDAD DE MEX MEX Recarga Pase Tutag Ciudad De Mex Mex G&amp;A expenses TAG PARA TRANSPORTE 8DC1DD4D-4655-44CA-88BB-89DDB6F923EE </v>
      </c>
    </row>
    <row r="982" spans="1:14">
      <c r="A982" t="str">
        <f ca="1"/>
        <v>TRX1700</v>
      </c>
      <c r="B982" t="str">
        <f ca="1"/>
        <v>-</v>
      </c>
      <c r="C982">
        <f ca="1"/>
        <v>46074.416666666599</v>
      </c>
      <c r="D982">
        <f ca="1"/>
        <v>700</v>
      </c>
      <c r="E982" t="str">
        <f ca="1"/>
        <v>MXN</v>
      </c>
      <c r="F982" t="str">
        <f ca="1"/>
        <v>Daniel Caraveo</v>
      </c>
      <c r="G982" t="str">
        <f ca="1"/>
        <v>GAS COGA LOM CHA MIT 2 CIUDAD DE MEX MEX</v>
      </c>
      <c r="H982" t="str">
        <f ca="1"/>
        <v>Gas Coga Lom Cha Mit 2 Ciudad De Mex Mex</v>
      </c>
      <c r="I982" t="str">
        <f ca="1"/>
        <v>G&amp;A expenses</v>
      </c>
      <c r="J982" t="str">
        <f ca="1"/>
        <v>GASOLINA PARA VEHICULO PARTICULAR Y TRANSPORTACIÓN</v>
      </c>
      <c r="K982" t="str">
        <f ca="1"/>
        <v>3364bd80-b1e3-4b3d-9568-c4d497e47da6</v>
      </c>
      <c r="L982" t="str">
        <f ca="1">VLOOKUP(B982,[1]Total!$B:$Q,16,0)</f>
        <v>603.81.006 Gastos Administativos de venta</v>
      </c>
      <c r="M982">
        <f t="shared" ca="1" si="31"/>
        <v>700</v>
      </c>
      <c r="N982" t="str">
        <f t="shared" ca="1" si="32"/>
        <v xml:space="preserve">Daniel Caraveo GAS COGA LOM CHA MIT 2 CIUDAD DE MEX MEX Gas Coga Lom Cha Mit 2 Ciudad De Mex Mex G&amp;A expenses GASOLINA PARA VEHICULO PARTICULAR Y TRANSPORTACIÓN 3364bd80-b1e3-4b3d-9568-c4d497e47da6 </v>
      </c>
    </row>
    <row r="983" spans="1:14">
      <c r="A983" t="str">
        <f ca="1"/>
        <v>TRX1796</v>
      </c>
      <c r="B983" t="str">
        <f ca="1"/>
        <v>-</v>
      </c>
      <c r="C983">
        <f ca="1"/>
        <v>46074.416666666599</v>
      </c>
      <c r="D983">
        <f ca="1"/>
        <v>200</v>
      </c>
      <c r="E983" t="str">
        <f ca="1"/>
        <v>MXN</v>
      </c>
      <c r="F983" t="str">
        <f ca="1"/>
        <v>Daniel Caraveo</v>
      </c>
      <c r="G983" t="str">
        <f ca="1"/>
        <v>MEXPAGO*MUEVECIUDAD    CIUDAD DE MEX MEX</v>
      </c>
      <c r="H983" t="str">
        <f ca="1"/>
        <v>Mexpago Mueveciudad Ciudad De Mex Mex</v>
      </c>
      <c r="I983" t="str">
        <f ca="1"/>
        <v>G&amp;A expenses</v>
      </c>
      <c r="J983" t="str">
        <f ca="1"/>
        <v>PAGO DE PARQUÍMETROS EN SITIO</v>
      </c>
      <c r="K983" t="str">
        <f ca="1"/>
        <v>d36974a6-977a-45a2-a333-786831324be3</v>
      </c>
      <c r="L983" t="str">
        <f ca="1">VLOOKUP(B983,[1]Total!$B:$Q,16,0)</f>
        <v>603.81.006 Gastos Administativos de venta</v>
      </c>
      <c r="M983">
        <f t="shared" ca="1" si="31"/>
        <v>200</v>
      </c>
      <c r="N983" t="str">
        <f t="shared" ca="1" si="32"/>
        <v xml:space="preserve">Daniel Caraveo MEXPAGO*MUEVECIUDAD    CIUDAD DE MEX MEX Mexpago Mueveciudad Ciudad De Mex Mex G&amp;A expenses PAGO DE PARQUÍMETROS EN SITIO d36974a6-977a-45a2-a333-786831324be3 </v>
      </c>
    </row>
    <row r="984" spans="1:14">
      <c r="A984" t="str">
        <f ca="1"/>
        <v>TRX1161</v>
      </c>
      <c r="B984" t="str">
        <f ca="1"/>
        <v>-</v>
      </c>
      <c r="C984">
        <f ca="1"/>
        <v>46078.417361111096</v>
      </c>
      <c r="D984">
        <f ca="1"/>
        <v>134.55000000000001</v>
      </c>
      <c r="E984" t="str">
        <f ca="1"/>
        <v>MXN</v>
      </c>
      <c r="F984" t="str">
        <f ca="1"/>
        <v>Daniel Caraveo</v>
      </c>
      <c r="G984" t="str">
        <f ca="1"/>
        <v>TACO NACO REVOLUCION   CIUDAD DE MEX MEX</v>
      </c>
      <c r="H984" t="str">
        <f ca="1"/>
        <v>Taco Naco Revolucion Ciudad De Mex Mex</v>
      </c>
      <c r="I984" t="str">
        <f ca="1"/>
        <v>G&amp;A expenses</v>
      </c>
      <c r="J984" t="str">
        <f ca="1"/>
        <v>comida en sitio</v>
      </c>
      <c r="K984" t="str">
        <f ca="1"/>
        <v>AB73D626-FDED-42AD-8BFF-1FA924539827</v>
      </c>
      <c r="L984" t="str">
        <f ca="1">VLOOKUP(B984,[1]Total!$B:$Q,16,0)</f>
        <v>603.81.006 Gastos Administativos de venta</v>
      </c>
      <c r="M984">
        <f t="shared" ca="1" si="31"/>
        <v>134.55000000000001</v>
      </c>
      <c r="N984" t="str">
        <f t="shared" ca="1" si="32"/>
        <v xml:space="preserve">Daniel Caraveo TACO NACO REVOLUCION   CIUDAD DE MEX MEX Taco Naco Revolucion Ciudad De Mex Mex G&amp;A expenses comida en sitio AB73D626-FDED-42AD-8BFF-1FA924539827 </v>
      </c>
    </row>
    <row r="985" spans="1:14">
      <c r="A985" t="str">
        <f ca="1"/>
        <v>TRX1209</v>
      </c>
      <c r="B985" t="str">
        <f ca="1"/>
        <v>-</v>
      </c>
      <c r="C985">
        <f ca="1"/>
        <v>46079.417361111096</v>
      </c>
      <c r="D985">
        <f ca="1"/>
        <v>367.4</v>
      </c>
      <c r="E985" t="str">
        <f ca="1"/>
        <v>MXN</v>
      </c>
      <c r="F985" t="str">
        <f ca="1"/>
        <v>Daniel Caraveo</v>
      </c>
      <c r="G985" t="str">
        <f ca="1"/>
        <v>CENTUM *CENTUM PAY025  ACAPULCO DE J MEX</v>
      </c>
      <c r="H985" t="str">
        <f ca="1"/>
        <v>Centum Centum Pay025 Acapulco De J Mex</v>
      </c>
      <c r="I985" t="str">
        <f ca="1"/>
        <v>G&amp;A expenses</v>
      </c>
      <c r="J985" t="str">
        <f ca="1"/>
        <v>comida en sitio</v>
      </c>
      <c r="K985" t="str">
        <f ca="1"/>
        <v>El local no me proporciono factura</v>
      </c>
      <c r="L985" t="str">
        <f ca="1">VLOOKUP(B985,[1]Total!$B:$Q,16,0)</f>
        <v>603.81.006 Gastos Administativos de venta</v>
      </c>
      <c r="M985">
        <f t="shared" ca="1" si="31"/>
        <v>367.4</v>
      </c>
      <c r="N985" t="str">
        <f t="shared" ca="1" si="32"/>
        <v xml:space="preserve">Daniel Caraveo CENTUM *CENTUM PAY025  ACAPULCO DE J MEX Centum Centum Pay025 Acapulco De J Mex G&amp;A expenses comida en sitio El local no me proporciono factura </v>
      </c>
    </row>
    <row r="986" spans="1:14">
      <c r="A986" t="str">
        <f ca="1"/>
        <v>TRX1223</v>
      </c>
      <c r="B986" t="str">
        <f ca="1"/>
        <v>-</v>
      </c>
      <c r="C986">
        <f ca="1"/>
        <v>46080.416666666599</v>
      </c>
      <c r="D986">
        <f ca="1"/>
        <v>300</v>
      </c>
      <c r="E986" t="str">
        <f ca="1"/>
        <v>MXN</v>
      </c>
      <c r="F986" t="str">
        <f ca="1"/>
        <v>Daniel Caraveo</v>
      </c>
      <c r="G986" t="str">
        <f ca="1"/>
        <v>RECARGA PASE TUTAG     CIUDAD DE MEX MEX</v>
      </c>
      <c r="H986" t="str">
        <f ca="1"/>
        <v>Recarga Pase Tutag Ciudad De Mex Mex</v>
      </c>
      <c r="I986" t="str">
        <f ca="1"/>
        <v>G&amp;A expenses</v>
      </c>
      <c r="J986" t="str">
        <f ca="1"/>
        <v>TAG PARA TRANSPORTE</v>
      </c>
      <c r="K986" t="str">
        <f ca="1"/>
        <v>86DE9076-984A-4DF9-94FB-9138C9783E45</v>
      </c>
      <c r="L986" t="str">
        <f ca="1">VLOOKUP(B986,[1]Total!$B:$Q,16,0)</f>
        <v>603.81.006 Gastos Administativos de venta</v>
      </c>
      <c r="M986">
        <f t="shared" ca="1" si="31"/>
        <v>300</v>
      </c>
      <c r="N986" t="str">
        <f t="shared" ca="1" si="32"/>
        <v xml:space="preserve">Daniel Caraveo RECARGA PASE TUTAG     CIUDAD DE MEX MEX Recarga Pase Tutag Ciudad De Mex Mex G&amp;A expenses TAG PARA TRANSPORTE 86DE9076-984A-4DF9-94FB-9138C9783E45 </v>
      </c>
    </row>
    <row r="987" spans="1:14">
      <c r="A987" t="str">
        <f ca="1"/>
        <v>TRX1232</v>
      </c>
      <c r="B987" t="str">
        <f ca="1"/>
        <v>-</v>
      </c>
      <c r="C987">
        <f ca="1"/>
        <v>46080.416666666599</v>
      </c>
      <c r="D987">
        <f ca="1"/>
        <v>3035</v>
      </c>
      <c r="E987" t="str">
        <f ca="1"/>
        <v>MXN</v>
      </c>
      <c r="F987" t="str">
        <f ca="1"/>
        <v>Daniel Caraveo</v>
      </c>
      <c r="G987" t="str">
        <f ca="1"/>
        <v>MIT*TRANSP VOLARIS     CIUDAD DE MEX MEX</v>
      </c>
      <c r="H987" t="str">
        <f ca="1"/>
        <v>Volaris</v>
      </c>
      <c r="I987" t="str">
        <f ca="1"/>
        <v>G&amp;A expenses</v>
      </c>
      <c r="J987" t="str">
        <f ca="1"/>
        <v>TRASLADO AEREO</v>
      </c>
      <c r="K987" t="str">
        <f ca="1"/>
        <v>b7db7aaf-7e0b-477c-ad19-7199d71ea5e7</v>
      </c>
      <c r="L987" t="str">
        <f ca="1">VLOOKUP(B987,[1]Total!$B:$Q,16,0)</f>
        <v>603.81.006 Gastos Administativos de venta</v>
      </c>
      <c r="M987">
        <f t="shared" ca="1" si="31"/>
        <v>3035</v>
      </c>
      <c r="N987" t="str">
        <f t="shared" ca="1" si="32"/>
        <v xml:space="preserve">Daniel Caraveo MIT*TRANSP VOLARIS     CIUDAD DE MEX MEX Volaris G&amp;A expenses TRASLADO AEREO b7db7aaf-7e0b-477c-ad19-7199d71ea5e7 </v>
      </c>
    </row>
    <row r="988" spans="1:14">
      <c r="A988" t="str">
        <f ca="1"/>
        <v>TRX1272</v>
      </c>
      <c r="B988" t="str">
        <f ca="1"/>
        <v>-</v>
      </c>
      <c r="C988">
        <f ca="1"/>
        <v>46081.416666666599</v>
      </c>
      <c r="D988">
        <f ca="1"/>
        <v>358.39</v>
      </c>
      <c r="E988" t="str">
        <f ca="1"/>
        <v>MXN</v>
      </c>
      <c r="F988" t="str">
        <f ca="1"/>
        <v>Daniel Caraveo</v>
      </c>
      <c r="G988" t="str">
        <f ca="1"/>
        <v>DLO*UBER EATS          CIUDAD DE MEX MEX</v>
      </c>
      <c r="H988" t="str">
        <f ca="1"/>
        <v>Uber Eats</v>
      </c>
      <c r="I988" t="str">
        <f ca="1"/>
        <v>G&amp;A expenses</v>
      </c>
      <c r="J988" t="str">
        <f ca="1"/>
        <v>comida en sitio</v>
      </c>
      <c r="K988" t="str">
        <f ca="1"/>
        <v>El local no me proporciono factura</v>
      </c>
      <c r="L988" t="str">
        <f ca="1">VLOOKUP(B988,[1]Total!$B:$Q,16,0)</f>
        <v>603.81.006 Gastos Administativos de venta</v>
      </c>
      <c r="M988">
        <f t="shared" ca="1" si="31"/>
        <v>358.39</v>
      </c>
      <c r="N988" t="str">
        <f t="shared" ca="1" si="32"/>
        <v xml:space="preserve">Daniel Caraveo DLO*UBER EATS          CIUDAD DE MEX MEX Uber Eats G&amp;A expenses comida en sitio El local no me proporciono factura </v>
      </c>
    </row>
    <row r="989" spans="1:14">
      <c r="A989" t="str">
        <f ca="1"/>
        <v>TRX1282</v>
      </c>
      <c r="B989" t="str">
        <f ca="1"/>
        <v>-</v>
      </c>
      <c r="C989">
        <f ca="1"/>
        <v>46081.417361111096</v>
      </c>
      <c r="D989">
        <f ca="1"/>
        <v>6428.84</v>
      </c>
      <c r="E989" t="str">
        <f ca="1"/>
        <v>MXN</v>
      </c>
      <c r="F989" t="str">
        <f ca="1"/>
        <v>Daniel Caraveo</v>
      </c>
      <c r="G989" t="str">
        <f ca="1"/>
        <v>AIRBNB * HMMXJKDAK2    LONDON        GBR</v>
      </c>
      <c r="H989" t="str">
        <f ca="1"/>
        <v>Airbnb</v>
      </c>
      <c r="I989" t="str">
        <f ca="1"/>
        <v>G&amp;A expenses</v>
      </c>
      <c r="J989" t="str">
        <f ca="1"/>
        <v>ESTANCIA PROLONGADA CNCUN</v>
      </c>
      <c r="K989" t="str">
        <f ca="1"/>
        <v>BFC61D9F-BD07-455D-9489-44ACFBA3B86B</v>
      </c>
      <c r="L989" t="str">
        <f ca="1">VLOOKUP(B989,[1]Total!$B:$Q,16,0)</f>
        <v>603.81.006 Gastos Administativos de venta</v>
      </c>
      <c r="M989">
        <f t="shared" ca="1" si="31"/>
        <v>6428.84</v>
      </c>
      <c r="N989" t="str">
        <f t="shared" ca="1" si="32"/>
        <v xml:space="preserve">Daniel Caraveo AIRBNB * HMMXJKDAK2    LONDON        GBR Airbnb G&amp;A expenses ESTANCIA PROLONGADA CNCUN BFC61D9F-BD07-455D-9489-44ACFBA3B86B </v>
      </c>
    </row>
    <row r="990" spans="1:14">
      <c r="A990" t="str">
        <f ca="1"/>
        <v>TRX1260</v>
      </c>
      <c r="B990" t="str">
        <f ca="1"/>
        <v>-</v>
      </c>
      <c r="C990">
        <f ca="1"/>
        <v>46058.416666666599</v>
      </c>
      <c r="D990">
        <f ca="1"/>
        <v>500</v>
      </c>
      <c r="E990" t="str">
        <f ca="1"/>
        <v>MXN</v>
      </c>
      <c r="F990" t="str">
        <f ca="1"/>
        <v>Cindy Aguirre</v>
      </c>
      <c r="G990" t="str">
        <f ca="1"/>
        <v>GAS COGA LOM CHA MIT 2 CIUDAD DE MEX MEX</v>
      </c>
      <c r="H990" t="str">
        <f ca="1"/>
        <v>Gas Coga Lom Cha Mit 2 Ciudad De Mex Mex</v>
      </c>
      <c r="I990" t="str">
        <f ca="1"/>
        <v>Capex</v>
      </c>
      <c r="J990" t="str">
        <f ca="1"/>
        <v>Traslado proyecto 4128, PO 2035</v>
      </c>
      <c r="K990" t="str">
        <f ca="1"/>
        <v>41c224b7-4cad-43c1-9d5c-d7d99bee9d70</v>
      </c>
      <c r="L990" t="str">
        <f ca="1">VLOOKUP(B990,[1]Total!$B:$Q,16,0)</f>
        <v>603.81.006 Gastos Administativos de venta</v>
      </c>
      <c r="M990">
        <f t="shared" ca="1" si="31"/>
        <v>500</v>
      </c>
      <c r="N990" t="str">
        <f t="shared" ca="1" si="32"/>
        <v xml:space="preserve">Cindy Aguirre GAS COGA LOM CHA MIT 2 CIUDAD DE MEX MEX Gas Coga Lom Cha Mit 2 Ciudad De Mex Mex Capex Traslado proyecto 4128, PO 2035 41c224b7-4cad-43c1-9d5c-d7d99bee9d70 </v>
      </c>
    </row>
    <row r="991" spans="1:14">
      <c r="A991" t="str">
        <f ca="1"/>
        <v>TRX1051</v>
      </c>
      <c r="B991" t="str">
        <f ca="1"/>
        <v>-</v>
      </c>
      <c r="C991">
        <f ca="1"/>
        <v>46073.416666666599</v>
      </c>
      <c r="D991">
        <f ca="1"/>
        <v>304.35000000000002</v>
      </c>
      <c r="E991" t="str">
        <f ca="1"/>
        <v>MXN</v>
      </c>
      <c r="F991" t="str">
        <f ca="1"/>
        <v>Cindy Aguirre</v>
      </c>
      <c r="G991" t="str">
        <f ca="1"/>
        <v>UBER * EATS PENDING    CMX           MEX</v>
      </c>
      <c r="H991" t="str">
        <f ca="1"/>
        <v>Uber Eats</v>
      </c>
      <c r="I991" t="str">
        <f ca="1"/>
        <v>Capex</v>
      </c>
      <c r="J991" t="str">
        <f ca="1"/>
        <v>comidaproyecto 4128, PO 2035</v>
      </c>
      <c r="K991" t="str">
        <f ca="1"/>
        <v>PO1234 Uber Radioflyer</v>
      </c>
      <c r="L991" t="str">
        <f ca="1">VLOOKUP(B991,[1]Total!$B:$Q,16,0)</f>
        <v>603.81.006 Gastos Administativos de venta</v>
      </c>
      <c r="M991">
        <f t="shared" ca="1" si="31"/>
        <v>304.35000000000002</v>
      </c>
      <c r="N991" t="str">
        <f t="shared" ca="1" si="32"/>
        <v xml:space="preserve">Cindy Aguirre UBER * EATS PENDING    CMX           MEX Uber Eats Capex comidaproyecto 4128, PO 2035 PO1234 Uber Radioflyer </v>
      </c>
    </row>
    <row r="992" spans="1:14">
      <c r="A992" t="str">
        <f ca="1"/>
        <v>TRX1044</v>
      </c>
      <c r="B992" t="str">
        <f ca="1"/>
        <v>-</v>
      </c>
      <c r="C992">
        <f ca="1"/>
        <v>46073.416666666599</v>
      </c>
      <c r="D992">
        <f ca="1"/>
        <v>200</v>
      </c>
      <c r="E992" t="str">
        <f ca="1"/>
        <v>MXN</v>
      </c>
      <c r="F992" t="str">
        <f ca="1"/>
        <v>Cindy Aguirre</v>
      </c>
      <c r="G992" t="str">
        <f ca="1"/>
        <v>MEXPAGO*MUEVECIUDAD    CIUDAD DE MEX MEX</v>
      </c>
      <c r="H992" t="str">
        <f ca="1"/>
        <v>Mexpago Mueveciudad Ciudad De Mex Mex</v>
      </c>
      <c r="I992" t="str">
        <f ca="1"/>
        <v>Capex</v>
      </c>
      <c r="J992" t="str">
        <f ca="1"/>
        <v>Reuniones segumientoproyecto 4957, PO 2160</v>
      </c>
      <c r="K992" t="str">
        <f ca="1"/>
        <v>SIN FACTURA</v>
      </c>
      <c r="L992" t="str">
        <f ca="1">VLOOKUP(B992,[1]Total!$B:$Q,16,0)</f>
        <v>603.81.006 Gastos Administativos de venta</v>
      </c>
      <c r="M992">
        <f t="shared" ca="1" si="31"/>
        <v>200</v>
      </c>
      <c r="N992" t="str">
        <f t="shared" ca="1" si="32"/>
        <v xml:space="preserve">Cindy Aguirre MEXPAGO*MUEVECIUDAD    CIUDAD DE MEX MEX Mexpago Mueveciudad Ciudad De Mex Mex Capex Reuniones segumientoproyecto 4957, PO 2160 SIN FACTURA </v>
      </c>
    </row>
    <row r="993" spans="1:14">
      <c r="A993" t="str">
        <f ca="1"/>
        <v>TRX1058</v>
      </c>
      <c r="B993" t="str">
        <f ca="1"/>
        <v>-</v>
      </c>
      <c r="C993">
        <f ca="1"/>
        <v>46075.416666666599</v>
      </c>
      <c r="D993">
        <f ca="1"/>
        <v>282.33</v>
      </c>
      <c r="E993" t="str">
        <f ca="1"/>
        <v>MXN</v>
      </c>
      <c r="F993" t="str">
        <f ca="1"/>
        <v>Cindy Aguirre</v>
      </c>
      <c r="G993" t="str">
        <f ca="1"/>
        <v>DLO*UBER               CIUDAD DE MEX MEX</v>
      </c>
      <c r="H993" t="str">
        <f ca="1"/>
        <v>Uber</v>
      </c>
      <c r="I993" t="str">
        <f ca="1"/>
        <v>Capex</v>
      </c>
      <c r="J993" t="str">
        <f ca="1"/>
        <v>desayuno proyecto 4957, PO 2160</v>
      </c>
      <c r="K993" t="str">
        <f ca="1"/>
        <v>PO1234 Uber Radioflyer</v>
      </c>
      <c r="L993" t="str">
        <f ca="1">VLOOKUP(B993,[1]Total!$B:$Q,16,0)</f>
        <v>603.81.006 Gastos Administativos de venta</v>
      </c>
      <c r="M993">
        <f t="shared" ca="1" si="31"/>
        <v>282.33</v>
      </c>
      <c r="N993" t="str">
        <f t="shared" ca="1" si="32"/>
        <v xml:space="preserve">Cindy Aguirre DLO*UBER               CIUDAD DE MEX MEX Uber Capex desayuno proyecto 4957, PO 2160 PO1234 Uber Radioflyer </v>
      </c>
    </row>
    <row r="994" spans="1:14">
      <c r="A994" t="str">
        <f ca="1"/>
        <v>TRX1108</v>
      </c>
      <c r="B994" t="str">
        <f ca="1"/>
        <v>-</v>
      </c>
      <c r="C994">
        <f ca="1"/>
        <v>46077.416666666599</v>
      </c>
      <c r="D994">
        <f ca="1"/>
        <v>674.81</v>
      </c>
      <c r="E994" t="str">
        <f ca="1"/>
        <v>MXN</v>
      </c>
      <c r="F994" t="str">
        <f ca="1"/>
        <v>Cindy Aguirre</v>
      </c>
      <c r="G994" t="str">
        <f ca="1"/>
        <v>GASOLINERIA ES 09489   ECATEPEC DE M MEX</v>
      </c>
      <c r="H994" t="str">
        <f ca="1"/>
        <v>Gasolineria Es Ecatepec De M Mex</v>
      </c>
      <c r="I994" t="str">
        <f ca="1"/>
        <v>Capex</v>
      </c>
      <c r="J994" t="str">
        <f ca="1"/>
        <v>traslado proyecto 4957, PO 2160</v>
      </c>
      <c r="K994" t="str">
        <f ca="1"/>
        <v>e722eebe-cd14-452b-9f67-1b6b9893e4f3</v>
      </c>
      <c r="L994" t="str">
        <f ca="1">VLOOKUP(B994,[1]Total!$B:$Q,16,0)</f>
        <v>603.81.006 Gastos Administativos de venta</v>
      </c>
      <c r="M994">
        <f t="shared" ca="1" si="31"/>
        <v>674.81</v>
      </c>
      <c r="N994" t="str">
        <f t="shared" ca="1" si="32"/>
        <v xml:space="preserve">Cindy Aguirre GASOLINERIA ES 09489   ECATEPEC DE M MEX Gasolineria Es Ecatepec De M Mex Capex traslado proyecto 4957, PO 2160 e722eebe-cd14-452b-9f67-1b6b9893e4f3 </v>
      </c>
    </row>
    <row r="995" spans="1:14">
      <c r="A995" t="str">
        <f ca="1"/>
        <v>TRX1148</v>
      </c>
      <c r="B995" t="str">
        <f ca="1"/>
        <v>-</v>
      </c>
      <c r="C995">
        <f ca="1"/>
        <v>46078.416666666599</v>
      </c>
      <c r="D995">
        <f ca="1"/>
        <v>400</v>
      </c>
      <c r="E995" t="str">
        <f ca="1"/>
        <v>MXN</v>
      </c>
      <c r="F995" t="str">
        <f ca="1"/>
        <v>Cindy Aguirre</v>
      </c>
      <c r="G995" t="str">
        <f ca="1"/>
        <v>RECARGA PASE TUTAG     CIUDAD DE MEX MEX</v>
      </c>
      <c r="H995" t="str">
        <f ca="1"/>
        <v>Recarga Pase Tutag Ciudad De Mex Mex</v>
      </c>
      <c r="I995" t="str">
        <f ca="1"/>
        <v>Capex</v>
      </c>
      <c r="J995" t="str">
        <f ca="1"/>
        <v>Traslado proyecto 4128, PO 2035</v>
      </c>
      <c r="K995" t="str">
        <f ca="1"/>
        <v>E41E9A4D-686D-4D8C-AACF-595E1DF37A35</v>
      </c>
      <c r="L995" t="str">
        <f ca="1">VLOOKUP(B995,[1]Total!$B:$Q,16,0)</f>
        <v>603.81.006 Gastos Administativos de venta</v>
      </c>
      <c r="M995">
        <f t="shared" ca="1" si="31"/>
        <v>400</v>
      </c>
      <c r="N995" t="str">
        <f t="shared" ca="1" si="32"/>
        <v xml:space="preserve">Cindy Aguirre RECARGA PASE TUTAG     CIUDAD DE MEX MEX Recarga Pase Tutag Ciudad De Mex Mex Capex Traslado proyecto 4128, PO 2035 E41E9A4D-686D-4D8C-AACF-595E1DF37A35 </v>
      </c>
    </row>
    <row r="996" spans="1:14">
      <c r="A996" t="str">
        <f ca="1"/>
        <v>TRX1225</v>
      </c>
      <c r="B996" t="str">
        <f ca="1"/>
        <v>-</v>
      </c>
      <c r="C996">
        <f ca="1"/>
        <v>46060.417361111096</v>
      </c>
      <c r="D996">
        <f ca="1"/>
        <v>100</v>
      </c>
      <c r="E996" t="str">
        <f ca="1"/>
        <v>MXN</v>
      </c>
      <c r="F996" t="str">
        <f ca="1"/>
        <v>Jorge Pena De La Luz</v>
      </c>
      <c r="G996" t="str">
        <f ca="1"/>
        <v>MEXPAGO*MUEVECIUDAD    CIUDAD DE MEX MEX</v>
      </c>
      <c r="H996" t="str">
        <f ca="1"/>
        <v>Mexpago Mueveciudad Ciudad De Mex Mex</v>
      </c>
      <c r="I996" t="str">
        <f ca="1"/>
        <v>Sales</v>
      </c>
      <c r="J996" t="str">
        <f ca="1"/>
        <v>RFQ-4832/ESTACIONAMIENTO</v>
      </c>
      <c r="K996" t="str">
        <f ca="1"/>
        <v>S/F</v>
      </c>
      <c r="L996" t="str">
        <f ca="1">VLOOKUP(B996,[1]Total!$B:$Q,16,0)</f>
        <v>603.81.006 Gastos Administativos de venta</v>
      </c>
      <c r="M996">
        <f t="shared" ca="1" si="31"/>
        <v>100</v>
      </c>
      <c r="N996" t="str">
        <f t="shared" ca="1" si="32"/>
        <v xml:space="preserve">Jorge Pena De La Luz MEXPAGO*MUEVECIUDAD    CIUDAD DE MEX MEX Mexpago Mueveciudad Ciudad De Mex Mex Sales RFQ-4832/ESTACIONAMIENTO S/F </v>
      </c>
    </row>
    <row r="997" spans="1:14">
      <c r="A997" t="str">
        <f ca="1"/>
        <v>TRX1864</v>
      </c>
      <c r="B997" t="str">
        <f ca="1"/>
        <v>-</v>
      </c>
      <c r="C997">
        <f ca="1"/>
        <v>46060.417361111096</v>
      </c>
      <c r="D997">
        <f ca="1"/>
        <v>300</v>
      </c>
      <c r="E997" t="str">
        <f ca="1"/>
        <v>MXN</v>
      </c>
      <c r="F997" t="str">
        <f ca="1"/>
        <v>Jorge Pena De La Luz</v>
      </c>
      <c r="G997" t="str">
        <f ca="1"/>
        <v>PAYPAL *PASESERVICI    MEXICO CITY   MEX</v>
      </c>
      <c r="H997" t="str">
        <f ca="1"/>
        <v>Paseservici Mexico City Mex</v>
      </c>
      <c r="I997" t="str">
        <f ca="1"/>
        <v>Sales</v>
      </c>
      <c r="J997" t="str">
        <f ca="1"/>
        <v>RFQ-4701/TRASLADO</v>
      </c>
      <c r="K997" t="str">
        <f ca="1"/>
        <v xml:space="preserve">31FFB00D-1BC1-4EB2-988F-C45D9143007E
</v>
      </c>
      <c r="L997" t="str">
        <f ca="1">VLOOKUP(B997,[1]Total!$B:$Q,16,0)</f>
        <v>603.81.006 Gastos Administativos de venta</v>
      </c>
      <c r="M997">
        <f t="shared" ca="1" si="31"/>
        <v>300</v>
      </c>
      <c r="N997" t="str">
        <f t="shared" ca="1" si="32"/>
        <v xml:space="preserve">Jorge Pena De La Luz PAYPAL *PASESERVICI    MEXICO CITY   MEX Paseservici Mexico City Mex Sales RFQ-4701/TRASLADO 31FFB00D-1BC1-4EB2-988F-C45D9143007E
 </v>
      </c>
    </row>
    <row r="998" spans="1:14">
      <c r="A998" t="str">
        <f ca="1"/>
        <v>TRX1315</v>
      </c>
      <c r="B998" t="str">
        <f ca="1"/>
        <v>-</v>
      </c>
      <c r="C998">
        <f ca="1"/>
        <v>46067.416666666599</v>
      </c>
      <c r="D998">
        <f ca="1"/>
        <v>50</v>
      </c>
      <c r="E998" t="str">
        <f ca="1"/>
        <v>MXN</v>
      </c>
      <c r="F998" t="str">
        <f ca="1"/>
        <v>Jorge Pena De La Luz</v>
      </c>
      <c r="G998" t="str">
        <f ca="1"/>
        <v>MEXPAGO*MUEVECIUDAD    CIUDAD DE MEX MEX</v>
      </c>
      <c r="H998" t="str">
        <f ca="1"/>
        <v>Mexpago Mueveciudad Ciudad De Mex Mex</v>
      </c>
      <c r="I998" t="str">
        <f ca="1"/>
        <v>Sales</v>
      </c>
      <c r="J998" t="str">
        <f ca="1"/>
        <v>RFQ-5274/ESTACIONAMIENTO</v>
      </c>
      <c r="K998" t="str">
        <f ca="1"/>
        <v>S/F</v>
      </c>
      <c r="L998" t="str">
        <f ca="1">VLOOKUP(B998,[1]Total!$B:$Q,16,0)</f>
        <v>603.81.006 Gastos Administativos de venta</v>
      </c>
      <c r="M998">
        <f t="shared" ca="1" si="31"/>
        <v>50</v>
      </c>
      <c r="N998" t="str">
        <f t="shared" ca="1" si="32"/>
        <v xml:space="preserve">Jorge Pena De La Luz MEXPAGO*MUEVECIUDAD    CIUDAD DE MEX MEX Mexpago Mueveciudad Ciudad De Mex Mex Sales RFQ-5274/ESTACIONAMIENTO S/F </v>
      </c>
    </row>
    <row r="999" spans="1:14">
      <c r="A999" t="str">
        <f ca="1"/>
        <v>TRX2017</v>
      </c>
      <c r="B999" t="str">
        <f ca="1"/>
        <v>-</v>
      </c>
      <c r="C999">
        <f ca="1"/>
        <v>46067.417361111096</v>
      </c>
      <c r="D999">
        <f ca="1"/>
        <v>50</v>
      </c>
      <c r="E999" t="str">
        <f ca="1"/>
        <v>MXN</v>
      </c>
      <c r="F999" t="str">
        <f ca="1"/>
        <v>Jorge Pena De La Luz</v>
      </c>
      <c r="G999" t="str">
        <f ca="1"/>
        <v>MEXPAGO*MUEVECIUDAD    CIUDAD DE MEX MEX</v>
      </c>
      <c r="H999" t="str">
        <f ca="1"/>
        <v>Mexpago Mueveciudad Ciudad De Mex Mex</v>
      </c>
      <c r="I999" t="str">
        <f ca="1"/>
        <v>Sales</v>
      </c>
      <c r="J999" t="str">
        <f ca="1"/>
        <v>RFQ-5274/ESTACIONAMIENTO</v>
      </c>
      <c r="K999" t="str">
        <f ca="1"/>
        <v>S/F</v>
      </c>
      <c r="L999" t="str">
        <f ca="1">VLOOKUP(B999,[1]Total!$B:$Q,16,0)</f>
        <v>603.81.006 Gastos Administativos de venta</v>
      </c>
      <c r="M999">
        <f t="shared" ca="1" si="31"/>
        <v>50</v>
      </c>
      <c r="N999" t="str">
        <f t="shared" ca="1" si="32"/>
        <v xml:space="preserve">Jorge Pena De La Luz MEXPAGO*MUEVECIUDAD    CIUDAD DE MEX MEX Mexpago Mueveciudad Ciudad De Mex Mex Sales RFQ-5274/ESTACIONAMIENTO S/F </v>
      </c>
    </row>
    <row r="1000" spans="1:14">
      <c r="A1000" t="str">
        <f ca="1"/>
        <v>TRX1503</v>
      </c>
      <c r="B1000" t="str">
        <f ca="1"/>
        <v>-</v>
      </c>
      <c r="C1000">
        <f ca="1"/>
        <v>46067.417361111096</v>
      </c>
      <c r="D1000">
        <f ca="1"/>
        <v>50</v>
      </c>
      <c r="E1000" t="str">
        <f ca="1"/>
        <v>MXN</v>
      </c>
      <c r="F1000" t="str">
        <f ca="1"/>
        <v>Jorge Pena De La Luz</v>
      </c>
      <c r="G1000" t="str">
        <f ca="1"/>
        <v>MEXPAGO*MUEVECIUDAD    CIUDAD DE MEX MEX</v>
      </c>
      <c r="H1000" t="str">
        <f ca="1"/>
        <v>Mexpago Mueveciudad Ciudad De Mex Mex</v>
      </c>
      <c r="I1000" t="str">
        <f ca="1"/>
        <v>Sales</v>
      </c>
      <c r="J1000" t="str">
        <f ca="1"/>
        <v>RFQ-5274/ESTACIONAMIENTO</v>
      </c>
      <c r="K1000" t="str">
        <f ca="1"/>
        <v>S/F</v>
      </c>
      <c r="L1000" t="str">
        <f ca="1">VLOOKUP(B1000,[1]Total!$B:$Q,16,0)</f>
        <v>603.81.006 Gastos Administativos de venta</v>
      </c>
      <c r="M1000">
        <f t="shared" ca="1" si="31"/>
        <v>50</v>
      </c>
      <c r="N1000" t="str">
        <f t="shared" ca="1" si="32"/>
        <v xml:space="preserve">Jorge Pena De La Luz MEXPAGO*MUEVECIUDAD    CIUDAD DE MEX MEX Mexpago Mueveciudad Ciudad De Mex Mex Sales RFQ-5274/ESTACIONAMIENTO S/F </v>
      </c>
    </row>
    <row r="1001" spans="1:14">
      <c r="A1001" t="str">
        <f ca="1"/>
        <v>TRX1137</v>
      </c>
      <c r="B1001" t="str">
        <f ca="1"/>
        <v>-</v>
      </c>
      <c r="C1001">
        <f ca="1"/>
        <v>46068.416666666599</v>
      </c>
      <c r="D1001">
        <f ca="1"/>
        <v>300</v>
      </c>
      <c r="E1001" t="str">
        <f ca="1"/>
        <v>MXN</v>
      </c>
      <c r="F1001" t="str">
        <f ca="1"/>
        <v>Jorge Pena De La Luz</v>
      </c>
      <c r="G1001" t="str">
        <f ca="1"/>
        <v>PAYPAL *PASESERVICI    MEXICO CITY   MEX</v>
      </c>
      <c r="H1001" t="str">
        <f ca="1"/>
        <v>Paseservici Mexico City Mex</v>
      </c>
      <c r="I1001" t="str">
        <f ca="1"/>
        <v>Sales</v>
      </c>
      <c r="J1001" t="str">
        <f ca="1"/>
        <v>PO-2025/TRASLADO</v>
      </c>
      <c r="K1001" t="str">
        <f ca="1"/>
        <v>31FFB00D-1BC1-4EB2-988F-C45D9143007E</v>
      </c>
      <c r="L1001" t="str">
        <f ca="1">VLOOKUP(B1001,[1]Total!$B:$Q,16,0)</f>
        <v>603.81.006 Gastos Administativos de venta</v>
      </c>
      <c r="M1001">
        <f t="shared" ca="1" si="31"/>
        <v>300</v>
      </c>
      <c r="N1001" t="str">
        <f t="shared" ca="1" si="32"/>
        <v xml:space="preserve">Jorge Pena De La Luz PAYPAL *PASESERVICI    MEXICO CITY   MEX Paseservici Mexico City Mex Sales PO-2025/TRASLADO 31FFB00D-1BC1-4EB2-988F-C45D9143007E </v>
      </c>
    </row>
    <row r="1002" spans="1:14">
      <c r="A1002" t="str">
        <f ca="1"/>
        <v>TRX1509</v>
      </c>
      <c r="B1002" t="str">
        <f ca="1"/>
        <v>-</v>
      </c>
      <c r="C1002">
        <f ca="1"/>
        <v>46071.416666666599</v>
      </c>
      <c r="D1002">
        <f ca="1"/>
        <v>300</v>
      </c>
      <c r="E1002" t="str">
        <f ca="1"/>
        <v>MXN</v>
      </c>
      <c r="F1002" t="str">
        <f ca="1"/>
        <v>Jorge Pena De La Luz</v>
      </c>
      <c r="G1002" t="str">
        <f ca="1"/>
        <v>PAYPAL *PASESERVICI    MEXICO CITY   MEX</v>
      </c>
      <c r="H1002" t="str">
        <f ca="1"/>
        <v>Paseservici Mexico City Mex</v>
      </c>
      <c r="I1002" t="str">
        <f ca="1"/>
        <v>Sales</v>
      </c>
      <c r="J1002" t="str">
        <f ca="1"/>
        <v>PO-2025/TRASLADO</v>
      </c>
      <c r="K1002" t="str">
        <f ca="1"/>
        <v>F5E5992B-6152-46B1-9DF6-F34B8EB27F2A</v>
      </c>
      <c r="L1002" t="str">
        <f ca="1">VLOOKUP(B1002,[1]Total!$B:$Q,16,0)</f>
        <v>603.81.006 Gastos Administativos de venta</v>
      </c>
      <c r="M1002">
        <f t="shared" ca="1" si="31"/>
        <v>300</v>
      </c>
      <c r="N1002" t="str">
        <f t="shared" ca="1" si="32"/>
        <v xml:space="preserve">Jorge Pena De La Luz PAYPAL *PASESERVICI    MEXICO CITY   MEX Paseservici Mexico City Mex Sales PO-2025/TRASLADO F5E5992B-6152-46B1-9DF6-F34B8EB27F2A </v>
      </c>
    </row>
    <row r="1003" spans="1:14">
      <c r="A1003" t="str">
        <f ca="1"/>
        <v>TRX1080</v>
      </c>
      <c r="B1003" t="str">
        <f ca="1"/>
        <v>-</v>
      </c>
      <c r="C1003">
        <f ca="1"/>
        <v>46071.416666666599</v>
      </c>
      <c r="D1003">
        <f ca="1"/>
        <v>50</v>
      </c>
      <c r="E1003" t="str">
        <f ca="1"/>
        <v>MXN</v>
      </c>
      <c r="F1003" t="str">
        <f ca="1"/>
        <v>Jorge Pena De La Luz</v>
      </c>
      <c r="G1003" t="str">
        <f ca="1"/>
        <v>MEXPAGO*MUEVECIUDAD    CIUDAD DE MEX MEX</v>
      </c>
      <c r="H1003" t="str">
        <f ca="1"/>
        <v>Mexpago Mueveciudad Ciudad De Mex Mex</v>
      </c>
      <c r="I1003" t="str">
        <f ca="1"/>
        <v>Sales</v>
      </c>
      <c r="J1003" t="str">
        <f ca="1"/>
        <v>RFQ-5108/ESTACIONAMIENTO</v>
      </c>
      <c r="K1003" t="str">
        <f ca="1"/>
        <v>S/F</v>
      </c>
      <c r="L1003" t="str">
        <f ca="1">VLOOKUP(B1003,[1]Total!$B:$Q,16,0)</f>
        <v>603.81.006 Gastos Administativos de venta</v>
      </c>
      <c r="M1003">
        <f t="shared" ca="1" si="31"/>
        <v>50</v>
      </c>
      <c r="N1003" t="str">
        <f t="shared" ca="1" si="32"/>
        <v xml:space="preserve">Jorge Pena De La Luz MEXPAGO*MUEVECIUDAD    CIUDAD DE MEX MEX Mexpago Mueveciudad Ciudad De Mex Mex Sales RFQ-5108/ESTACIONAMIENTO S/F </v>
      </c>
    </row>
    <row r="1004" spans="1:14">
      <c r="A1004" t="str">
        <f ca="1"/>
        <v>TRX1349</v>
      </c>
      <c r="B1004" t="str">
        <f ca="1"/>
        <v>-</v>
      </c>
      <c r="C1004">
        <f ca="1"/>
        <v>46071.416666666599</v>
      </c>
      <c r="D1004">
        <f ca="1"/>
        <v>50</v>
      </c>
      <c r="E1004" t="str">
        <f ca="1"/>
        <v>MXN</v>
      </c>
      <c r="F1004" t="str">
        <f ca="1"/>
        <v>Jorge Pena De La Luz</v>
      </c>
      <c r="G1004" t="str">
        <f ca="1"/>
        <v>MEXPAGO*MUEVECIUDAD    CIUDAD DE MEX MEX</v>
      </c>
      <c r="H1004" t="str">
        <f ca="1"/>
        <v>Mexpago Mueveciudad Ciudad De Mex Mex</v>
      </c>
      <c r="I1004" t="str">
        <f ca="1"/>
        <v>Sales</v>
      </c>
      <c r="J1004" t="str">
        <f ca="1"/>
        <v>RFQ-5108/ESTACIONAMIENTO</v>
      </c>
      <c r="K1004" t="str">
        <f ca="1"/>
        <v>S/F</v>
      </c>
      <c r="L1004" t="str">
        <f ca="1">VLOOKUP(B1004,[1]Total!$B:$Q,16,0)</f>
        <v>603.81.006 Gastos Administativos de venta</v>
      </c>
      <c r="M1004">
        <f t="shared" ca="1" si="31"/>
        <v>50</v>
      </c>
      <c r="N1004" t="str">
        <f t="shared" ca="1" si="32"/>
        <v xml:space="preserve">Jorge Pena De La Luz MEXPAGO*MUEVECIUDAD    CIUDAD DE MEX MEX Mexpago Mueveciudad Ciudad De Mex Mex Sales RFQ-5108/ESTACIONAMIENTO S/F </v>
      </c>
    </row>
    <row r="1005" spans="1:14">
      <c r="A1005" t="str">
        <f ca="1"/>
        <v>TRX1433</v>
      </c>
      <c r="B1005" t="str">
        <f ca="1"/>
        <v>-</v>
      </c>
      <c r="C1005">
        <f ca="1"/>
        <v>46071.416666666599</v>
      </c>
      <c r="D1005">
        <f ca="1"/>
        <v>300</v>
      </c>
      <c r="E1005" t="str">
        <f ca="1"/>
        <v>MXN</v>
      </c>
      <c r="F1005" t="str">
        <f ca="1"/>
        <v>Jorge Pena De La Luz</v>
      </c>
      <c r="G1005" t="str">
        <f ca="1"/>
        <v>PAYPAL *PASESERVICI    MEXICO CITY   MEX</v>
      </c>
      <c r="H1005" t="str">
        <f ca="1"/>
        <v>Paseservici Mexico City Mex</v>
      </c>
      <c r="I1005" t="str">
        <f ca="1"/>
        <v>Sales</v>
      </c>
      <c r="J1005" t="str">
        <f ca="1"/>
        <v>RFQ-5227/TRASLADO</v>
      </c>
      <c r="K1005" t="str">
        <f ca="1"/>
        <v>4EA77EA7-2D21-4C4C-AD2F-BB67F1B167A6</v>
      </c>
      <c r="L1005" t="str">
        <f ca="1">VLOOKUP(B1005,[1]Total!$B:$Q,16,0)</f>
        <v>603.81.006 Gastos Administativos de venta</v>
      </c>
      <c r="M1005">
        <f t="shared" ca="1" si="31"/>
        <v>300</v>
      </c>
      <c r="N1005" t="str">
        <f t="shared" ca="1" si="32"/>
        <v xml:space="preserve">Jorge Pena De La Luz PAYPAL *PASESERVICI    MEXICO CITY   MEX Paseservici Mexico City Mex Sales RFQ-5227/TRASLADO 4EA77EA7-2D21-4C4C-AD2F-BB67F1B167A6 </v>
      </c>
    </row>
    <row r="1006" spans="1:14">
      <c r="A1006" t="str">
        <f ca="1"/>
        <v>TRX1620</v>
      </c>
      <c r="B1006" t="str">
        <f ca="1"/>
        <v>-</v>
      </c>
      <c r="C1006">
        <f ca="1"/>
        <v>46072.416666666599</v>
      </c>
      <c r="D1006">
        <f ca="1"/>
        <v>300</v>
      </c>
      <c r="E1006" t="str">
        <f ca="1"/>
        <v>MXN</v>
      </c>
      <c r="F1006" t="str">
        <f ca="1"/>
        <v>Jorge Pena De La Luz</v>
      </c>
      <c r="G1006" t="str">
        <f ca="1"/>
        <v>PAYPAL *PASESERVICI    MEXICO CITY   MEX</v>
      </c>
      <c r="H1006" t="str">
        <f ca="1"/>
        <v>Paseservici Mexico City Mex</v>
      </c>
      <c r="I1006" t="str">
        <f ca="1"/>
        <v>Sales</v>
      </c>
      <c r="J1006" t="str">
        <f ca="1"/>
        <v>RFQ-5227/TRASLADO</v>
      </c>
      <c r="K1006" t="str">
        <f ca="1"/>
        <v>93F1199F-CB38-445E-91DC-AB1B03C0856E</v>
      </c>
      <c r="L1006" t="str">
        <f ca="1">VLOOKUP(B1006,[1]Total!$B:$Q,16,0)</f>
        <v>603.81.006 Gastos Administativos de venta</v>
      </c>
      <c r="M1006">
        <f t="shared" ca="1" si="31"/>
        <v>300</v>
      </c>
      <c r="N1006" t="str">
        <f t="shared" ca="1" si="32"/>
        <v xml:space="preserve">Jorge Pena De La Luz PAYPAL *PASESERVICI    MEXICO CITY   MEX Paseservici Mexico City Mex Sales RFQ-5227/TRASLADO 93F1199F-CB38-445E-91DC-AB1B03C0856E </v>
      </c>
    </row>
    <row r="1007" spans="1:14">
      <c r="A1007" t="str">
        <f ca="1"/>
        <v>TRX1363</v>
      </c>
      <c r="B1007" t="str">
        <f ca="1"/>
        <v>-</v>
      </c>
      <c r="C1007">
        <f ca="1"/>
        <v>46074.416666666599</v>
      </c>
      <c r="D1007">
        <f ca="1"/>
        <v>69.3</v>
      </c>
      <c r="E1007" t="str">
        <f ca="1"/>
        <v>MXN</v>
      </c>
      <c r="F1007" t="str">
        <f ca="1"/>
        <v>Jorge Pena De La Luz</v>
      </c>
      <c r="G1007" t="str">
        <f ca="1"/>
        <v>DLO DIDI RIDES MX      CIUDAD DE MEX MEX</v>
      </c>
      <c r="H1007" t="str">
        <f ca="1"/>
        <v>Didi Chuxing</v>
      </c>
      <c r="I1007" t="str">
        <f ca="1"/>
        <v>Sales</v>
      </c>
      <c r="J1007" t="str">
        <f ca="1"/>
        <v>PO-2025/TRASLADO</v>
      </c>
      <c r="K1007" t="str">
        <f ca="1"/>
        <v>S/F</v>
      </c>
      <c r="L1007" t="str">
        <f ca="1">VLOOKUP(B1007,[1]Total!$B:$Q,16,0)</f>
        <v>603.81.006 Gastos Administativos de venta</v>
      </c>
      <c r="M1007">
        <f t="shared" ca="1" si="31"/>
        <v>69.3</v>
      </c>
      <c r="N1007" t="str">
        <f t="shared" ca="1" si="32"/>
        <v xml:space="preserve">Jorge Pena De La Luz DLO DIDI RIDES MX      CIUDAD DE MEX MEX Didi Chuxing Sales PO-2025/TRASLADO S/F </v>
      </c>
    </row>
    <row r="1008" spans="1:14">
      <c r="A1008" t="str">
        <f ca="1"/>
        <v>TRX1115</v>
      </c>
      <c r="B1008" t="str">
        <f ca="1"/>
        <v>-</v>
      </c>
      <c r="C1008">
        <f ca="1"/>
        <v>46077.416666666599</v>
      </c>
      <c r="D1008">
        <f ca="1"/>
        <v>100</v>
      </c>
      <c r="E1008" t="str">
        <f ca="1"/>
        <v>MXN</v>
      </c>
      <c r="F1008" t="str">
        <f ca="1"/>
        <v>Jorge Pena De La Luz</v>
      </c>
      <c r="G1008" t="str">
        <f ca="1"/>
        <v>MEXPAGO*MUEVECIUDAD    CIUDAD DE MEX MEX</v>
      </c>
      <c r="H1008" t="str">
        <f ca="1"/>
        <v>Mexpago Mueveciudad Ciudad De Mex Mex</v>
      </c>
      <c r="I1008" t="str">
        <f ca="1"/>
        <v>Sales</v>
      </c>
      <c r="J1008" t="str">
        <f ca="1"/>
        <v>RFQ-5227/ESTACIONAMIENTO</v>
      </c>
      <c r="K1008" t="str">
        <f ca="1"/>
        <v>S/F</v>
      </c>
      <c r="L1008" t="str">
        <f ca="1">VLOOKUP(B1008,[1]Total!$B:$Q,16,0)</f>
        <v>603.81.006 Gastos Administativos de venta</v>
      </c>
      <c r="M1008">
        <f t="shared" ca="1" si="31"/>
        <v>100</v>
      </c>
      <c r="N1008" t="str">
        <f t="shared" ca="1" si="32"/>
        <v xml:space="preserve">Jorge Pena De La Luz MEXPAGO*MUEVECIUDAD    CIUDAD DE MEX MEX Mexpago Mueveciudad Ciudad De Mex Mex Sales RFQ-5227/ESTACIONAMIENTO S/F </v>
      </c>
    </row>
    <row r="1009" spans="1:14">
      <c r="A1009" t="str">
        <f ca="1"/>
        <v>TRX1154</v>
      </c>
      <c r="B1009" t="str">
        <f ca="1"/>
        <v>-</v>
      </c>
      <c r="C1009">
        <f ca="1"/>
        <v>46078.416666666599</v>
      </c>
      <c r="D1009">
        <f ca="1"/>
        <v>50</v>
      </c>
      <c r="E1009" t="str">
        <f ca="1"/>
        <v>MXN</v>
      </c>
      <c r="F1009" t="str">
        <f ca="1"/>
        <v>Jorge Pena De La Luz</v>
      </c>
      <c r="G1009" t="str">
        <f ca="1"/>
        <v>MEXPAGO*MUEVECIUDAD    CIUDAD DE MEX MEX</v>
      </c>
      <c r="H1009" t="str">
        <f ca="1"/>
        <v>Mexpago Mueveciudad Ciudad De Mex Mex</v>
      </c>
      <c r="I1009" t="str">
        <f ca="1"/>
        <v>Sales</v>
      </c>
      <c r="J1009" t="str">
        <f ca="1"/>
        <v>RFQ-5227/ESTACIONAMIENTO</v>
      </c>
      <c r="K1009" t="str">
        <f ca="1"/>
        <v>S/F</v>
      </c>
      <c r="L1009" t="str">
        <f ca="1">VLOOKUP(B1009,[1]Total!$B:$Q,16,0)</f>
        <v>603.81.006 Gastos Administativos de venta</v>
      </c>
      <c r="M1009">
        <f t="shared" ca="1" si="31"/>
        <v>50</v>
      </c>
      <c r="N1009" t="str">
        <f t="shared" ca="1" si="32"/>
        <v xml:space="preserve">Jorge Pena De La Luz MEXPAGO*MUEVECIUDAD    CIUDAD DE MEX MEX Mexpago Mueveciudad Ciudad De Mex Mex Sales RFQ-5227/ESTACIONAMIENTO S/F </v>
      </c>
    </row>
    <row r="1010" spans="1:14">
      <c r="A1010" t="str">
        <f ca="1"/>
        <v>TRX1155</v>
      </c>
      <c r="B1010" t="str">
        <f ca="1"/>
        <v>-</v>
      </c>
      <c r="C1010">
        <f ca="1"/>
        <v>46078.416666666599</v>
      </c>
      <c r="D1010">
        <f ca="1"/>
        <v>300</v>
      </c>
      <c r="E1010" t="str">
        <f ca="1"/>
        <v>MXN</v>
      </c>
      <c r="F1010" t="str">
        <f ca="1"/>
        <v>Jorge Pena De La Luz</v>
      </c>
      <c r="G1010" t="str">
        <f ca="1"/>
        <v>PAY PAL*PASESERVICI    CIUDAD DE MEX MEX</v>
      </c>
      <c r="H1010" t="str">
        <f ca="1"/>
        <v>Pay Pal Paseservici Ciudad De Mex Mex</v>
      </c>
      <c r="I1010" t="str">
        <f ca="1"/>
        <v>Sales</v>
      </c>
      <c r="J1010" t="str">
        <f ca="1"/>
        <v>PO-1062/TRASLADO</v>
      </c>
      <c r="K1010" t="str">
        <f ca="1"/>
        <v>D0494737-633B-4BA5-BCB9-1621EC48F925</v>
      </c>
      <c r="L1010" t="str">
        <f ca="1">VLOOKUP(B1010,[1]Total!$B:$Q,16,0)</f>
        <v>603.81.006 Gastos Administativos de venta</v>
      </c>
      <c r="M1010">
        <f t="shared" ca="1" si="31"/>
        <v>300</v>
      </c>
      <c r="N1010" t="str">
        <f t="shared" ca="1" si="32"/>
        <v xml:space="preserve">Jorge Pena De La Luz PAY PAL*PASESERVICI    CIUDAD DE MEX MEX Pay Pal Paseservici Ciudad De Mex Mex Sales PO-1062/TRASLADO D0494737-633B-4BA5-BCB9-1621EC48F925 </v>
      </c>
    </row>
    <row r="1011" spans="1:14">
      <c r="A1011" t="str">
        <f ca="1"/>
        <v>TRX1159</v>
      </c>
      <c r="B1011" t="str">
        <f ca="1"/>
        <v>-</v>
      </c>
      <c r="C1011">
        <f ca="1"/>
        <v>46078.417361111096</v>
      </c>
      <c r="D1011">
        <f ca="1"/>
        <v>399</v>
      </c>
      <c r="E1011" t="str">
        <f ca="1"/>
        <v>MXN</v>
      </c>
      <c r="F1011" t="str">
        <f ca="1"/>
        <v>Jorge Pena De La Luz</v>
      </c>
      <c r="G1011" t="str">
        <f ca="1"/>
        <v>OPENAI *CHATGPT SUBSCR SAN FRANCISCO USA</v>
      </c>
      <c r="H1011" t="str">
        <f ca="1"/>
        <v>Openai</v>
      </c>
      <c r="I1011" t="str">
        <f ca="1"/>
        <v>Tech&amp;Product</v>
      </c>
      <c r="J1011" t="str">
        <f ca="1"/>
        <v>RFQ-5108/TAKEOFF</v>
      </c>
      <c r="K1011" t="str">
        <f ca="1"/>
        <v>S/F</v>
      </c>
      <c r="L1011" t="str">
        <f ca="1">VLOOKUP(B1011,[1]Total!$B:$Q,16,0)</f>
        <v>603.81.006 Gastos Administativos de venta</v>
      </c>
      <c r="M1011">
        <f t="shared" ca="1" si="31"/>
        <v>399</v>
      </c>
      <c r="N1011" t="str">
        <f t="shared" ca="1" si="32"/>
        <v xml:space="preserve">Jorge Pena De La Luz OPENAI *CHATGPT SUBSCR SAN FRANCISCO USA Openai Tech&amp;Product RFQ-5108/TAKEOFF S/F </v>
      </c>
    </row>
    <row r="1012" spans="1:14">
      <c r="A1012" t="str">
        <f ca="1"/>
        <v>TRX1268</v>
      </c>
      <c r="B1012" t="str">
        <f ca="1"/>
        <v>-</v>
      </c>
      <c r="C1012">
        <f ca="1"/>
        <v>46081.416666666599</v>
      </c>
      <c r="D1012">
        <f ca="1"/>
        <v>53.1</v>
      </c>
      <c r="E1012" t="str">
        <f ca="1"/>
        <v>MXN</v>
      </c>
      <c r="F1012" t="str">
        <f ca="1"/>
        <v>Jorge Pena De La Luz</v>
      </c>
      <c r="G1012" t="str">
        <f ca="1"/>
        <v>DLO DIDI RIDES MX      CIUDAD DE MEX MEX</v>
      </c>
      <c r="H1012" t="str">
        <f ca="1"/>
        <v>Didi Chuxing</v>
      </c>
      <c r="I1012" t="str">
        <f ca="1"/>
        <v>Sales</v>
      </c>
      <c r="J1012" t="str">
        <f ca="1"/>
        <v>RFQ-5227/TRASLADO</v>
      </c>
      <c r="K1012" t="str">
        <f ca="1"/>
        <v>S/F</v>
      </c>
      <c r="L1012" t="str">
        <f ca="1">VLOOKUP(B1012,[1]Total!$B:$Q,16,0)</f>
        <v>603.81.006 Gastos Administativos de venta</v>
      </c>
      <c r="M1012">
        <f t="shared" ca="1" si="31"/>
        <v>53.1</v>
      </c>
      <c r="N1012" t="str">
        <f t="shared" ca="1" si="32"/>
        <v xml:space="preserve">Jorge Pena De La Luz DLO DIDI RIDES MX      CIUDAD DE MEX MEX Didi Chuxing Sales RFQ-5227/TRASLADO S/F </v>
      </c>
    </row>
    <row r="1013" spans="1:14" hidden="1">
      <c r="A1013" t="str">
        <f ca="1"/>
        <v>#N/A</v>
      </c>
      <c r="B1013">
        <f ca="1"/>
        <v>0</v>
      </c>
      <c r="C1013">
        <f ca="1"/>
        <v>0</v>
      </c>
      <c r="D1013" t="str">
        <f ca="1"/>
        <v>#N/A</v>
      </c>
      <c r="E1013" t="str">
        <f ca="1"/>
        <v>#N/A</v>
      </c>
      <c r="F1013" t="str">
        <f ca="1"/>
        <v>#N/A</v>
      </c>
      <c r="G1013" t="str">
        <f ca="1"/>
        <v>#N/A</v>
      </c>
      <c r="H1013">
        <f ca="1"/>
        <v>0</v>
      </c>
      <c r="I1013" t="str">
        <f ca="1"/>
        <v>Office expenses</v>
      </c>
      <c r="J1013" t="str">
        <f ca="1"/>
        <v>No factura</v>
      </c>
      <c r="K1013">
        <f ca="1"/>
        <v>0</v>
      </c>
      <c r="L1013" t="e">
        <f ca="1">VLOOKUP(B1013,[1]Total!$B:$Q,16,0)</f>
        <v>#N/A</v>
      </c>
      <c r="M1013" t="str">
        <f t="shared" ca="1" si="31"/>
        <v>#N/A</v>
      </c>
      <c r="N1013" t="str">
        <f t="shared" ca="1" si="32"/>
        <v xml:space="preserve">#N/A #N/A 0 Office expenses No factura 0 </v>
      </c>
    </row>
    <row r="1014" spans="1:14">
      <c r="A1014" t="str">
        <f ca="1"/>
        <v>TRX1491</v>
      </c>
      <c r="B1014" t="str">
        <f ca="1"/>
        <v>-</v>
      </c>
      <c r="C1014">
        <f ca="1"/>
        <v>46061.417361111096</v>
      </c>
      <c r="D1014">
        <f ca="1"/>
        <v>756.88</v>
      </c>
      <c r="E1014" t="str">
        <f ca="1"/>
        <v>MXN</v>
      </c>
      <c r="F1014" t="str">
        <f ca="1"/>
        <v>Antonio Lopez</v>
      </c>
      <c r="G1014" t="str">
        <f ca="1"/>
        <v>GAS OXXOCASTELLANA     MONTERREY NL  MEX</v>
      </c>
      <c r="H1014" t="str">
        <f ca="1"/>
        <v>Gas Oxxocastellana Monterrey Nl Mex</v>
      </c>
      <c r="I1014" t="str">
        <f ca="1"/>
        <v>Capex</v>
      </c>
      <c r="J1014" t="str">
        <f ca="1"/>
        <v>Snack Oficina Mty</v>
      </c>
      <c r="K1014" t="str">
        <f ca="1"/>
        <v>JN 300310</v>
      </c>
      <c r="L1014" t="str">
        <f ca="1">VLOOKUP(B1014,[1]Total!$B:$Q,16,0)</f>
        <v>603.81.006 Gastos Administativos de venta</v>
      </c>
      <c r="M1014">
        <f t="shared" ca="1" si="31"/>
        <v>756.88</v>
      </c>
      <c r="N1014" t="str">
        <f t="shared" ca="1" si="32"/>
        <v xml:space="preserve">Antonio Lopez GAS OXXOCASTELLANA     MONTERREY NL  MEX Gas Oxxocastellana Monterrey Nl Mex Capex Snack Oficina Mty JN 300310 </v>
      </c>
    </row>
    <row r="1015" spans="1:14">
      <c r="A1015" t="str">
        <f ca="1"/>
        <v>TRX1094</v>
      </c>
      <c r="B1015" t="str">
        <f ca="1"/>
        <v>-</v>
      </c>
      <c r="C1015">
        <f ca="1"/>
        <v>46061.417361111096</v>
      </c>
      <c r="D1015">
        <f ca="1"/>
        <v>299.19</v>
      </c>
      <c r="E1015" t="str">
        <f ca="1"/>
        <v>MXN</v>
      </c>
      <c r="F1015" t="str">
        <f ca="1"/>
        <v>Antonio Lopez</v>
      </c>
      <c r="G1015" t="str">
        <f ca="1"/>
        <v>Google TikTok Videos   Mountain View USA</v>
      </c>
      <c r="H1015" t="str">
        <f ca="1"/>
        <v>Google</v>
      </c>
      <c r="I1015" t="str">
        <f ca="1"/>
        <v>Sales</v>
      </c>
      <c r="J1015" t="str">
        <f ca="1"/>
        <v>PO-2165 Vuelo cdmx</v>
      </c>
      <c r="K1015">
        <f ca="1"/>
        <v>152575164</v>
      </c>
      <c r="L1015" t="str">
        <f ca="1">VLOOKUP(B1015,[1]Total!$B:$Q,16,0)</f>
        <v>603.81.006 Gastos Administativos de venta</v>
      </c>
      <c r="M1015">
        <f t="shared" ca="1" si="31"/>
        <v>299.19</v>
      </c>
      <c r="N1015" t="str">
        <f t="shared" ca="1" si="32"/>
        <v xml:space="preserve">Antonio Lopez Google TikTok Videos   Mountain View USA Google Sales PO-2165 Vuelo cdmx 152575164 </v>
      </c>
    </row>
    <row r="1016" spans="1:14">
      <c r="A1016" t="str">
        <f ca="1"/>
        <v>TRX1184</v>
      </c>
      <c r="B1016" t="str">
        <f ca="1"/>
        <v>-</v>
      </c>
      <c r="C1016">
        <f ca="1"/>
        <v>46079.416666666599</v>
      </c>
      <c r="D1016">
        <f ca="1"/>
        <v>300</v>
      </c>
      <c r="E1016" t="str">
        <f ca="1"/>
        <v>MXN</v>
      </c>
      <c r="F1016" t="str">
        <f ca="1"/>
        <v>Montserrat Camacho</v>
      </c>
      <c r="G1016" t="str">
        <f ca="1"/>
        <v>RECARGA PASE TUTAG     CIUDAD DE MEX MEX</v>
      </c>
      <c r="H1016" t="str">
        <f ca="1"/>
        <v>Recarga Pase Tutag Ciudad De Mex Mex</v>
      </c>
      <c r="I1016" t="str">
        <f ca="1"/>
        <v>Capex</v>
      </c>
      <c r="J1016" t="str">
        <f ca="1"/>
        <v>PO1777 TAG/CASETAS VISITA PLANTA</v>
      </c>
      <c r="K1016" t="str">
        <f ca="1"/>
        <v>3A986234-17F5-4EEA-A3F0-BD2DC19566FA</v>
      </c>
      <c r="L1016" t="str">
        <f ca="1">VLOOKUP(B1016,[1]Total!$B:$Q,16,0)</f>
        <v>603.81.006 Gastos Administativos de venta</v>
      </c>
      <c r="M1016">
        <f t="shared" ca="1" si="31"/>
        <v>300</v>
      </c>
      <c r="N1016" t="str">
        <f t="shared" ca="1" si="32"/>
        <v xml:space="preserve">Montserrat Camacho RECARGA PASE TUTAG     CIUDAD DE MEX MEX Recarga Pase Tutag Ciudad De Mex Mex Capex PO1777 TAG/CASETAS VISITA PLANTA 3A986234-17F5-4EEA-A3F0-BD2DC19566FA </v>
      </c>
    </row>
    <row r="1017" spans="1:14">
      <c r="A1017" t="str">
        <f ca="1"/>
        <v>TRX1165</v>
      </c>
      <c r="B1017" t="str">
        <f ca="1"/>
        <v>-</v>
      </c>
      <c r="C1017">
        <f ca="1"/>
        <v>46059.416666666599</v>
      </c>
      <c r="D1017">
        <f ca="1"/>
        <v>3119.1</v>
      </c>
      <c r="E1017" t="str">
        <f ca="1"/>
        <v>MXN</v>
      </c>
      <c r="F1017" t="str">
        <f ca="1"/>
        <v>Harold Pape</v>
      </c>
      <c r="G1017" t="str">
        <f ca="1"/>
        <v>VIVA AEROBUS CIB       APODACA       MEX</v>
      </c>
      <c r="H1017" t="str">
        <f ca="1"/>
        <v>Viva Aerobus Cib Apodaca Mex</v>
      </c>
      <c r="I1017" t="str">
        <f ca="1"/>
        <v>Sales</v>
      </c>
      <c r="J1017" t="str">
        <f ca="1"/>
        <v>Estacionamiento Viaje a Okland</v>
      </c>
      <c r="K1017" t="str">
        <f ca="1"/>
        <v>C-583710</v>
      </c>
      <c r="L1017" t="str">
        <f ca="1">VLOOKUP(B1017,[1]Total!$B:$Q,16,0)</f>
        <v>603.81.006 Gastos Administativos de venta</v>
      </c>
      <c r="M1017">
        <f t="shared" ca="1" si="31"/>
        <v>3119.1</v>
      </c>
      <c r="N1017" t="str">
        <f t="shared" ca="1" si="32"/>
        <v xml:space="preserve">Harold Pape VIVA AEROBUS CIB       APODACA       MEX Viva Aerobus Cib Apodaca Mex Sales Estacionamiento Viaje a Okland C-583710 </v>
      </c>
    </row>
    <row r="1018" spans="1:14">
      <c r="A1018" t="str">
        <f ca="1"/>
        <v>TRX1292</v>
      </c>
      <c r="B1018" t="str">
        <f ca="1"/>
        <v>-</v>
      </c>
      <c r="C1018">
        <f ca="1"/>
        <v>46060.416666666599</v>
      </c>
      <c r="D1018">
        <f ca="1"/>
        <v>53.54</v>
      </c>
      <c r="E1018" t="str">
        <f ca="1"/>
        <v>MXN</v>
      </c>
      <c r="F1018" t="str">
        <f ca="1"/>
        <v>Harold Pape</v>
      </c>
      <c r="G1018" t="str">
        <f ca="1"/>
        <v>UBER * PENDING         CMX           MEX</v>
      </c>
      <c r="H1018" t="str">
        <f ca="1"/>
        <v>Uber</v>
      </c>
      <c r="I1018" t="str">
        <f ca="1"/>
        <v>Sales</v>
      </c>
      <c r="J1018" t="str">
        <f ca="1"/>
        <v>Cena Oakland</v>
      </c>
      <c r="K1018" t="str">
        <f ca="1"/>
        <v>2475</v>
      </c>
      <c r="L1018" t="str">
        <f ca="1">VLOOKUP(B1018,[1]Total!$B:$Q,16,0)</f>
        <v>603.81.006 Gastos Administativos de venta</v>
      </c>
      <c r="M1018">
        <f t="shared" ca="1" si="31"/>
        <v>53.54</v>
      </c>
      <c r="N1018" t="str">
        <f t="shared" ca="1" si="32"/>
        <v xml:space="preserve">Harold Pape UBER * PENDING         CMX           MEX Uber Sales Cena Oakland 2475 </v>
      </c>
    </row>
    <row r="1019" spans="1:14">
      <c r="A1019" t="str">
        <f ca="1"/>
        <v>TRX1722</v>
      </c>
      <c r="B1019" t="str">
        <f ca="1"/>
        <v>-</v>
      </c>
      <c r="C1019">
        <f ca="1"/>
        <v>46060.416666666599</v>
      </c>
      <c r="D1019">
        <f ca="1"/>
        <v>227.72</v>
      </c>
      <c r="E1019" t="str">
        <f ca="1"/>
        <v>MXN</v>
      </c>
      <c r="F1019" t="str">
        <f ca="1"/>
        <v>Harold Pape</v>
      </c>
      <c r="G1019" t="str">
        <f ca="1"/>
        <v>UBER * PENDING         CMX           MEX</v>
      </c>
      <c r="H1019" t="str">
        <f ca="1"/>
        <v>Uber</v>
      </c>
      <c r="I1019" t="str">
        <f ca="1"/>
        <v>Sales</v>
      </c>
      <c r="J1019" t="str">
        <f ca="1"/>
        <v>Viaje Okland Owow</v>
      </c>
      <c r="K1019" t="str">
        <f ca="1"/>
        <v>320be7b4-0ddc-4947-999b-b34c14958da3</v>
      </c>
      <c r="L1019" t="str">
        <f ca="1">VLOOKUP(B1019,[1]Total!$B:$Q,16,0)</f>
        <v>603.81.006 Gastos Administativos de venta</v>
      </c>
      <c r="M1019">
        <f t="shared" ca="1" si="31"/>
        <v>227.72</v>
      </c>
      <c r="N1019" t="str">
        <f t="shared" ca="1" si="32"/>
        <v xml:space="preserve">Harold Pape UBER * PENDING         CMX           MEX Uber Sales Viaje Okland Owow 320be7b4-0ddc-4947-999b-b34c14958da3 </v>
      </c>
    </row>
    <row r="1020" spans="1:14">
      <c r="A1020" t="str">
        <f ca="1"/>
        <v>TRX1689</v>
      </c>
      <c r="B1020" t="str">
        <f ca="1"/>
        <v>-</v>
      </c>
      <c r="C1020">
        <f ca="1"/>
        <v>46060.416666666599</v>
      </c>
      <c r="D1020">
        <f ca="1"/>
        <v>382.95</v>
      </c>
      <c r="E1020" t="str">
        <f ca="1"/>
        <v>MXN</v>
      </c>
      <c r="F1020" t="str">
        <f ca="1"/>
        <v>Harold Pape</v>
      </c>
      <c r="G1020" t="str">
        <f ca="1"/>
        <v>COM RAP ACO CHIH APTO  CHIHUAHUA CHI MEX</v>
      </c>
      <c r="H1020" t="str">
        <f ca="1"/>
        <v>Com Rap Aco Chih Apto Chihuahua Chi Mex</v>
      </c>
      <c r="I1020" t="str">
        <f ca="1"/>
        <v>Sales</v>
      </c>
      <c r="J1020" t="str">
        <f ca="1"/>
        <v>Comida Oakland</v>
      </c>
      <c r="K1020" t="str">
        <f ca="1"/>
        <v>857600</v>
      </c>
      <c r="L1020" t="str">
        <f ca="1">VLOOKUP(B1020,[1]Total!$B:$Q,16,0)</f>
        <v>603.81.006 Gastos Administativos de venta</v>
      </c>
      <c r="M1020">
        <f t="shared" ca="1" si="31"/>
        <v>382.95</v>
      </c>
      <c r="N1020" t="str">
        <f t="shared" ca="1" si="32"/>
        <v xml:space="preserve">Harold Pape COM RAP ACO CHIH APTO  CHIHUAHUA CHI MEX Com Rap Aco Chih Apto Chihuahua Chi Mex Sales Comida Oakland 857600 </v>
      </c>
    </row>
    <row r="1021" spans="1:14">
      <c r="A1021" t="str">
        <f ca="1"/>
        <v>TRX1474</v>
      </c>
      <c r="B1021" t="str">
        <f ca="1"/>
        <v>-</v>
      </c>
      <c r="C1021">
        <f ca="1"/>
        <v>46060.416666666599</v>
      </c>
      <c r="D1021">
        <f ca="1"/>
        <v>316.25</v>
      </c>
      <c r="E1021" t="str">
        <f ca="1"/>
        <v>MXN</v>
      </c>
      <c r="F1021" t="str">
        <f ca="1"/>
        <v>Harold Pape</v>
      </c>
      <c r="G1021" t="str">
        <f ca="1"/>
        <v>REST CHIHUAHUA         CHIHUAHUA CHI MEX</v>
      </c>
      <c r="H1021" t="str">
        <f ca="1"/>
        <v>Rest Chihuahua Chihuahua Chi Mex</v>
      </c>
      <c r="I1021" t="str">
        <f ca="1"/>
        <v>Sales</v>
      </c>
      <c r="J1021" t="str">
        <f ca="1"/>
        <v>Snack Oakland</v>
      </c>
      <c r="K1021" t="str">
        <f ca="1"/>
        <v>Sin Ticket/Autoexpendio</v>
      </c>
      <c r="L1021" t="str">
        <f ca="1">VLOOKUP(B1021,[1]Total!$B:$Q,16,0)</f>
        <v>603.81.006 Gastos Administativos de venta</v>
      </c>
      <c r="M1021">
        <f t="shared" ca="1" si="31"/>
        <v>316.25</v>
      </c>
      <c r="N1021" t="str">
        <f t="shared" ca="1" si="32"/>
        <v xml:space="preserve">Harold Pape REST CHIHUAHUA         CHIHUAHUA CHI MEX Rest Chihuahua Chihuahua Chi Mex Sales Snack Oakland Sin Ticket/Autoexpendio </v>
      </c>
    </row>
    <row r="1022" spans="1:14">
      <c r="A1022" t="str">
        <f ca="1"/>
        <v>TRX1360</v>
      </c>
      <c r="B1022" t="str">
        <f ca="1"/>
        <v>-</v>
      </c>
      <c r="C1022">
        <f ca="1"/>
        <v>46060.416666666599</v>
      </c>
      <c r="D1022">
        <f ca="1"/>
        <v>69</v>
      </c>
      <c r="E1022" t="str">
        <f ca="1"/>
        <v>MXN</v>
      </c>
      <c r="F1022" t="str">
        <f ca="1"/>
        <v>Harold Pape</v>
      </c>
      <c r="G1022" t="str">
        <f ca="1"/>
        <v>COM RAP ACO CHIH APTO  CHIHUAHUA CHI MEX</v>
      </c>
      <c r="H1022" t="str">
        <f ca="1"/>
        <v>Com Rap Aco Chih Apto Chihuahua Chi Mex</v>
      </c>
      <c r="I1022" t="str">
        <f ca="1"/>
        <v>Sales</v>
      </c>
      <c r="J1022" t="str">
        <f ca="1"/>
        <v>Desayuno Oakland</v>
      </c>
      <c r="K1022" t="str">
        <f ca="1"/>
        <v>4038</v>
      </c>
      <c r="L1022" t="str">
        <f ca="1">VLOOKUP(B1022,[1]Total!$B:$Q,16,0)</f>
        <v>603.81.006 Gastos Administativos de venta</v>
      </c>
      <c r="M1022">
        <f t="shared" ca="1" si="31"/>
        <v>69</v>
      </c>
      <c r="N1022" t="str">
        <f t="shared" ca="1" si="32"/>
        <v xml:space="preserve">Harold Pape COM RAP ACO CHIH APTO  CHIHUAHUA CHI MEX Com Rap Aco Chih Apto Chihuahua Chi Mex Sales Desayuno Oakland 4038 </v>
      </c>
    </row>
    <row r="1023" spans="1:14">
      <c r="A1023" t="str">
        <f ca="1"/>
        <v>TRX1142</v>
      </c>
      <c r="B1023" t="str">
        <f ca="1"/>
        <v>-</v>
      </c>
      <c r="C1023">
        <f ca="1"/>
        <v>46060.416666666599</v>
      </c>
      <c r="D1023">
        <f ca="1"/>
        <v>314</v>
      </c>
      <c r="E1023" t="str">
        <f ca="1"/>
        <v>MXN</v>
      </c>
      <c r="F1023" t="str">
        <f ca="1"/>
        <v>Harold Pape</v>
      </c>
      <c r="G1023" t="str">
        <f ca="1"/>
        <v>EBSSATAXI CUU CAJA 1   CHIHUAHUA CHI MEX</v>
      </c>
      <c r="H1023" t="str">
        <f ca="1"/>
        <v>Ebssataxi Cuu Caja 1 Chihuahua Chi Mex</v>
      </c>
      <c r="I1023" t="str">
        <f ca="1"/>
        <v>Sales</v>
      </c>
      <c r="J1023" t="str">
        <f ca="1"/>
        <v>Viaje Okland Owow</v>
      </c>
      <c r="K1023" t="str">
        <f ca="1"/>
        <v>f88630ba-5b94-4cee-b508-67e0cdbe1b06</v>
      </c>
      <c r="L1023" t="str">
        <f ca="1">VLOOKUP(B1023,[1]Total!$B:$Q,16,0)</f>
        <v>603.81.006 Gastos Administativos de venta</v>
      </c>
      <c r="M1023">
        <f t="shared" ca="1" si="31"/>
        <v>314</v>
      </c>
      <c r="N1023" t="str">
        <f t="shared" ca="1" si="32"/>
        <v xml:space="preserve">Harold Pape EBSSATAXI CUU CAJA 1   CHIHUAHUA CHI MEX Ebssataxi Cuu Caja 1 Chihuahua Chi Mex Sales Viaje Okland Owow f88630ba-5b94-4cee-b508-67e0cdbe1b06 </v>
      </c>
    </row>
    <row r="1024" spans="1:14">
      <c r="A1024" t="str">
        <f ca="1"/>
        <v>TRX1863</v>
      </c>
      <c r="B1024" t="str">
        <f ca="1"/>
        <v>-</v>
      </c>
      <c r="C1024">
        <f ca="1"/>
        <v>46060.417361111096</v>
      </c>
      <c r="D1024">
        <f ca="1"/>
        <v>772.2</v>
      </c>
      <c r="E1024" t="str">
        <f ca="1"/>
        <v>MXN</v>
      </c>
      <c r="F1024" t="str">
        <f ca="1"/>
        <v>Harold Pape</v>
      </c>
      <c r="G1024" t="str">
        <f ca="1"/>
        <v>CHILIS CHIHUAHUA II    CHIHUAHUA CHI MEX</v>
      </c>
      <c r="H1024" t="str">
        <f ca="1"/>
        <v>Chili's</v>
      </c>
      <c r="I1024" t="str">
        <f ca="1"/>
        <v>Sales</v>
      </c>
      <c r="J1024" t="str">
        <f ca="1"/>
        <v>Comida Viaje Okland Owow</v>
      </c>
      <c r="K1024" t="str">
        <f ca="1"/>
        <v>250399</v>
      </c>
      <c r="L1024" t="str">
        <f ca="1">VLOOKUP(B1024,[1]Total!$B:$Q,16,0)</f>
        <v>603.81.006 Gastos Administativos de venta</v>
      </c>
      <c r="M1024">
        <f t="shared" ca="1" si="31"/>
        <v>772.2</v>
      </c>
      <c r="N1024" t="str">
        <f t="shared" ca="1" si="32"/>
        <v xml:space="preserve">Harold Pape CHILIS CHIHUAHUA II    CHIHUAHUA CHI MEX Chili's Sales Comida Viaje Okland Owow 250399 </v>
      </c>
    </row>
    <row r="1025" spans="1:14">
      <c r="A1025" t="str">
        <f ca="1"/>
        <v>TRX2007</v>
      </c>
      <c r="B1025" t="str">
        <f ca="1"/>
        <v>-</v>
      </c>
      <c r="C1025">
        <f ca="1"/>
        <v>46061.416666666599</v>
      </c>
      <c r="D1025">
        <f ca="1"/>
        <v>320</v>
      </c>
      <c r="E1025" t="str">
        <f ca="1"/>
        <v>MXN</v>
      </c>
      <c r="F1025" t="str">
        <f ca="1"/>
        <v>Harold Pape</v>
      </c>
      <c r="G1025" t="str">
        <f ca="1"/>
        <v>IPARK MTY INTERRED     APODACA NL    MEX</v>
      </c>
      <c r="H1025" t="str">
        <f ca="1"/>
        <v>Ipark Mty Interred Apodaca Nl Mex</v>
      </c>
      <c r="I1025" t="str">
        <f ca="1"/>
        <v>Sales</v>
      </c>
      <c r="J1025" t="str">
        <f ca="1"/>
        <v>Hotel Oakland Owow</v>
      </c>
      <c r="K1025" t="str">
        <f ca="1"/>
        <v>4391664838569</v>
      </c>
      <c r="L1025" t="str">
        <f ca="1">VLOOKUP(B1025,[1]Total!$B:$Q,16,0)</f>
        <v>603.81.006 Gastos Administativos de venta</v>
      </c>
      <c r="M1025">
        <f t="shared" ca="1" si="31"/>
        <v>320</v>
      </c>
      <c r="N1025" t="str">
        <f t="shared" ca="1" si="32"/>
        <v xml:space="preserve">Harold Pape IPARK MTY INTERRED     APODACA NL    MEX Ipark Mty Interred Apodaca Nl Mex Sales Hotel Oakland Owow 4391664838569 </v>
      </c>
    </row>
    <row r="1026" spans="1:14">
      <c r="A1026" t="str">
        <f ca="1"/>
        <v>TRX1818</v>
      </c>
      <c r="B1026" t="str">
        <f ca="1"/>
        <v>-</v>
      </c>
      <c r="C1026">
        <f ca="1"/>
        <v>46061.416666666599</v>
      </c>
      <c r="D1026">
        <f ca="1"/>
        <v>2015</v>
      </c>
      <c r="E1026" t="str">
        <f ca="1"/>
        <v>MXN</v>
      </c>
      <c r="F1026" t="str">
        <f ca="1"/>
        <v>Harold Pape</v>
      </c>
      <c r="G1026" t="str">
        <f ca="1"/>
        <v>MIT*TRANSP VOLARIS     CIUDAD DE MEX MEX</v>
      </c>
      <c r="H1026" t="str">
        <f ca="1"/>
        <v>Volaris</v>
      </c>
      <c r="I1026" t="str">
        <f ca="1"/>
        <v>Sales</v>
      </c>
      <c r="J1026" t="str">
        <f ca="1"/>
        <v>Vuelo Oakland</v>
      </c>
      <c r="K1026" t="str">
        <f ca="1"/>
        <v>150244072.</v>
      </c>
      <c r="L1026" t="str">
        <f ca="1">VLOOKUP(B1026,[1]Total!$B:$Q,16,0)</f>
        <v>603.81.006 Gastos Administativos de venta</v>
      </c>
      <c r="M1026">
        <f t="shared" ca="1" si="31"/>
        <v>2015</v>
      </c>
      <c r="N1026" t="str">
        <f t="shared" ca="1" si="32"/>
        <v xml:space="preserve">Harold Pape MIT*TRANSP VOLARIS     CIUDAD DE MEX MEX Volaris Sales Vuelo Oakland 150244072. </v>
      </c>
    </row>
    <row r="1027" spans="1:14">
      <c r="A1027" t="str">
        <f ca="1"/>
        <v>TRX1828</v>
      </c>
      <c r="B1027" t="str">
        <f ca="1"/>
        <v>-</v>
      </c>
      <c r="C1027">
        <f ca="1"/>
        <v>46064.417361111096</v>
      </c>
      <c r="D1027">
        <f ca="1"/>
        <v>1622.25</v>
      </c>
      <c r="E1027" t="str">
        <f ca="1"/>
        <v>MXN</v>
      </c>
      <c r="F1027" t="str">
        <f ca="1"/>
        <v>Harold Pape</v>
      </c>
      <c r="G1027" t="str">
        <f ca="1"/>
        <v>GAS OXXOCASTELLANA     MONTERREY NL  MEX</v>
      </c>
      <c r="H1027" t="str">
        <f ca="1"/>
        <v>Gas Oxxocastellana Monterrey Nl Mex</v>
      </c>
      <c r="I1027" t="str">
        <f ca="1"/>
        <v>Sales</v>
      </c>
      <c r="J1027" t="str">
        <f ca="1"/>
        <v>Gasolina Aeropuerto</v>
      </c>
      <c r="K1027" t="str">
        <f ca="1"/>
        <v>.CLI56379430</v>
      </c>
      <c r="L1027" t="str">
        <f ca="1">VLOOKUP(B1027,[1]Total!$B:$Q,16,0)</f>
        <v>603.81.006 Gastos Administativos de venta</v>
      </c>
      <c r="M1027">
        <f t="shared" ref="M1027:M1090" ca="1" si="33">D1027</f>
        <v>1622.25</v>
      </c>
      <c r="N1027" t="str">
        <f t="shared" ref="N1027:N1090" ca="1" si="34">CONCATENATE(F1027," ",G1027," ",H1027," ",I1027," ",J1027," ",K1027," ")</f>
        <v xml:space="preserve">Harold Pape GAS OXXOCASTELLANA     MONTERREY NL  MEX Gas Oxxocastellana Monterrey Nl Mex Sales Gasolina Aeropuerto .CLI56379430 </v>
      </c>
    </row>
    <row r="1028" spans="1:14">
      <c r="A1028" t="str">
        <f ca="1"/>
        <v>TRX1086</v>
      </c>
      <c r="B1028" t="str">
        <f ca="1"/>
        <v>-</v>
      </c>
      <c r="C1028">
        <f ca="1"/>
        <v>46065.416666666599</v>
      </c>
      <c r="D1028">
        <f ca="1"/>
        <v>1915.9</v>
      </c>
      <c r="E1028" t="str">
        <f ca="1"/>
        <v>MXN</v>
      </c>
      <c r="F1028" t="str">
        <f ca="1"/>
        <v>Harold Pape</v>
      </c>
      <c r="G1028" t="str">
        <f ca="1"/>
        <v>REST MHC MHC           SILAO GTO     MEX</v>
      </c>
      <c r="H1028" t="str">
        <f ca="1"/>
        <v>Rest Mhc Mhc Silao Gto Mex</v>
      </c>
      <c r="I1028" t="str">
        <f ca="1"/>
        <v>Sales</v>
      </c>
      <c r="J1028" t="str">
        <f ca="1"/>
        <v>Estancionamiento Viaje CDMX</v>
      </c>
      <c r="K1028" t="str">
        <f ca="1"/>
        <v>.C-583709</v>
      </c>
      <c r="L1028" t="str">
        <f ca="1">VLOOKUP(B1028,[1]Total!$B:$Q,16,0)</f>
        <v>603.81.006 Gastos Administativos de venta</v>
      </c>
      <c r="M1028">
        <f t="shared" ca="1" si="33"/>
        <v>1915.9</v>
      </c>
      <c r="N1028" t="str">
        <f t="shared" ca="1" si="34"/>
        <v xml:space="preserve">Harold Pape REST MHC MHC           SILAO GTO     MEX Rest Mhc Mhc Silao Gto Mex Sales Estancionamiento Viaje CDMX .C-583709 </v>
      </c>
    </row>
    <row r="1029" spans="1:14">
      <c r="A1029" t="str">
        <f ca="1"/>
        <v>TRX1112</v>
      </c>
      <c r="B1029" t="str">
        <f ca="1"/>
        <v>-</v>
      </c>
      <c r="C1029">
        <f ca="1"/>
        <v>46065.417361111096</v>
      </c>
      <c r="D1029">
        <f ca="1"/>
        <v>320</v>
      </c>
      <c r="E1029" t="str">
        <f ca="1"/>
        <v>MXN</v>
      </c>
      <c r="F1029" t="str">
        <f ca="1"/>
        <v>Harold Pape</v>
      </c>
      <c r="G1029" t="str">
        <f ca="1"/>
        <v>IPARK MTY INTERRED     APODACA NL    MEX</v>
      </c>
      <c r="H1029" t="str">
        <f ca="1"/>
        <v>Ipark Mty Interred Apodaca Nl Mex</v>
      </c>
      <c r="I1029" t="str">
        <f ca="1"/>
        <v>Sales</v>
      </c>
      <c r="J1029" t="str">
        <f ca="1"/>
        <v>Viaje GDL Foxxcom</v>
      </c>
      <c r="K1029" t="str">
        <f ca="1"/>
        <v>BKGGDLAABN 144541</v>
      </c>
      <c r="L1029" t="str">
        <f ca="1">VLOOKUP(B1029,[1]Total!$B:$Q,16,0)</f>
        <v>603.81.006 Gastos Administativos de venta</v>
      </c>
      <c r="M1029">
        <f t="shared" ca="1" si="33"/>
        <v>320</v>
      </c>
      <c r="N1029" t="str">
        <f t="shared" ca="1" si="34"/>
        <v xml:space="preserve">Harold Pape IPARK MTY INTERRED     APODACA NL    MEX Ipark Mty Interred Apodaca Nl Mex Sales Viaje GDL Foxxcom BKGGDLAABN 144541 </v>
      </c>
    </row>
    <row r="1030" spans="1:14">
      <c r="A1030" t="str">
        <f ca="1"/>
        <v>TRX1124</v>
      </c>
      <c r="B1030" t="str">
        <f ca="1"/>
        <v>-</v>
      </c>
      <c r="C1030">
        <f ca="1"/>
        <v>46071.416666666599</v>
      </c>
      <c r="D1030">
        <f ca="1"/>
        <v>356.4</v>
      </c>
      <c r="E1030" t="str">
        <f ca="1"/>
        <v>MXN</v>
      </c>
      <c r="F1030" t="str">
        <f ca="1"/>
        <v>Harold Pape</v>
      </c>
      <c r="G1030" t="str">
        <f ca="1"/>
        <v>Panda Express          CAN           MEX</v>
      </c>
      <c r="H1030" t="str">
        <f ca="1"/>
        <v>Panda Express</v>
      </c>
      <c r="I1030" t="str">
        <f ca="1"/>
        <v>Sales</v>
      </c>
      <c r="J1030" t="str">
        <f ca="1"/>
        <v>Viaje GDL Foxxcom</v>
      </c>
      <c r="K1030" t="str">
        <f ca="1"/>
        <v>WEB - 871122</v>
      </c>
      <c r="L1030" t="str">
        <f ca="1">VLOOKUP(B1030,[1]Total!$B:$Q,16,0)</f>
        <v>603.81.006 Gastos Administativos de venta</v>
      </c>
      <c r="M1030">
        <f t="shared" ca="1" si="33"/>
        <v>356.4</v>
      </c>
      <c r="N1030" t="str">
        <f t="shared" ca="1" si="34"/>
        <v xml:space="preserve">Harold Pape Panda Express          CAN           MEX Panda Express Sales Viaje GDL Foxxcom WEB - 871122 </v>
      </c>
    </row>
    <row r="1031" spans="1:14">
      <c r="A1031" t="str">
        <f ca="1"/>
        <v>TRX1073</v>
      </c>
      <c r="B1031" t="str">
        <f ca="1"/>
        <v>-</v>
      </c>
      <c r="C1031">
        <f ca="1"/>
        <v>46071.416666666599</v>
      </c>
      <c r="D1031">
        <f ca="1"/>
        <v>362</v>
      </c>
      <c r="E1031" t="str">
        <f ca="1"/>
        <v>MXN</v>
      </c>
      <c r="F1031" t="str">
        <f ca="1"/>
        <v>Harold Pape</v>
      </c>
      <c r="G1031" t="str">
        <f ca="1"/>
        <v>TAXIS PASA             CIUDAD DE MEX MEX</v>
      </c>
      <c r="H1031" t="str">
        <f ca="1"/>
        <v>Taxis Pasa Ciudad De Mex Mex</v>
      </c>
      <c r="I1031" t="str">
        <f ca="1"/>
        <v>Sales</v>
      </c>
      <c r="J1031" t="str">
        <f ca="1"/>
        <v>Viaje CDMX Posada</v>
      </c>
      <c r="K1031" t="str">
        <f ca="1"/>
        <v>66901114679615</v>
      </c>
      <c r="L1031" t="str">
        <f ca="1">VLOOKUP(B1031,[1]Total!$B:$Q,16,0)</f>
        <v>603.81.006 Gastos Administativos de venta</v>
      </c>
      <c r="M1031">
        <f t="shared" ca="1" si="33"/>
        <v>362</v>
      </c>
      <c r="N1031" t="str">
        <f t="shared" ca="1" si="34"/>
        <v xml:space="preserve">Harold Pape TAXIS PASA             CIUDAD DE MEX MEX Taxis Pasa Ciudad De Mex Mex Sales Viaje CDMX Posada 66901114679615 </v>
      </c>
    </row>
    <row r="1032" spans="1:14">
      <c r="A1032" t="str">
        <f ca="1"/>
        <v>TRX1604</v>
      </c>
      <c r="B1032" t="str">
        <f ca="1"/>
        <v>-</v>
      </c>
      <c r="C1032">
        <f ca="1"/>
        <v>46071.416666666599</v>
      </c>
      <c r="D1032">
        <f ca="1"/>
        <v>2912.69</v>
      </c>
      <c r="E1032" t="str">
        <f ca="1"/>
        <v>MXN</v>
      </c>
      <c r="F1032" t="str">
        <f ca="1"/>
        <v>Harold Pape</v>
      </c>
      <c r="G1032" t="str">
        <f ca="1"/>
        <v>VIVA AEROBUS CIB       APODACA       MEX</v>
      </c>
      <c r="H1032" t="str">
        <f ca="1"/>
        <v>Viva Aerobus Cib Apodaca Mex</v>
      </c>
      <c r="I1032" t="str">
        <f ca="1"/>
        <v>Sales</v>
      </c>
      <c r="J1032" t="str">
        <f ca="1"/>
        <v>Viaje CDMX Posada</v>
      </c>
      <c r="K1032" t="str">
        <f ca="1"/>
        <v>.QQSQUV-I-0002287</v>
      </c>
      <c r="L1032" t="str">
        <f ca="1">VLOOKUP(B1032,[1]Total!$B:$Q,16,0)</f>
        <v>603.81.006 Gastos Administativos de venta</v>
      </c>
      <c r="M1032">
        <f t="shared" ca="1" si="33"/>
        <v>2912.69</v>
      </c>
      <c r="N1032" t="str">
        <f t="shared" ca="1" si="34"/>
        <v xml:space="preserve">Harold Pape VIVA AEROBUS CIB       APODACA       MEX Viva Aerobus Cib Apodaca Mex Sales Viaje CDMX Posada .QQSQUV-I-0002287 </v>
      </c>
    </row>
    <row r="1033" spans="1:14">
      <c r="A1033" t="str">
        <f ca="1"/>
        <v>TRX1161</v>
      </c>
      <c r="B1033" t="str">
        <f ca="1"/>
        <v>-</v>
      </c>
      <c r="C1033">
        <f ca="1"/>
        <v>46071.417361111096</v>
      </c>
      <c r="D1033">
        <f ca="1"/>
        <v>1124.7</v>
      </c>
      <c r="E1033" t="str">
        <f ca="1"/>
        <v>MXN</v>
      </c>
      <c r="F1033" t="str">
        <f ca="1"/>
        <v>Harold Pape</v>
      </c>
      <c r="G1033" t="str">
        <f ca="1"/>
        <v>OXXO GASCUMBRES DEL SO MONTERREY NL  MEX</v>
      </c>
      <c r="H1033" t="str">
        <f ca="1"/>
        <v>Oxxo</v>
      </c>
      <c r="I1033" t="str">
        <f ca="1"/>
        <v>Sales</v>
      </c>
      <c r="J1033" t="str">
        <f ca="1"/>
        <v>Viaje CDMX Posada</v>
      </c>
      <c r="K1033" t="str">
        <f ca="1"/>
        <v>.D13997</v>
      </c>
      <c r="L1033" t="str">
        <f ca="1">VLOOKUP(B1033,[1]Total!$B:$Q,16,0)</f>
        <v>603.81.006 Gastos Administativos de venta</v>
      </c>
      <c r="M1033">
        <f t="shared" ca="1" si="33"/>
        <v>1124.7</v>
      </c>
      <c r="N1033" t="str">
        <f t="shared" ca="1" si="34"/>
        <v xml:space="preserve">Harold Pape OXXO GASCUMBRES DEL SO MONTERREY NL  MEX Oxxo Sales Viaje CDMX Posada .D13997 </v>
      </c>
    </row>
    <row r="1034" spans="1:14">
      <c r="A1034" t="str">
        <f ca="1"/>
        <v>TRX1005</v>
      </c>
      <c r="B1034" t="str">
        <f ca="1"/>
        <v>-</v>
      </c>
      <c r="C1034">
        <f ca="1"/>
        <v>46071.417361111096</v>
      </c>
      <c r="D1034">
        <f ca="1"/>
        <v>2012.38</v>
      </c>
      <c r="E1034" t="str">
        <f ca="1"/>
        <v>MXN</v>
      </c>
      <c r="F1034" t="str">
        <f ca="1"/>
        <v>Harold Pape</v>
      </c>
      <c r="G1034" t="str">
        <f ca="1"/>
        <v>HOLIDAYINNBASILICLIBER CIUDAD DE MEX MEX</v>
      </c>
      <c r="H1034" t="str">
        <f ca="1"/>
        <v>Holidayinnbasilicliber Ciudad De Mex Mex</v>
      </c>
      <c r="I1034" t="str">
        <f ca="1"/>
        <v>Sales</v>
      </c>
      <c r="J1034" t="str">
        <f ca="1"/>
        <v>Vuelo CDMX Posada</v>
      </c>
      <c r="K1034" t="str">
        <f ca="1"/>
        <v>149708443</v>
      </c>
      <c r="L1034" t="str">
        <f ca="1">VLOOKUP(B1034,[1]Total!$B:$Q,16,0)</f>
        <v>603.81.006 Gastos Administativos de venta</v>
      </c>
      <c r="M1034">
        <f t="shared" ca="1" si="33"/>
        <v>2012.38</v>
      </c>
      <c r="N1034" t="str">
        <f t="shared" ca="1" si="34"/>
        <v xml:space="preserve">Harold Pape HOLIDAYINNBASILICLIBER CIUDAD DE MEX MEX Holidayinnbasilicliber Ciudad De Mex Mex Sales Vuelo CDMX Posada 149708443 </v>
      </c>
    </row>
    <row r="1035" spans="1:14">
      <c r="A1035" t="str">
        <f ca="1"/>
        <v>TRX1586</v>
      </c>
      <c r="B1035" t="str">
        <f ca="1"/>
        <v>-</v>
      </c>
      <c r="C1035">
        <f ca="1"/>
        <v>46072.416666666599</v>
      </c>
      <c r="D1035">
        <f ca="1"/>
        <v>275</v>
      </c>
      <c r="E1035" t="str">
        <f ca="1"/>
        <v>MXN</v>
      </c>
      <c r="F1035" t="str">
        <f ca="1"/>
        <v>Harold Pape</v>
      </c>
      <c r="G1035" t="str">
        <f ca="1"/>
        <v>ACO MEX APTO T1 CARLSJ CIUDAD DE MEX MEX</v>
      </c>
      <c r="H1035" t="str">
        <f ca="1"/>
        <v>Aco Mex Apto T1 Carlsj Ciudad De Mex Mex</v>
      </c>
      <c r="I1035">
        <f ca="1"/>
        <v>0</v>
      </c>
      <c r="J1035">
        <f ca="1"/>
        <v>0</v>
      </c>
      <c r="K1035" t="str">
        <f ca="1"/>
        <v>.</v>
      </c>
      <c r="L1035" t="str">
        <f ca="1">VLOOKUP(B1035,[1]Total!$B:$Q,16,0)</f>
        <v>603.81.006 Gastos Administativos de venta</v>
      </c>
      <c r="M1035">
        <f t="shared" ca="1" si="33"/>
        <v>275</v>
      </c>
      <c r="N1035" t="str">
        <f t="shared" ca="1" si="34"/>
        <v xml:space="preserve">Harold Pape ACO MEX APTO T1 CARLSJ CIUDAD DE MEX MEX Aco Mex Apto T1 Carlsj Ciudad De Mex Mex 0 0 . </v>
      </c>
    </row>
    <row r="1036" spans="1:14">
      <c r="A1036" t="str">
        <f ca="1"/>
        <v>TRX1574</v>
      </c>
      <c r="B1036" t="str">
        <f ca="1"/>
        <v>-</v>
      </c>
      <c r="C1036">
        <f ca="1"/>
        <v>46072.416666666599</v>
      </c>
      <c r="D1036">
        <f ca="1"/>
        <v>309.97000000000003</v>
      </c>
      <c r="E1036" t="str">
        <f ca="1"/>
        <v>MXN</v>
      </c>
      <c r="F1036" t="str">
        <f ca="1"/>
        <v>Harold Pape</v>
      </c>
      <c r="G1036" t="str">
        <f ca="1"/>
        <v>DLO*UBER RIDE          CIUDAD DE MEX MEX</v>
      </c>
      <c r="H1036" t="str">
        <f ca="1"/>
        <v>Uber</v>
      </c>
      <c r="I1036">
        <f ca="1"/>
        <v>0</v>
      </c>
      <c r="J1036">
        <f ca="1"/>
        <v>0</v>
      </c>
      <c r="K1036" t="str">
        <f ca="1"/>
        <v>.</v>
      </c>
      <c r="L1036" t="str">
        <f ca="1">VLOOKUP(B1036,[1]Total!$B:$Q,16,0)</f>
        <v>603.81.006 Gastos Administativos de venta</v>
      </c>
      <c r="M1036">
        <f t="shared" ca="1" si="33"/>
        <v>309.97000000000003</v>
      </c>
      <c r="N1036" t="str">
        <f t="shared" ca="1" si="34"/>
        <v xml:space="preserve">Harold Pape DLO*UBER RIDE          CIUDAD DE MEX MEX Uber 0 0 . </v>
      </c>
    </row>
    <row r="1037" spans="1:14">
      <c r="A1037" t="str">
        <f ca="1"/>
        <v>TRX1817</v>
      </c>
      <c r="B1037" t="str">
        <f ca="1"/>
        <v>-</v>
      </c>
      <c r="C1037">
        <f ca="1"/>
        <v>46072.416666666599</v>
      </c>
      <c r="D1037">
        <f ca="1"/>
        <v>339.98</v>
      </c>
      <c r="E1037" t="str">
        <f ca="1"/>
        <v>MXN</v>
      </c>
      <c r="F1037" t="str">
        <f ca="1"/>
        <v>Harold Pape</v>
      </c>
      <c r="G1037" t="str">
        <f ca="1"/>
        <v>DLO*UBER RIDES         CIUDAD DE MEX MEX</v>
      </c>
      <c r="H1037" t="str">
        <f ca="1"/>
        <v>Uber</v>
      </c>
      <c r="I1037">
        <f ca="1"/>
        <v>0</v>
      </c>
      <c r="J1037">
        <f ca="1"/>
        <v>0</v>
      </c>
      <c r="K1037" t="str">
        <f ca="1"/>
        <v>.</v>
      </c>
      <c r="L1037" t="str">
        <f ca="1">VLOOKUP(B1037,[1]Total!$B:$Q,16,0)</f>
        <v>603.81.006 Gastos Administativos de venta</v>
      </c>
      <c r="M1037">
        <f t="shared" ca="1" si="33"/>
        <v>339.98</v>
      </c>
      <c r="N1037" t="str">
        <f t="shared" ca="1" si="34"/>
        <v xml:space="preserve">Harold Pape DLO*UBER RIDES         CIUDAD DE MEX MEX Uber 0 0 . </v>
      </c>
    </row>
    <row r="1038" spans="1:14">
      <c r="A1038" t="str">
        <f ca="1"/>
        <v>TRX1549</v>
      </c>
      <c r="B1038" t="str">
        <f ca="1"/>
        <v>-</v>
      </c>
      <c r="C1038">
        <f ca="1"/>
        <v>46072.417361111096</v>
      </c>
      <c r="D1038">
        <f ca="1"/>
        <v>500</v>
      </c>
      <c r="E1038" t="str">
        <f ca="1"/>
        <v>MXN</v>
      </c>
      <c r="F1038" t="str">
        <f ca="1"/>
        <v>Harold Pape</v>
      </c>
      <c r="G1038" t="str">
        <f ca="1"/>
        <v>IPARK MTY INTERRED     APODACA NL    MEX</v>
      </c>
      <c r="H1038" t="str">
        <f ca="1"/>
        <v>Ipark Mty Interred Apodaca Nl Mex</v>
      </c>
      <c r="I1038">
        <f ca="1"/>
        <v>0</v>
      </c>
      <c r="J1038">
        <f ca="1"/>
        <v>0</v>
      </c>
      <c r="K1038" t="str">
        <f ca="1"/>
        <v>.</v>
      </c>
      <c r="L1038" t="str">
        <f ca="1">VLOOKUP(B1038,[1]Total!$B:$Q,16,0)</f>
        <v>603.81.006 Gastos Administativos de venta</v>
      </c>
      <c r="M1038">
        <f t="shared" ca="1" si="33"/>
        <v>500</v>
      </c>
      <c r="N1038" t="str">
        <f t="shared" ca="1" si="34"/>
        <v xml:space="preserve">Harold Pape IPARK MTY INTERRED     APODACA NL    MEX Ipark Mty Interred Apodaca Nl Mex 0 0 . </v>
      </c>
    </row>
    <row r="1039" spans="1:14">
      <c r="A1039" t="str">
        <f ca="1"/>
        <v>TRX1397</v>
      </c>
      <c r="B1039" t="str">
        <f ca="1"/>
        <v>-</v>
      </c>
      <c r="C1039">
        <f ca="1"/>
        <v>46073.416666666599</v>
      </c>
      <c r="D1039">
        <f ca="1"/>
        <v>148.4</v>
      </c>
      <c r="E1039" t="str">
        <f ca="1"/>
        <v>MXN</v>
      </c>
      <c r="F1039" t="str">
        <f ca="1"/>
        <v>Harold Pape</v>
      </c>
      <c r="G1039" t="str">
        <f ca="1"/>
        <v>D LOCAL*REST RAPPI     CIUDAD DE MEX MEX</v>
      </c>
      <c r="H1039" t="str">
        <f ca="1"/>
        <v>Rappi</v>
      </c>
      <c r="I1039">
        <f ca="1"/>
        <v>0</v>
      </c>
      <c r="J1039">
        <f ca="1"/>
        <v>0</v>
      </c>
      <c r="K1039" t="str">
        <f ca="1"/>
        <v>.</v>
      </c>
      <c r="L1039" t="str">
        <f ca="1">VLOOKUP(B1039,[1]Total!$B:$Q,16,0)</f>
        <v>603.81.006 Gastos Administativos de venta</v>
      </c>
      <c r="M1039">
        <f t="shared" ca="1" si="33"/>
        <v>148.4</v>
      </c>
      <c r="N1039" t="str">
        <f t="shared" ca="1" si="34"/>
        <v xml:space="preserve">Harold Pape D LOCAL*REST RAPPI     CIUDAD DE MEX MEX Rappi 0 0 . </v>
      </c>
    </row>
    <row r="1040" spans="1:14">
      <c r="A1040" t="str">
        <f ca="1"/>
        <v>TRX1729</v>
      </c>
      <c r="B1040" t="str">
        <f ca="1"/>
        <v>-</v>
      </c>
      <c r="C1040">
        <f ca="1"/>
        <v>46073.416666666599</v>
      </c>
      <c r="D1040">
        <f ca="1"/>
        <v>23.85</v>
      </c>
      <c r="E1040" t="str">
        <f ca="1"/>
        <v>MXN</v>
      </c>
      <c r="F1040" t="str">
        <f ca="1"/>
        <v>Harold Pape</v>
      </c>
      <c r="G1040" t="str">
        <f ca="1"/>
        <v>D LOCAL*REST RAPPIPRO  CIUDAD DE MEX MEX</v>
      </c>
      <c r="H1040" t="str">
        <f ca="1"/>
        <v>D Local Rest Rappipro Ciudad De Mex Mex</v>
      </c>
      <c r="I1040">
        <f ca="1"/>
        <v>0</v>
      </c>
      <c r="J1040">
        <f ca="1"/>
        <v>0</v>
      </c>
      <c r="K1040" t="str">
        <f ca="1"/>
        <v>.</v>
      </c>
      <c r="L1040" t="str">
        <f ca="1">VLOOKUP(B1040,[1]Total!$B:$Q,16,0)</f>
        <v>603.81.006 Gastos Administativos de venta</v>
      </c>
      <c r="M1040">
        <f t="shared" ca="1" si="33"/>
        <v>23.85</v>
      </c>
      <c r="N1040" t="str">
        <f t="shared" ca="1" si="34"/>
        <v xml:space="preserve">Harold Pape D LOCAL*REST RAPPIPRO  CIUDAD DE MEX MEX D Local Rest Rappipro Ciudad De Mex Mex 0 0 . </v>
      </c>
    </row>
    <row r="1041" spans="1:14">
      <c r="A1041" t="str">
        <f ca="1"/>
        <v>TRX1038</v>
      </c>
      <c r="B1041" t="str">
        <f ca="1"/>
        <v>-</v>
      </c>
      <c r="C1041">
        <f ca="1"/>
        <v>46074.417361111096</v>
      </c>
      <c r="D1041">
        <f ca="1"/>
        <v>23.85</v>
      </c>
      <c r="E1041" t="str">
        <f ca="1"/>
        <v>MXN</v>
      </c>
      <c r="F1041" t="str">
        <f ca="1"/>
        <v>Harold Pape</v>
      </c>
      <c r="G1041" t="str">
        <f ca="1"/>
        <v>20260219T01:01:01/D LOCAL*REST RAPPIPRO\UNKNOWN\UNKNOWN\11520        MEX</v>
      </c>
      <c r="H1041" t="str">
        <f ca="1"/>
        <v>T :01/D Local Rest Rappipro\Unknown\Unknown\ Mex</v>
      </c>
      <c r="I1041">
        <f ca="1"/>
        <v>0</v>
      </c>
      <c r="J1041">
        <f ca="1"/>
        <v>0</v>
      </c>
      <c r="K1041" t="str">
        <f ca="1"/>
        <v>.</v>
      </c>
      <c r="L1041" t="str">
        <f ca="1">VLOOKUP(B1041,[1]Total!$B:$Q,16,0)</f>
        <v>603.81.006 Gastos Administativos de venta</v>
      </c>
      <c r="M1041">
        <f t="shared" ca="1" si="33"/>
        <v>23.85</v>
      </c>
      <c r="N1041" t="str">
        <f t="shared" ca="1" si="34"/>
        <v xml:space="preserve">Harold Pape 20260219T01:01:01/D LOCAL*REST RAPPIPRO\UNKNOWN\UNKNOWN\11520        MEX T :01/D Local Rest Rappipro\Unknown\Unknown\ Mex 0 0 . </v>
      </c>
    </row>
    <row r="1042" spans="1:14">
      <c r="A1042" t="str">
        <f ca="1"/>
        <v>TRX1292</v>
      </c>
      <c r="B1042" t="str">
        <f ca="1"/>
        <v>-</v>
      </c>
      <c r="C1042">
        <f ca="1"/>
        <v>46081.417361111096</v>
      </c>
      <c r="D1042">
        <f ca="1"/>
        <v>1290</v>
      </c>
      <c r="E1042" t="str">
        <f ca="1"/>
        <v>MXN</v>
      </c>
      <c r="F1042" t="str">
        <f ca="1"/>
        <v>Harold Pape</v>
      </c>
      <c r="G1042" t="str">
        <f ca="1"/>
        <v>HOME DEPOT GARZA GARCI SN PEDRO GARZ MEX</v>
      </c>
      <c r="H1042" t="str">
        <f ca="1"/>
        <v>The Home Depot</v>
      </c>
      <c r="I1042">
        <f ca="1"/>
        <v>0</v>
      </c>
      <c r="J1042">
        <f ca="1"/>
        <v>0</v>
      </c>
      <c r="K1042" t="str">
        <f ca="1"/>
        <v>.</v>
      </c>
      <c r="L1042" t="str">
        <f ca="1">VLOOKUP(B1042,[1]Total!$B:$Q,16,0)</f>
        <v>603.81.006 Gastos Administativos de venta</v>
      </c>
      <c r="M1042">
        <f t="shared" ca="1" si="33"/>
        <v>1290</v>
      </c>
      <c r="N1042" t="str">
        <f t="shared" ca="1" si="34"/>
        <v xml:space="preserve">Harold Pape HOME DEPOT GARZA GARCI SN PEDRO GARZ MEX The Home Depot 0 0 . </v>
      </c>
    </row>
    <row r="1043" spans="1:14">
      <c r="A1043" t="str">
        <f ca="1"/>
        <v>TRX1294</v>
      </c>
      <c r="B1043" t="str">
        <f ca="1"/>
        <v>-</v>
      </c>
      <c r="C1043">
        <f ca="1"/>
        <v>46081.417361111096</v>
      </c>
      <c r="D1043">
        <f ca="1"/>
        <v>1900.18</v>
      </c>
      <c r="E1043" t="str">
        <f ca="1"/>
        <v>MXN</v>
      </c>
      <c r="F1043" t="str">
        <f ca="1"/>
        <v>Harold Pape</v>
      </c>
      <c r="G1043" t="str">
        <f ca="1"/>
        <v>GAS OXXOCASTELLANA     MONTERREY NL  MEX</v>
      </c>
      <c r="H1043" t="str">
        <f ca="1"/>
        <v>Gas Oxxocastellana Monterrey Nl Mex</v>
      </c>
      <c r="I1043">
        <f ca="1"/>
        <v>0</v>
      </c>
      <c r="J1043">
        <f ca="1"/>
        <v>0</v>
      </c>
      <c r="K1043" t="str">
        <f ca="1"/>
        <v>.</v>
      </c>
      <c r="L1043" t="str">
        <f ca="1">VLOOKUP(B1043,[1]Total!$B:$Q,16,0)</f>
        <v>603.81.006 Gastos Administativos de venta</v>
      </c>
      <c r="M1043">
        <f t="shared" ca="1" si="33"/>
        <v>1900.18</v>
      </c>
      <c r="N1043" t="str">
        <f t="shared" ca="1" si="34"/>
        <v xml:space="preserve">Harold Pape GAS OXXOCASTELLANA     MONTERREY NL  MEX Gas Oxxocastellana Monterrey Nl Mex 0 0 . </v>
      </c>
    </row>
    <row r="1044" spans="1:14">
      <c r="A1044" t="str">
        <f ca="1"/>
        <v>TRX1261</v>
      </c>
      <c r="B1044" t="str">
        <f ca="1"/>
        <v>-</v>
      </c>
      <c r="C1044">
        <f ca="1"/>
        <v>46057.416666666599</v>
      </c>
      <c r="D1044">
        <f ca="1"/>
        <v>549.98</v>
      </c>
      <c r="E1044" t="str">
        <f ca="1"/>
        <v>MXN</v>
      </c>
      <c r="F1044" t="str">
        <f ca="1"/>
        <v>Jose Luis Franco Vaquero</v>
      </c>
      <c r="G1044" t="str">
        <f ca="1"/>
        <v>UBER * PENDING         CMX           MEX</v>
      </c>
      <c r="H1044" t="str">
        <f ca="1"/>
        <v>Uber</v>
      </c>
      <c r="I1044" t="str">
        <f ca="1"/>
        <v>Sales</v>
      </c>
      <c r="J1044" t="str">
        <f ca="1"/>
        <v>Traslado a aeropuerto</v>
      </c>
      <c r="K1044" t="str">
        <f ca="1"/>
        <v>140829108036</v>
      </c>
      <c r="L1044" t="str">
        <f ca="1">VLOOKUP(B1044,[1]Total!$B:$Q,16,0)</f>
        <v>603.81.006 Gastos Administativos de venta</v>
      </c>
      <c r="M1044">
        <f t="shared" ca="1" si="33"/>
        <v>549.98</v>
      </c>
      <c r="N1044" t="str">
        <f t="shared" ca="1" si="34"/>
        <v xml:space="preserve">Jose Luis Franco Vaquero UBER * PENDING         CMX           MEX Uber Sales Traslado a aeropuerto 140829108036 </v>
      </c>
    </row>
    <row r="1045" spans="1:14">
      <c r="A1045" t="str">
        <f ca="1"/>
        <v>TRX1240</v>
      </c>
      <c r="B1045" t="str">
        <f ca="1"/>
        <v>-</v>
      </c>
      <c r="C1045">
        <f ca="1"/>
        <v>46058.416666666599</v>
      </c>
      <c r="D1045">
        <f ca="1"/>
        <v>473</v>
      </c>
      <c r="E1045" t="str">
        <f ca="1"/>
        <v>MXN</v>
      </c>
      <c r="F1045" t="str">
        <f ca="1"/>
        <v>Jose Luis Franco Vaquero</v>
      </c>
      <c r="G1045" t="str">
        <f ca="1"/>
        <v>LOMA LINDA III T1 3    CIUDAD DE MEX MEX</v>
      </c>
      <c r="H1045" t="str">
        <f ca="1"/>
        <v>Loma Linda Iii T1 3 Ciudad De Mex Mex</v>
      </c>
      <c r="I1045" t="str">
        <f ca="1"/>
        <v>Sales</v>
      </c>
      <c r="J1045" t="str">
        <f ca="1"/>
        <v>PO 2196 alimentos</v>
      </c>
      <c r="K1045" t="str">
        <f ca="1"/>
        <v>130009</v>
      </c>
      <c r="L1045" t="str">
        <f ca="1">VLOOKUP(B1045,[1]Total!$B:$Q,16,0)</f>
        <v>603.81.006 Gastos Administativos de venta</v>
      </c>
      <c r="M1045">
        <f t="shared" ca="1" si="33"/>
        <v>473</v>
      </c>
      <c r="N1045" t="str">
        <f t="shared" ca="1" si="34"/>
        <v xml:space="preserve">Jose Luis Franco Vaquero LOMA LINDA III T1 3    CIUDAD DE MEX MEX Loma Linda Iii T1 3 Ciudad De Mex Mex Sales PO 2196 alimentos 130009 </v>
      </c>
    </row>
    <row r="1046" spans="1:14">
      <c r="A1046" t="str">
        <f ca="1"/>
        <v>TRX1230</v>
      </c>
      <c r="B1046" t="str">
        <f ca="1"/>
        <v>-</v>
      </c>
      <c r="C1046">
        <f ca="1"/>
        <v>46058.416666666599</v>
      </c>
      <c r="D1046">
        <f ca="1"/>
        <v>1377.87</v>
      </c>
      <c r="E1046" t="str">
        <f ca="1"/>
        <v>MXN</v>
      </c>
      <c r="F1046" t="str">
        <f ca="1"/>
        <v>Jose Luis Franco Vaquero</v>
      </c>
      <c r="G1046" t="str">
        <f ca="1"/>
        <v>MERCADOPAGO *GASOLINA  Tlalnepantla  MEX</v>
      </c>
      <c r="H1046" t="str">
        <f ca="1"/>
        <v>Mercadopago</v>
      </c>
      <c r="I1046" t="str">
        <f ca="1"/>
        <v>Sales</v>
      </c>
      <c r="J1046" t="str">
        <f ca="1"/>
        <v>Gasolina CDMX</v>
      </c>
      <c r="K1046" t="str">
        <f ca="1"/>
        <v>144612356044</v>
      </c>
      <c r="L1046" t="str">
        <f ca="1">VLOOKUP(B1046,[1]Total!$B:$Q,16,0)</f>
        <v>603.81.006 Gastos Administativos de venta</v>
      </c>
      <c r="M1046">
        <f t="shared" ca="1" si="33"/>
        <v>1377.87</v>
      </c>
      <c r="N1046" t="str">
        <f t="shared" ca="1" si="34"/>
        <v xml:space="preserve">Jose Luis Franco Vaquero MERCADOPAGO *GASOLINA  Tlalnepantla  MEX Mercadopago Sales Gasolina CDMX 144612356044 </v>
      </c>
    </row>
    <row r="1047" spans="1:14">
      <c r="A1047" t="str">
        <f ca="1"/>
        <v>TRX1217</v>
      </c>
      <c r="B1047" t="str">
        <f ca="1"/>
        <v>-</v>
      </c>
      <c r="C1047">
        <f ca="1"/>
        <v>46058.417361111096</v>
      </c>
      <c r="D1047">
        <f ca="1"/>
        <v>61.2</v>
      </c>
      <c r="E1047" t="str">
        <f ca="1"/>
        <v>MXN</v>
      </c>
      <c r="F1047" t="str">
        <f ca="1"/>
        <v>Jose Luis Franco Vaquero</v>
      </c>
      <c r="G1047" t="str">
        <f ca="1"/>
        <v>REA AUTOPISTA GPE      CADEREYTA JIM MEX</v>
      </c>
      <c r="H1047" t="str">
        <f ca="1"/>
        <v>Rea Autopista Gpe Cadereyta Jim Mex</v>
      </c>
      <c r="I1047" t="str">
        <f ca="1"/>
        <v>Sales</v>
      </c>
      <c r="J1047" t="str">
        <f ca="1"/>
        <v>PO 2196 Cuota MTY</v>
      </c>
      <c r="K1047" t="str">
        <f ca="1"/>
        <v>2974045</v>
      </c>
      <c r="L1047" t="str">
        <f ca="1">VLOOKUP(B1047,[1]Total!$B:$Q,16,0)</f>
        <v>603.81.006 Gastos Administativos de venta</v>
      </c>
      <c r="M1047">
        <f t="shared" ca="1" si="33"/>
        <v>61.2</v>
      </c>
      <c r="N1047" t="str">
        <f t="shared" ca="1" si="34"/>
        <v xml:space="preserve">Jose Luis Franco Vaquero REA AUTOPISTA GPE      CADEREYTA JIM MEX Rea Autopista Gpe Cadereyta Jim Mex Sales PO 2196 Cuota MTY 2974045 </v>
      </c>
    </row>
    <row r="1048" spans="1:14">
      <c r="A1048" t="str">
        <f ca="1"/>
        <v>TRX1216</v>
      </c>
      <c r="B1048" t="str">
        <f ca="1"/>
        <v>-</v>
      </c>
      <c r="C1048">
        <f ca="1"/>
        <v>46058.417361111096</v>
      </c>
      <c r="D1048">
        <f ca="1"/>
        <v>462</v>
      </c>
      <c r="E1048" t="str">
        <f ca="1"/>
        <v>MXN</v>
      </c>
      <c r="F1048" t="str">
        <f ca="1"/>
        <v>Jose Luis Franco Vaquero</v>
      </c>
      <c r="G1048" t="str">
        <f ca="1"/>
        <v>REST CAFE  BARCELO     SN PEDRO GARZ MEX</v>
      </c>
      <c r="H1048" t="str">
        <f ca="1"/>
        <v>Rest Cafe Barcelo Sn Pedro Garz Mex</v>
      </c>
      <c r="I1048" t="str">
        <f ca="1"/>
        <v>Sales</v>
      </c>
      <c r="J1048" t="str">
        <f ca="1"/>
        <v>PO 2196 alimentos</v>
      </c>
      <c r="K1048" t="str">
        <f ca="1"/>
        <v>531315</v>
      </c>
      <c r="L1048" t="str">
        <f ca="1">VLOOKUP(B1048,[1]Total!$B:$Q,16,0)</f>
        <v>603.81.006 Gastos Administativos de venta</v>
      </c>
      <c r="M1048">
        <f t="shared" ca="1" si="33"/>
        <v>462</v>
      </c>
      <c r="N1048" t="str">
        <f t="shared" ca="1" si="34"/>
        <v xml:space="preserve">Jose Luis Franco Vaquero REST CAFE  BARCELO     SN PEDRO GARZ MEX Rest Cafe Barcelo Sn Pedro Garz Mex Sales PO 2196 alimentos 531315 </v>
      </c>
    </row>
    <row r="1049" spans="1:14">
      <c r="A1049" t="str">
        <f ca="1"/>
        <v>TRX1211</v>
      </c>
      <c r="B1049" t="str">
        <f ca="1"/>
        <v>-</v>
      </c>
      <c r="C1049">
        <f ca="1"/>
        <v>46058.417361111096</v>
      </c>
      <c r="D1049">
        <f ca="1"/>
        <v>389.4</v>
      </c>
      <c r="E1049" t="str">
        <f ca="1"/>
        <v>MXN</v>
      </c>
      <c r="F1049" t="str">
        <f ca="1"/>
        <v>Jose Luis Franco Vaquero</v>
      </c>
      <c r="G1049" t="str">
        <f ca="1"/>
        <v>REST KURAI FASHION DRI SN PEDRO GARZ MEX</v>
      </c>
      <c r="H1049" t="str">
        <f ca="1"/>
        <v>Rest Kurai Fashion Dri Sn Pedro Garz Mex</v>
      </c>
      <c r="I1049" t="str">
        <f ca="1"/>
        <v>Sales</v>
      </c>
      <c r="J1049" t="str">
        <f ca="1"/>
        <v>PO 2196 alimentos</v>
      </c>
      <c r="K1049" t="str">
        <f ca="1"/>
        <v>MR0/1</v>
      </c>
      <c r="L1049" t="str">
        <f ca="1">VLOOKUP(B1049,[1]Total!$B:$Q,16,0)</f>
        <v>603.81.006 Gastos Administativos de venta</v>
      </c>
      <c r="M1049">
        <f t="shared" ca="1" si="33"/>
        <v>389.4</v>
      </c>
      <c r="N1049" t="str">
        <f t="shared" ca="1" si="34"/>
        <v xml:space="preserve">Jose Luis Franco Vaquero REST KURAI FASHION DRI SN PEDRO GARZ MEX Rest Kurai Fashion Dri Sn Pedro Garz Mex Sales PO 2196 alimentos MR0/1 </v>
      </c>
    </row>
    <row r="1050" spans="1:14">
      <c r="A1050" t="str">
        <f ca="1"/>
        <v>TRX1174</v>
      </c>
      <c r="B1050" t="str">
        <f ca="1"/>
        <v>-</v>
      </c>
      <c r="C1050">
        <f ca="1"/>
        <v>46059.416666666599</v>
      </c>
      <c r="D1050">
        <f ca="1"/>
        <v>117</v>
      </c>
      <c r="E1050" t="str">
        <f ca="1"/>
        <v>MXN</v>
      </c>
      <c r="F1050" t="str">
        <f ca="1"/>
        <v>Jose Luis Franco Vaquero</v>
      </c>
      <c r="G1050" t="str">
        <f ca="1"/>
        <v>ESTAC PARCO KIOSKO     ZAPOPAN JAL   MEX</v>
      </c>
      <c r="H1050" t="str">
        <f ca="1"/>
        <v>Estac Parco Kiosko Zapopan Jal Mex</v>
      </c>
      <c r="I1050" t="str">
        <f ca="1"/>
        <v>Sales</v>
      </c>
      <c r="J1050" t="str">
        <f ca="1"/>
        <v>PO 2196 Estacionamiento</v>
      </c>
      <c r="K1050" t="str">
        <f ca="1"/>
        <v>731622457095</v>
      </c>
      <c r="L1050" t="str">
        <f ca="1">VLOOKUP(B1050,[1]Total!$B:$Q,16,0)</f>
        <v>603.81.006 Gastos Administativos de venta</v>
      </c>
      <c r="M1050">
        <f t="shared" ca="1" si="33"/>
        <v>117</v>
      </c>
      <c r="N1050" t="str">
        <f t="shared" ca="1" si="34"/>
        <v xml:space="preserve">Jose Luis Franco Vaquero ESTAC PARCO KIOSKO     ZAPOPAN JAL   MEX Estac Parco Kiosko Zapopan Jal Mex Sales PO 2196 Estacionamiento 731622457095 </v>
      </c>
    </row>
    <row r="1051" spans="1:14">
      <c r="A1051" t="str">
        <f ca="1"/>
        <v>TRX1306</v>
      </c>
      <c r="B1051" t="str">
        <f ca="1"/>
        <v>-</v>
      </c>
      <c r="C1051">
        <f ca="1"/>
        <v>46059.417361111096</v>
      </c>
      <c r="D1051">
        <f ca="1"/>
        <v>2255</v>
      </c>
      <c r="E1051" t="str">
        <f ca="1"/>
        <v>MXN</v>
      </c>
      <c r="F1051" t="str">
        <f ca="1"/>
        <v>Jose Luis Franco Vaquero</v>
      </c>
      <c r="G1051" t="str">
        <f ca="1"/>
        <v>SKY BAR                SN PEDRO GARZ MEX</v>
      </c>
      <c r="H1051" t="str">
        <f ca="1"/>
        <v>Sky Bar Sn Pedro Garz Mex</v>
      </c>
      <c r="I1051" t="str">
        <f ca="1"/>
        <v>Sales</v>
      </c>
      <c r="J1051" t="str">
        <f ca="1"/>
        <v>PO 2238 comida cliente</v>
      </c>
      <c r="K1051" t="str">
        <f ca="1"/>
        <v>040226</v>
      </c>
      <c r="L1051" t="str">
        <f ca="1">VLOOKUP(B1051,[1]Total!$B:$Q,16,0)</f>
        <v>603.81.006 Gastos Administativos de venta</v>
      </c>
      <c r="M1051">
        <f t="shared" ca="1" si="33"/>
        <v>2255</v>
      </c>
      <c r="N1051" t="str">
        <f t="shared" ca="1" si="34"/>
        <v xml:space="preserve">Jose Luis Franco Vaquero SKY BAR                SN PEDRO GARZ MEX Sky Bar Sn Pedro Garz Mex Sales PO 2238 comida cliente 040226 </v>
      </c>
    </row>
    <row r="1052" spans="1:14">
      <c r="A1052" t="str">
        <f ca="1"/>
        <v>TRX1411</v>
      </c>
      <c r="B1052" t="str">
        <f ca="1"/>
        <v>-</v>
      </c>
      <c r="C1052">
        <f ca="1"/>
        <v>46060.416666666599</v>
      </c>
      <c r="D1052">
        <f ca="1"/>
        <v>1059.9000000000001</v>
      </c>
      <c r="E1052" t="str">
        <f ca="1"/>
        <v>MXN</v>
      </c>
      <c r="F1052" t="str">
        <f ca="1"/>
        <v>Jose Luis Franco Vaquero</v>
      </c>
      <c r="G1052" t="str">
        <f ca="1"/>
        <v>MERCADOPAGO *PEAJESAC  Tlalnepantla  MEX</v>
      </c>
      <c r="H1052" t="str">
        <f ca="1"/>
        <v>Mercadopago</v>
      </c>
      <c r="I1052" t="str">
        <f ca="1"/>
        <v>Sales</v>
      </c>
      <c r="J1052" t="str">
        <f ca="1"/>
        <v>PO 2196 Peajes y propinas Coahuila</v>
      </c>
      <c r="K1052" t="str">
        <f ca="1"/>
        <v>144938211198</v>
      </c>
      <c r="L1052" t="str">
        <f ca="1">VLOOKUP(B1052,[1]Total!$B:$Q,16,0)</f>
        <v>603.81.006 Gastos Administativos de venta</v>
      </c>
      <c r="M1052">
        <f t="shared" ca="1" si="33"/>
        <v>1059.9000000000001</v>
      </c>
      <c r="N1052" t="str">
        <f t="shared" ca="1" si="34"/>
        <v xml:space="preserve">Jose Luis Franco Vaquero MERCADOPAGO *PEAJESAC  Tlalnepantla  MEX Mercadopago Sales PO 2196 Peajes y propinas Coahuila 144938211198 </v>
      </c>
    </row>
    <row r="1053" spans="1:14">
      <c r="A1053" t="str">
        <f ca="1"/>
        <v>TRX1611</v>
      </c>
      <c r="B1053" t="str">
        <f ca="1"/>
        <v>-</v>
      </c>
      <c r="C1053">
        <f ca="1"/>
        <v>46060.417361111096</v>
      </c>
      <c r="D1053">
        <f ca="1"/>
        <v>704</v>
      </c>
      <c r="E1053" t="str">
        <f ca="1"/>
        <v>MXN</v>
      </c>
      <c r="F1053" t="str">
        <f ca="1"/>
        <v>Jose Luis Franco Vaquero</v>
      </c>
      <c r="G1053" t="str">
        <f ca="1"/>
        <v>REST RUPESTRE          MONTERREY NL  MEX</v>
      </c>
      <c r="H1053" t="str">
        <f ca="1"/>
        <v>Rest Rupestre Monterrey Nl Mex</v>
      </c>
      <c r="I1053" t="str">
        <f ca="1"/>
        <v>Sales</v>
      </c>
      <c r="J1053" t="str">
        <f ca="1"/>
        <v>PO 2196 alimentos</v>
      </c>
      <c r="K1053" t="str">
        <f ca="1"/>
        <v>TKT11</v>
      </c>
      <c r="L1053" t="str">
        <f ca="1">VLOOKUP(B1053,[1]Total!$B:$Q,16,0)</f>
        <v>603.81.006 Gastos Administativos de venta</v>
      </c>
      <c r="M1053">
        <f t="shared" ca="1" si="33"/>
        <v>704</v>
      </c>
      <c r="N1053" t="str">
        <f t="shared" ca="1" si="34"/>
        <v xml:space="preserve">Jose Luis Franco Vaquero REST RUPESTRE          MONTERREY NL  MEX Rest Rupestre Monterrey Nl Mex Sales PO 2196 alimentos TKT11 </v>
      </c>
    </row>
    <row r="1054" spans="1:14">
      <c r="A1054" t="str">
        <f ca="1"/>
        <v>TRX1707</v>
      </c>
      <c r="B1054" t="str">
        <f ca="1"/>
        <v>-</v>
      </c>
      <c r="C1054">
        <f ca="1"/>
        <v>46060.417361111096</v>
      </c>
      <c r="D1054">
        <f ca="1"/>
        <v>720</v>
      </c>
      <c r="E1054" t="str">
        <f ca="1"/>
        <v>MXN</v>
      </c>
      <c r="F1054" t="str">
        <f ca="1"/>
        <v>Jose Luis Franco Vaquero</v>
      </c>
      <c r="G1054" t="str">
        <f ca="1"/>
        <v>EL FELIGREZ            SALTILLO COAH MEX</v>
      </c>
      <c r="H1054" t="str">
        <f ca="1"/>
        <v>El Saltillo</v>
      </c>
      <c r="I1054" t="str">
        <f ca="1"/>
        <v>Sales</v>
      </c>
      <c r="J1054" t="str">
        <f ca="1"/>
        <v>PO 2196 alimentos</v>
      </c>
      <c r="K1054" t="str">
        <f ca="1"/>
        <v>014M72</v>
      </c>
      <c r="L1054" t="str">
        <f ca="1">VLOOKUP(B1054,[1]Total!$B:$Q,16,0)</f>
        <v>603.81.006 Gastos Administativos de venta</v>
      </c>
      <c r="M1054">
        <f t="shared" ca="1" si="33"/>
        <v>720</v>
      </c>
      <c r="N1054" t="str">
        <f t="shared" ca="1" si="34"/>
        <v xml:space="preserve">Jose Luis Franco Vaquero EL FELIGREZ            SALTILLO COAH MEX El Saltillo Sales PO 2196 alimentos 014M72 </v>
      </c>
    </row>
    <row r="1055" spans="1:14">
      <c r="A1055" t="str">
        <f ca="1"/>
        <v>TRX1741</v>
      </c>
      <c r="B1055" t="str">
        <f ca="1"/>
        <v>-</v>
      </c>
      <c r="C1055">
        <f ca="1"/>
        <v>46061.416666666599</v>
      </c>
      <c r="D1055">
        <f ca="1"/>
        <v>569.99</v>
      </c>
      <c r="E1055" t="str">
        <f ca="1"/>
        <v>MXN</v>
      </c>
      <c r="F1055" t="str">
        <f ca="1"/>
        <v>Jose Luis Franco Vaquero</v>
      </c>
      <c r="G1055" t="str">
        <f ca="1"/>
        <v>UBER * PENDING         CMX           MEX</v>
      </c>
      <c r="H1055" t="str">
        <f ca="1"/>
        <v>Uber</v>
      </c>
      <c r="I1055" t="str">
        <f ca="1"/>
        <v>Sales</v>
      </c>
      <c r="J1055" t="str">
        <f ca="1"/>
        <v>PO 2199 Cuota MTY</v>
      </c>
      <c r="K1055" t="str">
        <f ca="1"/>
        <v>2974045</v>
      </c>
      <c r="L1055" t="str">
        <f ca="1">VLOOKUP(B1055,[1]Total!$B:$Q,16,0)</f>
        <v>603.81.006 Gastos Administativos de venta</v>
      </c>
      <c r="M1055">
        <f t="shared" ca="1" si="33"/>
        <v>569.99</v>
      </c>
      <c r="N1055" t="str">
        <f t="shared" ca="1" si="34"/>
        <v xml:space="preserve">Jose Luis Franco Vaquero UBER * PENDING         CMX           MEX Uber Sales PO 2199 Cuota MTY 2974045 </v>
      </c>
    </row>
    <row r="1056" spans="1:14">
      <c r="A1056" t="str">
        <f ca="1"/>
        <v>TRX1981</v>
      </c>
      <c r="B1056" t="str">
        <f ca="1"/>
        <v>-</v>
      </c>
      <c r="C1056">
        <f ca="1"/>
        <v>46061.416666666599</v>
      </c>
      <c r="D1056">
        <f ca="1"/>
        <v>400</v>
      </c>
      <c r="E1056" t="str">
        <f ca="1"/>
        <v>MXN</v>
      </c>
      <c r="F1056" t="str">
        <f ca="1"/>
        <v>Jose Luis Franco Vaquero</v>
      </c>
      <c r="G1056" t="str">
        <f ca="1"/>
        <v>ACO MTY APTO TC CARLS  APODACA NL    MEX</v>
      </c>
      <c r="H1056" t="str">
        <f ca="1"/>
        <v>Aco Mty Apto Tc Carls Apodaca Nl Mex</v>
      </c>
      <c r="I1056" t="str">
        <f ca="1"/>
        <v>Sales</v>
      </c>
      <c r="J1056" t="str">
        <f ca="1"/>
        <v>PO 2196 alimentos</v>
      </c>
      <c r="K1056" t="str">
        <f ca="1"/>
        <v>T002635163</v>
      </c>
      <c r="L1056" t="str">
        <f ca="1">VLOOKUP(B1056,[1]Total!$B:$Q,16,0)</f>
        <v>603.81.006 Gastos Administativos de venta</v>
      </c>
      <c r="M1056">
        <f t="shared" ca="1" si="33"/>
        <v>400</v>
      </c>
      <c r="N1056" t="str">
        <f t="shared" ca="1" si="34"/>
        <v xml:space="preserve">Jose Luis Franco Vaquero ACO MTY APTO TC CARLS  APODACA NL    MEX Aco Mty Apto Tc Carls Apodaca Nl Mex Sales PO 2196 alimentos T002635163 </v>
      </c>
    </row>
    <row r="1057" spans="1:14">
      <c r="A1057" t="str">
        <f ca="1"/>
        <v>TRX1895</v>
      </c>
      <c r="B1057" t="str">
        <f ca="1"/>
        <v>-</v>
      </c>
      <c r="C1057">
        <f ca="1"/>
        <v>46061.416666666599</v>
      </c>
      <c r="D1057">
        <f ca="1"/>
        <v>1229.48</v>
      </c>
      <c r="E1057" t="str">
        <f ca="1"/>
        <v>MXN</v>
      </c>
      <c r="F1057" t="str">
        <f ca="1"/>
        <v>Jose Luis Franco Vaquero</v>
      </c>
      <c r="G1057" t="str">
        <f ca="1"/>
        <v>MERCADOPAGO *GASOLINA  Tlalnepantla  MEX</v>
      </c>
      <c r="H1057" t="str">
        <f ca="1"/>
        <v>Mercadopago</v>
      </c>
      <c r="I1057" t="str">
        <f ca="1"/>
        <v>Sales</v>
      </c>
      <c r="J1057" t="str">
        <f ca="1"/>
        <v>PO 2196 gasolina MTY</v>
      </c>
      <c r="K1057" t="str">
        <f ca="1"/>
        <v>144483953123</v>
      </c>
      <c r="L1057" t="str">
        <f ca="1">VLOOKUP(B1057,[1]Total!$B:$Q,16,0)</f>
        <v>603.81.006 Gastos Administativos de venta</v>
      </c>
      <c r="M1057">
        <f t="shared" ca="1" si="33"/>
        <v>1229.48</v>
      </c>
      <c r="N1057" t="str">
        <f t="shared" ca="1" si="34"/>
        <v xml:space="preserve">Jose Luis Franco Vaquero MERCADOPAGO *GASOLINA  Tlalnepantla  MEX Mercadopago Sales PO 2196 gasolina MTY 144483953123 </v>
      </c>
    </row>
    <row r="1058" spans="1:14">
      <c r="A1058" t="str">
        <f ca="1"/>
        <v>TRX1255</v>
      </c>
      <c r="B1058" t="str">
        <f ca="1"/>
        <v>-</v>
      </c>
      <c r="C1058">
        <f ca="1"/>
        <v>46061.417361111096</v>
      </c>
      <c r="D1058">
        <f ca="1"/>
        <v>61.2</v>
      </c>
      <c r="E1058" t="str">
        <f ca="1"/>
        <v>MXN</v>
      </c>
      <c r="F1058" t="str">
        <f ca="1"/>
        <v>Jose Luis Franco Vaquero</v>
      </c>
      <c r="G1058" t="str">
        <f ca="1"/>
        <v>REA AUTOPISTA GPE      CADEREYTA JIM MEX</v>
      </c>
      <c r="H1058" t="str">
        <f ca="1"/>
        <v>Rea Autopista Gpe Cadereyta Jim Mex</v>
      </c>
      <c r="I1058" t="str">
        <f ca="1"/>
        <v>Sales</v>
      </c>
      <c r="J1058" t="str">
        <f ca="1"/>
        <v>PO 2169 traslado aeropuerto</v>
      </c>
      <c r="K1058" t="str">
        <f ca="1"/>
        <v>J22BRC</v>
      </c>
      <c r="L1058" t="str">
        <f ca="1">VLOOKUP(B1058,[1]Total!$B:$Q,16,0)</f>
        <v>603.81.006 Gastos Administativos de venta</v>
      </c>
      <c r="M1058">
        <f t="shared" ca="1" si="33"/>
        <v>61.2</v>
      </c>
      <c r="N1058" t="str">
        <f t="shared" ca="1" si="34"/>
        <v xml:space="preserve">Jose Luis Franco Vaquero REA AUTOPISTA GPE      CADEREYTA JIM MEX Rea Autopista Gpe Cadereyta Jim Mex Sales PO 2169 traslado aeropuerto J22BRC </v>
      </c>
    </row>
    <row r="1059" spans="1:14">
      <c r="A1059" t="str">
        <f ca="1"/>
        <v>TRX1642</v>
      </c>
      <c r="B1059" t="str">
        <f ca="1"/>
        <v>-</v>
      </c>
      <c r="C1059">
        <f ca="1"/>
        <v>46063.416666666599</v>
      </c>
      <c r="D1059">
        <f ca="1"/>
        <v>469.99</v>
      </c>
      <c r="E1059" t="str">
        <f ca="1"/>
        <v>MXN</v>
      </c>
      <c r="F1059" t="str">
        <f ca="1"/>
        <v>Jose Luis Franco Vaquero</v>
      </c>
      <c r="G1059" t="str">
        <f ca="1"/>
        <v>UBER * PENDING         CMX           MEX</v>
      </c>
      <c r="H1059" t="str">
        <f ca="1"/>
        <v>Uber</v>
      </c>
      <c r="I1059" t="str">
        <f ca="1"/>
        <v>Sales</v>
      </c>
      <c r="J1059" t="str">
        <f ca="1"/>
        <v>PO 2169 traslado aeropuerto</v>
      </c>
      <c r="K1059" t="str">
        <f ca="1"/>
        <v>PCW519B</v>
      </c>
      <c r="L1059" t="str">
        <f ca="1">VLOOKUP(B1059,[1]Total!$B:$Q,16,0)</f>
        <v>603.81.006 Gastos Administativos de venta</v>
      </c>
      <c r="M1059">
        <f t="shared" ca="1" si="33"/>
        <v>469.99</v>
      </c>
      <c r="N1059" t="str">
        <f t="shared" ca="1" si="34"/>
        <v xml:space="preserve">Jose Luis Franco Vaquero UBER * PENDING         CMX           MEX Uber Sales PO 2169 traslado aeropuerto PCW519B </v>
      </c>
    </row>
    <row r="1060" spans="1:14">
      <c r="A1060" t="str">
        <f ca="1"/>
        <v>TRX1060</v>
      </c>
      <c r="B1060" t="str">
        <f ca="1"/>
        <v>-</v>
      </c>
      <c r="C1060">
        <f ca="1"/>
        <v>46064.416666666599</v>
      </c>
      <c r="D1060">
        <f ca="1"/>
        <v>392</v>
      </c>
      <c r="E1060" t="str">
        <f ca="1"/>
        <v>MXN</v>
      </c>
      <c r="F1060" t="str">
        <f ca="1"/>
        <v>Jose Luis Franco Vaquero</v>
      </c>
      <c r="G1060" t="str">
        <f ca="1"/>
        <v>COM RAP ACO MX AP T1 G CIUDAD DE MEX MEX</v>
      </c>
      <c r="H1060" t="str">
        <f ca="1"/>
        <v>Com Rap Aco Mx Ap T1 G Ciudad De Mex Mex</v>
      </c>
      <c r="I1060" t="str">
        <f ca="1"/>
        <v>Sales</v>
      </c>
      <c r="J1060" t="str">
        <f ca="1"/>
        <v>PO 2196 alimentos</v>
      </c>
      <c r="K1060" t="str">
        <f ca="1"/>
        <v>T001161607</v>
      </c>
      <c r="L1060" t="str">
        <f ca="1">VLOOKUP(B1060,[1]Total!$B:$Q,16,0)</f>
        <v>603.81.006 Gastos Administativos de venta</v>
      </c>
      <c r="M1060">
        <f t="shared" ca="1" si="33"/>
        <v>392</v>
      </c>
      <c r="N1060" t="str">
        <f t="shared" ca="1" si="34"/>
        <v xml:space="preserve">Jose Luis Franco Vaquero COM RAP ACO MX AP T1 G CIUDAD DE MEX MEX Com Rap Aco Mx Ap T1 G Ciudad De Mex Mex Sales PO 2196 alimentos T001161607 </v>
      </c>
    </row>
    <row r="1061" spans="1:14">
      <c r="A1061" t="str">
        <f ca="1"/>
        <v>TRX2018</v>
      </c>
      <c r="B1061" t="str">
        <f ca="1"/>
        <v>-</v>
      </c>
      <c r="C1061">
        <f ca="1"/>
        <v>46064.416666666599</v>
      </c>
      <c r="D1061">
        <f ca="1"/>
        <v>1012</v>
      </c>
      <c r="E1061" t="str">
        <f ca="1"/>
        <v>MXN</v>
      </c>
      <c r="F1061" t="str">
        <f ca="1"/>
        <v>Jose Luis Franco Vaquero</v>
      </c>
      <c r="G1061" t="str">
        <f ca="1"/>
        <v>BAIFO RESTAURANT       SALTILLO COAH MEX</v>
      </c>
      <c r="H1061" t="str">
        <f ca="1"/>
        <v>Baifo Restaurant Saltillo Coah Mex</v>
      </c>
      <c r="I1061" t="str">
        <f ca="1"/>
        <v>Sales</v>
      </c>
      <c r="J1061" t="str">
        <f ca="1"/>
        <v>PO 2196 Cuota MTY</v>
      </c>
      <c r="K1061" t="str">
        <f ca="1"/>
        <v>2447993</v>
      </c>
      <c r="L1061" t="str">
        <f ca="1">VLOOKUP(B1061,[1]Total!$B:$Q,16,0)</f>
        <v>603.81.006 Gastos Administativos de venta</v>
      </c>
      <c r="M1061">
        <f t="shared" ca="1" si="33"/>
        <v>1012</v>
      </c>
      <c r="N1061" t="str">
        <f t="shared" ca="1" si="34"/>
        <v xml:space="preserve">Jose Luis Franco Vaquero BAIFO RESTAURANT       SALTILLO COAH MEX Baifo Restaurant Saltillo Coah Mex Sales PO 2196 Cuota MTY 2447993 </v>
      </c>
    </row>
    <row r="1062" spans="1:14">
      <c r="A1062" t="str">
        <f ca="1"/>
        <v>TRX1740</v>
      </c>
      <c r="B1062" t="str">
        <f ca="1"/>
        <v>-</v>
      </c>
      <c r="C1062">
        <f ca="1"/>
        <v>46064.416666666599</v>
      </c>
      <c r="D1062">
        <f ca="1"/>
        <v>138</v>
      </c>
      <c r="E1062" t="str">
        <f ca="1"/>
        <v>MXN</v>
      </c>
      <c r="F1062" t="str">
        <f ca="1"/>
        <v>Jose Luis Franco Vaquero</v>
      </c>
      <c r="G1062" t="str">
        <f ca="1"/>
        <v>TH CARRANZA            SALTILLO COAH MEX</v>
      </c>
      <c r="H1062" t="str">
        <f ca="1"/>
        <v>Th Carranza Saltillo Coah Mex</v>
      </c>
      <c r="I1062" t="str">
        <f ca="1"/>
        <v>Sales</v>
      </c>
      <c r="J1062" t="str">
        <f ca="1"/>
        <v>PO 2196 Cuota MTY</v>
      </c>
      <c r="K1062">
        <f ca="1"/>
        <v>1485634</v>
      </c>
      <c r="L1062" t="str">
        <f ca="1">VLOOKUP(B1062,[1]Total!$B:$Q,16,0)</f>
        <v>603.81.006 Gastos Administativos de venta</v>
      </c>
      <c r="M1062">
        <f t="shared" ca="1" si="33"/>
        <v>138</v>
      </c>
      <c r="N1062" t="str">
        <f t="shared" ca="1" si="34"/>
        <v xml:space="preserve">Jose Luis Franco Vaquero TH CARRANZA            SALTILLO COAH MEX Th Carranza Saltillo Coah Mex Sales PO 2196 Cuota MTY 1485634 </v>
      </c>
    </row>
    <row r="1063" spans="1:14">
      <c r="A1063" t="str">
        <f ca="1"/>
        <v>TRX1322</v>
      </c>
      <c r="B1063" t="str">
        <f ca="1"/>
        <v>-</v>
      </c>
      <c r="C1063">
        <f ca="1"/>
        <v>46064.416666666599</v>
      </c>
      <c r="D1063">
        <f ca="1"/>
        <v>80.599999999999994</v>
      </c>
      <c r="E1063" t="str">
        <f ca="1"/>
        <v>MXN</v>
      </c>
      <c r="F1063" t="str">
        <f ca="1"/>
        <v>Jose Luis Franco Vaquero</v>
      </c>
      <c r="G1063" t="str">
        <f ca="1"/>
        <v>RED ESTATAL DE AUTOPIS APODACA NL    MEX</v>
      </c>
      <c r="H1063" t="str">
        <f ca="1"/>
        <v>Red Estatal De Autopis Apodaca Nl Mex</v>
      </c>
      <c r="I1063" t="str">
        <f ca="1"/>
        <v>Sales</v>
      </c>
      <c r="J1063" t="str">
        <f ca="1"/>
        <v>PO 2196 Cuota MTY</v>
      </c>
      <c r="K1063">
        <f ca="1"/>
        <v>1309493</v>
      </c>
      <c r="L1063" t="str">
        <f ca="1">VLOOKUP(B1063,[1]Total!$B:$Q,16,0)</f>
        <v>603.81.006 Gastos Administativos de venta</v>
      </c>
      <c r="M1063">
        <f t="shared" ca="1" si="33"/>
        <v>80.599999999999994</v>
      </c>
      <c r="N1063" t="str">
        <f t="shared" ca="1" si="34"/>
        <v xml:space="preserve">Jose Luis Franco Vaquero RED ESTATAL DE AUTOPIS APODACA NL    MEX Red Estatal De Autopis Apodaca Nl Mex Sales PO 2196 Cuota MTY 1309493 </v>
      </c>
    </row>
    <row r="1064" spans="1:14">
      <c r="A1064" t="str">
        <f ca="1"/>
        <v>TRX1357</v>
      </c>
      <c r="B1064" t="str">
        <f ca="1"/>
        <v>-</v>
      </c>
      <c r="C1064">
        <f ca="1"/>
        <v>46064.417361111096</v>
      </c>
      <c r="D1064">
        <f ca="1"/>
        <v>98</v>
      </c>
      <c r="E1064" t="str">
        <f ca="1"/>
        <v>MXN</v>
      </c>
      <c r="F1064" t="str">
        <f ca="1"/>
        <v>Jose Luis Franco Vaquero</v>
      </c>
      <c r="G1064" t="str">
        <f ca="1"/>
        <v>CONCESIONARIA AUT MTY  SANTA CATARIN MEX</v>
      </c>
      <c r="H1064" t="str">
        <f ca="1"/>
        <v>Concesionaria Aut Mty Santa Catarin Mex</v>
      </c>
      <c r="I1064" t="str">
        <f ca="1"/>
        <v>Sales</v>
      </c>
      <c r="J1064" t="str">
        <f ca="1"/>
        <v>PO 2196 alimentos</v>
      </c>
      <c r="K1064" t="str">
        <f ca="1"/>
        <v>2PDV1</v>
      </c>
      <c r="L1064" t="str">
        <f ca="1">VLOOKUP(B1064,[1]Total!$B:$Q,16,0)</f>
        <v>603.81.006 Gastos Administativos de venta</v>
      </c>
      <c r="M1064">
        <f t="shared" ca="1" si="33"/>
        <v>98</v>
      </c>
      <c r="N1064" t="str">
        <f t="shared" ca="1" si="34"/>
        <v xml:space="preserve">Jose Luis Franco Vaquero CONCESIONARIA AUT MTY  SANTA CATARIN MEX Concesionaria Aut Mty Santa Catarin Mex Sales PO 2196 alimentos 2PDV1 </v>
      </c>
    </row>
    <row r="1065" spans="1:14">
      <c r="A1065" t="str">
        <f ca="1"/>
        <v>TRX1862</v>
      </c>
      <c r="B1065" t="str">
        <f ca="1"/>
        <v>-</v>
      </c>
      <c r="C1065">
        <f ca="1"/>
        <v>46064.417361111096</v>
      </c>
      <c r="D1065">
        <f ca="1"/>
        <v>234.6</v>
      </c>
      <c r="E1065" t="str">
        <f ca="1"/>
        <v>MXN</v>
      </c>
      <c r="F1065" t="str">
        <f ca="1"/>
        <v>Jose Luis Franco Vaquero</v>
      </c>
      <c r="G1065" t="str">
        <f ca="1"/>
        <v>RED ESTATAL DE AUTOPIS GARCIA NL     MEX</v>
      </c>
      <c r="H1065" t="str">
        <f ca="1"/>
        <v>Red Estatal De Autopis Garcia Nl Mex</v>
      </c>
      <c r="I1065" t="str">
        <f ca="1"/>
        <v>Sales</v>
      </c>
      <c r="J1065" t="str">
        <f ca="1"/>
        <v>PO 2196 alimentos</v>
      </c>
      <c r="K1065" t="str">
        <f ca="1"/>
        <v>100194712</v>
      </c>
      <c r="L1065" t="str">
        <f ca="1">VLOOKUP(B1065,[1]Total!$B:$Q,16,0)</f>
        <v>603.81.006 Gastos Administativos de venta</v>
      </c>
      <c r="M1065">
        <f t="shared" ca="1" si="33"/>
        <v>234.6</v>
      </c>
      <c r="N1065" t="str">
        <f t="shared" ca="1" si="34"/>
        <v xml:space="preserve">Jose Luis Franco Vaquero RED ESTATAL DE AUTOPIS GARCIA NL     MEX Red Estatal De Autopis Garcia Nl Mex Sales PO 2196 alimentos 100194712 </v>
      </c>
    </row>
    <row r="1066" spans="1:14">
      <c r="A1066" t="str">
        <f ca="1"/>
        <v>TRX1851</v>
      </c>
      <c r="B1066" t="str">
        <f ca="1"/>
        <v>-</v>
      </c>
      <c r="C1066">
        <f ca="1"/>
        <v>46065.416666666599</v>
      </c>
      <c r="D1066">
        <f ca="1"/>
        <v>499.4</v>
      </c>
      <c r="E1066" t="str">
        <f ca="1"/>
        <v>MXN</v>
      </c>
      <c r="F1066" t="str">
        <f ca="1"/>
        <v>Jose Luis Franco Vaquero</v>
      </c>
      <c r="G1066" t="str">
        <f ca="1"/>
        <v>WP Kitchen             ROO           MEX</v>
      </c>
      <c r="H1066" t="str">
        <f ca="1"/>
        <v>Wp Kitchen Roo Mex</v>
      </c>
      <c r="I1066" t="str">
        <f ca="1"/>
        <v>Sales</v>
      </c>
      <c r="J1066" t="str">
        <f ca="1"/>
        <v>PO 2196 Cuota MTY</v>
      </c>
      <c r="K1066" t="str">
        <f ca="1"/>
        <v>02317650</v>
      </c>
      <c r="L1066" t="str">
        <f ca="1">VLOOKUP(B1066,[1]Total!$B:$Q,16,0)</f>
        <v>603.81.006 Gastos Administativos de venta</v>
      </c>
      <c r="M1066">
        <f t="shared" ca="1" si="33"/>
        <v>499.4</v>
      </c>
      <c r="N1066" t="str">
        <f t="shared" ca="1" si="34"/>
        <v xml:space="preserve">Jose Luis Franco Vaquero WP Kitchen             ROO           MEX Wp Kitchen Roo Mex Sales PO 2196 Cuota MTY 02317650 </v>
      </c>
    </row>
    <row r="1067" spans="1:14">
      <c r="A1067" t="str">
        <f ca="1"/>
        <v>TRX1436</v>
      </c>
      <c r="B1067" t="str">
        <f ca="1"/>
        <v>-</v>
      </c>
      <c r="C1067">
        <f ca="1"/>
        <v>46065.416666666599</v>
      </c>
      <c r="D1067">
        <f ca="1"/>
        <v>489.98</v>
      </c>
      <c r="E1067" t="str">
        <f ca="1"/>
        <v>MXN</v>
      </c>
      <c r="F1067" t="str">
        <f ca="1"/>
        <v>Jose Luis Franco Vaquero</v>
      </c>
      <c r="G1067" t="str">
        <f ca="1"/>
        <v>UBER * PENDING         CMX           MEX</v>
      </c>
      <c r="H1067" t="str">
        <f ca="1"/>
        <v>Uber</v>
      </c>
      <c r="I1067" t="str">
        <f ca="1"/>
        <v>Sales</v>
      </c>
      <c r="J1067" t="str">
        <f ca="1"/>
        <v>PO 2196 Cuota MTY</v>
      </c>
      <c r="K1067" t="str">
        <f ca="1"/>
        <v>2979220</v>
      </c>
      <c r="L1067" t="str">
        <f ca="1">VLOOKUP(B1067,[1]Total!$B:$Q,16,0)</f>
        <v>603.81.006 Gastos Administativos de venta</v>
      </c>
      <c r="M1067">
        <f t="shared" ca="1" si="33"/>
        <v>489.98</v>
      </c>
      <c r="N1067" t="str">
        <f t="shared" ca="1" si="34"/>
        <v xml:space="preserve">Jose Luis Franco Vaquero UBER * PENDING         CMX           MEX Uber Sales PO 2196 Cuota MTY 2979220 </v>
      </c>
    </row>
    <row r="1068" spans="1:14">
      <c r="A1068" t="str">
        <f ca="1"/>
        <v>TRX1839</v>
      </c>
      <c r="B1068" t="str">
        <f ca="1"/>
        <v>-</v>
      </c>
      <c r="C1068">
        <f ca="1"/>
        <v>46065.416666666599</v>
      </c>
      <c r="D1068">
        <f ca="1"/>
        <v>1038.7</v>
      </c>
      <c r="E1068" t="str">
        <f ca="1"/>
        <v>MXN</v>
      </c>
      <c r="F1068" t="str">
        <f ca="1"/>
        <v>Jose Luis Franco Vaquero</v>
      </c>
      <c r="G1068" t="str">
        <f ca="1"/>
        <v>MERCADOPAGO *GASOLINA  Tlalnepantla  MEX</v>
      </c>
      <c r="H1068" t="str">
        <f ca="1"/>
        <v>Mercadopago</v>
      </c>
      <c r="I1068" t="str">
        <f ca="1"/>
        <v>Sales</v>
      </c>
      <c r="J1068" t="str">
        <f ca="1"/>
        <v>PO 2196 Gasolina coahuila</v>
      </c>
      <c r="K1068" t="str">
        <f ca="1"/>
        <v>145010738679</v>
      </c>
      <c r="L1068" t="str">
        <f ca="1">VLOOKUP(B1068,[1]Total!$B:$Q,16,0)</f>
        <v>603.81.006 Gastos Administativos de venta</v>
      </c>
      <c r="M1068">
        <f t="shared" ca="1" si="33"/>
        <v>1038.7</v>
      </c>
      <c r="N1068" t="str">
        <f t="shared" ca="1" si="34"/>
        <v xml:space="preserve">Jose Luis Franco Vaquero MERCADOPAGO *GASOLINA  Tlalnepantla  MEX Mercadopago Sales PO 2196 Gasolina coahuila 145010738679 </v>
      </c>
    </row>
    <row r="1069" spans="1:14">
      <c r="A1069" t="str">
        <f ca="1"/>
        <v>TRX1878</v>
      </c>
      <c r="B1069" t="str">
        <f ca="1"/>
        <v>-</v>
      </c>
      <c r="C1069">
        <f ca="1"/>
        <v>46065.417361111096</v>
      </c>
      <c r="D1069">
        <f ca="1"/>
        <v>64.3</v>
      </c>
      <c r="E1069" t="str">
        <f ca="1"/>
        <v>MXN</v>
      </c>
      <c r="F1069" t="str">
        <f ca="1"/>
        <v>Jose Luis Franco Vaquero</v>
      </c>
      <c r="G1069" t="str">
        <f ca="1"/>
        <v>REA AUTOPISTA GPE      CADEREYTA JIM MEX</v>
      </c>
      <c r="H1069" t="str">
        <f ca="1"/>
        <v>Rea Autopista Gpe Cadereyta Jim Mex</v>
      </c>
      <c r="I1069" t="str">
        <f ca="1"/>
        <v>Sales</v>
      </c>
      <c r="J1069" t="str">
        <f ca="1"/>
        <v>PO 2196 alimentos</v>
      </c>
      <c r="K1069" t="str">
        <f ca="1"/>
        <v>39116</v>
      </c>
      <c r="L1069" t="str">
        <f ca="1">VLOOKUP(B1069,[1]Total!$B:$Q,16,0)</f>
        <v>603.81.006 Gastos Administativos de venta</v>
      </c>
      <c r="M1069">
        <f t="shared" ca="1" si="33"/>
        <v>64.3</v>
      </c>
      <c r="N1069" t="str">
        <f t="shared" ca="1" si="34"/>
        <v xml:space="preserve">Jose Luis Franco Vaquero REA AUTOPISTA GPE      CADEREYTA JIM MEX Rea Autopista Gpe Cadereyta Jim Mex Sales PO 2196 alimentos 39116 </v>
      </c>
    </row>
    <row r="1070" spans="1:14">
      <c r="A1070" t="str">
        <f ca="1"/>
        <v>TRX1590</v>
      </c>
      <c r="B1070" t="str">
        <f ca="1"/>
        <v>-</v>
      </c>
      <c r="C1070">
        <f ca="1"/>
        <v>46065.417361111096</v>
      </c>
      <c r="D1070">
        <f ca="1"/>
        <v>143</v>
      </c>
      <c r="E1070" t="str">
        <f ca="1"/>
        <v>MXN</v>
      </c>
      <c r="F1070" t="str">
        <f ca="1"/>
        <v>Jose Luis Franco Vaquero</v>
      </c>
      <c r="G1070" t="str">
        <f ca="1"/>
        <v>CONCESIONARIA AUT MTY  SANTA CATARIN MEX</v>
      </c>
      <c r="H1070" t="str">
        <f ca="1"/>
        <v>Concesionaria Aut Mty Santa Catarin Mex</v>
      </c>
      <c r="I1070" t="str">
        <f ca="1"/>
        <v>Sales</v>
      </c>
      <c r="J1070" t="str">
        <f ca="1"/>
        <v>PO 2196 alimentos</v>
      </c>
      <c r="K1070">
        <f ca="1"/>
        <v>219101252604112</v>
      </c>
      <c r="L1070" t="str">
        <f ca="1">VLOOKUP(B1070,[1]Total!$B:$Q,16,0)</f>
        <v>603.81.006 Gastos Administativos de venta</v>
      </c>
      <c r="M1070">
        <f t="shared" ca="1" si="33"/>
        <v>143</v>
      </c>
      <c r="N1070" t="str">
        <f t="shared" ca="1" si="34"/>
        <v xml:space="preserve">Jose Luis Franco Vaquero CONCESIONARIA AUT MTY  SANTA CATARIN MEX Concesionaria Aut Mty Santa Catarin Mex Sales PO 2196 alimentos 219101252604112 </v>
      </c>
    </row>
    <row r="1071" spans="1:14">
      <c r="A1071" t="str">
        <f ca="1"/>
        <v>TRX1305</v>
      </c>
      <c r="B1071" t="str">
        <f ca="1"/>
        <v>-</v>
      </c>
      <c r="C1071">
        <f ca="1"/>
        <v>46066.416666666599</v>
      </c>
      <c r="D1071">
        <f ca="1"/>
        <v>1377.87</v>
      </c>
      <c r="E1071" t="str">
        <f ca="1"/>
        <v>MXN</v>
      </c>
      <c r="F1071" t="str">
        <f ca="1"/>
        <v>Jose Luis Franco Vaquero</v>
      </c>
      <c r="G1071" t="str">
        <f ca="1"/>
        <v>MERCADOPAGO *GASOLINA  Tlalnepantla  MEX</v>
      </c>
      <c r="H1071" t="str">
        <f ca="1"/>
        <v>Mercadopago</v>
      </c>
      <c r="I1071" t="str">
        <f ca="1"/>
        <v>Sales</v>
      </c>
      <c r="J1071" t="str">
        <f ca="1"/>
        <v>PO 2169 traslado aeropuerto</v>
      </c>
      <c r="K1071" t="str">
        <f ca="1"/>
        <v>51F754</v>
      </c>
      <c r="L1071" t="str">
        <f ca="1">VLOOKUP(B1071,[1]Total!$B:$Q,16,0)</f>
        <v>603.81.006 Gastos Administativos de venta</v>
      </c>
      <c r="M1071">
        <f t="shared" ca="1" si="33"/>
        <v>1377.87</v>
      </c>
      <c r="N1071" t="str">
        <f t="shared" ca="1" si="34"/>
        <v xml:space="preserve">Jose Luis Franco Vaquero MERCADOPAGO *GASOLINA  Tlalnepantla  MEX Mercadopago Sales PO 2169 traslado aeropuerto 51F754 </v>
      </c>
    </row>
    <row r="1072" spans="1:14">
      <c r="A1072" t="str">
        <f ca="1"/>
        <v>TRX1270</v>
      </c>
      <c r="B1072" t="str">
        <f ca="1"/>
        <v>-</v>
      </c>
      <c r="C1072">
        <f ca="1"/>
        <v>46066.417361111096</v>
      </c>
      <c r="D1072">
        <f ca="1"/>
        <v>373</v>
      </c>
      <c r="E1072" t="str">
        <f ca="1"/>
        <v>MXN</v>
      </c>
      <c r="F1072" t="str">
        <f ca="1"/>
        <v>Jose Luis Franco Vaquero</v>
      </c>
      <c r="G1072" t="str">
        <f ca="1"/>
        <v>KFC 219 AEROPUERTO T1  CIUDAD DE MEX MEX</v>
      </c>
      <c r="H1072" t="str">
        <f ca="1"/>
        <v>Kentucky Fried Chicken</v>
      </c>
      <c r="I1072" t="str">
        <f ca="1"/>
        <v>Sales</v>
      </c>
      <c r="J1072" t="str">
        <f ca="1"/>
        <v>Gasolina CDMX</v>
      </c>
      <c r="K1072">
        <f ca="1"/>
        <v>145897368416</v>
      </c>
      <c r="L1072" t="str">
        <f ca="1">VLOOKUP(B1072,[1]Total!$B:$Q,16,0)</f>
        <v>603.81.006 Gastos Administativos de venta</v>
      </c>
      <c r="M1072">
        <f t="shared" ca="1" si="33"/>
        <v>373</v>
      </c>
      <c r="N1072" t="str">
        <f t="shared" ca="1" si="34"/>
        <v xml:space="preserve">Jose Luis Franco Vaquero KFC 219 AEROPUERTO T1  CIUDAD DE MEX MEX Kentucky Fried Chicken Sales Gasolina CDMX 145897368416 </v>
      </c>
    </row>
    <row r="1073" spans="1:14">
      <c r="A1073" t="str">
        <f ca="1"/>
        <v>TRX1891</v>
      </c>
      <c r="B1073" t="str">
        <f ca="1"/>
        <v>-</v>
      </c>
      <c r="C1073">
        <f ca="1"/>
        <v>46067.416666666599</v>
      </c>
      <c r="D1073">
        <f ca="1"/>
        <v>119.72</v>
      </c>
      <c r="E1073" t="str">
        <f ca="1"/>
        <v>MXN</v>
      </c>
      <c r="F1073" t="str">
        <f ca="1"/>
        <v>Jose Luis Franco Vaquero</v>
      </c>
      <c r="G1073" t="str">
        <f ca="1"/>
        <v>UBER *TRIP HELP.UBER.C CMX           MEX</v>
      </c>
      <c r="H1073" t="str">
        <f ca="1"/>
        <v>Uber</v>
      </c>
      <c r="I1073" t="str">
        <f ca="1"/>
        <v>Sales</v>
      </c>
      <c r="J1073" t="str">
        <f ca="1"/>
        <v>PO 2169 traslado aeropuerto</v>
      </c>
      <c r="K1073" t="str">
        <f ca="1"/>
        <v>141917881609</v>
      </c>
      <c r="L1073" t="str">
        <f ca="1">VLOOKUP(B1073,[1]Total!$B:$Q,16,0)</f>
        <v>603.81.006 Gastos Administativos de venta</v>
      </c>
      <c r="M1073">
        <f t="shared" ca="1" si="33"/>
        <v>119.72</v>
      </c>
      <c r="N1073" t="str">
        <f t="shared" ca="1" si="34"/>
        <v xml:space="preserve">Jose Luis Franco Vaquero UBER *TRIP HELP.UBER.C CMX           MEX Uber Sales PO 2169 traslado aeropuerto 141917881609 </v>
      </c>
    </row>
    <row r="1074" spans="1:14">
      <c r="A1074" t="str">
        <f ca="1"/>
        <v>TRX1023</v>
      </c>
      <c r="B1074" t="str">
        <f ca="1"/>
        <v>-</v>
      </c>
      <c r="C1074">
        <f ca="1"/>
        <v>46067.416666666599</v>
      </c>
      <c r="D1074">
        <f ca="1"/>
        <v>1000</v>
      </c>
      <c r="E1074" t="str">
        <f ca="1"/>
        <v>MXN</v>
      </c>
      <c r="F1074" t="str">
        <f ca="1"/>
        <v>Jose Luis Franco Vaquero</v>
      </c>
      <c r="G1074" t="str">
        <f ca="1"/>
        <v>MERCADOPAGO *TELEVIA   MIGUEL HIDALG MEX</v>
      </c>
      <c r="H1074" t="str">
        <f ca="1"/>
        <v>Mercadopago</v>
      </c>
      <c r="I1074" t="str">
        <f ca="1"/>
        <v>Sales</v>
      </c>
      <c r="J1074" t="str">
        <f ca="1"/>
        <v>TAG TELEVIA</v>
      </c>
      <c r="K1074" t="str">
        <f ca="1"/>
        <v>715777359</v>
      </c>
      <c r="L1074" t="str">
        <f ca="1">VLOOKUP(B1074,[1]Total!$B:$Q,16,0)</f>
        <v>603.81.006 Gastos Administativos de venta</v>
      </c>
      <c r="M1074">
        <f t="shared" ca="1" si="33"/>
        <v>1000</v>
      </c>
      <c r="N1074" t="str">
        <f t="shared" ca="1" si="34"/>
        <v xml:space="preserve">Jose Luis Franco Vaquero MERCADOPAGO *TELEVIA   MIGUEL HIDALG MEX Mercadopago Sales TAG TELEVIA 715777359 </v>
      </c>
    </row>
    <row r="1075" spans="1:14">
      <c r="A1075" t="str">
        <f ca="1"/>
        <v>TRX1847</v>
      </c>
      <c r="B1075" t="str">
        <f ca="1"/>
        <v>-</v>
      </c>
      <c r="C1075">
        <f ca="1"/>
        <v>46067.417361111096</v>
      </c>
      <c r="D1075">
        <f ca="1"/>
        <v>500</v>
      </c>
      <c r="E1075" t="str">
        <f ca="1"/>
        <v>MXN</v>
      </c>
      <c r="F1075" t="str">
        <f ca="1"/>
        <v>Jose Luis Franco Vaquero</v>
      </c>
      <c r="G1075" t="str">
        <f ca="1"/>
        <v>MEXPAGO*MUEVECIUDAD    CIUDAD DE MEX MEX</v>
      </c>
      <c r="H1075" t="str">
        <f ca="1"/>
        <v>Mexpago Mueveciudad Ciudad De Mex Mex</v>
      </c>
      <c r="I1075" t="str">
        <f ca="1"/>
        <v>Sales</v>
      </c>
      <c r="J1075" t="str">
        <f ca="1"/>
        <v>Parquimetro</v>
      </c>
      <c r="K1075" t="str">
        <f ca="1"/>
        <v>933600</v>
      </c>
      <c r="L1075" t="str">
        <f ca="1">VLOOKUP(B1075,[1]Total!$B:$Q,16,0)</f>
        <v>603.81.006 Gastos Administativos de venta</v>
      </c>
      <c r="M1075">
        <f t="shared" ca="1" si="33"/>
        <v>500</v>
      </c>
      <c r="N1075" t="str">
        <f t="shared" ca="1" si="34"/>
        <v xml:space="preserve">Jose Luis Franco Vaquero MEXPAGO*MUEVECIUDAD    CIUDAD DE MEX MEX Mexpago Mueveciudad Ciudad De Mex Mex Sales Parquimetro 933600 </v>
      </c>
    </row>
    <row r="1076" spans="1:14">
      <c r="A1076" t="str">
        <f ca="1"/>
        <v>TRX1072</v>
      </c>
      <c r="B1076" t="str">
        <f ca="1"/>
        <v>-</v>
      </c>
      <c r="C1076">
        <f ca="1"/>
        <v>46071.416666666599</v>
      </c>
      <c r="D1076">
        <f ca="1"/>
        <v>559.97</v>
      </c>
      <c r="E1076" t="str">
        <f ca="1"/>
        <v>MXN</v>
      </c>
      <c r="F1076" t="str">
        <f ca="1"/>
        <v>Jose Luis Franco Vaquero</v>
      </c>
      <c r="G1076" t="str">
        <f ca="1"/>
        <v>UBER *TRIP HELP.UBER.C CMX           MEX</v>
      </c>
      <c r="H1076" t="str">
        <f ca="1"/>
        <v>Uber</v>
      </c>
      <c r="I1076" t="str">
        <f ca="1"/>
        <v>Sales</v>
      </c>
      <c r="J1076" t="str">
        <f ca="1"/>
        <v>PO 2169 traslado aeropuerto</v>
      </c>
      <c r="K1076" t="str">
        <f ca="1"/>
        <v>016600</v>
      </c>
      <c r="L1076" t="str">
        <f ca="1">VLOOKUP(B1076,[1]Total!$B:$Q,16,0)</f>
        <v>603.81.006 Gastos Administativos de venta</v>
      </c>
      <c r="M1076">
        <f t="shared" ca="1" si="33"/>
        <v>559.97</v>
      </c>
      <c r="N1076" t="str">
        <f t="shared" ca="1" si="34"/>
        <v xml:space="preserve">Jose Luis Franco Vaquero UBER *TRIP HELP.UBER.C CMX           MEX Uber Sales PO 2169 traslado aeropuerto 016600 </v>
      </c>
    </row>
    <row r="1077" spans="1:14">
      <c r="A1077" t="str">
        <f ca="1"/>
        <v>TRX1128</v>
      </c>
      <c r="B1077" t="str">
        <f ca="1"/>
        <v>-</v>
      </c>
      <c r="C1077">
        <f ca="1"/>
        <v>46073.416666666599</v>
      </c>
      <c r="D1077">
        <f ca="1"/>
        <v>1377.87</v>
      </c>
      <c r="E1077" t="str">
        <f ca="1"/>
        <v>MXN</v>
      </c>
      <c r="F1077" t="str">
        <f ca="1"/>
        <v>Jose Luis Franco Vaquero</v>
      </c>
      <c r="G1077" t="str">
        <f ca="1"/>
        <v>MERCADOPAGO *GASOLINA  Tlalnepantla  MEX</v>
      </c>
      <c r="H1077" t="str">
        <f ca="1"/>
        <v>Mercadopago</v>
      </c>
      <c r="I1077" t="str">
        <f ca="1"/>
        <v>Sales</v>
      </c>
      <c r="J1077" t="str">
        <f ca="1"/>
        <v>Estacionamiento</v>
      </c>
      <c r="K1077" t="str">
        <f ca="1"/>
        <v>18022026</v>
      </c>
      <c r="L1077" t="str">
        <f ca="1">VLOOKUP(B1077,[1]Total!$B:$Q,16,0)</f>
        <v>603.81.006 Gastos Administativos de venta</v>
      </c>
      <c r="M1077">
        <f t="shared" ca="1" si="33"/>
        <v>1377.87</v>
      </c>
      <c r="N1077" t="str">
        <f t="shared" ca="1" si="34"/>
        <v xml:space="preserve">Jose Luis Franco Vaquero MERCADOPAGO *GASOLINA  Tlalnepantla  MEX Mercadopago Sales Estacionamiento 18022026 </v>
      </c>
    </row>
    <row r="1078" spans="1:14">
      <c r="A1078" t="str">
        <f ca="1"/>
        <v>TRX1825</v>
      </c>
      <c r="B1078" t="str">
        <f ca="1"/>
        <v>-</v>
      </c>
      <c r="C1078">
        <f ca="1"/>
        <v>46073.416666666599</v>
      </c>
      <c r="D1078">
        <f ca="1"/>
        <v>42</v>
      </c>
      <c r="E1078" t="str">
        <f ca="1"/>
        <v>MXN</v>
      </c>
      <c r="F1078" t="str">
        <f ca="1"/>
        <v>Jose Luis Franco Vaquero</v>
      </c>
      <c r="G1078" t="str">
        <f ca="1"/>
        <v>PARCO                  ZAPOPAN JAL   MEX</v>
      </c>
      <c r="H1078" t="str">
        <f ca="1"/>
        <v>Parco Zapopan Jal Mex</v>
      </c>
      <c r="I1078" t="str">
        <f ca="1"/>
        <v>Sales</v>
      </c>
      <c r="J1078" t="str">
        <f ca="1"/>
        <v>Gasolina CDMX</v>
      </c>
      <c r="K1078" t="str">
        <f ca="1"/>
        <v>141462325075</v>
      </c>
      <c r="L1078" t="str">
        <f ca="1">VLOOKUP(B1078,[1]Total!$B:$Q,16,0)</f>
        <v>603.81.006 Gastos Administativos de venta</v>
      </c>
      <c r="M1078">
        <f t="shared" ca="1" si="33"/>
        <v>42</v>
      </c>
      <c r="N1078" t="str">
        <f t="shared" ca="1" si="34"/>
        <v xml:space="preserve">Jose Luis Franco Vaquero PARCO                  ZAPOPAN JAL   MEX Parco Zapopan Jal Mex Sales Gasolina CDMX 141462325075 </v>
      </c>
    </row>
    <row r="1079" spans="1:14">
      <c r="A1079" t="str">
        <f ca="1"/>
        <v>TRX1049</v>
      </c>
      <c r="B1079" t="str">
        <f ca="1"/>
        <v>-</v>
      </c>
      <c r="C1079">
        <f ca="1"/>
        <v>46075.416666666599</v>
      </c>
      <c r="D1079">
        <f ca="1"/>
        <v>160.54</v>
      </c>
      <c r="E1079" t="str">
        <f ca="1"/>
        <v>MXN</v>
      </c>
      <c r="F1079" t="str">
        <f ca="1"/>
        <v>Jose Luis Franco Vaquero</v>
      </c>
      <c r="G1079" t="str">
        <f ca="1"/>
        <v>UBER *TRIP HELP.UBER.C CMX           MEX</v>
      </c>
      <c r="H1079" t="str">
        <f ca="1"/>
        <v>Uber</v>
      </c>
      <c r="I1079" t="str">
        <f ca="1"/>
        <v>Sales</v>
      </c>
      <c r="J1079" t="str">
        <f ca="1"/>
        <v>Botas de seguridad</v>
      </c>
      <c r="K1079" t="str">
        <f ca="1"/>
        <v>144011475176</v>
      </c>
      <c r="L1079" t="str">
        <f ca="1">VLOOKUP(B1079,[1]Total!$B:$Q,16,0)</f>
        <v>603.81.006 Gastos Administativos de venta</v>
      </c>
      <c r="M1079">
        <f t="shared" ca="1" si="33"/>
        <v>160.54</v>
      </c>
      <c r="N1079" t="str">
        <f t="shared" ca="1" si="34"/>
        <v xml:space="preserve">Jose Luis Franco Vaquero UBER *TRIP HELP.UBER.C CMX           MEX Uber Sales Botas de seguridad 144011475176 </v>
      </c>
    </row>
    <row r="1080" spans="1:14">
      <c r="A1080" t="str">
        <f ca="1"/>
        <v>TRX1107</v>
      </c>
      <c r="B1080" t="str">
        <f ca="1"/>
        <v>-</v>
      </c>
      <c r="C1080">
        <f ca="1"/>
        <v>46077.416666666599</v>
      </c>
      <c r="D1080">
        <f ca="1"/>
        <v>439.97</v>
      </c>
      <c r="E1080" t="str">
        <f ca="1"/>
        <v>MXN</v>
      </c>
      <c r="F1080" t="str">
        <f ca="1"/>
        <v>Jose Luis Franco Vaquero</v>
      </c>
      <c r="G1080" t="str">
        <f ca="1"/>
        <v>UBER * PENDING         CMX           MEX</v>
      </c>
      <c r="H1080" t="str">
        <f ca="1"/>
        <v>Uber</v>
      </c>
      <c r="I1080" t="str">
        <f ca="1"/>
        <v>Sales</v>
      </c>
      <c r="J1080" t="str">
        <f ca="1"/>
        <v>traslado</v>
      </c>
      <c r="K1080" t="str">
        <f ca="1"/>
        <v>W98BRN</v>
      </c>
      <c r="L1080" t="str">
        <f ca="1">VLOOKUP(B1080,[1]Total!$B:$Q,16,0)</f>
        <v>603.81.006 Gastos Administativos de venta</v>
      </c>
      <c r="M1080">
        <f t="shared" ca="1" si="33"/>
        <v>439.97</v>
      </c>
      <c r="N1080" t="str">
        <f t="shared" ca="1" si="34"/>
        <v xml:space="preserve">Jose Luis Franco Vaquero UBER * PENDING         CMX           MEX Uber Sales traslado W98BRN </v>
      </c>
    </row>
    <row r="1081" spans="1:14">
      <c r="A1081" t="str">
        <f ca="1"/>
        <v>TRX1122</v>
      </c>
      <c r="B1081" t="str">
        <f ca="1"/>
        <v>-</v>
      </c>
      <c r="C1081">
        <f ca="1"/>
        <v>46077.416666666599</v>
      </c>
      <c r="D1081">
        <f ca="1"/>
        <v>165</v>
      </c>
      <c r="E1081" t="str">
        <f ca="1"/>
        <v>MXN</v>
      </c>
      <c r="F1081" t="str">
        <f ca="1"/>
        <v>Jose Luis Franco Vaquero</v>
      </c>
      <c r="G1081" t="str">
        <f ca="1"/>
        <v>THE GATE I             CIUDAD DE MEX MEX</v>
      </c>
      <c r="H1081" t="str">
        <f ca="1"/>
        <v>The Gate I Ciudad De Mex Mex</v>
      </c>
      <c r="I1081" t="str">
        <f ca="1"/>
        <v>Sales</v>
      </c>
      <c r="J1081" t="str">
        <f ca="1"/>
        <v>PO 2196 alimentos</v>
      </c>
      <c r="K1081" t="str">
        <f ca="1"/>
        <v>207847ERJ4GRDA</v>
      </c>
      <c r="L1081" t="str">
        <f ca="1">VLOOKUP(B1081,[1]Total!$B:$Q,16,0)</f>
        <v>603.81.006 Gastos Administativos de venta</v>
      </c>
      <c r="M1081">
        <f t="shared" ca="1" si="33"/>
        <v>165</v>
      </c>
      <c r="N1081" t="str">
        <f t="shared" ca="1" si="34"/>
        <v xml:space="preserve">Jose Luis Franco Vaquero THE GATE I             CIUDAD DE MEX MEX The Gate I Ciudad De Mex Mex Sales PO 2196 alimentos 207847ERJ4GRDA </v>
      </c>
    </row>
    <row r="1082" spans="1:14">
      <c r="A1082" t="str">
        <f ca="1"/>
        <v>TRX1136</v>
      </c>
      <c r="B1082" t="str">
        <f ca="1"/>
        <v>-</v>
      </c>
      <c r="C1082">
        <f ca="1"/>
        <v>46078.416666666599</v>
      </c>
      <c r="D1082">
        <f ca="1"/>
        <v>339</v>
      </c>
      <c r="E1082" t="str">
        <f ca="1"/>
        <v>MXN</v>
      </c>
      <c r="F1082" t="str">
        <f ca="1"/>
        <v>Jose Luis Franco Vaquero</v>
      </c>
      <c r="G1082" t="str">
        <f ca="1"/>
        <v>STARBUCKS MAGMA TOWERS NLE           MEX</v>
      </c>
      <c r="H1082" t="str">
        <f ca="1"/>
        <v>Starbucks</v>
      </c>
      <c r="I1082" t="str">
        <f ca="1"/>
        <v>Sales</v>
      </c>
      <c r="J1082" t="str">
        <f ca="1"/>
        <v>PO 2196 alimentos</v>
      </c>
      <c r="K1082" t="str">
        <f ca="1"/>
        <v>304571</v>
      </c>
      <c r="L1082" t="str">
        <f ca="1">VLOOKUP(B1082,[1]Total!$B:$Q,16,0)</f>
        <v>603.81.006 Gastos Administativos de venta</v>
      </c>
      <c r="M1082">
        <f t="shared" ca="1" si="33"/>
        <v>339</v>
      </c>
      <c r="N1082" t="str">
        <f t="shared" ca="1" si="34"/>
        <v xml:space="preserve">Jose Luis Franco Vaquero STARBUCKS MAGMA TOWERS NLE           MEX Starbucks Sales PO 2196 alimentos 304571 </v>
      </c>
    </row>
    <row r="1083" spans="1:14">
      <c r="A1083" t="str">
        <f ca="1"/>
        <v>TRX1147</v>
      </c>
      <c r="B1083" t="str">
        <f ca="1"/>
        <v>-</v>
      </c>
      <c r="C1083">
        <f ca="1"/>
        <v>46078.416666666599</v>
      </c>
      <c r="D1083">
        <f ca="1"/>
        <v>779.4</v>
      </c>
      <c r="E1083" t="str">
        <f ca="1"/>
        <v>MXN</v>
      </c>
      <c r="F1083" t="str">
        <f ca="1"/>
        <v>Jose Luis Franco Vaquero</v>
      </c>
      <c r="G1083" t="str">
        <f ca="1"/>
        <v>OFFICE DEPOT VASCONCE  SAN PEDRO GAR MEX</v>
      </c>
      <c r="H1083" t="str">
        <f ca="1"/>
        <v>Office Depot</v>
      </c>
      <c r="I1083" t="str">
        <f ca="1"/>
        <v>Sales</v>
      </c>
      <c r="J1083" t="str">
        <f ca="1"/>
        <v>mochila laptop</v>
      </c>
      <c r="K1083" t="str">
        <f ca="1"/>
        <v>202602230030</v>
      </c>
      <c r="L1083" t="str">
        <f ca="1">VLOOKUP(B1083,[1]Total!$B:$Q,16,0)</f>
        <v>603.81.006 Gastos Administativos de venta</v>
      </c>
      <c r="M1083">
        <f t="shared" ca="1" si="33"/>
        <v>779.4</v>
      </c>
      <c r="N1083" t="str">
        <f t="shared" ca="1" si="34"/>
        <v xml:space="preserve">Jose Luis Franco Vaquero OFFICE DEPOT VASCONCE  SAN PEDRO GAR MEX Office Depot Sales mochila laptop 202602230030 </v>
      </c>
    </row>
    <row r="1084" spans="1:14">
      <c r="A1084" t="str">
        <f ca="1"/>
        <v>TRX1164</v>
      </c>
      <c r="B1084" t="str">
        <f ca="1"/>
        <v>-</v>
      </c>
      <c r="C1084">
        <f ca="1"/>
        <v>46078.417361111096</v>
      </c>
      <c r="D1084">
        <f ca="1"/>
        <v>451</v>
      </c>
      <c r="E1084" t="str">
        <f ca="1"/>
        <v>MXN</v>
      </c>
      <c r="F1084" t="str">
        <f ca="1"/>
        <v>Jose Luis Franco Vaquero</v>
      </c>
      <c r="G1084" t="str">
        <f ca="1"/>
        <v>SIGNATURE ROOM         SN PEDRO GARZ MEX</v>
      </c>
      <c r="H1084" t="str">
        <f ca="1"/>
        <v>Signature Room Sn Pedro Garz Mex</v>
      </c>
      <c r="I1084" t="str">
        <f ca="1"/>
        <v>Sales</v>
      </c>
      <c r="J1084" t="str">
        <f ca="1"/>
        <v>PO 2196 alimentos</v>
      </c>
      <c r="K1084" t="str">
        <f ca="1"/>
        <v>906148</v>
      </c>
      <c r="L1084" t="str">
        <f ca="1">VLOOKUP(B1084,[1]Total!$B:$Q,16,0)</f>
        <v>603.81.006 Gastos Administativos de venta</v>
      </c>
      <c r="M1084">
        <f t="shared" ca="1" si="33"/>
        <v>451</v>
      </c>
      <c r="N1084" t="str">
        <f t="shared" ca="1" si="34"/>
        <v xml:space="preserve">Jose Luis Franco Vaquero SIGNATURE ROOM         SN PEDRO GARZ MEX Signature Room Sn Pedro Garz Mex Sales PO 2196 alimentos 906148 </v>
      </c>
    </row>
    <row r="1085" spans="1:14">
      <c r="A1085" t="str">
        <f ca="1"/>
        <v>TRX1166</v>
      </c>
      <c r="B1085" t="str">
        <f ca="1"/>
        <v>-</v>
      </c>
      <c r="C1085">
        <f ca="1"/>
        <v>46078.417361111096</v>
      </c>
      <c r="D1085">
        <f ca="1"/>
        <v>461.03</v>
      </c>
      <c r="E1085" t="str">
        <f ca="1"/>
        <v>MXN</v>
      </c>
      <c r="F1085" t="str">
        <f ca="1"/>
        <v>Jose Luis Franco Vaquero</v>
      </c>
      <c r="G1085" t="str">
        <f ca="1"/>
        <v>FIBRA HOTELERA         SAN PEDRO GAR MEX</v>
      </c>
      <c r="H1085" t="str">
        <f ca="1"/>
        <v>Fibra Hotelera San Pedro Gar Mex</v>
      </c>
      <c r="I1085" t="str">
        <f ca="1"/>
        <v>Sales</v>
      </c>
      <c r="J1085" t="str">
        <f ca="1"/>
        <v>PO 2196 alimentos</v>
      </c>
      <c r="K1085" t="str">
        <f ca="1"/>
        <v>272601725</v>
      </c>
      <c r="L1085" t="str">
        <f ca="1">VLOOKUP(B1085,[1]Total!$B:$Q,16,0)</f>
        <v>603.81.006 Gastos Administativos de venta</v>
      </c>
      <c r="M1085">
        <f t="shared" ca="1" si="33"/>
        <v>461.03</v>
      </c>
      <c r="N1085" t="str">
        <f t="shared" ca="1" si="34"/>
        <v xml:space="preserve">Jose Luis Franco Vaquero FIBRA HOTELERA         SAN PEDRO GAR MEX Fibra Hotelera San Pedro Gar Mex Sales PO 2196 alimentos 272601725 </v>
      </c>
    </row>
    <row r="1086" spans="1:14">
      <c r="A1086" t="str">
        <f ca="1"/>
        <v>TRX1168</v>
      </c>
      <c r="B1086" t="str">
        <f ca="1"/>
        <v>-</v>
      </c>
      <c r="C1086">
        <f ca="1"/>
        <v>46078.417361111096</v>
      </c>
      <c r="D1086">
        <f ca="1"/>
        <v>380</v>
      </c>
      <c r="E1086" t="str">
        <f ca="1"/>
        <v>MXN</v>
      </c>
      <c r="F1086" t="str">
        <f ca="1"/>
        <v>Jose Luis Franco Vaquero</v>
      </c>
      <c r="G1086" t="str">
        <f ca="1"/>
        <v>FIBRA HOTELERA         SAN PEDRO GAR MEX</v>
      </c>
      <c r="H1086" t="str">
        <f ca="1"/>
        <v>Fibra Hotelera San Pedro Gar Mex</v>
      </c>
      <c r="I1086" t="str">
        <f ca="1"/>
        <v>Sales</v>
      </c>
      <c r="J1086" t="str">
        <f ca="1"/>
        <v>PO 2196 alimentos</v>
      </c>
      <c r="K1086" t="str">
        <f ca="1"/>
        <v>PDV1</v>
      </c>
      <c r="L1086" t="str">
        <f ca="1">VLOOKUP(B1086,[1]Total!$B:$Q,16,0)</f>
        <v>603.81.006 Gastos Administativos de venta</v>
      </c>
      <c r="M1086">
        <f t="shared" ca="1" si="33"/>
        <v>380</v>
      </c>
      <c r="N1086" t="str">
        <f t="shared" ca="1" si="34"/>
        <v xml:space="preserve">Jose Luis Franco Vaquero FIBRA HOTELERA         SAN PEDRO GAR MEX Fibra Hotelera San Pedro Gar Mex Sales PO 2196 alimentos PDV1 </v>
      </c>
    </row>
    <row r="1087" spans="1:14">
      <c r="A1087" t="str">
        <f ca="1"/>
        <v>TRX1185</v>
      </c>
      <c r="B1087" t="str">
        <f ca="1"/>
        <v>-</v>
      </c>
      <c r="C1087">
        <f ca="1"/>
        <v>46079.416666666599</v>
      </c>
      <c r="D1087">
        <f ca="1"/>
        <v>635.94000000000005</v>
      </c>
      <c r="E1087" t="str">
        <f ca="1"/>
        <v>MXN</v>
      </c>
      <c r="F1087" t="str">
        <f ca="1"/>
        <v>Jose Luis Franco Vaquero</v>
      </c>
      <c r="G1087" t="str">
        <f ca="1"/>
        <v>MERCADOPAGO *PROPINAS  Tlalnepantla  MEX</v>
      </c>
      <c r="H1087" t="str">
        <f ca="1"/>
        <v>Mercadopago</v>
      </c>
      <c r="I1087" t="str">
        <f ca="1"/>
        <v>Sales</v>
      </c>
      <c r="J1087" t="str">
        <f ca="1"/>
        <v>PO 2196 alimentos</v>
      </c>
      <c r="K1087" t="str">
        <f ca="1"/>
        <v>28274</v>
      </c>
      <c r="L1087" t="str">
        <f ca="1">VLOOKUP(B1087,[1]Total!$B:$Q,16,0)</f>
        <v>603.81.006 Gastos Administativos de venta</v>
      </c>
      <c r="M1087">
        <f t="shared" ca="1" si="33"/>
        <v>635.94000000000005</v>
      </c>
      <c r="N1087" t="str">
        <f t="shared" ca="1" si="34"/>
        <v xml:space="preserve">Jose Luis Franco Vaquero MERCADOPAGO *PROPINAS  Tlalnepantla  MEX Mercadopago Sales PO 2196 alimentos 28274 </v>
      </c>
    </row>
    <row r="1088" spans="1:14">
      <c r="A1088" t="str">
        <f ca="1"/>
        <v>TRX1186</v>
      </c>
      <c r="B1088" t="str">
        <f ca="1"/>
        <v>-</v>
      </c>
      <c r="C1088">
        <f ca="1"/>
        <v>46079.416666666599</v>
      </c>
      <c r="D1088">
        <f ca="1"/>
        <v>794.93</v>
      </c>
      <c r="E1088" t="str">
        <f ca="1"/>
        <v>MXN</v>
      </c>
      <c r="F1088" t="str">
        <f ca="1"/>
        <v>Jose Luis Franco Vaquero</v>
      </c>
      <c r="G1088" t="str">
        <f ca="1"/>
        <v>MERCADOPAGO *GASOLINA  Tlalnepantla  MEX</v>
      </c>
      <c r="H1088" t="str">
        <f ca="1"/>
        <v>Mercadopago</v>
      </c>
      <c r="I1088" t="str">
        <f ca="1"/>
        <v>Sales</v>
      </c>
      <c r="J1088" t="str">
        <f ca="1"/>
        <v>PO 2196 alimentos</v>
      </c>
      <c r="K1088" t="str">
        <f ca="1"/>
        <v>26MTYTAVP250000031</v>
      </c>
      <c r="L1088" t="str">
        <f ca="1">VLOOKUP(B1088,[1]Total!$B:$Q,16,0)</f>
        <v>603.81.006 Gastos Administativos de venta</v>
      </c>
      <c r="M1088">
        <f t="shared" ca="1" si="33"/>
        <v>794.93</v>
      </c>
      <c r="N1088" t="str">
        <f t="shared" ca="1" si="34"/>
        <v xml:space="preserve">Jose Luis Franco Vaquero MERCADOPAGO *GASOLINA  Tlalnepantla  MEX Mercadopago Sales PO 2196 alimentos 26MTYTAVP250000031 </v>
      </c>
    </row>
    <row r="1089" spans="1:14">
      <c r="A1089" t="str">
        <f ca="1"/>
        <v>TRX1196</v>
      </c>
      <c r="B1089" t="str">
        <f ca="1"/>
        <v>-</v>
      </c>
      <c r="C1089">
        <f ca="1"/>
        <v>46079.416666666599</v>
      </c>
      <c r="D1089">
        <f ca="1"/>
        <v>419.99</v>
      </c>
      <c r="E1089" t="str">
        <f ca="1"/>
        <v>MXN</v>
      </c>
      <c r="F1089" t="str">
        <f ca="1"/>
        <v>Jose Luis Franco Vaquero</v>
      </c>
      <c r="G1089" t="str">
        <f ca="1"/>
        <v>DLO*Uber               CDMX          MEX</v>
      </c>
      <c r="H1089" t="str">
        <f ca="1"/>
        <v>Uber</v>
      </c>
      <c r="I1089" t="str">
        <f ca="1"/>
        <v>Sales</v>
      </c>
      <c r="J1089" t="str">
        <f ca="1"/>
        <v>PO 2196 alimentos gasolina MTY</v>
      </c>
      <c r="K1089" t="str">
        <f ca="1"/>
        <v>1476099465396</v>
      </c>
      <c r="L1089" t="str">
        <f ca="1">VLOOKUP(B1089,[1]Total!$B:$Q,16,0)</f>
        <v>603.81.006 Gastos Administativos de venta</v>
      </c>
      <c r="M1089">
        <f t="shared" ca="1" si="33"/>
        <v>419.99</v>
      </c>
      <c r="N1089" t="str">
        <f t="shared" ca="1" si="34"/>
        <v xml:space="preserve">Jose Luis Franco Vaquero DLO*Uber               CDMX          MEX Uber Sales PO 2196 alimentos gasolina MTY 1476099465396 </v>
      </c>
    </row>
    <row r="1090" spans="1:14">
      <c r="A1090" t="str">
        <f ca="1"/>
        <v>TRX1197</v>
      </c>
      <c r="B1090" t="str">
        <f ca="1"/>
        <v>-</v>
      </c>
      <c r="C1090">
        <f ca="1"/>
        <v>46079.416666666599</v>
      </c>
      <c r="D1090">
        <f ca="1"/>
        <v>499</v>
      </c>
      <c r="E1090" t="str">
        <f ca="1"/>
        <v>MXN</v>
      </c>
      <c r="F1090" t="str">
        <f ca="1"/>
        <v>Jose Luis Franco Vaquero</v>
      </c>
      <c r="G1090" t="str">
        <f ca="1"/>
        <v>OMA MTY PREPAGO VC     APODACA NL    MEX</v>
      </c>
      <c r="H1090" t="str">
        <f ca="1"/>
        <v>Oma Mty Prepago Vc Apodaca Nl Mex</v>
      </c>
      <c r="I1090" t="str">
        <f ca="1"/>
        <v>Sales</v>
      </c>
      <c r="J1090" t="str">
        <f ca="1"/>
        <v>PO 2169 peaje, estacionamiento y propinas MTY</v>
      </c>
      <c r="K1090" t="str">
        <f ca="1"/>
        <v>147609449548</v>
      </c>
      <c r="L1090" t="str">
        <f ca="1">VLOOKUP(B1090,[1]Total!$B:$Q,16,0)</f>
        <v>603.81.006 Gastos Administativos de venta</v>
      </c>
      <c r="M1090">
        <f t="shared" ca="1" si="33"/>
        <v>499</v>
      </c>
      <c r="N1090" t="str">
        <f t="shared" ca="1" si="34"/>
        <v xml:space="preserve">Jose Luis Franco Vaquero OMA MTY PREPAGO VC     APODACA NL    MEX Oma Mty Prepago Vc Apodaca Nl Mex Sales PO 2169 peaje, estacionamiento y propinas MTY 147609449548 </v>
      </c>
    </row>
    <row r="1091" spans="1:14">
      <c r="A1091" t="str">
        <f ca="1"/>
        <v>TRX1211</v>
      </c>
      <c r="B1091" t="str">
        <f ca="1"/>
        <v>-</v>
      </c>
      <c r="C1091">
        <f ca="1"/>
        <v>46079.417361111096</v>
      </c>
      <c r="D1091">
        <f ca="1"/>
        <v>535.70000000000005</v>
      </c>
      <c r="E1091" t="str">
        <f ca="1"/>
        <v>MXN</v>
      </c>
      <c r="F1091" t="str">
        <f ca="1"/>
        <v>Jose Luis Franco Vaquero</v>
      </c>
      <c r="G1091" t="str">
        <f ca="1"/>
        <v>SUSHI ATIZAPAN         ATIZAPAN DE Z MEX</v>
      </c>
      <c r="H1091" t="str">
        <f ca="1"/>
        <v>Sushi Atizapan Atizapan De Z Mex</v>
      </c>
      <c r="I1091" t="str">
        <f ca="1"/>
        <v>Sales</v>
      </c>
      <c r="J1091" t="str">
        <f ca="1"/>
        <v>traslado aeropuerto</v>
      </c>
      <c r="K1091" t="str">
        <f ca="1"/>
        <v>NDR769C</v>
      </c>
      <c r="L1091" t="str">
        <f ca="1">VLOOKUP(B1091,[1]Total!$B:$Q,16,0)</f>
        <v>603.81.006 Gastos Administativos de venta</v>
      </c>
      <c r="M1091">
        <f t="shared" ref="M1091:M1154" ca="1" si="35">D1091</f>
        <v>535.70000000000005</v>
      </c>
      <c r="N1091" t="str">
        <f t="shared" ref="N1091:N1154" ca="1" si="36">CONCATENATE(F1091," ",G1091," ",H1091," ",I1091," ",J1091," ",K1091," ")</f>
        <v xml:space="preserve">Jose Luis Franco Vaquero SUSHI ATIZAPAN         ATIZAPAN DE Z MEX Sushi Atizapan Atizapan De Z Mex Sales traslado aeropuerto NDR769C </v>
      </c>
    </row>
    <row r="1092" spans="1:14">
      <c r="A1092" t="str">
        <f ca="1"/>
        <v>TRX1212</v>
      </c>
      <c r="B1092" t="str">
        <f ca="1"/>
        <v>-</v>
      </c>
      <c r="C1092">
        <f ca="1"/>
        <v>46079.417361111096</v>
      </c>
      <c r="D1092">
        <f ca="1"/>
        <v>616</v>
      </c>
      <c r="E1092" t="str">
        <f ca="1"/>
        <v>MXN</v>
      </c>
      <c r="F1092" t="str">
        <f ca="1"/>
        <v>Jose Luis Franco Vaquero</v>
      </c>
      <c r="G1092" t="str">
        <f ca="1"/>
        <v>REST SAFI METROPOLITAN SN PEDRO GARZ MEX</v>
      </c>
      <c r="H1092" t="str">
        <f ca="1"/>
        <v>Rest Safi Metropolitan Sn Pedro Garz Mex</v>
      </c>
      <c r="I1092" t="str">
        <f ca="1"/>
        <v>Sales</v>
      </c>
      <c r="J1092" t="str">
        <f ca="1"/>
        <v>PO 2196 alimentos</v>
      </c>
      <c r="K1092" t="str">
        <f ca="1"/>
        <v>269957000247337</v>
      </c>
      <c r="L1092" t="str">
        <f ca="1">VLOOKUP(B1092,[1]Total!$B:$Q,16,0)</f>
        <v>603.81.006 Gastos Administativos de venta</v>
      </c>
      <c r="M1092">
        <f t="shared" ca="1" si="35"/>
        <v>616</v>
      </c>
      <c r="N1092" t="str">
        <f t="shared" ca="1" si="36"/>
        <v xml:space="preserve">Jose Luis Franco Vaquero REST SAFI METROPOLITAN SN PEDRO GARZ MEX Rest Safi Metropolitan Sn Pedro Garz Mex Sales PO 2196 alimentos 269957000247337 </v>
      </c>
    </row>
    <row r="1093" spans="1:14">
      <c r="A1093" t="str">
        <f ca="1"/>
        <v>TRX1219</v>
      </c>
      <c r="B1093" t="str">
        <f ca="1"/>
        <v>-</v>
      </c>
      <c r="C1093">
        <f ca="1"/>
        <v>46080.416666666599</v>
      </c>
      <c r="D1093">
        <f ca="1"/>
        <v>567</v>
      </c>
      <c r="E1093" t="str">
        <f ca="1"/>
        <v>MXN</v>
      </c>
      <c r="F1093" t="str">
        <f ca="1"/>
        <v>Jose Luis Franco Vaquero</v>
      </c>
      <c r="G1093" t="str">
        <f ca="1"/>
        <v>SBX Atizapan           CMX           MEX</v>
      </c>
      <c r="H1093" t="str">
        <f ca="1"/>
        <v>Sbx Atizapan Cmx Mex</v>
      </c>
      <c r="I1093" t="str">
        <f ca="1"/>
        <v>Sales</v>
      </c>
      <c r="J1093" t="str">
        <f ca="1"/>
        <v>PO 2250 comida cliente</v>
      </c>
      <c r="K1093" t="str">
        <f ca="1"/>
        <v>269957000247337</v>
      </c>
      <c r="L1093" t="str">
        <f ca="1">VLOOKUP(B1093,[1]Total!$B:$Q,16,0)</f>
        <v>603.81.006 Gastos Administativos de venta</v>
      </c>
      <c r="M1093">
        <f t="shared" ca="1" si="35"/>
        <v>567</v>
      </c>
      <c r="N1093" t="str">
        <f t="shared" ca="1" si="36"/>
        <v xml:space="preserve">Jose Luis Franco Vaquero SBX Atizapan           CMX           MEX Sbx Atizapan Cmx Mex Sales PO 2250 comida cliente 269957000247337 </v>
      </c>
    </row>
    <row r="1094" spans="1:14">
      <c r="A1094" t="str">
        <f ca="1"/>
        <v>TRX1225</v>
      </c>
      <c r="B1094" t="str">
        <f ca="1"/>
        <v>-</v>
      </c>
      <c r="C1094">
        <f ca="1"/>
        <v>46080.416666666599</v>
      </c>
      <c r="D1094">
        <f ca="1"/>
        <v>1377.87</v>
      </c>
      <c r="E1094" t="str">
        <f ca="1"/>
        <v>MXN</v>
      </c>
      <c r="F1094" t="str">
        <f ca="1"/>
        <v>Jose Luis Franco Vaquero</v>
      </c>
      <c r="G1094" t="str">
        <f ca="1"/>
        <v>MERCADOPAGO *GASOLINA  Tlalnepantla  MEX</v>
      </c>
      <c r="H1094" t="str">
        <f ca="1"/>
        <v>Mercadopago</v>
      </c>
      <c r="I1094" t="str">
        <f ca="1"/>
        <v>Sales</v>
      </c>
      <c r="J1094" t="str">
        <f ca="1"/>
        <v>Gasolina CDMX</v>
      </c>
      <c r="K1094" t="str">
        <f ca="1"/>
        <v>147727435787</v>
      </c>
      <c r="L1094" t="str">
        <f ca="1">VLOOKUP(B1094,[1]Total!$B:$Q,16,0)</f>
        <v>603.81.006 Gastos Administativos de venta</v>
      </c>
      <c r="M1094">
        <f t="shared" ca="1" si="35"/>
        <v>1377.87</v>
      </c>
      <c r="N1094" t="str">
        <f t="shared" ca="1" si="36"/>
        <v xml:space="preserve">Jose Luis Franco Vaquero MERCADOPAGO *GASOLINA  Tlalnepantla  MEX Mercadopago Sales Gasolina CDMX 147727435787 </v>
      </c>
    </row>
    <row r="1095" spans="1:14">
      <c r="A1095" t="str">
        <f ca="1"/>
        <v>TRX1236</v>
      </c>
      <c r="B1095" t="str">
        <f ca="1"/>
        <v>-</v>
      </c>
      <c r="C1095">
        <f ca="1"/>
        <v>46058.416666666599</v>
      </c>
      <c r="D1095">
        <f ca="1"/>
        <v>755.7</v>
      </c>
      <c r="E1095" t="str">
        <f ca="1"/>
        <v>MXN</v>
      </c>
      <c r="F1095" t="str">
        <f ca="1"/>
        <v>Jose Luis Ramirez Gonzalez</v>
      </c>
      <c r="G1095" t="str">
        <f ca="1"/>
        <v>GAS DUERO              TOLUCA EM     MEX</v>
      </c>
      <c r="H1095" t="str">
        <f ca="1"/>
        <v>Gas Duero Toluca Em Mex</v>
      </c>
      <c r="I1095" t="str">
        <f ca="1"/>
        <v>Sales</v>
      </c>
      <c r="J1095" t="str">
        <f ca="1"/>
        <v>PO1953- GASOLINA TRASLADO</v>
      </c>
      <c r="K1095" t="str">
        <f ca="1"/>
        <v>B899D7E4-DDBD-4811-AA46-7C43A7A8B6E8</v>
      </c>
      <c r="L1095" t="str">
        <f ca="1">VLOOKUP(B1095,[1]Total!$B:$Q,16,0)</f>
        <v>603.81.006 Gastos Administativos de venta</v>
      </c>
      <c r="M1095">
        <f t="shared" ca="1" si="35"/>
        <v>755.7</v>
      </c>
      <c r="N1095" t="str">
        <f t="shared" ca="1" si="36"/>
        <v xml:space="preserve">Jose Luis Ramirez Gonzalez GAS DUERO              TOLUCA EM     MEX Gas Duero Toluca Em Mex Sales PO1953- GASOLINA TRASLADO B899D7E4-DDBD-4811-AA46-7C43A7A8B6E8 </v>
      </c>
    </row>
    <row r="1096" spans="1:14">
      <c r="A1096" t="str">
        <f ca="1"/>
        <v>TRX1232</v>
      </c>
      <c r="B1096" t="str">
        <f ca="1"/>
        <v>-</v>
      </c>
      <c r="C1096">
        <f ca="1"/>
        <v>46058.416666666599</v>
      </c>
      <c r="D1096">
        <f ca="1"/>
        <v>1510</v>
      </c>
      <c r="E1096" t="str">
        <f ca="1"/>
        <v>MXN</v>
      </c>
      <c r="F1096" t="str">
        <f ca="1"/>
        <v>Jose Luis Ramirez Gonzalez</v>
      </c>
      <c r="G1096" t="str">
        <f ca="1"/>
        <v>MERCADOPAGO *PASE      MIGUEL HIDALG MEX</v>
      </c>
      <c r="H1096" t="str">
        <f ca="1"/>
        <v>Mercadopago</v>
      </c>
      <c r="I1096" t="str">
        <f ca="1"/>
        <v>Sales</v>
      </c>
      <c r="J1096" t="str">
        <f ca="1"/>
        <v xml:space="preserve">PO1953-CASETAS </v>
      </c>
      <c r="K1096" t="str">
        <f ca="1"/>
        <v>EDFEB0DA-C99A-43CF-B1D6-4E1B238F347D</v>
      </c>
      <c r="L1096" t="str">
        <f ca="1">VLOOKUP(B1096,[1]Total!$B:$Q,16,0)</f>
        <v>603.81.006 Gastos Administativos de venta</v>
      </c>
      <c r="M1096">
        <f t="shared" ca="1" si="35"/>
        <v>1510</v>
      </c>
      <c r="N1096" t="str">
        <f t="shared" ca="1" si="36"/>
        <v xml:space="preserve">Jose Luis Ramirez Gonzalez MERCADOPAGO *PASE      MIGUEL HIDALG MEX Mercadopago Sales PO1953-CASETAS  EDFEB0DA-C99A-43CF-B1D6-4E1B238F347D </v>
      </c>
    </row>
    <row r="1097" spans="1:14">
      <c r="A1097" t="str">
        <f ca="1"/>
        <v>TRX1200</v>
      </c>
      <c r="B1097" t="str">
        <f ca="1"/>
        <v>-</v>
      </c>
      <c r="C1097">
        <f ca="1"/>
        <v>46058.417361111096</v>
      </c>
      <c r="D1097">
        <f ca="1"/>
        <v>500</v>
      </c>
      <c r="E1097" t="str">
        <f ca="1"/>
        <v>MXN</v>
      </c>
      <c r="F1097" t="str">
        <f ca="1"/>
        <v>Jose Luis Ramirez Gonzalez</v>
      </c>
      <c r="G1097" t="str">
        <f ca="1"/>
        <v>SERVICIO CABRAL        TOLUCA EM     MEX</v>
      </c>
      <c r="H1097" t="str">
        <f ca="1"/>
        <v>Servicio Cabral Toluca Em Mex</v>
      </c>
      <c r="I1097" t="str">
        <f ca="1"/>
        <v>Sales</v>
      </c>
      <c r="J1097" t="str">
        <f ca="1"/>
        <v>PO1953-MANTENIMIENTO</v>
      </c>
      <c r="K1097" t="str">
        <f ca="1"/>
        <v>BC1DFBCE-0C09-45C4-B80B-8B18DEB9DD2D</v>
      </c>
      <c r="L1097" t="str">
        <f ca="1">VLOOKUP(B1097,[1]Total!$B:$Q,16,0)</f>
        <v>603.81.006 Gastos Administativos de venta</v>
      </c>
      <c r="M1097">
        <f t="shared" ca="1" si="35"/>
        <v>500</v>
      </c>
      <c r="N1097" t="str">
        <f t="shared" ca="1" si="36"/>
        <v xml:space="preserve">Jose Luis Ramirez Gonzalez SERVICIO CABRAL        TOLUCA EM     MEX Servicio Cabral Toluca Em Mex Sales PO1953-MANTENIMIENTO BC1DFBCE-0C09-45C4-B80B-8B18DEB9DD2D </v>
      </c>
    </row>
    <row r="1098" spans="1:14">
      <c r="A1098" t="str">
        <f ca="1"/>
        <v>TRX1121</v>
      </c>
      <c r="B1098" t="str">
        <f ca="1"/>
        <v>-</v>
      </c>
      <c r="C1098">
        <f ca="1"/>
        <v>46060.417361111096</v>
      </c>
      <c r="D1098">
        <f ca="1"/>
        <v>923.71</v>
      </c>
      <c r="E1098" t="str">
        <f ca="1"/>
        <v>MXN</v>
      </c>
      <c r="F1098" t="str">
        <f ca="1"/>
        <v>Jose Luis Ramirez Gonzalez</v>
      </c>
      <c r="G1098" t="str">
        <f ca="1"/>
        <v>GASOL CAP AVANDARO     VALLE DE BRAV MEX</v>
      </c>
      <c r="H1098" t="str">
        <f ca="1"/>
        <v>Gasol Cap Avandaro Valle De Brav Mex</v>
      </c>
      <c r="I1098" t="str">
        <f ca="1"/>
        <v>Sales</v>
      </c>
      <c r="J1098" t="str">
        <f ca="1"/>
        <v>PO1953- GASOLINA TRASLADO</v>
      </c>
      <c r="K1098">
        <f ca="1"/>
        <v>0</v>
      </c>
      <c r="L1098" t="str">
        <f ca="1">VLOOKUP(B1098,[1]Total!$B:$Q,16,0)</f>
        <v>603.81.006 Gastos Administativos de venta</v>
      </c>
      <c r="M1098">
        <f t="shared" ca="1" si="35"/>
        <v>923.71</v>
      </c>
      <c r="N1098" t="str">
        <f t="shared" ca="1" si="36"/>
        <v xml:space="preserve">Jose Luis Ramirez Gonzalez GASOL CAP AVANDARO     VALLE DE BRAV MEX Gasol Cap Avandaro Valle De Brav Mex Sales PO1953- GASOLINA TRASLADO 0 </v>
      </c>
    </row>
    <row r="1099" spans="1:14">
      <c r="A1099" t="str">
        <f ca="1"/>
        <v>TRX1838</v>
      </c>
      <c r="B1099" t="str">
        <f ca="1"/>
        <v>-</v>
      </c>
      <c r="C1099">
        <f ca="1"/>
        <v>46061.416666666599</v>
      </c>
      <c r="D1099">
        <f ca="1"/>
        <v>810</v>
      </c>
      <c r="E1099" t="str">
        <f ca="1"/>
        <v>MXN</v>
      </c>
      <c r="F1099" t="str">
        <f ca="1"/>
        <v>Jose Luis Ramirez Gonzalez</v>
      </c>
      <c r="G1099" t="str">
        <f ca="1"/>
        <v>MERCADOPAGO *PASE      MIGUEL HIDALG MEX</v>
      </c>
      <c r="H1099" t="str">
        <f ca="1"/>
        <v>Mercadopago</v>
      </c>
      <c r="I1099" t="str">
        <f ca="1"/>
        <v>Sales</v>
      </c>
      <c r="J1099" t="str">
        <f ca="1"/>
        <v xml:space="preserve">PO1953-CASETAS </v>
      </c>
      <c r="K1099" t="str">
        <f ca="1"/>
        <v>9A0CD526-B739-4FAC-A33F-79F1325EFEE8</v>
      </c>
      <c r="L1099" t="str">
        <f ca="1">VLOOKUP(B1099,[1]Total!$B:$Q,16,0)</f>
        <v>603.81.006 Gastos Administativos de venta</v>
      </c>
      <c r="M1099">
        <f t="shared" ca="1" si="35"/>
        <v>810</v>
      </c>
      <c r="N1099" t="str">
        <f t="shared" ca="1" si="36"/>
        <v xml:space="preserve">Jose Luis Ramirez Gonzalez MERCADOPAGO *PASE      MIGUEL HIDALG MEX Mercadopago Sales PO1953-CASETAS  9A0CD526-B739-4FAC-A33F-79F1325EFEE8 </v>
      </c>
    </row>
    <row r="1100" spans="1:14">
      <c r="A1100" t="str">
        <f ca="1"/>
        <v>TRX1193</v>
      </c>
      <c r="B1100" t="str">
        <f ca="1"/>
        <v>-</v>
      </c>
      <c r="C1100">
        <f ca="1"/>
        <v>46062.416666666599</v>
      </c>
      <c r="D1100">
        <f ca="1"/>
        <v>499</v>
      </c>
      <c r="E1100" t="str">
        <f ca="1"/>
        <v>MXN</v>
      </c>
      <c r="F1100" t="str">
        <f ca="1"/>
        <v>Jose Luis Ramirez Gonzalez</v>
      </c>
      <c r="G1100" t="str">
        <f ca="1"/>
        <v>GASOL LAS TORRES       ZINACANTEPEC  MEX</v>
      </c>
      <c r="H1100" t="str">
        <f ca="1"/>
        <v>Gasol Las Torres Zinacantepec Mex</v>
      </c>
      <c r="I1100" t="str">
        <f ca="1"/>
        <v>Sales</v>
      </c>
      <c r="J1100" t="str">
        <f ca="1"/>
        <v>PO1953- GASOLINA TRASLADO</v>
      </c>
      <c r="K1100">
        <f ca="1"/>
        <v>0</v>
      </c>
      <c r="L1100" t="str">
        <f ca="1">VLOOKUP(B1100,[1]Total!$B:$Q,16,0)</f>
        <v>603.81.006 Gastos Administativos de venta</v>
      </c>
      <c r="M1100">
        <f t="shared" ca="1" si="35"/>
        <v>499</v>
      </c>
      <c r="N1100" t="str">
        <f t="shared" ca="1" si="36"/>
        <v xml:space="preserve">Jose Luis Ramirez Gonzalez GASOL LAS TORRES       ZINACANTEPEC  MEX Gasol Las Torres Zinacantepec Mex Sales PO1953- GASOLINA TRASLADO 0 </v>
      </c>
    </row>
    <row r="1101" spans="1:14">
      <c r="A1101" t="str">
        <f ca="1"/>
        <v>TRX1783</v>
      </c>
      <c r="B1101" t="str">
        <f ca="1"/>
        <v>-</v>
      </c>
      <c r="C1101">
        <f ca="1"/>
        <v>46062.416666666599</v>
      </c>
      <c r="D1101">
        <f ca="1"/>
        <v>25</v>
      </c>
      <c r="E1101" t="str">
        <f ca="1"/>
        <v>MXN</v>
      </c>
      <c r="F1101" t="str">
        <f ca="1"/>
        <v>Jose Luis Ramirez Gonzalez</v>
      </c>
      <c r="G1101" t="str">
        <f ca="1"/>
        <v>TELCEL RECARGAS FONY   CIUDAD DE MEX MEX</v>
      </c>
      <c r="H1101" t="str">
        <f ca="1"/>
        <v>Telcel</v>
      </c>
      <c r="I1101" t="str">
        <f ca="1"/>
        <v>Sales</v>
      </c>
      <c r="J1101" t="str">
        <f ca="1"/>
        <v>PO1953-INTERNET PROYECTO</v>
      </c>
      <c r="K1101">
        <f ca="1"/>
        <v>0</v>
      </c>
      <c r="L1101" t="str">
        <f ca="1">VLOOKUP(B1101,[1]Total!$B:$Q,16,0)</f>
        <v>603.81.006 Gastos Administativos de venta</v>
      </c>
      <c r="M1101">
        <f t="shared" ca="1" si="35"/>
        <v>25</v>
      </c>
      <c r="N1101" t="str">
        <f t="shared" ca="1" si="36"/>
        <v xml:space="preserve">Jose Luis Ramirez Gonzalez TELCEL RECARGAS FONY   CIUDAD DE MEX MEX Telcel Sales PO1953-INTERNET PROYECTO 0 </v>
      </c>
    </row>
    <row r="1102" spans="1:14">
      <c r="A1102" t="str">
        <f ca="1"/>
        <v>TRX1829</v>
      </c>
      <c r="B1102" t="str">
        <f ca="1"/>
        <v>-</v>
      </c>
      <c r="C1102">
        <f ca="1"/>
        <v>46063.416666666599</v>
      </c>
      <c r="D1102">
        <f ca="1"/>
        <v>810</v>
      </c>
      <c r="E1102" t="str">
        <f ca="1"/>
        <v>MXN</v>
      </c>
      <c r="F1102" t="str">
        <f ca="1"/>
        <v>Jose Luis Ramirez Gonzalez</v>
      </c>
      <c r="G1102" t="str">
        <f ca="1"/>
        <v>MERCADOPAGO *PASE      MIGUEL HIDALG MEX</v>
      </c>
      <c r="H1102" t="str">
        <f ca="1"/>
        <v>Mercadopago</v>
      </c>
      <c r="I1102" t="str">
        <f ca="1"/>
        <v>Sales</v>
      </c>
      <c r="J1102" t="str">
        <f ca="1"/>
        <v xml:space="preserve">PO1953-CASETAS </v>
      </c>
      <c r="K1102" t="str">
        <f ca="1"/>
        <v>DEE2166B-765C-4C2F-BBED-0E4F5E509BE7</v>
      </c>
      <c r="L1102" t="str">
        <f ca="1">VLOOKUP(B1102,[1]Total!$B:$Q,16,0)</f>
        <v>603.81.006 Gastos Administativos de venta</v>
      </c>
      <c r="M1102">
        <f t="shared" ca="1" si="35"/>
        <v>810</v>
      </c>
      <c r="N1102" t="str">
        <f t="shared" ca="1" si="36"/>
        <v xml:space="preserve">Jose Luis Ramirez Gonzalez MERCADOPAGO *PASE      MIGUEL HIDALG MEX Mercadopago Sales PO1953-CASETAS  DEE2166B-765C-4C2F-BBED-0E4F5E509BE7 </v>
      </c>
    </row>
    <row r="1103" spans="1:14">
      <c r="A1103" t="str">
        <f ca="1"/>
        <v>TRX1361</v>
      </c>
      <c r="B1103" t="str">
        <f ca="1"/>
        <v>-</v>
      </c>
      <c r="C1103">
        <f ca="1"/>
        <v>46063.416666666599</v>
      </c>
      <c r="D1103">
        <f ca="1"/>
        <v>15</v>
      </c>
      <c r="E1103" t="str">
        <f ca="1"/>
        <v>MXN</v>
      </c>
      <c r="F1103" t="str">
        <f ca="1"/>
        <v>Jose Luis Ramirez Gonzalez</v>
      </c>
      <c r="G1103" t="str">
        <f ca="1"/>
        <v>TELCEL RECARGAS FONY   CIUDAD DE MEX MEX</v>
      </c>
      <c r="H1103" t="str">
        <f ca="1"/>
        <v>Telcel</v>
      </c>
      <c r="I1103" t="str">
        <f ca="1"/>
        <v>Sales</v>
      </c>
      <c r="J1103" t="str">
        <f ca="1"/>
        <v>PO1953-INTERNET PROYECTO</v>
      </c>
      <c r="K1103">
        <f ca="1"/>
        <v>0</v>
      </c>
      <c r="L1103" t="str">
        <f ca="1">VLOOKUP(B1103,[1]Total!$B:$Q,16,0)</f>
        <v>603.81.006 Gastos Administativos de venta</v>
      </c>
      <c r="M1103">
        <f t="shared" ca="1" si="35"/>
        <v>15</v>
      </c>
      <c r="N1103" t="str">
        <f t="shared" ca="1" si="36"/>
        <v xml:space="preserve">Jose Luis Ramirez Gonzalez TELCEL RECARGAS FONY   CIUDAD DE MEX MEX Telcel Sales PO1953-INTERNET PROYECTO 0 </v>
      </c>
    </row>
    <row r="1104" spans="1:14">
      <c r="A1104" t="str">
        <f ca="1"/>
        <v>TRX1767</v>
      </c>
      <c r="B1104" t="str">
        <f ca="1"/>
        <v>-</v>
      </c>
      <c r="C1104">
        <f ca="1"/>
        <v>46063.416666666599</v>
      </c>
      <c r="D1104">
        <f ca="1"/>
        <v>25</v>
      </c>
      <c r="E1104" t="str">
        <f ca="1"/>
        <v>MXN</v>
      </c>
      <c r="F1104" t="str">
        <f ca="1"/>
        <v>Jose Luis Ramirez Gonzalez</v>
      </c>
      <c r="G1104" t="str">
        <f ca="1"/>
        <v>TELCEL RECARGAS FONY   CIUDAD DE MEX MEX</v>
      </c>
      <c r="H1104" t="str">
        <f ca="1"/>
        <v>Telcel</v>
      </c>
      <c r="I1104" t="str">
        <f ca="1"/>
        <v>Sales</v>
      </c>
      <c r="J1104" t="str">
        <f ca="1"/>
        <v>PO1953-INTERNET PROYECTO</v>
      </c>
      <c r="K1104">
        <f ca="1"/>
        <v>0</v>
      </c>
      <c r="L1104" t="str">
        <f ca="1">VLOOKUP(B1104,[1]Total!$B:$Q,16,0)</f>
        <v>603.81.006 Gastos Administativos de venta</v>
      </c>
      <c r="M1104">
        <f t="shared" ca="1" si="35"/>
        <v>25</v>
      </c>
      <c r="N1104" t="str">
        <f t="shared" ca="1" si="36"/>
        <v xml:space="preserve">Jose Luis Ramirez Gonzalez TELCEL RECARGAS FONY   CIUDAD DE MEX MEX Telcel Sales PO1953-INTERNET PROYECTO 0 </v>
      </c>
    </row>
    <row r="1105" spans="1:14">
      <c r="A1105" t="str">
        <f ca="1"/>
        <v>TRX1595</v>
      </c>
      <c r="B1105" t="str">
        <f ca="1"/>
        <v>-</v>
      </c>
      <c r="C1105">
        <f ca="1"/>
        <v>46063.416666666599</v>
      </c>
      <c r="D1105">
        <f ca="1"/>
        <v>25</v>
      </c>
      <c r="E1105" t="str">
        <f ca="1"/>
        <v>MXN</v>
      </c>
      <c r="F1105" t="str">
        <f ca="1"/>
        <v>Jose Luis Ramirez Gonzalez</v>
      </c>
      <c r="G1105" t="str">
        <f ca="1"/>
        <v>TELCEL RECARGAS FONY   CIUDAD DE MEX MEX</v>
      </c>
      <c r="H1105" t="str">
        <f ca="1"/>
        <v>Telcel</v>
      </c>
      <c r="I1105" t="str">
        <f ca="1"/>
        <v>Sales</v>
      </c>
      <c r="J1105" t="str">
        <f ca="1"/>
        <v>PO1953-INTERNET PROYECTO</v>
      </c>
      <c r="K1105">
        <f ca="1"/>
        <v>0</v>
      </c>
      <c r="L1105" t="str">
        <f ca="1">VLOOKUP(B1105,[1]Total!$B:$Q,16,0)</f>
        <v>603.81.006 Gastos Administativos de venta</v>
      </c>
      <c r="M1105">
        <f t="shared" ca="1" si="35"/>
        <v>25</v>
      </c>
      <c r="N1105" t="str">
        <f t="shared" ca="1" si="36"/>
        <v xml:space="preserve">Jose Luis Ramirez Gonzalez TELCEL RECARGAS FONY   CIUDAD DE MEX MEX Telcel Sales PO1953-INTERNET PROYECTO 0 </v>
      </c>
    </row>
    <row r="1106" spans="1:14">
      <c r="A1106" t="str">
        <f ca="1"/>
        <v>TRX1907</v>
      </c>
      <c r="B1106" t="str">
        <f ca="1"/>
        <v>-</v>
      </c>
      <c r="C1106">
        <f ca="1"/>
        <v>46064.416666666599</v>
      </c>
      <c r="D1106">
        <f ca="1"/>
        <v>755.7</v>
      </c>
      <c r="E1106" t="str">
        <f ca="1"/>
        <v>MXN</v>
      </c>
      <c r="F1106" t="str">
        <f ca="1"/>
        <v>Jose Luis Ramirez Gonzalez</v>
      </c>
      <c r="G1106" t="str">
        <f ca="1"/>
        <v>SERV LOPEZ PORTILL     TOLUCA EM     MEX</v>
      </c>
      <c r="H1106" t="str">
        <f ca="1"/>
        <v>Serv Lopez Portill Toluca Em Mex</v>
      </c>
      <c r="I1106" t="str">
        <f ca="1"/>
        <v>Sales</v>
      </c>
      <c r="J1106" t="str">
        <f ca="1"/>
        <v>PO1953-INTERNET PROYECTO</v>
      </c>
      <c r="K1106">
        <f ca="1"/>
        <v>0</v>
      </c>
      <c r="L1106" t="str">
        <f ca="1">VLOOKUP(B1106,[1]Total!$B:$Q,16,0)</f>
        <v>603.81.006 Gastos Administativos de venta</v>
      </c>
      <c r="M1106">
        <f t="shared" ca="1" si="35"/>
        <v>755.7</v>
      </c>
      <c r="N1106" t="str">
        <f t="shared" ca="1" si="36"/>
        <v xml:space="preserve">Jose Luis Ramirez Gonzalez SERV LOPEZ PORTILL     TOLUCA EM     MEX Serv Lopez Portill Toluca Em Mex Sales PO1953-INTERNET PROYECTO 0 </v>
      </c>
    </row>
    <row r="1107" spans="1:14">
      <c r="A1107" t="str">
        <f ca="1"/>
        <v>TRX1276</v>
      </c>
      <c r="B1107" t="str">
        <f ca="1"/>
        <v>-</v>
      </c>
      <c r="C1107">
        <f ca="1"/>
        <v>46064.416666666599</v>
      </c>
      <c r="D1107">
        <f ca="1"/>
        <v>25</v>
      </c>
      <c r="E1107" t="str">
        <f ca="1"/>
        <v>MXN</v>
      </c>
      <c r="F1107" t="str">
        <f ca="1"/>
        <v>Jose Luis Ramirez Gonzalez</v>
      </c>
      <c r="G1107" t="str">
        <f ca="1"/>
        <v>TELCEL RECARGAS FONY   CIUDAD DE MEX MEX</v>
      </c>
      <c r="H1107" t="str">
        <f ca="1"/>
        <v>Telcel</v>
      </c>
      <c r="I1107" t="str">
        <f ca="1"/>
        <v>Sales</v>
      </c>
      <c r="J1107" t="str">
        <f ca="1"/>
        <v>PO1953-INTERNET PROYECTO</v>
      </c>
      <c r="K1107">
        <f ca="1"/>
        <v>0</v>
      </c>
      <c r="L1107" t="str">
        <f ca="1">VLOOKUP(B1107,[1]Total!$B:$Q,16,0)</f>
        <v>603.81.006 Gastos Administativos de venta</v>
      </c>
      <c r="M1107">
        <f t="shared" ca="1" si="35"/>
        <v>25</v>
      </c>
      <c r="N1107" t="str">
        <f t="shared" ca="1" si="36"/>
        <v xml:space="preserve">Jose Luis Ramirez Gonzalez TELCEL RECARGAS FONY   CIUDAD DE MEX MEX Telcel Sales PO1953-INTERNET PROYECTO 0 </v>
      </c>
    </row>
    <row r="1108" spans="1:14">
      <c r="A1108" t="str">
        <f ca="1"/>
        <v>TRX1039</v>
      </c>
      <c r="B1108" t="str">
        <f ca="1"/>
        <v>-</v>
      </c>
      <c r="C1108">
        <f ca="1"/>
        <v>46064.417361111096</v>
      </c>
      <c r="D1108">
        <f ca="1"/>
        <v>25</v>
      </c>
      <c r="E1108" t="str">
        <f ca="1"/>
        <v>MXN</v>
      </c>
      <c r="F1108" t="str">
        <f ca="1"/>
        <v>Jose Luis Ramirez Gonzalez</v>
      </c>
      <c r="G1108" t="str">
        <f ca="1"/>
        <v>TELCEL RECARGAS FONY   CIUDAD DE MEX MEX</v>
      </c>
      <c r="H1108" t="str">
        <f ca="1"/>
        <v>Telcel</v>
      </c>
      <c r="I1108" t="str">
        <f ca="1"/>
        <v>Sales</v>
      </c>
      <c r="J1108" t="str">
        <f ca="1"/>
        <v>PO1953-INTERNET PROYECTO</v>
      </c>
      <c r="K1108">
        <f ca="1"/>
        <v>0</v>
      </c>
      <c r="L1108" t="str">
        <f ca="1">VLOOKUP(B1108,[1]Total!$B:$Q,16,0)</f>
        <v>603.81.006 Gastos Administativos de venta</v>
      </c>
      <c r="M1108">
        <f t="shared" ca="1" si="35"/>
        <v>25</v>
      </c>
      <c r="N1108" t="str">
        <f t="shared" ca="1" si="36"/>
        <v xml:space="preserve">Jose Luis Ramirez Gonzalez TELCEL RECARGAS FONY   CIUDAD DE MEX MEX Telcel Sales PO1953-INTERNET PROYECTO 0 </v>
      </c>
    </row>
    <row r="1109" spans="1:14">
      <c r="A1109" t="str">
        <f ca="1"/>
        <v>TRX1249</v>
      </c>
      <c r="B1109" t="str">
        <f ca="1"/>
        <v>-</v>
      </c>
      <c r="C1109">
        <f ca="1"/>
        <v>46064.417361111096</v>
      </c>
      <c r="D1109">
        <f ca="1"/>
        <v>1239</v>
      </c>
      <c r="E1109" t="str">
        <f ca="1"/>
        <v>MXN</v>
      </c>
      <c r="F1109" t="str">
        <f ca="1"/>
        <v>Jose Luis Ramirez Gonzalez</v>
      </c>
      <c r="G1109" t="str">
        <f ca="1"/>
        <v>HOME DEPOT             METEPEC EM    MEX</v>
      </c>
      <c r="H1109" t="str">
        <f ca="1"/>
        <v>The Home Depot</v>
      </c>
      <c r="I1109" t="str">
        <f ca="1"/>
        <v>Sales</v>
      </c>
      <c r="J1109" t="str">
        <f ca="1"/>
        <v>PO1953-EPP</v>
      </c>
      <c r="K1109" t="str">
        <f ca="1"/>
        <v>b4a18093-8c93-4342-a48d-b9666fcdb0cc</v>
      </c>
      <c r="L1109" t="str">
        <f ca="1">VLOOKUP(B1109,[1]Total!$B:$Q,16,0)</f>
        <v>603.81.006 Gastos Administativos de venta</v>
      </c>
      <c r="M1109">
        <f t="shared" ca="1" si="35"/>
        <v>1239</v>
      </c>
      <c r="N1109" t="str">
        <f t="shared" ca="1" si="36"/>
        <v xml:space="preserve">Jose Luis Ramirez Gonzalez HOME DEPOT             METEPEC EM    MEX The Home Depot Sales PO1953-EPP b4a18093-8c93-4342-a48d-b9666fcdb0cc </v>
      </c>
    </row>
    <row r="1110" spans="1:14">
      <c r="A1110" t="str">
        <f ca="1"/>
        <v>TRX1243</v>
      </c>
      <c r="B1110" t="str">
        <f ca="1"/>
        <v>-</v>
      </c>
      <c r="C1110">
        <f ca="1"/>
        <v>46064.417361111096</v>
      </c>
      <c r="D1110">
        <f ca="1"/>
        <v>25</v>
      </c>
      <c r="E1110" t="str">
        <f ca="1"/>
        <v>MXN</v>
      </c>
      <c r="F1110" t="str">
        <f ca="1"/>
        <v>Jose Luis Ramirez Gonzalez</v>
      </c>
      <c r="G1110" t="str">
        <f ca="1"/>
        <v>TELCEL RECARGAS FONY   CIUDAD DE MEX MEX</v>
      </c>
      <c r="H1110" t="str">
        <f ca="1"/>
        <v>Telcel</v>
      </c>
      <c r="I1110" t="str">
        <f ca="1"/>
        <v>Sales</v>
      </c>
      <c r="J1110" t="str">
        <f ca="1"/>
        <v>PO1953-INTERNET PROYECTO</v>
      </c>
      <c r="K1110">
        <f ca="1"/>
        <v>0</v>
      </c>
      <c r="L1110" t="str">
        <f ca="1">VLOOKUP(B1110,[1]Total!$B:$Q,16,0)</f>
        <v>603.81.006 Gastos Administativos de venta</v>
      </c>
      <c r="M1110">
        <f t="shared" ca="1" si="35"/>
        <v>25</v>
      </c>
      <c r="N1110" t="str">
        <f t="shared" ca="1" si="36"/>
        <v xml:space="preserve">Jose Luis Ramirez Gonzalez TELCEL RECARGAS FONY   CIUDAD DE MEX MEX Telcel Sales PO1953-INTERNET PROYECTO 0 </v>
      </c>
    </row>
    <row r="1111" spans="1:14">
      <c r="A1111" t="str">
        <f ca="1"/>
        <v>TRX1083</v>
      </c>
      <c r="B1111" t="str">
        <f ca="1"/>
        <v>-</v>
      </c>
      <c r="C1111">
        <f ca="1"/>
        <v>46065.416666666599</v>
      </c>
      <c r="D1111">
        <f ca="1"/>
        <v>610</v>
      </c>
      <c r="E1111" t="str">
        <f ca="1"/>
        <v>MXN</v>
      </c>
      <c r="F1111" t="str">
        <f ca="1"/>
        <v>Jose Luis Ramirez Gonzalez</v>
      </c>
      <c r="G1111" t="str">
        <f ca="1"/>
        <v>MERCADOPAGO *PASE      MIGUEL HIDALG MEX</v>
      </c>
      <c r="H1111" t="str">
        <f ca="1"/>
        <v>Mercadopago</v>
      </c>
      <c r="I1111" t="str">
        <f ca="1"/>
        <v>Sales</v>
      </c>
      <c r="J1111" t="str">
        <f ca="1"/>
        <v xml:space="preserve">PO1953-CASETAS </v>
      </c>
      <c r="K1111" t="str">
        <f ca="1"/>
        <v>95F1B372-98E9-41B1-9D7D-32949B9E847B</v>
      </c>
      <c r="L1111" t="str">
        <f ca="1">VLOOKUP(B1111,[1]Total!$B:$Q,16,0)</f>
        <v>603.81.006 Gastos Administativos de venta</v>
      </c>
      <c r="M1111">
        <f t="shared" ca="1" si="35"/>
        <v>610</v>
      </c>
      <c r="N1111" t="str">
        <f t="shared" ca="1" si="36"/>
        <v xml:space="preserve">Jose Luis Ramirez Gonzalez MERCADOPAGO *PASE      MIGUEL HIDALG MEX Mercadopago Sales PO1953-CASETAS  95F1B372-98E9-41B1-9D7D-32949B9E847B </v>
      </c>
    </row>
    <row r="1112" spans="1:14">
      <c r="A1112" t="str">
        <f ca="1"/>
        <v>TRX1967</v>
      </c>
      <c r="B1112" t="str">
        <f ca="1"/>
        <v>-</v>
      </c>
      <c r="C1112">
        <f ca="1"/>
        <v>46065.416666666599</v>
      </c>
      <c r="D1112">
        <f ca="1"/>
        <v>310</v>
      </c>
      <c r="E1112" t="str">
        <f ca="1"/>
        <v>MXN</v>
      </c>
      <c r="F1112" t="str">
        <f ca="1"/>
        <v>Jose Luis Ramirez Gonzalez</v>
      </c>
      <c r="G1112" t="str">
        <f ca="1"/>
        <v>PITS CORTADITO TOLUCA  ALMOLOYA DE J MEX</v>
      </c>
      <c r="H1112" t="str">
        <f ca="1"/>
        <v>Pits Cortadito Toluca Almoloya De J Mex</v>
      </c>
      <c r="I1112" t="str">
        <f ca="1"/>
        <v>Sales</v>
      </c>
      <c r="J1112" t="str">
        <f ca="1"/>
        <v>PO1953-DESAYUNO PERSONAL</v>
      </c>
      <c r="K1112" t="str">
        <f ca="1"/>
        <v>A3DCDA9D-E98D-FF48-BD63-AE7AA90E9759</v>
      </c>
      <c r="L1112" t="str">
        <f ca="1">VLOOKUP(B1112,[1]Total!$B:$Q,16,0)</f>
        <v>603.81.006 Gastos Administativos de venta</v>
      </c>
      <c r="M1112">
        <f t="shared" ca="1" si="35"/>
        <v>310</v>
      </c>
      <c r="N1112" t="str">
        <f t="shared" ca="1" si="36"/>
        <v xml:space="preserve">Jose Luis Ramirez Gonzalez PITS CORTADITO TOLUCA  ALMOLOYA DE J MEX Pits Cortadito Toluca Almoloya De J Mex Sales PO1953-DESAYUNO PERSONAL A3DCDA9D-E98D-FF48-BD63-AE7AA90E9759 </v>
      </c>
    </row>
    <row r="1113" spans="1:14">
      <c r="A1113" t="str">
        <f ca="1"/>
        <v>TRX1191</v>
      </c>
      <c r="B1113" t="str">
        <f ca="1"/>
        <v>-</v>
      </c>
      <c r="C1113">
        <f ca="1"/>
        <v>46065.417361111096</v>
      </c>
      <c r="D1113">
        <f ca="1"/>
        <v>450</v>
      </c>
      <c r="E1113" t="str">
        <f ca="1"/>
        <v>MXN</v>
      </c>
      <c r="F1113" t="str">
        <f ca="1"/>
        <v>Jose Luis Ramirez Gonzalez</v>
      </c>
      <c r="G1113" t="str">
        <f ca="1"/>
        <v>OPENPAY*MERAKY         VALLE DE BRAV MEX</v>
      </c>
      <c r="H1113" t="str">
        <f ca="1"/>
        <v>Openpay UK</v>
      </c>
      <c r="I1113" t="str">
        <f ca="1"/>
        <v>Sales</v>
      </c>
      <c r="J1113" t="str">
        <f ca="1"/>
        <v>PO1953- GASOLINA TRASLADO</v>
      </c>
      <c r="K1113">
        <f ca="1"/>
        <v>0</v>
      </c>
      <c r="L1113" t="str">
        <f ca="1">VLOOKUP(B1113,[1]Total!$B:$Q,16,0)</f>
        <v>603.81.006 Gastos Administativos de venta</v>
      </c>
      <c r="M1113">
        <f t="shared" ca="1" si="35"/>
        <v>450</v>
      </c>
      <c r="N1113" t="str">
        <f t="shared" ca="1" si="36"/>
        <v xml:space="preserve">Jose Luis Ramirez Gonzalez OPENPAY*MERAKY         VALLE DE BRAV MEX Openpay UK Sales PO1953- GASOLINA TRASLADO 0 </v>
      </c>
    </row>
    <row r="1114" spans="1:14">
      <c r="A1114" t="str">
        <f ca="1"/>
        <v>TRX1449</v>
      </c>
      <c r="B1114" t="str">
        <f ca="1"/>
        <v>-</v>
      </c>
      <c r="C1114">
        <f ca="1"/>
        <v>46065.417361111096</v>
      </c>
      <c r="D1114">
        <f ca="1"/>
        <v>25</v>
      </c>
      <c r="E1114" t="str">
        <f ca="1"/>
        <v>MXN</v>
      </c>
      <c r="F1114" t="str">
        <f ca="1"/>
        <v>Jose Luis Ramirez Gonzalez</v>
      </c>
      <c r="G1114" t="str">
        <f ca="1"/>
        <v>TELCEL RECARGAS FONY   CIUDAD DE MEX MEX</v>
      </c>
      <c r="H1114" t="str">
        <f ca="1"/>
        <v>Telcel</v>
      </c>
      <c r="I1114" t="str">
        <f ca="1"/>
        <v>Sales</v>
      </c>
      <c r="J1114" t="str">
        <f ca="1"/>
        <v>PO1953-INTERNET PROYECTO</v>
      </c>
      <c r="K1114">
        <f ca="1"/>
        <v>0</v>
      </c>
      <c r="L1114" t="str">
        <f ca="1">VLOOKUP(B1114,[1]Total!$B:$Q,16,0)</f>
        <v>603.81.006 Gastos Administativos de venta</v>
      </c>
      <c r="M1114">
        <f t="shared" ca="1" si="35"/>
        <v>25</v>
      </c>
      <c r="N1114" t="str">
        <f t="shared" ca="1" si="36"/>
        <v xml:space="preserve">Jose Luis Ramirez Gonzalez TELCEL RECARGAS FONY   CIUDAD DE MEX MEX Telcel Sales PO1953-INTERNET PROYECTO 0 </v>
      </c>
    </row>
    <row r="1115" spans="1:14">
      <c r="A1115" t="str">
        <f ca="1"/>
        <v>TRX1570</v>
      </c>
      <c r="B1115" t="str">
        <f ca="1"/>
        <v>-</v>
      </c>
      <c r="C1115">
        <f ca="1"/>
        <v>46065.417361111096</v>
      </c>
      <c r="D1115">
        <f ca="1"/>
        <v>25</v>
      </c>
      <c r="E1115" t="str">
        <f ca="1"/>
        <v>MXN</v>
      </c>
      <c r="F1115" t="str">
        <f ca="1"/>
        <v>Jose Luis Ramirez Gonzalez</v>
      </c>
      <c r="G1115" t="str">
        <f ca="1"/>
        <v>TELCEL RECARGAS FONY   CIUDAD DE MEX MEX</v>
      </c>
      <c r="H1115" t="str">
        <f ca="1"/>
        <v>Telcel</v>
      </c>
      <c r="I1115" t="str">
        <f ca="1"/>
        <v>Sales</v>
      </c>
      <c r="J1115" t="str">
        <f ca="1"/>
        <v>PO1953-INTERNET PROYECTO</v>
      </c>
      <c r="K1115">
        <f ca="1"/>
        <v>0</v>
      </c>
      <c r="L1115" t="str">
        <f ca="1">VLOOKUP(B1115,[1]Total!$B:$Q,16,0)</f>
        <v>603.81.006 Gastos Administativos de venta</v>
      </c>
      <c r="M1115">
        <f t="shared" ca="1" si="35"/>
        <v>25</v>
      </c>
      <c r="N1115" t="str">
        <f t="shared" ca="1" si="36"/>
        <v xml:space="preserve">Jose Luis Ramirez Gonzalez TELCEL RECARGAS FONY   CIUDAD DE MEX MEX Telcel Sales PO1953-INTERNET PROYECTO 0 </v>
      </c>
    </row>
    <row r="1116" spans="1:14">
      <c r="A1116" t="str">
        <f ca="1"/>
        <v>TRX1951</v>
      </c>
      <c r="B1116" t="str">
        <f ca="1"/>
        <v>-</v>
      </c>
      <c r="C1116">
        <f ca="1"/>
        <v>46066.416666666599</v>
      </c>
      <c r="D1116">
        <f ca="1"/>
        <v>755.7</v>
      </c>
      <c r="E1116" t="str">
        <f ca="1"/>
        <v>MXN</v>
      </c>
      <c r="F1116" t="str">
        <f ca="1"/>
        <v>Jose Luis Ramirez Gonzalez</v>
      </c>
      <c r="G1116" t="str">
        <f ca="1"/>
        <v>GAS DUERO              TOLUCA EM     MEX</v>
      </c>
      <c r="H1116" t="str">
        <f ca="1"/>
        <v>Gas Duero Toluca Em Mex</v>
      </c>
      <c r="I1116" t="str">
        <f ca="1"/>
        <v>Sales</v>
      </c>
      <c r="J1116" t="str">
        <f ca="1"/>
        <v>PO1953- GASOLINA TRASLADO</v>
      </c>
      <c r="K1116" t="str">
        <f ca="1"/>
        <v>8007AC82-3F57-417D-8D3B-1DCC03527AED</v>
      </c>
      <c r="L1116" t="str">
        <f ca="1">VLOOKUP(B1116,[1]Total!$B:$Q,16,0)</f>
        <v>603.81.006 Gastos Administativos de venta</v>
      </c>
      <c r="M1116">
        <f t="shared" ca="1" si="35"/>
        <v>755.7</v>
      </c>
      <c r="N1116" t="str">
        <f t="shared" ca="1" si="36"/>
        <v xml:space="preserve">Jose Luis Ramirez Gonzalez GAS DUERO              TOLUCA EM     MEX Gas Duero Toluca Em Mex Sales PO1953- GASOLINA TRASLADO 8007AC82-3F57-417D-8D3B-1DCC03527AED </v>
      </c>
    </row>
    <row r="1117" spans="1:14">
      <c r="A1117" t="str">
        <f ca="1"/>
        <v>TRX1326</v>
      </c>
      <c r="B1117" t="str">
        <f ca="1"/>
        <v>-</v>
      </c>
      <c r="C1117">
        <f ca="1"/>
        <v>46066.416666666599</v>
      </c>
      <c r="D1117">
        <f ca="1"/>
        <v>810</v>
      </c>
      <c r="E1117" t="str">
        <f ca="1"/>
        <v>MXN</v>
      </c>
      <c r="F1117" t="str">
        <f ca="1"/>
        <v>Jose Luis Ramirez Gonzalez</v>
      </c>
      <c r="G1117" t="str">
        <f ca="1"/>
        <v>MERCADOPAGO *PASE      MIGUEL HIDALG MEX</v>
      </c>
      <c r="H1117" t="str">
        <f ca="1"/>
        <v>Mercadopago</v>
      </c>
      <c r="I1117" t="str">
        <f ca="1"/>
        <v>Sales</v>
      </c>
      <c r="J1117" t="str">
        <f ca="1"/>
        <v xml:space="preserve">PO1953-CASETAS </v>
      </c>
      <c r="K1117" t="str">
        <f ca="1"/>
        <v>5F4063CF-0974-44D9-BD44-E73FBA84D36C</v>
      </c>
      <c r="L1117" t="str">
        <f ca="1">VLOOKUP(B1117,[1]Total!$B:$Q,16,0)</f>
        <v>603.81.006 Gastos Administativos de venta</v>
      </c>
      <c r="M1117">
        <f t="shared" ca="1" si="35"/>
        <v>810</v>
      </c>
      <c r="N1117" t="str">
        <f t="shared" ca="1" si="36"/>
        <v xml:space="preserve">Jose Luis Ramirez Gonzalez MERCADOPAGO *PASE      MIGUEL HIDALG MEX Mercadopago Sales PO1953-CASETAS  5F4063CF-0974-44D9-BD44-E73FBA84D36C </v>
      </c>
    </row>
    <row r="1118" spans="1:14">
      <c r="A1118" t="str">
        <f ca="1"/>
        <v>TRX1681</v>
      </c>
      <c r="B1118" t="str">
        <f ca="1"/>
        <v>-</v>
      </c>
      <c r="C1118">
        <f ca="1"/>
        <v>46066.417361111096</v>
      </c>
      <c r="D1118">
        <f ca="1"/>
        <v>25</v>
      </c>
      <c r="E1118" t="str">
        <f ca="1"/>
        <v>MXN</v>
      </c>
      <c r="F1118" t="str">
        <f ca="1"/>
        <v>Jose Luis Ramirez Gonzalez</v>
      </c>
      <c r="G1118" t="str">
        <f ca="1"/>
        <v>TELCEL RECARGAS FONY   CIUDAD DE MEX MEX</v>
      </c>
      <c r="H1118" t="str">
        <f ca="1"/>
        <v>Telcel</v>
      </c>
      <c r="I1118" t="str">
        <f ca="1"/>
        <v>Sales</v>
      </c>
      <c r="J1118" t="str">
        <f ca="1"/>
        <v>PO1953-INTERNET PROYECTO</v>
      </c>
      <c r="K1118">
        <f ca="1"/>
        <v>0</v>
      </c>
      <c r="L1118" t="str">
        <f ca="1">VLOOKUP(B1118,[1]Total!$B:$Q,16,0)</f>
        <v>603.81.006 Gastos Administativos de venta</v>
      </c>
      <c r="M1118">
        <f t="shared" ca="1" si="35"/>
        <v>25</v>
      </c>
      <c r="N1118" t="str">
        <f t="shared" ca="1" si="36"/>
        <v xml:space="preserve">Jose Luis Ramirez Gonzalez TELCEL RECARGAS FONY   CIUDAD DE MEX MEX Telcel Sales PO1953-INTERNET PROYECTO 0 </v>
      </c>
    </row>
    <row r="1119" spans="1:14">
      <c r="A1119" t="str">
        <f ca="1"/>
        <v>TRX1271</v>
      </c>
      <c r="B1119" t="str">
        <f ca="1"/>
        <v>-</v>
      </c>
      <c r="C1119">
        <f ca="1"/>
        <v>46066.417361111096</v>
      </c>
      <c r="D1119">
        <f ca="1"/>
        <v>25</v>
      </c>
      <c r="E1119" t="str">
        <f ca="1"/>
        <v>MXN</v>
      </c>
      <c r="F1119" t="str">
        <f ca="1"/>
        <v>Jose Luis Ramirez Gonzalez</v>
      </c>
      <c r="G1119" t="str">
        <f ca="1"/>
        <v>TELCEL RECARGAS FONY   CIUDAD DE MEX MEX</v>
      </c>
      <c r="H1119" t="str">
        <f ca="1"/>
        <v>Telcel</v>
      </c>
      <c r="I1119" t="str">
        <f ca="1"/>
        <v>Sales</v>
      </c>
      <c r="J1119" t="str">
        <f ca="1"/>
        <v>PO1953-INTERNET PROYECTO</v>
      </c>
      <c r="K1119">
        <f ca="1"/>
        <v>0</v>
      </c>
      <c r="L1119" t="str">
        <f ca="1">VLOOKUP(B1119,[1]Total!$B:$Q,16,0)</f>
        <v>603.81.006 Gastos Administativos de venta</v>
      </c>
      <c r="M1119">
        <f t="shared" ca="1" si="35"/>
        <v>25</v>
      </c>
      <c r="N1119" t="str">
        <f t="shared" ca="1" si="36"/>
        <v xml:space="preserve">Jose Luis Ramirez Gonzalez TELCEL RECARGAS FONY   CIUDAD DE MEX MEX Telcel Sales PO1953-INTERNET PROYECTO 0 </v>
      </c>
    </row>
    <row r="1120" spans="1:14">
      <c r="A1120" t="str">
        <f ca="1"/>
        <v>TRX1919</v>
      </c>
      <c r="B1120" t="str">
        <f ca="1"/>
        <v>-</v>
      </c>
      <c r="C1120">
        <f ca="1"/>
        <v>46066.417361111096</v>
      </c>
      <c r="D1120">
        <f ca="1"/>
        <v>25</v>
      </c>
      <c r="E1120" t="str">
        <f ca="1"/>
        <v>MXN</v>
      </c>
      <c r="F1120" t="str">
        <f ca="1"/>
        <v>Jose Luis Ramirez Gonzalez</v>
      </c>
      <c r="G1120" t="str">
        <f ca="1"/>
        <v>TELCEL RECARGAS FONY   CIUDAD DE MEX MEX</v>
      </c>
      <c r="H1120" t="str">
        <f ca="1"/>
        <v>Telcel</v>
      </c>
      <c r="I1120" t="str">
        <f ca="1"/>
        <v>Sales</v>
      </c>
      <c r="J1120" t="str">
        <f ca="1"/>
        <v>PO1953-INTERNET PROYECTO</v>
      </c>
      <c r="K1120" t="str">
        <f ca="1"/>
        <v>.</v>
      </c>
      <c r="L1120" t="str">
        <f ca="1">VLOOKUP(B1120,[1]Total!$B:$Q,16,0)</f>
        <v>603.81.006 Gastos Administativos de venta</v>
      </c>
      <c r="M1120">
        <f t="shared" ca="1" si="35"/>
        <v>25</v>
      </c>
      <c r="N1120" t="str">
        <f t="shared" ca="1" si="36"/>
        <v xml:space="preserve">Jose Luis Ramirez Gonzalez TELCEL RECARGAS FONY   CIUDAD DE MEX MEX Telcel Sales PO1953-INTERNET PROYECTO . </v>
      </c>
    </row>
    <row r="1121" spans="1:14">
      <c r="A1121" t="str">
        <f ca="1"/>
        <v>TRX1394</v>
      </c>
      <c r="B1121" t="str">
        <f ca="1"/>
        <v>-</v>
      </c>
      <c r="C1121">
        <f ca="1"/>
        <v>46067.416666666599</v>
      </c>
      <c r="D1121">
        <f ca="1"/>
        <v>810</v>
      </c>
      <c r="E1121" t="str">
        <f ca="1"/>
        <v>MXN</v>
      </c>
      <c r="F1121" t="str">
        <f ca="1"/>
        <v>Jose Luis Ramirez Gonzalez</v>
      </c>
      <c r="G1121" t="str">
        <f ca="1"/>
        <v>MERCADOPAGO *PASE      MIGUEL HIDALG MEX</v>
      </c>
      <c r="H1121" t="str">
        <f ca="1"/>
        <v>Mercadopago</v>
      </c>
      <c r="I1121" t="str">
        <f ca="1"/>
        <v>Sales</v>
      </c>
      <c r="J1121" t="str">
        <f ca="1"/>
        <v xml:space="preserve">PO1953-CASETAS </v>
      </c>
      <c r="K1121" t="str">
        <f ca="1"/>
        <v>6C443E97-D56E-43F6-A27B-A96702C8388B</v>
      </c>
      <c r="L1121" t="str">
        <f ca="1">VLOOKUP(B1121,[1]Total!$B:$Q,16,0)</f>
        <v>603.81.006 Gastos Administativos de venta</v>
      </c>
      <c r="M1121">
        <f t="shared" ca="1" si="35"/>
        <v>810</v>
      </c>
      <c r="N1121" t="str">
        <f t="shared" ca="1" si="36"/>
        <v xml:space="preserve">Jose Luis Ramirez Gonzalez MERCADOPAGO *PASE      MIGUEL HIDALG MEX Mercadopago Sales PO1953-CASETAS  6C443E97-D56E-43F6-A27B-A96702C8388B </v>
      </c>
    </row>
    <row r="1122" spans="1:14">
      <c r="A1122" t="str">
        <f ca="1"/>
        <v>TRX1223</v>
      </c>
      <c r="B1122" t="str">
        <f ca="1"/>
        <v>-</v>
      </c>
      <c r="C1122">
        <f ca="1"/>
        <v>46067.416666666599</v>
      </c>
      <c r="D1122">
        <f ca="1"/>
        <v>755.7</v>
      </c>
      <c r="E1122" t="str">
        <f ca="1"/>
        <v>MXN</v>
      </c>
      <c r="F1122" t="str">
        <f ca="1"/>
        <v>Jose Luis Ramirez Gonzalez</v>
      </c>
      <c r="G1122" t="str">
        <f ca="1"/>
        <v>GAS DUERO              TOLUCA EM     MEX</v>
      </c>
      <c r="H1122" t="str">
        <f ca="1"/>
        <v>Gas Duero Toluca Em Mex</v>
      </c>
      <c r="I1122" t="str">
        <f ca="1"/>
        <v>Sales</v>
      </c>
      <c r="J1122" t="str">
        <f ca="1"/>
        <v>PO1953- GASOLINA TRASLADO</v>
      </c>
      <c r="K1122" t="str">
        <f ca="1"/>
        <v>.</v>
      </c>
      <c r="L1122" t="str">
        <f ca="1">VLOOKUP(B1122,[1]Total!$B:$Q,16,0)</f>
        <v>603.81.006 Gastos Administativos de venta</v>
      </c>
      <c r="M1122">
        <f t="shared" ca="1" si="35"/>
        <v>755.7</v>
      </c>
      <c r="N1122" t="str">
        <f t="shared" ca="1" si="36"/>
        <v xml:space="preserve">Jose Luis Ramirez Gonzalez GAS DUERO              TOLUCA EM     MEX Gas Duero Toluca Em Mex Sales PO1953- GASOLINA TRASLADO . </v>
      </c>
    </row>
    <row r="1123" spans="1:14">
      <c r="A1123" t="str">
        <f ca="1"/>
        <v>TRX1725</v>
      </c>
      <c r="B1123" t="str">
        <f ca="1"/>
        <v>-</v>
      </c>
      <c r="C1123">
        <f ca="1"/>
        <v>46067.417361111096</v>
      </c>
      <c r="D1123">
        <f ca="1"/>
        <v>25</v>
      </c>
      <c r="E1123" t="str">
        <f ca="1"/>
        <v>MXN</v>
      </c>
      <c r="F1123" t="str">
        <f ca="1"/>
        <v>Jose Luis Ramirez Gonzalez</v>
      </c>
      <c r="G1123" t="str">
        <f ca="1"/>
        <v>TELCEL RECARGAS FONY   CIUDAD DE MEX MEX</v>
      </c>
      <c r="H1123" t="str">
        <f ca="1"/>
        <v>Telcel</v>
      </c>
      <c r="I1123" t="str">
        <f ca="1"/>
        <v>Sales</v>
      </c>
      <c r="J1123" t="str">
        <f ca="1"/>
        <v>PO1953-INTERNET PROYECTO</v>
      </c>
      <c r="K1123" t="str">
        <f ca="1"/>
        <v>.</v>
      </c>
      <c r="L1123" t="str">
        <f ca="1">VLOOKUP(B1123,[1]Total!$B:$Q,16,0)</f>
        <v>603.81.006 Gastos Administativos de venta</v>
      </c>
      <c r="M1123">
        <f t="shared" ca="1" si="35"/>
        <v>25</v>
      </c>
      <c r="N1123" t="str">
        <f t="shared" ca="1" si="36"/>
        <v xml:space="preserve">Jose Luis Ramirez Gonzalez TELCEL RECARGAS FONY   CIUDAD DE MEX MEX Telcel Sales PO1953-INTERNET PROYECTO . </v>
      </c>
    </row>
    <row r="1124" spans="1:14">
      <c r="A1124" t="str">
        <f ca="1"/>
        <v>TRX1793</v>
      </c>
      <c r="B1124" t="str">
        <f ca="1"/>
        <v>-</v>
      </c>
      <c r="C1124">
        <f ca="1"/>
        <v>46067.417361111096</v>
      </c>
      <c r="D1124">
        <f ca="1"/>
        <v>25</v>
      </c>
      <c r="E1124" t="str">
        <f ca="1"/>
        <v>MXN</v>
      </c>
      <c r="F1124" t="str">
        <f ca="1"/>
        <v>Jose Luis Ramirez Gonzalez</v>
      </c>
      <c r="G1124" t="str">
        <f ca="1"/>
        <v>TELCEL RECARGAS FONY   CIUDAD DE MEX MEX</v>
      </c>
      <c r="H1124" t="str">
        <f ca="1"/>
        <v>Telcel</v>
      </c>
      <c r="I1124" t="str">
        <f ca="1"/>
        <v>Sales</v>
      </c>
      <c r="J1124" t="str">
        <f ca="1"/>
        <v>PO1953-INTERNET PROYECTO</v>
      </c>
      <c r="K1124" t="str">
        <f ca="1"/>
        <v>.</v>
      </c>
      <c r="L1124" t="str">
        <f ca="1">VLOOKUP(B1124,[1]Total!$B:$Q,16,0)</f>
        <v>603.81.006 Gastos Administativos de venta</v>
      </c>
      <c r="M1124">
        <f t="shared" ca="1" si="35"/>
        <v>25</v>
      </c>
      <c r="N1124" t="str">
        <f t="shared" ca="1" si="36"/>
        <v xml:space="preserve">Jose Luis Ramirez Gonzalez TELCEL RECARGAS FONY   CIUDAD DE MEX MEX Telcel Sales PO1953-INTERNET PROYECTO . </v>
      </c>
    </row>
    <row r="1125" spans="1:14">
      <c r="A1125" t="str">
        <f ca="1"/>
        <v>TRX1414</v>
      </c>
      <c r="B1125" t="str">
        <f ca="1"/>
        <v>-</v>
      </c>
      <c r="C1125">
        <f ca="1"/>
        <v>46067.417361111096</v>
      </c>
      <c r="D1125">
        <f ca="1"/>
        <v>15</v>
      </c>
      <c r="E1125" t="str">
        <f ca="1"/>
        <v>MXN</v>
      </c>
      <c r="F1125" t="str">
        <f ca="1"/>
        <v>Jose Luis Ramirez Gonzalez</v>
      </c>
      <c r="G1125" t="str">
        <f ca="1"/>
        <v>TELCEL RECARGAS FONY   CIUDAD DE MEX MEX</v>
      </c>
      <c r="H1125" t="str">
        <f ca="1"/>
        <v>Telcel</v>
      </c>
      <c r="I1125" t="str">
        <f ca="1"/>
        <v>Sales</v>
      </c>
      <c r="J1125" t="str">
        <f ca="1"/>
        <v>PO1953-INTERNET PROYECTO</v>
      </c>
      <c r="K1125" t="str">
        <f ca="1"/>
        <v>.</v>
      </c>
      <c r="L1125" t="str">
        <f ca="1">VLOOKUP(B1125,[1]Total!$B:$Q,16,0)</f>
        <v>603.81.006 Gastos Administativos de venta</v>
      </c>
      <c r="M1125">
        <f t="shared" ca="1" si="35"/>
        <v>15</v>
      </c>
      <c r="N1125" t="str">
        <f t="shared" ca="1" si="36"/>
        <v xml:space="preserve">Jose Luis Ramirez Gonzalez TELCEL RECARGAS FONY   CIUDAD DE MEX MEX Telcel Sales PO1953-INTERNET PROYECTO . </v>
      </c>
    </row>
    <row r="1126" spans="1:14">
      <c r="A1126" t="str">
        <f ca="1"/>
        <v>TRX1947</v>
      </c>
      <c r="B1126" t="str">
        <f ca="1"/>
        <v>-</v>
      </c>
      <c r="C1126">
        <f ca="1"/>
        <v>46068.416666666599</v>
      </c>
      <c r="D1126">
        <f ca="1"/>
        <v>382.35</v>
      </c>
      <c r="E1126" t="str">
        <f ca="1"/>
        <v>MXN</v>
      </c>
      <c r="F1126" t="str">
        <f ca="1"/>
        <v>Jose Luis Ramirez Gonzalez</v>
      </c>
      <c r="G1126" t="str">
        <f ca="1"/>
        <v>GASOL ES 06481         TOLUCA EM     MEX</v>
      </c>
      <c r="H1126" t="str">
        <f ca="1"/>
        <v>Gasol Es Toluca Em Mex</v>
      </c>
      <c r="I1126" t="str">
        <f ca="1"/>
        <v>Sales</v>
      </c>
      <c r="J1126" t="str">
        <f ca="1"/>
        <v>PO1953- GASOLINA TRASLADO</v>
      </c>
      <c r="K1126" t="str">
        <f ca="1"/>
        <v>B5671201-B519-4867-B65A-91E107946280</v>
      </c>
      <c r="L1126" t="str">
        <f ca="1">VLOOKUP(B1126,[1]Total!$B:$Q,16,0)</f>
        <v>603.81.006 Gastos Administativos de venta</v>
      </c>
      <c r="M1126">
        <f t="shared" ca="1" si="35"/>
        <v>382.35</v>
      </c>
      <c r="N1126" t="str">
        <f t="shared" ca="1" si="36"/>
        <v xml:space="preserve">Jose Luis Ramirez Gonzalez GASOL ES 06481         TOLUCA EM     MEX Gasol Es Toluca Em Mex Sales PO1953- GASOLINA TRASLADO B5671201-B519-4867-B65A-91E107946280 </v>
      </c>
    </row>
    <row r="1127" spans="1:14">
      <c r="A1127" t="str">
        <f ca="1"/>
        <v>TRX1075</v>
      </c>
      <c r="B1127" t="str">
        <f ca="1"/>
        <v>-</v>
      </c>
      <c r="C1127">
        <f ca="1"/>
        <v>46068.416666666599</v>
      </c>
      <c r="D1127">
        <f ca="1"/>
        <v>810</v>
      </c>
      <c r="E1127" t="str">
        <f ca="1"/>
        <v>MXN</v>
      </c>
      <c r="F1127" t="str">
        <f ca="1"/>
        <v>Jose Luis Ramirez Gonzalez</v>
      </c>
      <c r="G1127" t="str">
        <f ca="1"/>
        <v>MERCADOPAGO *PASE      MIGUEL HIDALG MEX</v>
      </c>
      <c r="H1127" t="str">
        <f ca="1"/>
        <v>Mercadopago</v>
      </c>
      <c r="I1127" t="str">
        <f ca="1"/>
        <v>Sales</v>
      </c>
      <c r="J1127" t="str">
        <f ca="1"/>
        <v xml:space="preserve">PO1953-CASETAS </v>
      </c>
      <c r="K1127" t="str">
        <f ca="1"/>
        <v>367913D7-CF6F-4EC7-8480-5E6C66D89B5A</v>
      </c>
      <c r="L1127" t="str">
        <f ca="1">VLOOKUP(B1127,[1]Total!$B:$Q,16,0)</f>
        <v>603.81.006 Gastos Administativos de venta</v>
      </c>
      <c r="M1127">
        <f t="shared" ca="1" si="35"/>
        <v>810</v>
      </c>
      <c r="N1127" t="str">
        <f t="shared" ca="1" si="36"/>
        <v xml:space="preserve">Jose Luis Ramirez Gonzalez MERCADOPAGO *PASE      MIGUEL HIDALG MEX Mercadopago Sales PO1953-CASETAS  367913D7-CF6F-4EC7-8480-5E6C66D89B5A </v>
      </c>
    </row>
    <row r="1128" spans="1:14">
      <c r="A1128" t="str">
        <f ca="1"/>
        <v>TRX1665</v>
      </c>
      <c r="B1128" t="str">
        <f ca="1"/>
        <v>-</v>
      </c>
      <c r="C1128">
        <f ca="1"/>
        <v>46068.417361111096</v>
      </c>
      <c r="D1128">
        <f ca="1"/>
        <v>25</v>
      </c>
      <c r="E1128" t="str">
        <f ca="1"/>
        <v>MXN</v>
      </c>
      <c r="F1128" t="str">
        <f ca="1"/>
        <v>Jose Luis Ramirez Gonzalez</v>
      </c>
      <c r="G1128" t="str">
        <f ca="1"/>
        <v>TELCEL RECARGAS FONY   CIUDAD DE MEX MEX</v>
      </c>
      <c r="H1128" t="str">
        <f ca="1"/>
        <v>Telcel</v>
      </c>
      <c r="I1128" t="str">
        <f ca="1"/>
        <v>Sales</v>
      </c>
      <c r="J1128" t="str">
        <f ca="1"/>
        <v>PO1953-INTERNET PROYECTO</v>
      </c>
      <c r="K1128" t="str">
        <f ca="1"/>
        <v>.</v>
      </c>
      <c r="L1128" t="str">
        <f ca="1">VLOOKUP(B1128,[1]Total!$B:$Q,16,0)</f>
        <v>603.81.006 Gastos Administativos de venta</v>
      </c>
      <c r="M1128">
        <f t="shared" ca="1" si="35"/>
        <v>25</v>
      </c>
      <c r="N1128" t="str">
        <f t="shared" ca="1" si="36"/>
        <v xml:space="preserve">Jose Luis Ramirez Gonzalez TELCEL RECARGAS FONY   CIUDAD DE MEX MEX Telcel Sales PO1953-INTERNET PROYECTO . </v>
      </c>
    </row>
    <row r="1129" spans="1:14">
      <c r="A1129" t="str">
        <f ca="1"/>
        <v>TRX1986</v>
      </c>
      <c r="B1129" t="str">
        <f ca="1"/>
        <v>-</v>
      </c>
      <c r="C1129">
        <f ca="1"/>
        <v>46068.417361111096</v>
      </c>
      <c r="D1129">
        <f ca="1"/>
        <v>25</v>
      </c>
      <c r="E1129" t="str">
        <f ca="1"/>
        <v>MXN</v>
      </c>
      <c r="F1129" t="str">
        <f ca="1"/>
        <v>Jose Luis Ramirez Gonzalez</v>
      </c>
      <c r="G1129" t="str">
        <f ca="1"/>
        <v>TELCEL RECARGAS FONY   CIUDAD DE MEX MEX</v>
      </c>
      <c r="H1129" t="str">
        <f ca="1"/>
        <v>Telcel</v>
      </c>
      <c r="I1129" t="str">
        <f ca="1"/>
        <v>Sales</v>
      </c>
      <c r="J1129" t="str">
        <f ca="1"/>
        <v>PO1953-INTERNET PROYECTO</v>
      </c>
      <c r="K1129" t="str">
        <f ca="1"/>
        <v>.</v>
      </c>
      <c r="L1129" t="str">
        <f ca="1">VLOOKUP(B1129,[1]Total!$B:$Q,16,0)</f>
        <v>603.81.006 Gastos Administativos de venta</v>
      </c>
      <c r="M1129">
        <f t="shared" ca="1" si="35"/>
        <v>25</v>
      </c>
      <c r="N1129" t="str">
        <f t="shared" ca="1" si="36"/>
        <v xml:space="preserve">Jose Luis Ramirez Gonzalez TELCEL RECARGAS FONY   CIUDAD DE MEX MEX Telcel Sales PO1953-INTERNET PROYECTO . </v>
      </c>
    </row>
    <row r="1130" spans="1:14">
      <c r="A1130" t="str">
        <f ca="1"/>
        <v>TRX1785</v>
      </c>
      <c r="B1130" t="str">
        <f ca="1"/>
        <v>-</v>
      </c>
      <c r="C1130">
        <f ca="1"/>
        <v>46068.417361111096</v>
      </c>
      <c r="D1130">
        <f ca="1"/>
        <v>25</v>
      </c>
      <c r="E1130" t="str">
        <f ca="1"/>
        <v>MXN</v>
      </c>
      <c r="F1130" t="str">
        <f ca="1"/>
        <v>Jose Luis Ramirez Gonzalez</v>
      </c>
      <c r="G1130" t="str">
        <f ca="1"/>
        <v>TELCEL RECARGAS FONY   CIUDAD DE MEX MEX</v>
      </c>
      <c r="H1130" t="str">
        <f ca="1"/>
        <v>Telcel</v>
      </c>
      <c r="I1130" t="str">
        <f ca="1"/>
        <v>Sales</v>
      </c>
      <c r="J1130" t="str">
        <f ca="1"/>
        <v>PO1953-INTERNET PROYECTO</v>
      </c>
      <c r="K1130" t="str">
        <f ca="1"/>
        <v>.</v>
      </c>
      <c r="L1130" t="str">
        <f ca="1">VLOOKUP(B1130,[1]Total!$B:$Q,16,0)</f>
        <v>603.81.006 Gastos Administativos de venta</v>
      </c>
      <c r="M1130">
        <f t="shared" ca="1" si="35"/>
        <v>25</v>
      </c>
      <c r="N1130" t="str">
        <f t="shared" ca="1" si="36"/>
        <v xml:space="preserve">Jose Luis Ramirez Gonzalez TELCEL RECARGAS FONY   CIUDAD DE MEX MEX Telcel Sales PO1953-INTERNET PROYECTO . </v>
      </c>
    </row>
    <row r="1131" spans="1:14">
      <c r="A1131" t="str">
        <f ca="1"/>
        <v>TRX1062</v>
      </c>
      <c r="B1131" t="str">
        <f ca="1"/>
        <v>-</v>
      </c>
      <c r="C1131">
        <f ca="1"/>
        <v>46068.417361111096</v>
      </c>
      <c r="D1131">
        <f ca="1"/>
        <v>402.6</v>
      </c>
      <c r="E1131" t="str">
        <f ca="1"/>
        <v>MXN</v>
      </c>
      <c r="F1131" t="str">
        <f ca="1"/>
        <v>Jose Luis Ramirez Gonzalez</v>
      </c>
      <c r="G1131" t="str">
        <f ca="1"/>
        <v>SUSHI VALLE DE BRAVO   VALLE DE BRAV MEX</v>
      </c>
      <c r="H1131" t="str">
        <f ca="1"/>
        <v>Sushi Valle De Bravo Valle De Brav Mex</v>
      </c>
      <c r="I1131" t="str">
        <f ca="1"/>
        <v>Sales</v>
      </c>
      <c r="J1131" t="str">
        <f ca="1"/>
        <v xml:space="preserve">PO1953-comida viernes personal </v>
      </c>
      <c r="K1131" t="str">
        <f ca="1"/>
        <v>B5671201-B519-4867-B65A-91E107946280</v>
      </c>
      <c r="L1131" t="str">
        <f ca="1">VLOOKUP(B1131,[1]Total!$B:$Q,16,0)</f>
        <v>603.81.006 Gastos Administativos de venta</v>
      </c>
      <c r="M1131">
        <f t="shared" ca="1" si="35"/>
        <v>402.6</v>
      </c>
      <c r="N1131" t="str">
        <f t="shared" ca="1" si="36"/>
        <v xml:space="preserve">Jose Luis Ramirez Gonzalez SUSHI VALLE DE BRAVO   VALLE DE BRAV MEX Sushi Valle De Bravo Valle De Brav Mex Sales PO1953-comida viernes personal  B5671201-B519-4867-B65A-91E107946280 </v>
      </c>
    </row>
    <row r="1132" spans="1:14">
      <c r="A1132" t="str">
        <f ca="1"/>
        <v>TRX1716</v>
      </c>
      <c r="B1132" t="str">
        <f ca="1"/>
        <v>-</v>
      </c>
      <c r="C1132">
        <f ca="1"/>
        <v>46069.416666666599</v>
      </c>
      <c r="D1132">
        <f ca="1"/>
        <v>382.35</v>
      </c>
      <c r="E1132" t="str">
        <f ca="1"/>
        <v>MXN</v>
      </c>
      <c r="F1132" t="str">
        <f ca="1"/>
        <v>Jose Luis Ramirez Gonzalez</v>
      </c>
      <c r="G1132" t="str">
        <f ca="1"/>
        <v>GASOL ES 06481         TOLUCA EM     MEX</v>
      </c>
      <c r="H1132" t="str">
        <f ca="1"/>
        <v>Gasol Es Toluca Em Mex</v>
      </c>
      <c r="I1132" t="str">
        <f ca="1"/>
        <v>Sales</v>
      </c>
      <c r="J1132" t="str">
        <f ca="1"/>
        <v>PO1953- GASOLINA TRASLADO</v>
      </c>
      <c r="K1132" t="str">
        <f ca="1"/>
        <v>8259f4f0-d1a0-4509-a6f6-e6c2d0760132</v>
      </c>
      <c r="L1132" t="str">
        <f ca="1">VLOOKUP(B1132,[1]Total!$B:$Q,16,0)</f>
        <v>603.81.006 Gastos Administativos de venta</v>
      </c>
      <c r="M1132">
        <f t="shared" ca="1" si="35"/>
        <v>382.35</v>
      </c>
      <c r="N1132" t="str">
        <f t="shared" ca="1" si="36"/>
        <v xml:space="preserve">Jose Luis Ramirez Gonzalez GASOL ES 06481         TOLUCA EM     MEX Gasol Es Toluca Em Mex Sales PO1953- GASOLINA TRASLADO 8259f4f0-d1a0-4509-a6f6-e6c2d0760132 </v>
      </c>
    </row>
    <row r="1133" spans="1:14">
      <c r="A1133" t="str">
        <f ca="1"/>
        <v>TRX1096</v>
      </c>
      <c r="B1133" t="str">
        <f ca="1"/>
        <v>-</v>
      </c>
      <c r="C1133">
        <f ca="1"/>
        <v>46069.416666666599</v>
      </c>
      <c r="D1133">
        <f ca="1"/>
        <v>258.95999999999998</v>
      </c>
      <c r="E1133" t="str">
        <f ca="1"/>
        <v>MXN</v>
      </c>
      <c r="F1133" t="str">
        <f ca="1"/>
        <v>Jose Luis Ramirez Gonzalez</v>
      </c>
      <c r="G1133" t="str">
        <f ca="1"/>
        <v>UBER * EATS PENDING    CMX           MEX</v>
      </c>
      <c r="H1133" t="str">
        <f ca="1"/>
        <v>Uber Eats</v>
      </c>
      <c r="I1133" t="str">
        <f ca="1"/>
        <v>Sales</v>
      </c>
      <c r="J1133" t="str">
        <f ca="1"/>
        <v xml:space="preserve">PO1953-comida </v>
      </c>
      <c r="K1133" t="str">
        <f ca="1"/>
        <v>C0C3277D-97F6-537F-BBA9-DCB3C2F48604</v>
      </c>
      <c r="L1133" t="str">
        <f ca="1">VLOOKUP(B1133,[1]Total!$B:$Q,16,0)</f>
        <v>603.81.006 Gastos Administativos de venta</v>
      </c>
      <c r="M1133">
        <f t="shared" ca="1" si="35"/>
        <v>258.95999999999998</v>
      </c>
      <c r="N1133" t="str">
        <f t="shared" ca="1" si="36"/>
        <v xml:space="preserve">Jose Luis Ramirez Gonzalez UBER * EATS PENDING    CMX           MEX Uber Eats Sales PO1953-comida  C0C3277D-97F6-537F-BBA9-DCB3C2F48604 </v>
      </c>
    </row>
    <row r="1134" spans="1:14">
      <c r="A1134" t="str">
        <f ca="1"/>
        <v>TRX1458</v>
      </c>
      <c r="B1134" t="str">
        <f ca="1"/>
        <v>-</v>
      </c>
      <c r="C1134">
        <f ca="1"/>
        <v>46069.416666666599</v>
      </c>
      <c r="D1134">
        <f ca="1"/>
        <v>25</v>
      </c>
      <c r="E1134" t="str">
        <f ca="1"/>
        <v>MXN</v>
      </c>
      <c r="F1134" t="str">
        <f ca="1"/>
        <v>Jose Luis Ramirez Gonzalez</v>
      </c>
      <c r="G1134" t="str">
        <f ca="1"/>
        <v>TELCEL RECARGAS FONY   CIUDAD DE MEX MEX</v>
      </c>
      <c r="H1134" t="str">
        <f ca="1"/>
        <v>Telcel</v>
      </c>
      <c r="I1134" t="str">
        <f ca="1"/>
        <v>Sales</v>
      </c>
      <c r="J1134" t="str">
        <f ca="1"/>
        <v>PO1953-INTERNET PROYECTO</v>
      </c>
      <c r="K1134" t="str">
        <f ca="1"/>
        <v>.</v>
      </c>
      <c r="L1134" t="str">
        <f ca="1">VLOOKUP(B1134,[1]Total!$B:$Q,16,0)</f>
        <v>603.81.006 Gastos Administativos de venta</v>
      </c>
      <c r="M1134">
        <f t="shared" ca="1" si="35"/>
        <v>25</v>
      </c>
      <c r="N1134" t="str">
        <f t="shared" ca="1" si="36"/>
        <v xml:space="preserve">Jose Luis Ramirez Gonzalez TELCEL RECARGAS FONY   CIUDAD DE MEX MEX Telcel Sales PO1953-INTERNET PROYECTO . </v>
      </c>
    </row>
    <row r="1135" spans="1:14">
      <c r="A1135" t="str">
        <f ca="1"/>
        <v>TRX1173</v>
      </c>
      <c r="B1135" t="str">
        <f ca="1"/>
        <v>-</v>
      </c>
      <c r="C1135">
        <f ca="1"/>
        <v>46069.416666666599</v>
      </c>
      <c r="D1135">
        <f ca="1"/>
        <v>25</v>
      </c>
      <c r="E1135" t="str">
        <f ca="1"/>
        <v>MXN</v>
      </c>
      <c r="F1135" t="str">
        <f ca="1"/>
        <v>Jose Luis Ramirez Gonzalez</v>
      </c>
      <c r="G1135" t="str">
        <f ca="1"/>
        <v>TELCEL RECARGAS FONY   CIUDAD DE MEX MEX</v>
      </c>
      <c r="H1135" t="str">
        <f ca="1"/>
        <v>Telcel</v>
      </c>
      <c r="I1135" t="str">
        <f ca="1"/>
        <v>Sales</v>
      </c>
      <c r="J1135" t="str">
        <f ca="1"/>
        <v>PO1953-INTERNET PROYECTO</v>
      </c>
      <c r="K1135" t="str">
        <f ca="1"/>
        <v>.</v>
      </c>
      <c r="L1135" t="str">
        <f ca="1">VLOOKUP(B1135,[1]Total!$B:$Q,16,0)</f>
        <v>603.81.006 Gastos Administativos de venta</v>
      </c>
      <c r="M1135">
        <f t="shared" ca="1" si="35"/>
        <v>25</v>
      </c>
      <c r="N1135" t="str">
        <f t="shared" ca="1" si="36"/>
        <v xml:space="preserve">Jose Luis Ramirez Gonzalez TELCEL RECARGAS FONY   CIUDAD DE MEX MEX Telcel Sales PO1953-INTERNET PROYECTO . </v>
      </c>
    </row>
    <row r="1136" spans="1:14">
      <c r="A1136" t="str">
        <f ca="1"/>
        <v>TRX1479</v>
      </c>
      <c r="B1136" t="str">
        <f ca="1"/>
        <v>-</v>
      </c>
      <c r="C1136">
        <f ca="1"/>
        <v>46070.416666666599</v>
      </c>
      <c r="D1136">
        <f ca="1"/>
        <v>410</v>
      </c>
      <c r="E1136" t="str">
        <f ca="1"/>
        <v>MXN</v>
      </c>
      <c r="F1136" t="str">
        <f ca="1"/>
        <v>Jose Luis Ramirez Gonzalez</v>
      </c>
      <c r="G1136" t="str">
        <f ca="1"/>
        <v>MERCADOPAGO *PASE      MIGUEL HIDALG MEX</v>
      </c>
      <c r="H1136" t="str">
        <f ca="1"/>
        <v>Mercadopago</v>
      </c>
      <c r="I1136" t="str">
        <f ca="1"/>
        <v>Sales</v>
      </c>
      <c r="J1136" t="str">
        <f ca="1"/>
        <v xml:space="preserve">PO1953-CASETAS </v>
      </c>
      <c r="K1136" t="str">
        <f ca="1"/>
        <v>C3D22A2D-EEAC-4C0D-B0F4-F03F9BB1DBC6</v>
      </c>
      <c r="L1136" t="str">
        <f ca="1">VLOOKUP(B1136,[1]Total!$B:$Q,16,0)</f>
        <v>603.81.006 Gastos Administativos de venta</v>
      </c>
      <c r="M1136">
        <f t="shared" ca="1" si="35"/>
        <v>410</v>
      </c>
      <c r="N1136" t="str">
        <f t="shared" ca="1" si="36"/>
        <v xml:space="preserve">Jose Luis Ramirez Gonzalez MERCADOPAGO *PASE      MIGUEL HIDALG MEX Mercadopago Sales PO1953-CASETAS  C3D22A2D-EEAC-4C0D-B0F4-F03F9BB1DBC6 </v>
      </c>
    </row>
    <row r="1137" spans="1:14">
      <c r="A1137" t="str">
        <f ca="1"/>
        <v>TRX1521</v>
      </c>
      <c r="B1137" t="str">
        <f ca="1"/>
        <v>-</v>
      </c>
      <c r="C1137">
        <f ca="1"/>
        <v>46070.416666666599</v>
      </c>
      <c r="D1137">
        <f ca="1"/>
        <v>25</v>
      </c>
      <c r="E1137" t="str">
        <f ca="1"/>
        <v>MXN</v>
      </c>
      <c r="F1137" t="str">
        <f ca="1"/>
        <v>Jose Luis Ramirez Gonzalez</v>
      </c>
      <c r="G1137" t="str">
        <f ca="1"/>
        <v>TELCEL RECARGAS FONY   CIUDAD DE MEX MEX</v>
      </c>
      <c r="H1137" t="str">
        <f ca="1"/>
        <v>Telcel</v>
      </c>
      <c r="I1137" t="str">
        <f ca="1"/>
        <v>Sales</v>
      </c>
      <c r="J1137" t="str">
        <f ca="1"/>
        <v>PO1953-INTERNET PROYECTO</v>
      </c>
      <c r="K1137" t="str">
        <f ca="1"/>
        <v>.</v>
      </c>
      <c r="L1137" t="str">
        <f ca="1">VLOOKUP(B1137,[1]Total!$B:$Q,16,0)</f>
        <v>603.81.006 Gastos Administativos de venta</v>
      </c>
      <c r="M1137">
        <f t="shared" ca="1" si="35"/>
        <v>25</v>
      </c>
      <c r="N1137" t="str">
        <f t="shared" ca="1" si="36"/>
        <v xml:space="preserve">Jose Luis Ramirez Gonzalez TELCEL RECARGAS FONY   CIUDAD DE MEX MEX Telcel Sales PO1953-INTERNET PROYECTO . </v>
      </c>
    </row>
    <row r="1138" spans="1:14">
      <c r="A1138" t="str">
        <f ca="1"/>
        <v>TRX1353</v>
      </c>
      <c r="B1138" t="str">
        <f ca="1"/>
        <v>-</v>
      </c>
      <c r="C1138">
        <f ca="1"/>
        <v>46071.416666666599</v>
      </c>
      <c r="D1138">
        <f ca="1"/>
        <v>755.7</v>
      </c>
      <c r="E1138" t="str">
        <f ca="1"/>
        <v>MXN</v>
      </c>
      <c r="F1138" t="str">
        <f ca="1"/>
        <v>Jose Luis Ramirez Gonzalez</v>
      </c>
      <c r="G1138" t="str">
        <f ca="1"/>
        <v>GAS DUERO              TOLUCA EM     MEX</v>
      </c>
      <c r="H1138" t="str">
        <f ca="1"/>
        <v>Gas Duero Toluca Em Mex</v>
      </c>
      <c r="I1138" t="str">
        <f ca="1"/>
        <v>Sales</v>
      </c>
      <c r="J1138" t="str">
        <f ca="1"/>
        <v>PO1953- GASOLINA TRASLADO</v>
      </c>
      <c r="K1138" t="str">
        <f ca="1"/>
        <v>.</v>
      </c>
      <c r="L1138" t="str">
        <f ca="1">VLOOKUP(B1138,[1]Total!$B:$Q,16,0)</f>
        <v>603.81.006 Gastos Administativos de venta</v>
      </c>
      <c r="M1138">
        <f t="shared" ca="1" si="35"/>
        <v>755.7</v>
      </c>
      <c r="N1138" t="str">
        <f t="shared" ca="1" si="36"/>
        <v xml:space="preserve">Jose Luis Ramirez Gonzalez GAS DUERO              TOLUCA EM     MEX Gas Duero Toluca Em Mex Sales PO1953- GASOLINA TRASLADO . </v>
      </c>
    </row>
    <row r="1139" spans="1:14">
      <c r="A1139" t="str">
        <f ca="1"/>
        <v>TRX1809</v>
      </c>
      <c r="B1139" t="str">
        <f ca="1"/>
        <v>-</v>
      </c>
      <c r="C1139">
        <f ca="1"/>
        <v>46071.416666666599</v>
      </c>
      <c r="D1139">
        <f ca="1"/>
        <v>810</v>
      </c>
      <c r="E1139" t="str">
        <f ca="1"/>
        <v>MXN</v>
      </c>
      <c r="F1139" t="str">
        <f ca="1"/>
        <v>Jose Luis Ramirez Gonzalez</v>
      </c>
      <c r="G1139" t="str">
        <f ca="1"/>
        <v>MERCADOPAGO *PASE      MIGUEL HIDALG MEX</v>
      </c>
      <c r="H1139" t="str">
        <f ca="1"/>
        <v>Mercadopago</v>
      </c>
      <c r="I1139" t="str">
        <f ca="1"/>
        <v>Sales</v>
      </c>
      <c r="J1139" t="str">
        <f ca="1"/>
        <v xml:space="preserve">PO1953-CASETAS </v>
      </c>
      <c r="K1139" t="str">
        <f ca="1"/>
        <v>A450B174-8201-4D8F-9BBE-24AC79AD5B0E</v>
      </c>
      <c r="L1139" t="str">
        <f ca="1">VLOOKUP(B1139,[1]Total!$B:$Q,16,0)</f>
        <v>603.81.006 Gastos Administativos de venta</v>
      </c>
      <c r="M1139">
        <f t="shared" ca="1" si="35"/>
        <v>810</v>
      </c>
      <c r="N1139" t="str">
        <f t="shared" ca="1" si="36"/>
        <v xml:space="preserve">Jose Luis Ramirez Gonzalez MERCADOPAGO *PASE      MIGUEL HIDALG MEX Mercadopago Sales PO1953-CASETAS  A450B174-8201-4D8F-9BBE-24AC79AD5B0E </v>
      </c>
    </row>
    <row r="1140" spans="1:14">
      <c r="A1140" t="str">
        <f ca="1"/>
        <v>TRX1457</v>
      </c>
      <c r="B1140" t="str">
        <f ca="1"/>
        <v>-</v>
      </c>
      <c r="C1140">
        <f ca="1"/>
        <v>46071.417361111096</v>
      </c>
      <c r="D1140">
        <f ca="1"/>
        <v>65</v>
      </c>
      <c r="E1140" t="str">
        <f ca="1"/>
        <v>MXN</v>
      </c>
      <c r="F1140" t="str">
        <f ca="1"/>
        <v>Jose Luis Ramirez Gonzalez</v>
      </c>
      <c r="G1140" t="str">
        <f ca="1"/>
        <v>PITS CORTADITO TOLUCA  ALMOLOYA DE J MEX</v>
      </c>
      <c r="H1140" t="str">
        <f ca="1"/>
        <v>Pits Cortadito Toluca Almoloya De J Mex</v>
      </c>
      <c r="I1140" t="str">
        <f ca="1"/>
        <v>Sales</v>
      </c>
      <c r="J1140" t="str">
        <f ca="1"/>
        <v>PO1953-DESAYUNO PERSONAL</v>
      </c>
      <c r="K1140" t="str">
        <f ca="1"/>
        <v>740A3571-763B-134E-A297-D9978661FF8E</v>
      </c>
      <c r="L1140" t="str">
        <f ca="1">VLOOKUP(B1140,[1]Total!$B:$Q,16,0)</f>
        <v>603.81.006 Gastos Administativos de venta</v>
      </c>
      <c r="M1140">
        <f t="shared" ca="1" si="35"/>
        <v>65</v>
      </c>
      <c r="N1140" t="str">
        <f t="shared" ca="1" si="36"/>
        <v xml:space="preserve">Jose Luis Ramirez Gonzalez PITS CORTADITO TOLUCA  ALMOLOYA DE J MEX Pits Cortadito Toluca Almoloya De J Mex Sales PO1953-DESAYUNO PERSONAL 740A3571-763B-134E-A297-D9978661FF8E </v>
      </c>
    </row>
    <row r="1141" spans="1:14">
      <c r="A1141" t="str">
        <f ca="1"/>
        <v>TRX1254</v>
      </c>
      <c r="B1141" t="str">
        <f ca="1"/>
        <v>-</v>
      </c>
      <c r="C1141">
        <f ca="1"/>
        <v>46071.417361111096</v>
      </c>
      <c r="D1141">
        <f ca="1"/>
        <v>25</v>
      </c>
      <c r="E1141" t="str">
        <f ca="1"/>
        <v>MXN</v>
      </c>
      <c r="F1141" t="str">
        <f ca="1"/>
        <v>Jose Luis Ramirez Gonzalez</v>
      </c>
      <c r="G1141" t="str">
        <f ca="1"/>
        <v>TELCEL RECARGAS FONY   CIUDAD DE MEX MEX</v>
      </c>
      <c r="H1141" t="str">
        <f ca="1"/>
        <v>Telcel</v>
      </c>
      <c r="I1141" t="str">
        <f ca="1"/>
        <v>Sales</v>
      </c>
      <c r="J1141" t="str">
        <f ca="1"/>
        <v>PO1953-INTERNET PROYECTO</v>
      </c>
      <c r="K1141" t="str">
        <f ca="1"/>
        <v>.</v>
      </c>
      <c r="L1141" t="str">
        <f ca="1">VLOOKUP(B1141,[1]Total!$B:$Q,16,0)</f>
        <v>603.81.006 Gastos Administativos de venta</v>
      </c>
      <c r="M1141">
        <f t="shared" ca="1" si="35"/>
        <v>25</v>
      </c>
      <c r="N1141" t="str">
        <f t="shared" ca="1" si="36"/>
        <v xml:space="preserve">Jose Luis Ramirez Gonzalez TELCEL RECARGAS FONY   CIUDAD DE MEX MEX Telcel Sales PO1953-INTERNET PROYECTO . </v>
      </c>
    </row>
    <row r="1142" spans="1:14">
      <c r="A1142" t="str">
        <f ca="1"/>
        <v>TRX1404</v>
      </c>
      <c r="B1142" t="str">
        <f ca="1"/>
        <v>-</v>
      </c>
      <c r="C1142">
        <f ca="1"/>
        <v>46072.416666666599</v>
      </c>
      <c r="D1142">
        <f ca="1"/>
        <v>1510</v>
      </c>
      <c r="E1142" t="str">
        <f ca="1"/>
        <v>MXN</v>
      </c>
      <c r="F1142" t="str">
        <f ca="1"/>
        <v>Jose Luis Ramirez Gonzalez</v>
      </c>
      <c r="G1142" t="str">
        <f ca="1"/>
        <v>MERCADOPAGO *PASE      MIGUEL HIDALG MEX</v>
      </c>
      <c r="H1142" t="str">
        <f ca="1"/>
        <v>Mercadopago</v>
      </c>
      <c r="I1142" t="str">
        <f ca="1"/>
        <v>Sales</v>
      </c>
      <c r="J1142" t="str">
        <f ca="1"/>
        <v xml:space="preserve">PO1953-CASETAS </v>
      </c>
      <c r="K1142" t="str">
        <f ca="1"/>
        <v>F88A79C0-7F5E-44F2-A2FE-356DB89792B2</v>
      </c>
      <c r="L1142" t="str">
        <f ca="1">VLOOKUP(B1142,[1]Total!$B:$Q,16,0)</f>
        <v>603.81.006 Gastos Administativos de venta</v>
      </c>
      <c r="M1142">
        <f t="shared" ca="1" si="35"/>
        <v>1510</v>
      </c>
      <c r="N1142" t="str">
        <f t="shared" ca="1" si="36"/>
        <v xml:space="preserve">Jose Luis Ramirez Gonzalez MERCADOPAGO *PASE      MIGUEL HIDALG MEX Mercadopago Sales PO1953-CASETAS  F88A79C0-7F5E-44F2-A2FE-356DB89792B2 </v>
      </c>
    </row>
    <row r="1143" spans="1:14">
      <c r="A1143" t="str">
        <f ca="1"/>
        <v>TRX1776</v>
      </c>
      <c r="B1143" t="str">
        <f ca="1"/>
        <v>-</v>
      </c>
      <c r="C1143">
        <f ca="1"/>
        <v>46072.417361111096</v>
      </c>
      <c r="D1143">
        <f ca="1"/>
        <v>1312</v>
      </c>
      <c r="E1143" t="str">
        <f ca="1"/>
        <v>MXN</v>
      </c>
      <c r="F1143" t="str">
        <f ca="1"/>
        <v>Jose Luis Ramirez Gonzalez</v>
      </c>
      <c r="G1143" t="str">
        <f ca="1"/>
        <v>SUPERCENTER SANTIN     TOLUCA EM     MEX</v>
      </c>
      <c r="H1143" t="str">
        <f ca="1"/>
        <v>Supercenter Santin Toluca Em Mex</v>
      </c>
      <c r="I1143" t="str">
        <f ca="1"/>
        <v>Sales</v>
      </c>
      <c r="J1143" t="str">
        <f ca="1"/>
        <v xml:space="preserve">PO1953-internet proyecto </v>
      </c>
      <c r="K1143" t="str">
        <f ca="1"/>
        <v>E959378A-B26E-465C-88BA-08FCE5FCA71F</v>
      </c>
      <c r="L1143" t="str">
        <f ca="1">VLOOKUP(B1143,[1]Total!$B:$Q,16,0)</f>
        <v>603.81.006 Gastos Administativos de venta</v>
      </c>
      <c r="M1143">
        <f t="shared" ca="1" si="35"/>
        <v>1312</v>
      </c>
      <c r="N1143" t="str">
        <f t="shared" ca="1" si="36"/>
        <v xml:space="preserve">Jose Luis Ramirez Gonzalez SUPERCENTER SANTIN     TOLUCA EM     MEX Supercenter Santin Toluca Em Mex Sales PO1953-internet proyecto  E959378A-B26E-465C-88BA-08FCE5FCA71F </v>
      </c>
    </row>
    <row r="1144" spans="1:14">
      <c r="A1144" t="str">
        <f ca="1"/>
        <v>TRX1634</v>
      </c>
      <c r="B1144" t="str">
        <f ca="1"/>
        <v>-</v>
      </c>
      <c r="C1144">
        <f ca="1"/>
        <v>46072.417361111096</v>
      </c>
      <c r="D1144">
        <f ca="1"/>
        <v>25</v>
      </c>
      <c r="E1144" t="str">
        <f ca="1"/>
        <v>MXN</v>
      </c>
      <c r="F1144" t="str">
        <f ca="1"/>
        <v>Jose Luis Ramirez Gonzalez</v>
      </c>
      <c r="G1144" t="str">
        <f ca="1"/>
        <v>TELCEL RECARGAS FONY   CIUDAD DE MEX MEX</v>
      </c>
      <c r="H1144" t="str">
        <f ca="1"/>
        <v>Telcel</v>
      </c>
      <c r="I1144" t="str">
        <f ca="1"/>
        <v>Sales</v>
      </c>
      <c r="J1144" t="str">
        <f ca="1"/>
        <v>PO1953-INTERNET PROYECTO</v>
      </c>
      <c r="K1144" t="str">
        <f ca="1"/>
        <v>.</v>
      </c>
      <c r="L1144" t="str">
        <f ca="1">VLOOKUP(B1144,[1]Total!$B:$Q,16,0)</f>
        <v>603.81.006 Gastos Administativos de venta</v>
      </c>
      <c r="M1144">
        <f t="shared" ca="1" si="35"/>
        <v>25</v>
      </c>
      <c r="N1144" t="str">
        <f t="shared" ca="1" si="36"/>
        <v xml:space="preserve">Jose Luis Ramirez Gonzalez TELCEL RECARGAS FONY   CIUDAD DE MEX MEX Telcel Sales PO1953-INTERNET PROYECTO . </v>
      </c>
    </row>
    <row r="1145" spans="1:14">
      <c r="A1145" t="str">
        <f ca="1"/>
        <v>TRX1216</v>
      </c>
      <c r="B1145" t="str">
        <f ca="1"/>
        <v>-</v>
      </c>
      <c r="C1145">
        <f ca="1"/>
        <v>46072.417361111096</v>
      </c>
      <c r="D1145">
        <f ca="1"/>
        <v>1701.98</v>
      </c>
      <c r="E1145" t="str">
        <f ca="1"/>
        <v>MXN</v>
      </c>
      <c r="F1145" t="str">
        <f ca="1"/>
        <v>Jose Luis Ramirez Gonzalez</v>
      </c>
      <c r="G1145" t="str">
        <f ca="1"/>
        <v>AIRBNB * HMKF89TWWY    LONDON        GBR</v>
      </c>
      <c r="H1145" t="str">
        <f ca="1"/>
        <v>Airbnb</v>
      </c>
      <c r="I1145" t="str">
        <f ca="1"/>
        <v>Sales</v>
      </c>
      <c r="J1145" t="str">
        <f ca="1"/>
        <v xml:space="preserve">PO1953-Hospedaje </v>
      </c>
      <c r="K1145" t="str">
        <f ca="1"/>
        <v>57E69895-15F0-4CEA-8556-40B8795325A</v>
      </c>
      <c r="L1145" t="str">
        <f ca="1">VLOOKUP(B1145,[1]Total!$B:$Q,16,0)</f>
        <v>603.81.006 Gastos Administativos de venta</v>
      </c>
      <c r="M1145">
        <f t="shared" ca="1" si="35"/>
        <v>1701.98</v>
      </c>
      <c r="N1145" t="str">
        <f t="shared" ca="1" si="36"/>
        <v xml:space="preserve">Jose Luis Ramirez Gonzalez AIRBNB * HMKF89TWWY    LONDON        GBR Airbnb Sales PO1953-Hospedaje  57E69895-15F0-4CEA-8556-40B8795325A </v>
      </c>
    </row>
    <row r="1146" spans="1:14">
      <c r="A1146" t="str">
        <f ca="1"/>
        <v>TRX1232</v>
      </c>
      <c r="B1146" t="str">
        <f ca="1"/>
        <v>-</v>
      </c>
      <c r="C1146">
        <f ca="1"/>
        <v>46073.416666666599</v>
      </c>
      <c r="D1146">
        <f ca="1"/>
        <v>65</v>
      </c>
      <c r="E1146" t="str">
        <f ca="1"/>
        <v>MXN</v>
      </c>
      <c r="F1146" t="str">
        <f ca="1"/>
        <v>Jose Luis Ramirez Gonzalez</v>
      </c>
      <c r="G1146" t="str">
        <f ca="1"/>
        <v>PITS CORTADITO TOLUCA  ALMOLOYA DE J MEX</v>
      </c>
      <c r="H1146" t="str">
        <f ca="1"/>
        <v>Pits Cortadito Toluca Almoloya De J Mex</v>
      </c>
      <c r="I1146" t="str">
        <f ca="1"/>
        <v>Sales</v>
      </c>
      <c r="J1146" t="str">
        <f ca="1"/>
        <v>PO1953-DESAYUNO PERSONAL</v>
      </c>
      <c r="K1146" t="str">
        <f ca="1"/>
        <v>83DC5FC0-F90C-EF42-8BD8-CD1C67050437</v>
      </c>
      <c r="L1146" t="str">
        <f ca="1">VLOOKUP(B1146,[1]Total!$B:$Q,16,0)</f>
        <v>603.81.006 Gastos Administativos de venta</v>
      </c>
      <c r="M1146">
        <f t="shared" ca="1" si="35"/>
        <v>65</v>
      </c>
      <c r="N1146" t="str">
        <f t="shared" ca="1" si="36"/>
        <v xml:space="preserve">Jose Luis Ramirez Gonzalez PITS CORTADITO TOLUCA  ALMOLOYA DE J MEX Pits Cortadito Toluca Almoloya De J Mex Sales PO1953-DESAYUNO PERSONAL 83DC5FC0-F90C-EF42-8BD8-CD1C67050437 </v>
      </c>
    </row>
    <row r="1147" spans="1:14">
      <c r="A1147" t="str">
        <f ca="1"/>
        <v>TRX1461</v>
      </c>
      <c r="B1147" t="str">
        <f ca="1"/>
        <v>-</v>
      </c>
      <c r="C1147">
        <f ca="1"/>
        <v>46073.416666666599</v>
      </c>
      <c r="D1147">
        <f ca="1"/>
        <v>400.35</v>
      </c>
      <c r="E1147" t="str">
        <f ca="1"/>
        <v>MXN</v>
      </c>
      <c r="F1147" t="str">
        <f ca="1"/>
        <v>Jose Luis Ramirez Gonzalez</v>
      </c>
      <c r="G1147" t="str">
        <f ca="1"/>
        <v>PITS GAS EST TOLUCA    ALMOLOYA DE J MEX</v>
      </c>
      <c r="H1147" t="str">
        <f ca="1"/>
        <v>Pits Gas Est Toluca Almoloya De J Mex</v>
      </c>
      <c r="I1147" t="str">
        <f ca="1"/>
        <v>Sales</v>
      </c>
      <c r="J1147" t="str">
        <f ca="1"/>
        <v>PO1953- GASOLINA TRASLADO</v>
      </c>
      <c r="K1147" t="str">
        <f ca="1"/>
        <v>C643EA6C-16A0-4A4C-BCDF-03786769C109</v>
      </c>
      <c r="L1147" t="str">
        <f ca="1">VLOOKUP(B1147,[1]Total!$B:$Q,16,0)</f>
        <v>603.81.006 Gastos Administativos de venta</v>
      </c>
      <c r="M1147">
        <f t="shared" ca="1" si="35"/>
        <v>400.35</v>
      </c>
      <c r="N1147" t="str">
        <f t="shared" ca="1" si="36"/>
        <v xml:space="preserve">Jose Luis Ramirez Gonzalez PITS GAS EST TOLUCA    ALMOLOYA DE J MEX Pits Gas Est Toluca Almoloya De J Mex Sales PO1953- GASOLINA TRASLADO C643EA6C-16A0-4A4C-BCDF-03786769C109 </v>
      </c>
    </row>
    <row r="1148" spans="1:14">
      <c r="A1148" t="str">
        <f ca="1"/>
        <v>TRX1278</v>
      </c>
      <c r="B1148" t="str">
        <f ca="1"/>
        <v>-</v>
      </c>
      <c r="C1148">
        <f ca="1"/>
        <v>46073.416666666599</v>
      </c>
      <c r="D1148">
        <f ca="1"/>
        <v>356</v>
      </c>
      <c r="E1148" t="str">
        <f ca="1"/>
        <v>MXN</v>
      </c>
      <c r="F1148" t="str">
        <f ca="1"/>
        <v>Jose Luis Ramirez Gonzalez</v>
      </c>
      <c r="G1148" t="str">
        <f ca="1"/>
        <v>MISC PITS TOL ZIT      ALMOLOYA DE J MEX</v>
      </c>
      <c r="H1148" t="str">
        <f ca="1"/>
        <v>Misc Pits Tol Zit Almoloya De J Mex</v>
      </c>
      <c r="I1148" t="str">
        <f ca="1"/>
        <v>Sales</v>
      </c>
      <c r="J1148" t="str">
        <f ca="1"/>
        <v>PO1953-DESAYUNO PERSONAL</v>
      </c>
      <c r="K1148" t="str">
        <f ca="1"/>
        <v>9B0AA97F-BFE6-7142-B555-B52BB6D6CBF0</v>
      </c>
      <c r="L1148" t="str">
        <f ca="1">VLOOKUP(B1148,[1]Total!$B:$Q,16,0)</f>
        <v>603.81.006 Gastos Administativos de venta</v>
      </c>
      <c r="M1148">
        <f t="shared" ca="1" si="35"/>
        <v>356</v>
      </c>
      <c r="N1148" t="str">
        <f t="shared" ca="1" si="36"/>
        <v xml:space="preserve">Jose Luis Ramirez Gonzalez MISC PITS TOL ZIT      ALMOLOYA DE J MEX Misc Pits Tol Zit Almoloya De J Mex Sales PO1953-DESAYUNO PERSONAL 9B0AA97F-BFE6-7142-B555-B52BB6D6CBF0 </v>
      </c>
    </row>
    <row r="1149" spans="1:14">
      <c r="A1149" t="str">
        <f ca="1"/>
        <v>TRX1309</v>
      </c>
      <c r="B1149" t="str">
        <f ca="1"/>
        <v>-</v>
      </c>
      <c r="C1149">
        <f ca="1"/>
        <v>46073.416666666599</v>
      </c>
      <c r="D1149">
        <f ca="1"/>
        <v>108</v>
      </c>
      <c r="E1149" t="str">
        <f ca="1"/>
        <v>MXN</v>
      </c>
      <c r="F1149" t="str">
        <f ca="1"/>
        <v>Jose Luis Ramirez Gonzalez</v>
      </c>
      <c r="G1149" t="str">
        <f ca="1"/>
        <v>MISC PITS TOL ZIT      ALMOLOYA DE J MEX</v>
      </c>
      <c r="H1149" t="str">
        <f ca="1"/>
        <v>Misc Pits Tol Zit Almoloya De J Mex</v>
      </c>
      <c r="I1149" t="str">
        <f ca="1"/>
        <v>Sales</v>
      </c>
      <c r="J1149" t="str">
        <f ca="1"/>
        <v>PO1953-DESAYUNO PERSONAL</v>
      </c>
      <c r="K1149" t="str">
        <f ca="1"/>
        <v>35D0FD7E-E260-3C4F-9432-8776E494397B</v>
      </c>
      <c r="L1149" t="str">
        <f ca="1">VLOOKUP(B1149,[1]Total!$B:$Q,16,0)</f>
        <v>603.81.006 Gastos Administativos de venta</v>
      </c>
      <c r="M1149">
        <f t="shared" ca="1" si="35"/>
        <v>108</v>
      </c>
      <c r="N1149" t="str">
        <f t="shared" ca="1" si="36"/>
        <v xml:space="preserve">Jose Luis Ramirez Gonzalez MISC PITS TOL ZIT      ALMOLOYA DE J MEX Misc Pits Tol Zit Almoloya De J Mex Sales PO1953-DESAYUNO PERSONAL 35D0FD7E-E260-3C4F-9432-8776E494397B </v>
      </c>
    </row>
    <row r="1150" spans="1:14">
      <c r="A1150" t="str">
        <f ca="1"/>
        <v>TRX1076</v>
      </c>
      <c r="B1150" t="str">
        <f ca="1"/>
        <v>-</v>
      </c>
      <c r="C1150">
        <f ca="1"/>
        <v>46075.417361111096</v>
      </c>
      <c r="D1150">
        <f ca="1"/>
        <v>400.35</v>
      </c>
      <c r="E1150" t="str">
        <f ca="1"/>
        <v>MXN</v>
      </c>
      <c r="F1150" t="str">
        <f ca="1"/>
        <v>Jose Luis Ramirez Gonzalez</v>
      </c>
      <c r="G1150" t="str">
        <f ca="1"/>
        <v>PITS GAS EST TOLUCA    ALMOLOYA DE J MEX</v>
      </c>
      <c r="H1150" t="str">
        <f ca="1"/>
        <v>Pits Gas Est Toluca Almoloya De J Mex</v>
      </c>
      <c r="I1150" t="str">
        <f ca="1"/>
        <v>Sales</v>
      </c>
      <c r="J1150" t="str">
        <f ca="1"/>
        <v>PO1953- GASOLINA TRASLADO</v>
      </c>
      <c r="K1150" t="str">
        <f ca="1"/>
        <v>FC0205DC-D6D9-4773-8A88-15C85E0A003A</v>
      </c>
      <c r="L1150" t="str">
        <f ca="1">VLOOKUP(B1150,[1]Total!$B:$Q,16,0)</f>
        <v>603.81.006 Gastos Administativos de venta</v>
      </c>
      <c r="M1150">
        <f t="shared" ca="1" si="35"/>
        <v>400.35</v>
      </c>
      <c r="N1150" t="str">
        <f t="shared" ca="1" si="36"/>
        <v xml:space="preserve">Jose Luis Ramirez Gonzalez PITS GAS EST TOLUCA    ALMOLOYA DE J MEX Pits Gas Est Toluca Almoloya De J Mex Sales PO1953- GASOLINA TRASLADO FC0205DC-D6D9-4773-8A88-15C85E0A003A </v>
      </c>
    </row>
    <row r="1151" spans="1:14">
      <c r="A1151" t="str">
        <f ca="1"/>
        <v>TRX1128</v>
      </c>
      <c r="B1151" t="str">
        <f ca="1"/>
        <v>-</v>
      </c>
      <c r="C1151">
        <f ca="1"/>
        <v>46077.416666666599</v>
      </c>
      <c r="D1151">
        <f ca="1"/>
        <v>2381.14</v>
      </c>
      <c r="E1151" t="str">
        <f ca="1"/>
        <v>MXN</v>
      </c>
      <c r="F1151" t="str">
        <f ca="1"/>
        <v>Jose Luis Ramirez Gonzalez</v>
      </c>
      <c r="G1151" t="str">
        <f ca="1"/>
        <v>AIRBNB * HMSMKWFYH2    LONDON        GBR</v>
      </c>
      <c r="H1151" t="str">
        <f ca="1"/>
        <v>Airbnb</v>
      </c>
      <c r="I1151" t="str">
        <f ca="1"/>
        <v>Sales</v>
      </c>
      <c r="J1151" t="str">
        <f ca="1"/>
        <v xml:space="preserve">PO1953-Hospedaje </v>
      </c>
      <c r="K1151" t="str">
        <f ca="1"/>
        <v>BA953584-0BFA-42AD-B6ED-EACDD669248E</v>
      </c>
      <c r="L1151" t="str">
        <f ca="1">VLOOKUP(B1151,[1]Total!$B:$Q,16,0)</f>
        <v>603.81.006 Gastos Administativos de venta</v>
      </c>
      <c r="M1151">
        <f t="shared" ca="1" si="35"/>
        <v>2381.14</v>
      </c>
      <c r="N1151" t="str">
        <f t="shared" ca="1" si="36"/>
        <v xml:space="preserve">Jose Luis Ramirez Gonzalez AIRBNB * HMSMKWFYH2    LONDON        GBR Airbnb Sales PO1953-Hospedaje  BA953584-0BFA-42AD-B6ED-EACDD669248E </v>
      </c>
    </row>
    <row r="1152" spans="1:14">
      <c r="A1152" t="str">
        <f ca="1"/>
        <v>TRX1141</v>
      </c>
      <c r="B1152" t="str">
        <f ca="1"/>
        <v>-</v>
      </c>
      <c r="C1152">
        <f ca="1"/>
        <v>46078.416666666599</v>
      </c>
      <c r="D1152">
        <f ca="1"/>
        <v>1510</v>
      </c>
      <c r="E1152" t="str">
        <f ca="1"/>
        <v>MXN</v>
      </c>
      <c r="F1152" t="str">
        <f ca="1"/>
        <v>Jose Luis Ramirez Gonzalez</v>
      </c>
      <c r="G1152" t="str">
        <f ca="1"/>
        <v>MERCADOPAGO *PASE      MIGUEL HIDALG MEX</v>
      </c>
      <c r="H1152" t="str">
        <f ca="1"/>
        <v>Mercadopago</v>
      </c>
      <c r="I1152" t="str">
        <f ca="1"/>
        <v>Sales</v>
      </c>
      <c r="J1152" t="str">
        <f ca="1"/>
        <v xml:space="preserve">PO1953-CASETAS </v>
      </c>
      <c r="K1152" t="str">
        <f ca="1"/>
        <v>EC805A55-3697-4786-A271-EA7D31AD0699</v>
      </c>
      <c r="L1152" t="str">
        <f ca="1">VLOOKUP(B1152,[1]Total!$B:$Q,16,0)</f>
        <v>603.81.006 Gastos Administativos de venta</v>
      </c>
      <c r="M1152">
        <f t="shared" ca="1" si="35"/>
        <v>1510</v>
      </c>
      <c r="N1152" t="str">
        <f t="shared" ca="1" si="36"/>
        <v xml:space="preserve">Jose Luis Ramirez Gonzalez MERCADOPAGO *PASE      MIGUEL HIDALG MEX Mercadopago Sales PO1953-CASETAS  EC805A55-3697-4786-A271-EA7D31AD0699 </v>
      </c>
    </row>
    <row r="1153" spans="1:14">
      <c r="A1153" t="str">
        <f ca="1"/>
        <v>TRX1144</v>
      </c>
      <c r="B1153" t="str">
        <f ca="1"/>
        <v>-</v>
      </c>
      <c r="C1153">
        <f ca="1"/>
        <v>46078.416666666599</v>
      </c>
      <c r="D1153">
        <f ca="1"/>
        <v>110</v>
      </c>
      <c r="E1153" t="str">
        <f ca="1"/>
        <v>MXN</v>
      </c>
      <c r="F1153" t="str">
        <f ca="1"/>
        <v>Jose Luis Ramirez Gonzalez</v>
      </c>
      <c r="G1153" t="str">
        <f ca="1"/>
        <v>MISC PITS TOL ZIT      ALMOLOYA DE J MEX</v>
      </c>
      <c r="H1153" t="str">
        <f ca="1"/>
        <v>Misc Pits Tol Zit Almoloya De J Mex</v>
      </c>
      <c r="I1153" t="str">
        <f ca="1"/>
        <v>Sales</v>
      </c>
      <c r="J1153" t="str">
        <f ca="1"/>
        <v>PO1953-DESAYUNO PERSONAL</v>
      </c>
      <c r="K1153" t="str">
        <f ca="1"/>
        <v>7AF25AB6-DD1A-184E-9A09-3D694B3F2BE4</v>
      </c>
      <c r="L1153" t="str">
        <f ca="1">VLOOKUP(B1153,[1]Total!$B:$Q,16,0)</f>
        <v>603.81.006 Gastos Administativos de venta</v>
      </c>
      <c r="M1153">
        <f t="shared" ca="1" si="35"/>
        <v>110</v>
      </c>
      <c r="N1153" t="str">
        <f t="shared" ca="1" si="36"/>
        <v xml:space="preserve">Jose Luis Ramirez Gonzalez MISC PITS TOL ZIT      ALMOLOYA DE J MEX Misc Pits Tol Zit Almoloya De J Mex Sales PO1953-DESAYUNO PERSONAL 7AF25AB6-DD1A-184E-9A09-3D694B3F2BE4 </v>
      </c>
    </row>
    <row r="1154" spans="1:14">
      <c r="A1154" t="str">
        <f ca="1"/>
        <v>TRX1145</v>
      </c>
      <c r="B1154" t="str">
        <f ca="1"/>
        <v>-</v>
      </c>
      <c r="C1154">
        <f ca="1"/>
        <v>46078.416666666599</v>
      </c>
      <c r="D1154">
        <f ca="1"/>
        <v>400.35</v>
      </c>
      <c r="E1154" t="str">
        <f ca="1"/>
        <v>MXN</v>
      </c>
      <c r="F1154" t="str">
        <f ca="1"/>
        <v>Jose Luis Ramirez Gonzalez</v>
      </c>
      <c r="G1154" t="str">
        <f ca="1"/>
        <v>PITS GAS EST TOLUCA    ALMOLOYA DE J MEX</v>
      </c>
      <c r="H1154" t="str">
        <f ca="1"/>
        <v>Pits Gas Est Toluca Almoloya De J Mex</v>
      </c>
      <c r="I1154" t="str">
        <f ca="1"/>
        <v>Sales</v>
      </c>
      <c r="J1154" t="str">
        <f ca="1"/>
        <v>PO1953- GASOLINA TRASLADO</v>
      </c>
      <c r="K1154" t="str">
        <f ca="1"/>
        <v>592657C8-C7C7-498F-BE7C-5820FE803B5C</v>
      </c>
      <c r="L1154" t="str">
        <f ca="1">VLOOKUP(B1154,[1]Total!$B:$Q,16,0)</f>
        <v>603.81.006 Gastos Administativos de venta</v>
      </c>
      <c r="M1154">
        <f t="shared" ca="1" si="35"/>
        <v>400.35</v>
      </c>
      <c r="N1154" t="str">
        <f t="shared" ca="1" si="36"/>
        <v xml:space="preserve">Jose Luis Ramirez Gonzalez PITS GAS EST TOLUCA    ALMOLOYA DE J MEX Pits Gas Est Toluca Almoloya De J Mex Sales PO1953- GASOLINA TRASLADO 592657C8-C7C7-498F-BE7C-5820FE803B5C </v>
      </c>
    </row>
    <row r="1155" spans="1:14">
      <c r="A1155" t="str">
        <f ca="1"/>
        <v>TRX1179</v>
      </c>
      <c r="B1155" t="str">
        <f ca="1"/>
        <v>-</v>
      </c>
      <c r="C1155">
        <f ca="1"/>
        <v>46079.416666666599</v>
      </c>
      <c r="D1155">
        <f ca="1"/>
        <v>65</v>
      </c>
      <c r="E1155" t="str">
        <f ca="1"/>
        <v>MXN</v>
      </c>
      <c r="F1155" t="str">
        <f ca="1"/>
        <v>Jose Luis Ramirez Gonzalez</v>
      </c>
      <c r="G1155" t="str">
        <f ca="1"/>
        <v>PITS CORTADITO TOLUCA  ALMOLOYA DE J MEX</v>
      </c>
      <c r="H1155" t="str">
        <f ca="1"/>
        <v>Pits Cortadito Toluca Almoloya De J Mex</v>
      </c>
      <c r="I1155" t="str">
        <f ca="1"/>
        <v>Sales</v>
      </c>
      <c r="J1155" t="str">
        <f ca="1"/>
        <v>PO1953-DESAYUNO PERSONAL</v>
      </c>
      <c r="K1155" t="str">
        <f ca="1"/>
        <v>ED345450-AC15-2C44-A503-3BB10DA171E4</v>
      </c>
      <c r="L1155" t="str">
        <f ca="1">VLOOKUP(B1155,[1]Total!$B:$Q,16,0)</f>
        <v>603.81.006 Gastos Administativos de venta</v>
      </c>
      <c r="M1155">
        <f t="shared" ref="M1155:M1163" ca="1" si="37">D1155</f>
        <v>65</v>
      </c>
      <c r="N1155" t="str">
        <f t="shared" ref="N1155:N1163" ca="1" si="38">CONCATENATE(F1155," ",G1155," ",H1155," ",I1155," ",J1155," ",K1155," ")</f>
        <v xml:space="preserve">Jose Luis Ramirez Gonzalez PITS CORTADITO TOLUCA  ALMOLOYA DE J MEX Pits Cortadito Toluca Almoloya De J Mex Sales PO1953-DESAYUNO PERSONAL ED345450-AC15-2C44-A503-3BB10DA171E4 </v>
      </c>
    </row>
    <row r="1156" spans="1:14">
      <c r="A1156" t="str">
        <f ca="1"/>
        <v>TRX1187</v>
      </c>
      <c r="B1156" t="str">
        <f ca="1"/>
        <v>-</v>
      </c>
      <c r="C1156">
        <f ca="1"/>
        <v>46079.416666666599</v>
      </c>
      <c r="D1156">
        <f ca="1"/>
        <v>400.35</v>
      </c>
      <c r="E1156" t="str">
        <f ca="1"/>
        <v>MXN</v>
      </c>
      <c r="F1156" t="str">
        <f ca="1"/>
        <v>Jose Luis Ramirez Gonzalez</v>
      </c>
      <c r="G1156" t="str">
        <f ca="1"/>
        <v>PITS GAS EST TOLUCA    ALMOLOYA DE J MEX</v>
      </c>
      <c r="H1156" t="str">
        <f ca="1"/>
        <v>Pits Gas Est Toluca Almoloya De J Mex</v>
      </c>
      <c r="I1156" t="str">
        <f ca="1"/>
        <v>Sales</v>
      </c>
      <c r="J1156" t="str">
        <f ca="1"/>
        <v>PO1953- GASOLINA TRASLADO</v>
      </c>
      <c r="K1156" t="str">
        <f ca="1"/>
        <v>8771FF17-46A9-424A-BE5D-55B19AA2393D</v>
      </c>
      <c r="L1156" t="str">
        <f ca="1">VLOOKUP(B1156,[1]Total!$B:$Q,16,0)</f>
        <v>603.81.006 Gastos Administativos de venta</v>
      </c>
      <c r="M1156">
        <f t="shared" ca="1" si="37"/>
        <v>400.35</v>
      </c>
      <c r="N1156" t="str">
        <f t="shared" ca="1" si="38"/>
        <v xml:space="preserve">Jose Luis Ramirez Gonzalez PITS GAS EST TOLUCA    ALMOLOYA DE J MEX Pits Gas Est Toluca Almoloya De J Mex Sales PO1953- GASOLINA TRASLADO 8771FF17-46A9-424A-BE5D-55B19AA2393D </v>
      </c>
    </row>
    <row r="1157" spans="1:14">
      <c r="A1157" t="str">
        <f ca="1"/>
        <v>TRX1213</v>
      </c>
      <c r="B1157" t="str">
        <f ca="1"/>
        <v>-</v>
      </c>
      <c r="C1157">
        <f ca="1"/>
        <v>46079.417361111096</v>
      </c>
      <c r="D1157">
        <f ca="1"/>
        <v>662.2</v>
      </c>
      <c r="E1157" t="str">
        <f ca="1"/>
        <v>MXN</v>
      </c>
      <c r="F1157" t="str">
        <f ca="1"/>
        <v>Jose Luis Ramirez Gonzalez</v>
      </c>
      <c r="G1157" t="str">
        <f ca="1"/>
        <v>WING STOP CARRANZA     TOLUCA EM     MEX</v>
      </c>
      <c r="H1157" t="str">
        <f ca="1"/>
        <v>Wing Stop Carranza Toluca Em Mex</v>
      </c>
      <c r="I1157" t="str">
        <f ca="1"/>
        <v>Sales</v>
      </c>
      <c r="J1157" t="str">
        <f ca="1"/>
        <v xml:space="preserve">PO1953-Comida personal </v>
      </c>
      <c r="K1157" t="str">
        <f ca="1"/>
        <v>B5671201-B519-4867-B65A-91E107946280</v>
      </c>
      <c r="L1157" t="str">
        <f ca="1">VLOOKUP(B1157,[1]Total!$B:$Q,16,0)</f>
        <v>603.81.006 Gastos Administativos de venta</v>
      </c>
      <c r="M1157">
        <f t="shared" ca="1" si="37"/>
        <v>662.2</v>
      </c>
      <c r="N1157" t="str">
        <f t="shared" ca="1" si="38"/>
        <v xml:space="preserve">Jose Luis Ramirez Gonzalez WING STOP CARRANZA     TOLUCA EM     MEX Wing Stop Carranza Toluca Em Mex Sales PO1953-Comida personal  B5671201-B519-4867-B65A-91E107946280 </v>
      </c>
    </row>
    <row r="1158" spans="1:14">
      <c r="A1158" t="str">
        <f ca="1"/>
        <v>TRX1243</v>
      </c>
      <c r="B1158" t="str">
        <f ca="1"/>
        <v>-</v>
      </c>
      <c r="C1158">
        <f ca="1"/>
        <v>46080.417361111096</v>
      </c>
      <c r="D1158">
        <f ca="1"/>
        <v>600</v>
      </c>
      <c r="E1158" t="str">
        <f ca="1"/>
        <v>MXN</v>
      </c>
      <c r="F1158" t="str">
        <f ca="1"/>
        <v>KARLA CASIQUE</v>
      </c>
      <c r="G1158" t="str">
        <f ca="1"/>
        <v>SERVICIO RIO AVIA      ATIZAPAN DE Z MEX</v>
      </c>
      <c r="H1158" t="str">
        <f ca="1"/>
        <v>Servicio Rio Avia Atizapan De Z Mex</v>
      </c>
      <c r="I1158" t="str">
        <f ca="1"/>
        <v>Sales</v>
      </c>
      <c r="J1158" t="str">
        <f ca="1"/>
        <v>MPH CONSTRUCCIONES</v>
      </c>
      <c r="K1158" t="str">
        <f ca="1"/>
        <v>5ae33fce-9d20-47fe-8ec8-a769dccb67cb</v>
      </c>
      <c r="L1158" t="str">
        <f ca="1">VLOOKUP(B1158,[1]Total!$B:$Q,16,0)</f>
        <v>603.81.006 Gastos Administativos de venta</v>
      </c>
      <c r="M1158">
        <f t="shared" ca="1" si="37"/>
        <v>600</v>
      </c>
      <c r="N1158" t="str">
        <f t="shared" ca="1" si="38"/>
        <v xml:space="preserve">KARLA CASIQUE SERVICIO RIO AVIA      ATIZAPAN DE Z MEX Servicio Rio Avia Atizapan De Z Mex Sales MPH CONSTRUCCIONES 5ae33fce-9d20-47fe-8ec8-a769dccb67cb </v>
      </c>
    </row>
    <row r="1159" spans="1:14">
      <c r="A1159" t="str">
        <f ca="1"/>
        <v>TRX1906</v>
      </c>
      <c r="B1159" t="str">
        <f ca="1"/>
        <v>-</v>
      </c>
      <c r="C1159">
        <f ca="1"/>
        <v>46060.417361111096</v>
      </c>
      <c r="D1159">
        <f ca="1"/>
        <v>700</v>
      </c>
      <c r="E1159" t="str">
        <f ca="1"/>
        <v>MXN</v>
      </c>
      <c r="F1159" t="str">
        <f ca="1"/>
        <v>RENE GRANADOS</v>
      </c>
      <c r="G1159" t="str">
        <f ca="1"/>
        <v>GASOL SAN VICENTE      CHICOLOAPAN E MEX</v>
      </c>
      <c r="H1159" t="str">
        <f ca="1"/>
        <v>Gasol San Vicente Chicoloapan E Mex</v>
      </c>
      <c r="I1159" t="str">
        <f ca="1"/>
        <v>Sales</v>
      </c>
      <c r="J1159">
        <f ca="1"/>
        <v>0</v>
      </c>
      <c r="K1159">
        <f ca="1"/>
        <v>0</v>
      </c>
      <c r="L1159" t="str">
        <f ca="1">VLOOKUP(B1159,[1]Total!$B:$Q,16,0)</f>
        <v>603.81.006 Gastos Administativos de venta</v>
      </c>
      <c r="M1159">
        <f t="shared" ca="1" si="37"/>
        <v>700</v>
      </c>
      <c r="N1159" t="str">
        <f t="shared" ca="1" si="38"/>
        <v xml:space="preserve">RENE GRANADOS GASOL SAN VICENTE      CHICOLOAPAN E MEX Gasol San Vicente Chicoloapan E Mex Sales 0 0 </v>
      </c>
    </row>
    <row r="1160" spans="1:14">
      <c r="A1160" t="str">
        <f ca="1"/>
        <v>TRX1896</v>
      </c>
      <c r="B1160" t="str">
        <f ca="1"/>
        <v>-</v>
      </c>
      <c r="C1160">
        <f ca="1"/>
        <v>46063.416666666599</v>
      </c>
      <c r="D1160">
        <f ca="1"/>
        <v>800</v>
      </c>
      <c r="E1160" t="str">
        <f ca="1"/>
        <v>MXN</v>
      </c>
      <c r="F1160" t="str">
        <f ca="1"/>
        <v>RENE GRANADOS</v>
      </c>
      <c r="G1160" t="str">
        <f ca="1"/>
        <v>GASOL SAN VICENTE      CHICOLOAPAN E MEX</v>
      </c>
      <c r="H1160" t="str">
        <f ca="1"/>
        <v>Gasol San Vicente Chicoloapan E Mex</v>
      </c>
      <c r="I1160" t="str">
        <f ca="1"/>
        <v>Sales</v>
      </c>
      <c r="J1160">
        <f ca="1"/>
        <v>0</v>
      </c>
      <c r="K1160">
        <f ca="1"/>
        <v>0</v>
      </c>
      <c r="L1160" t="str">
        <f ca="1">VLOOKUP(B1160,[1]Total!$B:$Q,16,0)</f>
        <v>603.81.006 Gastos Administativos de venta</v>
      </c>
      <c r="M1160">
        <f t="shared" ca="1" si="37"/>
        <v>800</v>
      </c>
      <c r="N1160" t="str">
        <f t="shared" ca="1" si="38"/>
        <v xml:space="preserve">RENE GRANADOS GASOL SAN VICENTE      CHICOLOAPAN E MEX Gasol San Vicente Chicoloapan E Mex Sales 0 0 </v>
      </c>
    </row>
    <row r="1161" spans="1:14">
      <c r="A1161" t="str">
        <f ca="1"/>
        <v>TRX1031</v>
      </c>
      <c r="B1161" t="str">
        <f ca="1"/>
        <v>-</v>
      </c>
      <c r="C1161">
        <f ca="1"/>
        <v>46074.417361111096</v>
      </c>
      <c r="D1161">
        <f ca="1"/>
        <v>800</v>
      </c>
      <c r="E1161" t="str">
        <f ca="1"/>
        <v>MXN</v>
      </c>
      <c r="F1161" t="str">
        <f ca="1"/>
        <v>RENE GRANADOS</v>
      </c>
      <c r="G1161" t="str">
        <f ca="1"/>
        <v>GAS EL PABELLO MEXICA  CIUDAD DE MEX MEX</v>
      </c>
      <c r="H1161" t="str">
        <f ca="1"/>
        <v>Gas El Pabello Mexica Ciudad De Mex Mex</v>
      </c>
      <c r="I1161" t="str">
        <f ca="1"/>
        <v>Sales</v>
      </c>
      <c r="J1161">
        <f ca="1"/>
        <v>0</v>
      </c>
      <c r="K1161">
        <f ca="1"/>
        <v>0</v>
      </c>
      <c r="L1161" t="str">
        <f ca="1">VLOOKUP(B1161,[1]Total!$B:$Q,16,0)</f>
        <v>603.81.006 Gastos Administativos de venta</v>
      </c>
      <c r="M1161">
        <f t="shared" ca="1" si="37"/>
        <v>800</v>
      </c>
      <c r="N1161" t="str">
        <f t="shared" ca="1" si="38"/>
        <v xml:space="preserve">RENE GRANADOS GAS EL PABELLO MEXICA  CIUDAD DE MEX MEX Gas El Pabello Mexica Ciudad De Mex Mex Sales 0 0 </v>
      </c>
    </row>
    <row r="1162" spans="1:14">
      <c r="A1162" t="str">
        <f ca="1"/>
        <v>TRX1163</v>
      </c>
      <c r="B1162" t="str">
        <f ca="1"/>
        <v>-</v>
      </c>
      <c r="C1162">
        <f ca="1"/>
        <v>46078.417361111096</v>
      </c>
      <c r="D1162">
        <f ca="1"/>
        <v>700</v>
      </c>
      <c r="E1162" t="str">
        <f ca="1"/>
        <v>MXN</v>
      </c>
      <c r="F1162" t="str">
        <f ca="1"/>
        <v>RENE GRANADOS</v>
      </c>
      <c r="G1162" t="str">
        <f ca="1"/>
        <v>TELEVIA RECARGAS APPV3 NAUCALPAN DE  MEX</v>
      </c>
      <c r="H1162" t="str">
        <f ca="1"/>
        <v>Televia Recargas Appv3 Naucalpan De Mex</v>
      </c>
      <c r="I1162" t="str">
        <f ca="1"/>
        <v>Sales</v>
      </c>
      <c r="J1162">
        <f ca="1"/>
        <v>0</v>
      </c>
      <c r="K1162">
        <f ca="1"/>
        <v>0</v>
      </c>
      <c r="L1162" t="str">
        <f ca="1">VLOOKUP(B1162,[1]Total!$B:$Q,16,0)</f>
        <v>603.81.006 Gastos Administativos de venta</v>
      </c>
      <c r="M1162">
        <f t="shared" ca="1" si="37"/>
        <v>700</v>
      </c>
      <c r="N1162" t="str">
        <f t="shared" ca="1" si="38"/>
        <v xml:space="preserve">RENE GRANADOS TELEVIA RECARGAS APPV3 NAUCALPAN DE  MEX Televia Recargas Appv3 Naucalpan De Mex Sales 0 0 </v>
      </c>
    </row>
    <row r="1163" spans="1:14">
      <c r="A1163" t="str">
        <f ca="1"/>
        <v>TRX1167</v>
      </c>
      <c r="B1163" t="str">
        <f ca="1"/>
        <v>-</v>
      </c>
      <c r="C1163">
        <f ca="1"/>
        <v>46078.417361111096</v>
      </c>
      <c r="D1163">
        <f ca="1"/>
        <v>190</v>
      </c>
      <c r="E1163" t="str">
        <f ca="1"/>
        <v>MXN</v>
      </c>
      <c r="F1163" t="str">
        <f ca="1"/>
        <v>RENE GRANADOS</v>
      </c>
      <c r="G1163" t="str">
        <f ca="1"/>
        <v>OXXO LERDO MEX         CHICOLOAPAN E MEX</v>
      </c>
      <c r="H1163" t="str">
        <f ca="1"/>
        <v>Oxxo</v>
      </c>
      <c r="I1163" t="str">
        <f ca="1"/>
        <v>Sales</v>
      </c>
      <c r="J1163">
        <f ca="1"/>
        <v>0</v>
      </c>
      <c r="K1163">
        <f ca="1"/>
        <v>0</v>
      </c>
      <c r="L1163" t="str">
        <f ca="1">VLOOKUP(B1163,[1]Total!$B:$Q,16,0)</f>
        <v>603.81.006 Gastos Administativos de venta</v>
      </c>
      <c r="M1163">
        <f t="shared" ca="1" si="37"/>
        <v>190</v>
      </c>
      <c r="N1163" t="str">
        <f t="shared" ca="1" si="38"/>
        <v xml:space="preserve">RENE GRANADOS OXXO LERDO MEX         CHICOLOAPAN E MEX Oxxo Sales 0 0 </v>
      </c>
    </row>
  </sheetData>
  <autoFilter ref="A1:N1163" xr:uid="{0CFD9316-F6EE-4CA2-AFF4-E5FA0B0AA441}">
    <filterColumn colId="11">
      <filters>
        <filter val="173.01.002 Gastos por inspecciones de calidad"/>
        <filter val="602.16.000 Transporte"/>
        <filter val="602.34.002"/>
        <filter val="602.34.002 Gastos por visita tencica"/>
        <filter val="603.32.001 Reclutamiento"/>
        <filter val="603.38.002"/>
        <filter val="603.38.002 Software y Sistemas"/>
        <filter val="603.81.002 Gastos corporativos ND"/>
        <filter val="603.81.004 Gastos de Oficina"/>
        <filter val="603.81.006"/>
        <filter val="603.81.006 Gastos Administativos de vent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W903"/>
  <sheetViews>
    <sheetView workbookViewId="0">
      <selection activeCell="A2" sqref="A2"/>
    </sheetView>
  </sheetViews>
  <sheetFormatPr baseColWidth="10" defaultColWidth="12.6328125" defaultRowHeight="15.75" customHeight="1"/>
  <cols>
    <col min="1" max="1" width="8" customWidth="1"/>
    <col min="2" max="2" width="7.36328125" customWidth="1"/>
    <col min="3" max="3" width="14" customWidth="1"/>
    <col min="4" max="4" width="13.26953125" customWidth="1"/>
    <col min="5" max="5" width="8.36328125" customWidth="1"/>
    <col min="6" max="6" width="25" customWidth="1"/>
    <col min="7" max="7" width="49.36328125" customWidth="1"/>
    <col min="8" max="8" width="38.7265625" customWidth="1"/>
    <col min="9" max="9" width="24.90625" customWidth="1"/>
    <col min="10" max="10" width="52.6328125" customWidth="1"/>
    <col min="11" max="11" width="69.90625" customWidth="1"/>
  </cols>
  <sheetData>
    <row r="1" spans="1:23" ht="13">
      <c r="A1" s="1" t="s">
        <v>0</v>
      </c>
      <c r="B1" s="1" t="s">
        <v>1</v>
      </c>
      <c r="C1" s="2" t="s">
        <v>2</v>
      </c>
      <c r="D1" s="3" t="s">
        <v>3</v>
      </c>
      <c r="E1" s="3" t="s">
        <v>4</v>
      </c>
      <c r="F1" s="1" t="s">
        <v>5</v>
      </c>
      <c r="G1" s="1" t="s">
        <v>6</v>
      </c>
      <c r="H1" s="1" t="s">
        <v>7</v>
      </c>
      <c r="I1" s="1" t="s">
        <v>8</v>
      </c>
      <c r="J1" s="1" t="s">
        <v>9</v>
      </c>
      <c r="K1" s="1" t="s">
        <v>10</v>
      </c>
    </row>
    <row r="2" spans="1:23" ht="15.75" customHeight="1">
      <c r="A2" s="4" t="str">
        <f ca="1">IFERROR(__xludf.DUMMYFUNCTION("{QUERY('#2 Cesar'!A12:K1000,""where A is not null"");QUERY('#3 Cesar Uriel'!A12:K1000,""where A is not null"");QUERY('#4 Daniel Autrique'!A12:K1000,""where A is not null"");QUERY('#5 Fernanda'!A12:K1000,""where A is not null"");QUERY('#6 Fernando Sanchez'"&amp;"!A12:K1000,""where A is not null"");QUERY('#7 Isaac'!A12:K1000,""where A is not null"");QUERY('#8 Jose Ignacio'!A12:K1000,""where A is not null"");QUERY('#9 Jose Maria'!A12:K1000,""where A is not null"");QUERY('#11 Juan Carlos'!A12:K1000,""where A is not "&amp;"null"");QUERY('#13 Miguel'!A12:K1000,""where A is not null"");QUERY('#14 Patricio. '!A12:K1000,""where A is not null"");QUERY('#16 Rogelio'!A12:K1000,""where A is not null"");QUERY('#17 Sebastian'!A12:K1000,""where A is not null"");QUERY('#19 Daniel Aleja"&amp;"ndro Castillo R'!A12:K1000,""where A is not null"");QUERY('#20 Gerardo Guadalupe Ruiz Huer'!A12:K1000,""where A is not null"");QUERY('#21 Jesus Gonzalez Grana'!A12:K1000,""where A is not null"");QUERY('#24 Andres Camacho'!A12:K1000,""where A is not null"""&amp;");QUERY('#25 Jorge Estrada'!A12:K1000,""where A is not null"");QUERY('#26 Alexandra Ballesteros'!A12:K1000,""where A is not null"");QUERY('#28 Fernando Villalobos'!A12:K1000,""where A is not null"");QUERY('#30 Manuel Ibarra'!A12:K1000,""where A is not nul"&amp;"l"");QUERY(' #31 Emiliano Cavazos'!A12:K1000,""where A is not null"");QUERY('#34 Juan Pablo Ramos'!A12:K1000,""where A is not null"");QUERY('#35 Termis'!A12:K1000,""where A is not null"");QUERY('#37 Angel Pantoja'!A12:K1000,""where A is not null"");QUERY("&amp;"'#40 Gabriela Zacarias'!A12:K1000,""where A is not null"");QUERY('#41 Jose Arechavala'!A12:K1000,""where A is not null"");QUERY('#42 Rodrigo Perea'!A12:K1000,""where A is not null"");QUERY('#43 Pablo Ortiz'!A12:K1000,""where A is not null"");QUERY('#44 JP"&amp;" Hammerstein'!A12:K1000,""where A is not null"");QUERY('#45 Erick Cival'!A12:K1000,""where A is not null"");QUERY('#46 Kallie Parchman'!A12:K1000,""where A is not null"");QUERY('#48 Andres Preza'!A12:K1000,""where A is not null"");QUERY('#49 Jahaziel Gala"&amp;"n'!A12:K1000,""where A is not null"");QUERY('#51 Saul Murillo'!A12:K1000,""where A is not null"");QUERY('#52 Tommaso Rivetti'!A12:K1000,""where A is not null"");QUERY('#53 Monserrat Benitez'!A12:K1000,""where A is not null"");QUERY('#55 Gerardo Madrid'!A1"&amp;"2:K1000,""where A is not null"");QUERY('#56 Carlos Ivan Gonzalez Merino'!A12:K1000,""where A is not null"");QUERY('#54 Mario Castorela'!A12:K1000,""where A is not null"");QUERY('#58 Jose Rosas'!A12:K1000,""where A is not null"");QUERY('#59 Mario Guadarram"&amp;"a'!A12:K1000,""where A is not null"");QUERY('#60 Carlos Aleman'!A12:K1000,""where A is not null"");QUERY('#61 Jorge Diaz'!A12:K1000,""where A is not null"");QUERY('#62 Jorge Rojas'!A12:K1000,""where A is not null"");QUERY('#63 Diego Morodo'!A12:K1000,""wh"&amp;"ere A is not null"");QUERY('#64 Erik Castillo'!A12:K1000,""where A is not null"");QUERY('#65 Diana Miranda'!A12:K1000,""where A is not null"");QUERY('#66 Jorge Ramirez'!A12:K1000,""where A is not null"");QUERY('#67 Gustavo Rivas'!A12:K1000,""where A is no"&amp;"t null"");QUERY('#68 Alfonso Bello'!A12:K1000,""where A is not null"");QUERY('#69 Cole Anderson'!A12:K1000,""where A is not null"")}"),"TRX1286")</f>
        <v>TRX1286</v>
      </c>
      <c r="B2" s="4" t="str">
        <f ca="1">IFERROR(__xludf.DUMMYFUNCTION("""COMPUTED_VALUE"""),"#2")</f>
        <v>#2</v>
      </c>
      <c r="C2" s="5">
        <f ca="1">IFERROR(__xludf.DUMMYFUNCTION("""COMPUTED_VALUE"""),46056.4166666666)</f>
        <v>46056.416666666599</v>
      </c>
      <c r="D2" s="6">
        <f ca="1">IFERROR(__xludf.DUMMYFUNCTION("""COMPUTED_VALUE"""),3642.61)</f>
        <v>3642.61</v>
      </c>
      <c r="E2" s="4" t="str">
        <f ca="1">IFERROR(__xludf.DUMMYFUNCTION("""COMPUTED_VALUE"""),"USD")</f>
        <v>USD</v>
      </c>
      <c r="F2" s="4" t="str">
        <f ca="1">IFERROR(__xludf.DUMMYFUNCTION("""COMPUTED_VALUE"""),"Cesar Gonzales")</f>
        <v>Cesar Gonzales</v>
      </c>
      <c r="G2" s="4" t="str">
        <f ca="1">IFERROR(__xludf.DUMMYFUNCTION("""COMPUTED_VALUE"""),"HASHICORP HCP          SAN FRANCISCO USA")</f>
        <v>HASHICORP HCP          SAN FRANCISCO USA</v>
      </c>
      <c r="H2" s="4" t="str">
        <f ca="1">IFERROR(__xludf.DUMMYFUNCTION("""COMPUTED_VALUE"""),"Hashicorp")</f>
        <v>Hashicorp</v>
      </c>
      <c r="I2" s="4" t="str">
        <f ca="1">IFERROR(__xludf.DUMMYFUNCTION("""COMPUTED_VALUE"""),"Tech&amp;Product")</f>
        <v>Tech&amp;Product</v>
      </c>
      <c r="J2" s="4"/>
      <c r="K2" s="4" t="str">
        <f ca="1">IFERROR(__xludf.DUMMYFUNCTION("""COMPUTED_VALUE"""),".")</f>
        <v>.</v>
      </c>
      <c r="S2" s="6">
        <v>344.91</v>
      </c>
      <c r="T2" s="4" t="e">
        <f t="shared" ref="T2:T256" ca="1" si="0">VLOOKUP(S2,D:F,3,FALSE)</f>
        <v>#N/A</v>
      </c>
      <c r="V2" s="4" t="s">
        <v>11</v>
      </c>
      <c r="W2" s="4" t="str">
        <f t="shared" ref="W2:W51" ca="1" si="1">VLOOKUP(V2,B:F,5,FALSE())</f>
        <v>Rogelio Gamez</v>
      </c>
    </row>
    <row r="3" spans="1:23" ht="15.75" customHeight="1">
      <c r="A3" s="4" t="str">
        <f ca="1">IFERROR(__xludf.DUMMYFUNCTION("""COMPUTED_VALUE"""),"TRX1246")</f>
        <v>TRX1246</v>
      </c>
      <c r="B3" s="4" t="str">
        <f ca="1">IFERROR(__xludf.DUMMYFUNCTION("""COMPUTED_VALUE"""),"#2")</f>
        <v>#2</v>
      </c>
      <c r="C3" s="5">
        <f ca="1">IFERROR(__xludf.DUMMYFUNCTION("""COMPUTED_VALUE"""),46058.4166666666)</f>
        <v>46058.416666666599</v>
      </c>
      <c r="D3" s="6">
        <f ca="1">IFERROR(__xludf.DUMMYFUNCTION("""COMPUTED_VALUE"""),15105.29)</f>
        <v>15105.29</v>
      </c>
      <c r="E3" s="4" t="str">
        <f ca="1">IFERROR(__xludf.DUMMYFUNCTION("""COMPUTED_VALUE"""),"MXN")</f>
        <v>MXN</v>
      </c>
      <c r="F3" s="4" t="str">
        <f ca="1">IFERROR(__xludf.DUMMYFUNCTION("""COMPUTED_VALUE"""),"Cesar Gonzales")</f>
        <v>Cesar Gonzales</v>
      </c>
      <c r="G3" s="4" t="str">
        <f ca="1">IFERROR(__xludf.DUMMYFUNCTION("""COMPUTED_VALUE"""),"PAYU   *GOOGLE CLOUD   MIGUEL HIDALG MEX")</f>
        <v>PAYU   *GOOGLE CLOUD   MIGUEL HIDALG MEX</v>
      </c>
      <c r="H3" s="4" t="str">
        <f ca="1">IFERROR(__xludf.DUMMYFUNCTION("""COMPUTED_VALUE"""),"Google Cloud")</f>
        <v>Google Cloud</v>
      </c>
      <c r="I3" s="4" t="str">
        <f ca="1">IFERROR(__xludf.DUMMYFUNCTION("""COMPUTED_VALUE"""),"Tech&amp;Product")</f>
        <v>Tech&amp;Product</v>
      </c>
      <c r="J3" s="4"/>
      <c r="K3" s="4" t="str">
        <f ca="1">IFERROR(__xludf.DUMMYFUNCTION("""COMPUTED_VALUE"""),".")</f>
        <v>.</v>
      </c>
      <c r="R3" s="7"/>
      <c r="S3" s="6">
        <v>2802.46</v>
      </c>
      <c r="T3" s="4" t="e">
        <f t="shared" ca="1" si="0"/>
        <v>#N/A</v>
      </c>
      <c r="V3" s="4" t="s">
        <v>12</v>
      </c>
      <c r="W3" s="4" t="str">
        <f t="shared" ca="1" si="1"/>
        <v>Cesar Gonzales</v>
      </c>
    </row>
    <row r="4" spans="1:23" ht="15.75" customHeight="1">
      <c r="A4" s="4" t="str">
        <f ca="1">IFERROR(__xludf.DUMMYFUNCTION("""COMPUTED_VALUE"""),"TRX1242")</f>
        <v>TRX1242</v>
      </c>
      <c r="B4" s="4" t="str">
        <f ca="1">IFERROR(__xludf.DUMMYFUNCTION("""COMPUTED_VALUE"""),"#2")</f>
        <v>#2</v>
      </c>
      <c r="C4" s="5">
        <f ca="1">IFERROR(__xludf.DUMMYFUNCTION("""COMPUTED_VALUE"""),46058.4166666666)</f>
        <v>46058.416666666599</v>
      </c>
      <c r="D4" s="6">
        <f ca="1">IFERROR(__xludf.DUMMYFUNCTION("""COMPUTED_VALUE"""),957.38)</f>
        <v>957.38</v>
      </c>
      <c r="E4" s="4" t="str">
        <f ca="1">IFERROR(__xludf.DUMMYFUNCTION("""COMPUTED_VALUE"""),"MXN")</f>
        <v>MXN</v>
      </c>
      <c r="F4" s="4" t="str">
        <f ca="1">IFERROR(__xludf.DUMMYFUNCTION("""COMPUTED_VALUE"""),"Cesar Gonzales")</f>
        <v>Cesar Gonzales</v>
      </c>
      <c r="G4" s="4" t="str">
        <f ca="1">IFERROR(__xludf.DUMMYFUNCTION("""COMPUTED_VALUE"""),"PAYU   *GOOGLE CLOUD   MIGUEL HIDALG MEX")</f>
        <v>PAYU   *GOOGLE CLOUD   MIGUEL HIDALG MEX</v>
      </c>
      <c r="H4" s="4" t="str">
        <f ca="1">IFERROR(__xludf.DUMMYFUNCTION("""COMPUTED_VALUE"""),"Google Cloud")</f>
        <v>Google Cloud</v>
      </c>
      <c r="I4" s="4" t="str">
        <f ca="1">IFERROR(__xludf.DUMMYFUNCTION("""COMPUTED_VALUE"""),"Tech&amp;Product")</f>
        <v>Tech&amp;Product</v>
      </c>
      <c r="J4" s="4"/>
      <c r="K4" s="4" t="str">
        <f ca="1">IFERROR(__xludf.DUMMYFUNCTION("""COMPUTED_VALUE"""),".")</f>
        <v>.</v>
      </c>
      <c r="R4" s="7"/>
      <c r="S4" s="6">
        <v>69</v>
      </c>
      <c r="T4" s="4" t="str">
        <f t="shared" ca="1" si="0"/>
        <v>Rodrigo Perea</v>
      </c>
      <c r="V4" s="4" t="s">
        <v>13</v>
      </c>
      <c r="W4" s="4" t="str">
        <f t="shared" ca="1" si="1"/>
        <v>Jose Ignacio Martinez Flemate</v>
      </c>
    </row>
    <row r="5" spans="1:23" ht="15.75" customHeight="1">
      <c r="A5" s="4" t="str">
        <f ca="1">IFERROR(__xludf.DUMMYFUNCTION("""COMPUTED_VALUE"""),"TRX1999")</f>
        <v>TRX1999</v>
      </c>
      <c r="B5" s="4" t="str">
        <f ca="1">IFERROR(__xludf.DUMMYFUNCTION("""COMPUTED_VALUE"""),"#2")</f>
        <v>#2</v>
      </c>
      <c r="C5" s="5">
        <f ca="1">IFERROR(__xludf.DUMMYFUNCTION("""COMPUTED_VALUE"""),46059.4173611111)</f>
        <v>46059.417361111096</v>
      </c>
      <c r="D5" s="6">
        <f ca="1">IFERROR(__xludf.DUMMYFUNCTION("""COMPUTED_VALUE"""),10214.06)</f>
        <v>10214.06</v>
      </c>
      <c r="E5" s="4" t="str">
        <f ca="1">IFERROR(__xludf.DUMMYFUNCTION("""COMPUTED_VALUE"""),"USD")</f>
        <v>USD</v>
      </c>
      <c r="F5" s="4" t="str">
        <f ca="1">IFERROR(__xludf.DUMMYFUNCTION("""COMPUTED_VALUE"""),"Cesar Gonzales")</f>
        <v>Cesar Gonzales</v>
      </c>
      <c r="G5" s="4" t="str">
        <f ca="1">IFERROR(__xludf.DUMMYFUNCTION("""COMPUTED_VALUE"""),"GITHUB, INC.           SAN FRANCISCO USA")</f>
        <v>GITHUB, INC.           SAN FRANCISCO USA</v>
      </c>
      <c r="H5" s="4" t="str">
        <f ca="1">IFERROR(__xludf.DUMMYFUNCTION("""COMPUTED_VALUE"""),"Github")</f>
        <v>Github</v>
      </c>
      <c r="I5" s="4" t="str">
        <f ca="1">IFERROR(__xludf.DUMMYFUNCTION("""COMPUTED_VALUE"""),"Tech&amp;Product")</f>
        <v>Tech&amp;Product</v>
      </c>
      <c r="J5" s="4"/>
      <c r="K5" s="4" t="str">
        <f ca="1">IFERROR(__xludf.DUMMYFUNCTION("""COMPUTED_VALUE"""),".")</f>
        <v>.</v>
      </c>
      <c r="R5" s="7"/>
      <c r="S5" s="6">
        <v>79.94</v>
      </c>
      <c r="T5" s="4" t="e">
        <f t="shared" ca="1" si="0"/>
        <v>#N/A</v>
      </c>
      <c r="V5" s="4" t="s">
        <v>14</v>
      </c>
      <c r="W5" s="4" t="e">
        <f t="shared" ca="1" si="1"/>
        <v>#N/A</v>
      </c>
    </row>
    <row r="6" spans="1:23" ht="15.75" customHeight="1">
      <c r="A6" s="4" t="str">
        <f ca="1">IFERROR(__xludf.DUMMYFUNCTION("""COMPUTED_VALUE"""),"TRX1875")</f>
        <v>TRX1875</v>
      </c>
      <c r="B6" s="4" t="str">
        <f ca="1">IFERROR(__xludf.DUMMYFUNCTION("""COMPUTED_VALUE"""),"#2")</f>
        <v>#2</v>
      </c>
      <c r="C6" s="5">
        <f ca="1">IFERROR(__xludf.DUMMYFUNCTION("""COMPUTED_VALUE"""),46063.4166666666)</f>
        <v>46063.416666666599</v>
      </c>
      <c r="D6" s="6">
        <f ca="1">IFERROR(__xludf.DUMMYFUNCTION("""COMPUTED_VALUE"""),6524.63)</f>
        <v>6524.63</v>
      </c>
      <c r="E6" s="4" t="str">
        <f ca="1">IFERROR(__xludf.DUMMYFUNCTION("""COMPUTED_VALUE"""),"USD")</f>
        <v>USD</v>
      </c>
      <c r="F6" s="4" t="str">
        <f ca="1">IFERROR(__xludf.DUMMYFUNCTION("""COMPUTED_VALUE"""),"Cesar Gonzales")</f>
        <v>Cesar Gonzales</v>
      </c>
      <c r="G6" s="4" t="str">
        <f ca="1">IFERROR(__xludf.DUMMYFUNCTION("""COMPUTED_VALUE"""),"CURSOR, AI POWERED IDE NEW YORK      USA")</f>
        <v>CURSOR, AI POWERED IDE NEW YORK      USA</v>
      </c>
      <c r="H6" s="4" t="str">
        <f ca="1">IFERROR(__xludf.DUMMYFUNCTION("""COMPUTED_VALUE"""),"Cursor Ai Powered Ide New York USA")</f>
        <v>Cursor Ai Powered Ide New York USA</v>
      </c>
      <c r="I6" s="4" t="str">
        <f ca="1">IFERROR(__xludf.DUMMYFUNCTION("""COMPUTED_VALUE"""),"Tech&amp;Product")</f>
        <v>Tech&amp;Product</v>
      </c>
      <c r="J6" s="4"/>
      <c r="K6" s="4" t="str">
        <f ca="1">IFERROR(__xludf.DUMMYFUNCTION("""COMPUTED_VALUE"""),".")</f>
        <v>.</v>
      </c>
      <c r="R6" s="7"/>
      <c r="S6" s="6">
        <v>199.98</v>
      </c>
      <c r="T6" s="4" t="e">
        <f t="shared" ca="1" si="0"/>
        <v>#N/A</v>
      </c>
      <c r="V6" s="4" t="s">
        <v>15</v>
      </c>
      <c r="W6" s="4" t="str">
        <f t="shared" ca="1" si="1"/>
        <v>Carlos Ivan Gonzalez Merino</v>
      </c>
    </row>
    <row r="7" spans="1:23" ht="15.75" customHeight="1">
      <c r="A7" s="4" t="str">
        <f ca="1">IFERROR(__xludf.DUMMYFUNCTION("""COMPUTED_VALUE"""),"TRX1596")</f>
        <v>TRX1596</v>
      </c>
      <c r="B7" s="4" t="str">
        <f ca="1">IFERROR(__xludf.DUMMYFUNCTION("""COMPUTED_VALUE"""),"#2")</f>
        <v>#2</v>
      </c>
      <c r="C7" s="5">
        <f ca="1">IFERROR(__xludf.DUMMYFUNCTION("""COMPUTED_VALUE"""),46065.4173611111)</f>
        <v>46065.417361111096</v>
      </c>
      <c r="D7" s="6">
        <f ca="1">IFERROR(__xludf.DUMMYFUNCTION("""COMPUTED_VALUE"""),906.2)</f>
        <v>906.2</v>
      </c>
      <c r="E7" s="4" t="str">
        <f ca="1">IFERROR(__xludf.DUMMYFUNCTION("""COMPUTED_VALUE"""),"USD")</f>
        <v>USD</v>
      </c>
      <c r="F7" s="4" t="str">
        <f ca="1">IFERROR(__xludf.DUMMYFUNCTION("""COMPUTED_VALUE"""),"Cesar Gonzales")</f>
        <v>Cesar Gonzales</v>
      </c>
      <c r="G7" s="4" t="str">
        <f ca="1">IFERROR(__xludf.DUMMYFUNCTION("""COMPUTED_VALUE"""),"CURSOR USAGE  JAN      NEW YORK      USA")</f>
        <v>CURSOR USAGE  JAN      NEW YORK      USA</v>
      </c>
      <c r="H7" s="4" t="str">
        <f ca="1">IFERROR(__xludf.DUMMYFUNCTION("""COMPUTED_VALUE"""),"Cursor Usage Jan New York USA")</f>
        <v>Cursor Usage Jan New York USA</v>
      </c>
      <c r="I7" s="4" t="str">
        <f ca="1">IFERROR(__xludf.DUMMYFUNCTION("""COMPUTED_VALUE"""),"Tech&amp;Product")</f>
        <v>Tech&amp;Product</v>
      </c>
      <c r="J7" s="4"/>
      <c r="K7" s="4" t="str">
        <f ca="1">IFERROR(__xludf.DUMMYFUNCTION("""COMPUTED_VALUE"""),".")</f>
        <v>.</v>
      </c>
      <c r="R7" s="7"/>
      <c r="S7" s="6">
        <v>335.57</v>
      </c>
      <c r="T7" s="4" t="e">
        <f t="shared" ca="1" si="0"/>
        <v>#N/A</v>
      </c>
      <c r="V7" s="4" t="s">
        <v>16</v>
      </c>
      <c r="W7" s="4" t="str">
        <f t="shared" ca="1" si="1"/>
        <v>Jorge Armando Ramirez Perez</v>
      </c>
    </row>
    <row r="8" spans="1:23" ht="15.75" customHeight="1">
      <c r="A8" s="4" t="str">
        <f ca="1">IFERROR(__xludf.DUMMYFUNCTION("""COMPUTED_VALUE"""),"TRX1641")</f>
        <v>TRX1641</v>
      </c>
      <c r="B8" s="4" t="str">
        <f ca="1">IFERROR(__xludf.DUMMYFUNCTION("""COMPUTED_VALUE"""),"#2")</f>
        <v>#2</v>
      </c>
      <c r="C8" s="5">
        <f ca="1">IFERROR(__xludf.DUMMYFUNCTION("""COMPUTED_VALUE"""),46065.4173611111)</f>
        <v>46065.417361111096</v>
      </c>
      <c r="D8" s="6">
        <f ca="1">IFERROR(__xludf.DUMMYFUNCTION("""COMPUTED_VALUE"""),7115.29)</f>
        <v>7115.29</v>
      </c>
      <c r="E8" s="4" t="str">
        <f ca="1">IFERROR(__xludf.DUMMYFUNCTION("""COMPUTED_VALUE"""),"USD")</f>
        <v>USD</v>
      </c>
      <c r="F8" s="4" t="str">
        <f ca="1">IFERROR(__xludf.DUMMYFUNCTION("""COMPUTED_VALUE"""),"Cesar Gonzales")</f>
        <v>Cesar Gonzales</v>
      </c>
      <c r="G8" s="4" t="str">
        <f ca="1">IFERROR(__xludf.DUMMYFUNCTION("""COMPUTED_VALUE"""),"DATADOG, INC.          NEW YORK      USA")</f>
        <v>DATADOG, INC.          NEW YORK      USA</v>
      </c>
      <c r="H8" s="4" t="str">
        <f ca="1">IFERROR(__xludf.DUMMYFUNCTION("""COMPUTED_VALUE"""),"Datadog")</f>
        <v>Datadog</v>
      </c>
      <c r="I8" s="4" t="str">
        <f ca="1">IFERROR(__xludf.DUMMYFUNCTION("""COMPUTED_VALUE"""),"Tech&amp;Product")</f>
        <v>Tech&amp;Product</v>
      </c>
      <c r="J8" s="4"/>
      <c r="K8" s="4" t="str">
        <f ca="1">IFERROR(__xludf.DUMMYFUNCTION("""COMPUTED_VALUE"""),".")</f>
        <v>.</v>
      </c>
      <c r="R8" s="7"/>
      <c r="S8" s="6">
        <v>374.78</v>
      </c>
      <c r="T8" s="4" t="e">
        <f t="shared" ca="1" si="0"/>
        <v>#N/A</v>
      </c>
      <c r="V8" s="4" t="s">
        <v>17</v>
      </c>
      <c r="W8" s="4" t="e">
        <f t="shared" ca="1" si="1"/>
        <v>#N/A</v>
      </c>
    </row>
    <row r="9" spans="1:23" ht="15.75" customHeight="1">
      <c r="A9" s="4" t="str">
        <f ca="1">IFERROR(__xludf.DUMMYFUNCTION("""COMPUTED_VALUE"""),"TRX1372")</f>
        <v>TRX1372</v>
      </c>
      <c r="B9" s="4" t="str">
        <f ca="1">IFERROR(__xludf.DUMMYFUNCTION("""COMPUTED_VALUE"""),"#2")</f>
        <v>#2</v>
      </c>
      <c r="C9" s="5">
        <f ca="1">IFERROR(__xludf.DUMMYFUNCTION("""COMPUTED_VALUE"""),46066.4166666666)</f>
        <v>46066.416666666599</v>
      </c>
      <c r="D9" s="6">
        <f ca="1">IFERROR(__xludf.DUMMYFUNCTION("""COMPUTED_VALUE"""),5964.72)</f>
        <v>5964.72</v>
      </c>
      <c r="E9" s="4" t="str">
        <f ca="1">IFERROR(__xludf.DUMMYFUNCTION("""COMPUTED_VALUE"""),"MXN")</f>
        <v>MXN</v>
      </c>
      <c r="F9" s="4" t="str">
        <f ca="1">IFERROR(__xludf.DUMMYFUNCTION("""COMPUTED_VALUE"""),"Cesar Gonzales")</f>
        <v>Cesar Gonzales</v>
      </c>
      <c r="G9" s="4" t="str">
        <f ca="1">IFERROR(__xludf.DUMMYFUNCTION("""COMPUTED_VALUE"""),"STR*ODOO TECHNOLOGIES  CIUDAD DE MEX MEX")</f>
        <v>STR*ODOO TECHNOLOGIES  CIUDAD DE MEX MEX</v>
      </c>
      <c r="H9" s="4" t="str">
        <f ca="1">IFERROR(__xludf.DUMMYFUNCTION("""COMPUTED_VALUE"""),"Str Odoo Technologies Ciudad De Mex Mex")</f>
        <v>Str Odoo Technologies Ciudad De Mex Mex</v>
      </c>
      <c r="I9" s="4" t="str">
        <f ca="1">IFERROR(__xludf.DUMMYFUNCTION("""COMPUTED_VALUE"""),"Tech&amp;Product")</f>
        <v>Tech&amp;Product</v>
      </c>
      <c r="J9" s="4"/>
      <c r="K9" s="4" t="str">
        <f ca="1">IFERROR(__xludf.DUMMYFUNCTION("""COMPUTED_VALUE"""),".")</f>
        <v>.</v>
      </c>
      <c r="R9" s="7"/>
      <c r="S9" s="6">
        <v>33</v>
      </c>
      <c r="T9" s="4" t="str">
        <f t="shared" ca="1" si="0"/>
        <v>Erik Castillo</v>
      </c>
      <c r="V9" s="4" t="s">
        <v>18</v>
      </c>
      <c r="W9" s="4" t="str">
        <f t="shared" ca="1" si="1"/>
        <v>Karen Alexandra Ballesteros Contreras</v>
      </c>
    </row>
    <row r="10" spans="1:23" ht="15.75" customHeight="1">
      <c r="A10" s="4" t="str">
        <f ca="1">IFERROR(__xludf.DUMMYFUNCTION("""COMPUTED_VALUE"""),"TRX1245")</f>
        <v>TRX1245</v>
      </c>
      <c r="B10" s="4" t="str">
        <f ca="1">IFERROR(__xludf.DUMMYFUNCTION("""COMPUTED_VALUE"""),"#2")</f>
        <v>#2</v>
      </c>
      <c r="C10" s="5">
        <f ca="1">IFERROR(__xludf.DUMMYFUNCTION("""COMPUTED_VALUE"""),46066.4173611111)</f>
        <v>46066.417361111096</v>
      </c>
      <c r="D10" s="6">
        <f ca="1">IFERROR(__xludf.DUMMYFUNCTION("""COMPUTED_VALUE"""),1083.21)</f>
        <v>1083.21</v>
      </c>
      <c r="E10" s="4" t="str">
        <f ca="1">IFERROR(__xludf.DUMMYFUNCTION("""COMPUTED_VALUE"""),"USD")</f>
        <v>USD</v>
      </c>
      <c r="F10" s="4" t="str">
        <f ca="1">IFERROR(__xludf.DUMMYFUNCTION("""COMPUTED_VALUE"""),"Cesar Gonzales")</f>
        <v>Cesar Gonzales</v>
      </c>
      <c r="G10" s="4" t="str">
        <f ca="1">IFERROR(__xludf.DUMMYFUNCTION("""COMPUTED_VALUE"""),"AUGMENT CODE           PALO ALTO     USA")</f>
        <v>AUGMENT CODE           PALO ALTO     USA</v>
      </c>
      <c r="H10" s="4" t="str">
        <f ca="1">IFERROR(__xludf.DUMMYFUNCTION("""COMPUTED_VALUE"""),"Augment Code Palo Alto USA")</f>
        <v>Augment Code Palo Alto USA</v>
      </c>
      <c r="I10" s="4" t="str">
        <f ca="1">IFERROR(__xludf.DUMMYFUNCTION("""COMPUTED_VALUE"""),"Tech&amp;Product")</f>
        <v>Tech&amp;Product</v>
      </c>
      <c r="J10" s="4"/>
      <c r="K10" s="4" t="str">
        <f ca="1">IFERROR(__xludf.DUMMYFUNCTION("""COMPUTED_VALUE"""),".")</f>
        <v>.</v>
      </c>
      <c r="R10" s="7"/>
      <c r="S10" s="6">
        <v>4126.16</v>
      </c>
      <c r="T10" s="4" t="e">
        <f t="shared" ca="1" si="0"/>
        <v>#N/A</v>
      </c>
      <c r="V10" s="4" t="s">
        <v>19</v>
      </c>
      <c r="W10" s="4" t="str">
        <f t="shared" ca="1" si="1"/>
        <v>Manuel Ibarra Cebreros</v>
      </c>
    </row>
    <row r="11" spans="1:23" ht="15.75" customHeight="1">
      <c r="A11" s="4" t="str">
        <f ca="1">IFERROR(__xludf.DUMMYFUNCTION("""COMPUTED_VALUE"""),"TRX1378")</f>
        <v>TRX1378</v>
      </c>
      <c r="B11" s="4" t="str">
        <f ca="1">IFERROR(__xludf.DUMMYFUNCTION("""COMPUTED_VALUE"""),"#2")</f>
        <v>#2</v>
      </c>
      <c r="C11" s="5">
        <f ca="1">IFERROR(__xludf.DUMMYFUNCTION("""COMPUTED_VALUE"""),46069.4166666666)</f>
        <v>46069.416666666599</v>
      </c>
      <c r="D11" s="6">
        <f ca="1">IFERROR(__xludf.DUMMYFUNCTION("""COMPUTED_VALUE"""),14399.42)</f>
        <v>14399.42</v>
      </c>
      <c r="E11" s="4" t="str">
        <f ca="1">IFERROR(__xludf.DUMMYFUNCTION("""COMPUTED_VALUE"""),"USD")</f>
        <v>USD</v>
      </c>
      <c r="F11" s="4" t="str">
        <f ca="1">IFERROR(__xludf.DUMMYFUNCTION("""COMPUTED_VALUE"""),"Cesar Gonzales")</f>
        <v>Cesar Gonzales</v>
      </c>
      <c r="G11" s="4" t="str">
        <f ca="1">IFERROR(__xludf.DUMMYFUNCTION("""COMPUTED_VALUE"""),"AUTH0.COM              SAN FRANCISCO USA")</f>
        <v>AUTH0.COM              SAN FRANCISCO USA</v>
      </c>
      <c r="H11" s="4" t="str">
        <f ca="1">IFERROR(__xludf.DUMMYFUNCTION("""COMPUTED_VALUE"""),"Auth0")</f>
        <v>Auth0</v>
      </c>
      <c r="I11" s="4" t="str">
        <f ca="1">IFERROR(__xludf.DUMMYFUNCTION("""COMPUTED_VALUE"""),"Tech&amp;Product")</f>
        <v>Tech&amp;Product</v>
      </c>
      <c r="J11" s="4"/>
      <c r="K11" s="4" t="str">
        <f ca="1">IFERROR(__xludf.DUMMYFUNCTION("""COMPUTED_VALUE"""),".")</f>
        <v>.</v>
      </c>
      <c r="R11" s="7"/>
      <c r="S11" s="6">
        <v>78</v>
      </c>
      <c r="T11" s="4" t="str">
        <f t="shared" ca="1" si="0"/>
        <v>Karen Alexandra Ballesteros Contreras</v>
      </c>
      <c r="V11" s="4" t="s">
        <v>20</v>
      </c>
      <c r="W11" s="4" t="str">
        <f t="shared" ca="1" si="1"/>
        <v>Erik Castillo</v>
      </c>
    </row>
    <row r="12" spans="1:23" ht="15.75" customHeight="1">
      <c r="A12" s="4" t="str">
        <f ca="1">IFERROR(__xludf.DUMMYFUNCTION("""COMPUTED_VALUE"""),"TRX1821")</f>
        <v>TRX1821</v>
      </c>
      <c r="B12" s="4" t="str">
        <f ca="1">IFERROR(__xludf.DUMMYFUNCTION("""COMPUTED_VALUE"""),"#2")</f>
        <v>#2</v>
      </c>
      <c r="C12" s="5">
        <f ca="1">IFERROR(__xludf.DUMMYFUNCTION("""COMPUTED_VALUE"""),46073.4173611111)</f>
        <v>46073.417361111096</v>
      </c>
      <c r="D12" s="6">
        <f ca="1">IFERROR(__xludf.DUMMYFUNCTION("""COMPUTED_VALUE"""),471.63)</f>
        <v>471.63</v>
      </c>
      <c r="E12" s="4" t="str">
        <f ca="1">IFERROR(__xludf.DUMMYFUNCTION("""COMPUTED_VALUE"""),"USD")</f>
        <v>USD</v>
      </c>
      <c r="F12" s="4" t="str">
        <f ca="1">IFERROR(__xludf.DUMMYFUNCTION("""COMPUTED_VALUE"""),"Cesar Gonzales")</f>
        <v>Cesar Gonzales</v>
      </c>
      <c r="G12" s="4" t="str">
        <f ca="1">IFERROR(__xludf.DUMMYFUNCTION("""COMPUTED_VALUE"""),"CURSOR, AI POWERED IDE NEW YORK      USA")</f>
        <v>CURSOR, AI POWERED IDE NEW YORK      USA</v>
      </c>
      <c r="H12" s="4" t="str">
        <f ca="1">IFERROR(__xludf.DUMMYFUNCTION("""COMPUTED_VALUE"""),"Cursor Ai Powered Ide New York USA")</f>
        <v>Cursor Ai Powered Ide New York USA</v>
      </c>
      <c r="I12" s="4" t="str">
        <f ca="1">IFERROR(__xludf.DUMMYFUNCTION("""COMPUTED_VALUE"""),"Tech&amp;Product")</f>
        <v>Tech&amp;Product</v>
      </c>
      <c r="J12" s="4"/>
      <c r="K12" s="4" t="str">
        <f ca="1">IFERROR(__xludf.DUMMYFUNCTION("""COMPUTED_VALUE"""),".")</f>
        <v>.</v>
      </c>
      <c r="R12" s="7"/>
      <c r="S12" s="6">
        <v>176.59</v>
      </c>
      <c r="T12" s="4" t="e">
        <f t="shared" ca="1" si="0"/>
        <v>#N/A</v>
      </c>
      <c r="V12" s="4" t="s">
        <v>21</v>
      </c>
      <c r="W12" s="4" t="str">
        <f t="shared" ca="1" si="1"/>
        <v>Gabriela Zacarias Aguirre</v>
      </c>
    </row>
    <row r="13" spans="1:23" ht="15.75" customHeight="1">
      <c r="A13" s="4" t="str">
        <f ca="1">IFERROR(__xludf.DUMMYFUNCTION("""COMPUTED_VALUE"""),"TRX1080")</f>
        <v>TRX1080</v>
      </c>
      <c r="B13" s="4" t="str">
        <f ca="1">IFERROR(__xludf.DUMMYFUNCTION("""COMPUTED_VALUE"""),"#2")</f>
        <v>#2</v>
      </c>
      <c r="C13" s="5">
        <f ca="1">IFERROR(__xludf.DUMMYFUNCTION("""COMPUTED_VALUE"""),46075.4173611111)</f>
        <v>46075.417361111096</v>
      </c>
      <c r="D13" s="6">
        <f ca="1">IFERROR(__xludf.DUMMYFUNCTION("""COMPUTED_VALUE"""),2619.98)</f>
        <v>2619.98</v>
      </c>
      <c r="E13" s="4" t="str">
        <f ca="1">IFERROR(__xludf.DUMMYFUNCTION("""COMPUTED_VALUE"""),"USD")</f>
        <v>USD</v>
      </c>
      <c r="F13" s="4" t="str">
        <f ca="1">IFERROR(__xludf.DUMMYFUNCTION("""COMPUTED_VALUE"""),"Cesar Gonzales")</f>
        <v>Cesar Gonzales</v>
      </c>
      <c r="G13" s="4" t="str">
        <f ca="1">IFERROR(__xludf.DUMMYFUNCTION("""COMPUTED_VALUE"""),"ATLASSIAN              SAN FRANCISCO USA")</f>
        <v>ATLASSIAN              SAN FRANCISCO USA</v>
      </c>
      <c r="H13" s="4" t="str">
        <f ca="1">IFERROR(__xludf.DUMMYFUNCTION("""COMPUTED_VALUE"""),"Atlassian")</f>
        <v>Atlassian</v>
      </c>
      <c r="I13" s="4" t="str">
        <f ca="1">IFERROR(__xludf.DUMMYFUNCTION("""COMPUTED_VALUE"""),"Tech&amp;Product")</f>
        <v>Tech&amp;Product</v>
      </c>
      <c r="J13" s="4"/>
      <c r="K13" s="4" t="str">
        <f ca="1">IFERROR(__xludf.DUMMYFUNCTION("""COMPUTED_VALUE"""),".")</f>
        <v>.</v>
      </c>
      <c r="R13" s="7"/>
      <c r="S13" s="6">
        <v>152</v>
      </c>
      <c r="T13" s="4" t="e">
        <f t="shared" ca="1" si="0"/>
        <v>#N/A</v>
      </c>
      <c r="V13" s="4" t="s">
        <v>22</v>
      </c>
      <c r="W13" s="4" t="str">
        <f t="shared" ca="1" si="1"/>
        <v>Monserrat Benitez</v>
      </c>
    </row>
    <row r="14" spans="1:23" ht="15.75" customHeight="1">
      <c r="A14" s="4" t="str">
        <f ca="1">IFERROR(__xludf.DUMMYFUNCTION("""COMPUTED_VALUE"""),"TRX1119")</f>
        <v>TRX1119</v>
      </c>
      <c r="B14" s="4" t="str">
        <f ca="1">IFERROR(__xludf.DUMMYFUNCTION("""COMPUTED_VALUE"""),"#2")</f>
        <v>#2</v>
      </c>
      <c r="C14" s="5">
        <f ca="1">IFERROR(__xludf.DUMMYFUNCTION("""COMPUTED_VALUE"""),46077.4166666666)</f>
        <v>46077.416666666599</v>
      </c>
      <c r="D14" s="6">
        <f ca="1">IFERROR(__xludf.DUMMYFUNCTION("""COMPUTED_VALUE"""),3853.97)</f>
        <v>3853.97</v>
      </c>
      <c r="E14" s="4" t="str">
        <f ca="1">IFERROR(__xludf.DUMMYFUNCTION("""COMPUTED_VALUE"""),"USD")</f>
        <v>USD</v>
      </c>
      <c r="F14" s="4" t="str">
        <f ca="1">IFERROR(__xludf.DUMMYFUNCTION("""COMPUTED_VALUE"""),"Cesar Gonzales")</f>
        <v>Cesar Gonzales</v>
      </c>
      <c r="G14" s="4" t="str">
        <f ca="1">IFERROR(__xludf.DUMMYFUNCTION("""COMPUTED_VALUE"""),"RETOOL                 SAN FRANCISCO USA")</f>
        <v>RETOOL                 SAN FRANCISCO USA</v>
      </c>
      <c r="H14" s="4" t="str">
        <f ca="1">IFERROR(__xludf.DUMMYFUNCTION("""COMPUTED_VALUE"""),"Retool")</f>
        <v>Retool</v>
      </c>
      <c r="I14" s="4" t="str">
        <f ca="1">IFERROR(__xludf.DUMMYFUNCTION("""COMPUTED_VALUE"""),"Tech&amp;Product")</f>
        <v>Tech&amp;Product</v>
      </c>
      <c r="J14" s="4"/>
      <c r="K14" s="4" t="str">
        <f ca="1">IFERROR(__xludf.DUMMYFUNCTION("""COMPUTED_VALUE"""),".")</f>
        <v>.</v>
      </c>
      <c r="R14" s="7"/>
      <c r="S14" s="6">
        <v>99</v>
      </c>
      <c r="T14" s="4" t="e">
        <f t="shared" ca="1" si="0"/>
        <v>#N/A</v>
      </c>
      <c r="V14" s="4" t="s">
        <v>23</v>
      </c>
      <c r="W14" s="4" t="e">
        <f t="shared" ca="1" si="1"/>
        <v>#N/A</v>
      </c>
    </row>
    <row r="15" spans="1:23" ht="15.75" customHeight="1">
      <c r="A15" s="4" t="str">
        <f ca="1">IFERROR(__xludf.DUMMYFUNCTION("""COMPUTED_VALUE"""),"TRX1124")</f>
        <v>TRX1124</v>
      </c>
      <c r="B15" s="4" t="str">
        <f ca="1">IFERROR(__xludf.DUMMYFUNCTION("""COMPUTED_VALUE"""),"#2")</f>
        <v>#2</v>
      </c>
      <c r="C15" s="5">
        <f ca="1">IFERROR(__xludf.DUMMYFUNCTION("""COMPUTED_VALUE"""),46077.4166666666)</f>
        <v>46077.416666666599</v>
      </c>
      <c r="D15" s="6">
        <f ca="1">IFERROR(__xludf.DUMMYFUNCTION("""COMPUTED_VALUE"""),8235.56)</f>
        <v>8235.56</v>
      </c>
      <c r="E15" s="4" t="str">
        <f ca="1">IFERROR(__xludf.DUMMYFUNCTION("""COMPUTED_VALUE"""),"USD")</f>
        <v>USD</v>
      </c>
      <c r="F15" s="4" t="str">
        <f ca="1">IFERROR(__xludf.DUMMYFUNCTION("""COMPUTED_VALUE"""),"Cesar Gonzales")</f>
        <v>Cesar Gonzales</v>
      </c>
      <c r="G15" s="4" t="str">
        <f ca="1">IFERROR(__xludf.DUMMYFUNCTION("""COMPUTED_VALUE"""),"METABASE INC           SPRING VALLEY USA")</f>
        <v>METABASE INC           SPRING VALLEY USA</v>
      </c>
      <c r="H15" s="4" t="str">
        <f ca="1">IFERROR(__xludf.DUMMYFUNCTION("""COMPUTED_VALUE"""),"Metabase")</f>
        <v>Metabase</v>
      </c>
      <c r="I15" s="4" t="str">
        <f ca="1">IFERROR(__xludf.DUMMYFUNCTION("""COMPUTED_VALUE"""),"Tech&amp;Product")</f>
        <v>Tech&amp;Product</v>
      </c>
      <c r="J15" s="4"/>
      <c r="K15" s="4" t="str">
        <f ca="1">IFERROR(__xludf.DUMMYFUNCTION("""COMPUTED_VALUE"""),".")</f>
        <v>.</v>
      </c>
      <c r="R15" s="7"/>
      <c r="S15" s="6">
        <v>102</v>
      </c>
      <c r="T15" s="4" t="e">
        <f t="shared" ca="1" si="0"/>
        <v>#N/A</v>
      </c>
      <c r="V15" s="4" t="s">
        <v>24</v>
      </c>
      <c r="W15" s="4" t="str">
        <f t="shared" ca="1" si="1"/>
        <v>Jose Maria Garcia Hernandez</v>
      </c>
    </row>
    <row r="16" spans="1:23" ht="15.75" customHeight="1">
      <c r="A16" s="4" t="str">
        <f ca="1">IFERROR(__xludf.DUMMYFUNCTION("""COMPUTED_VALUE"""),"TRX1127")</f>
        <v>TRX1127</v>
      </c>
      <c r="B16" s="4" t="str">
        <f ca="1">IFERROR(__xludf.DUMMYFUNCTION("""COMPUTED_VALUE"""),"#2")</f>
        <v>#2</v>
      </c>
      <c r="C16" s="5">
        <f ca="1">IFERROR(__xludf.DUMMYFUNCTION("""COMPUTED_VALUE"""),46077.4166666666)</f>
        <v>46077.416666666599</v>
      </c>
      <c r="D16" s="6">
        <f ca="1">IFERROR(__xludf.DUMMYFUNCTION("""COMPUTED_VALUE"""),7106.33)</f>
        <v>7106.33</v>
      </c>
      <c r="E16" s="4" t="str">
        <f ca="1">IFERROR(__xludf.DUMMYFUNCTION("""COMPUTED_VALUE"""),"USD")</f>
        <v>USD</v>
      </c>
      <c r="F16" s="4" t="str">
        <f ca="1">IFERROR(__xludf.DUMMYFUNCTION("""COMPUTED_VALUE"""),"Cesar Gonzales")</f>
        <v>Cesar Gonzales</v>
      </c>
      <c r="G16" s="4" t="str">
        <f ca="1">IFERROR(__xludf.DUMMYFUNCTION("""COMPUTED_VALUE"""),"Microsoft-G142443073   msbill.info   USA")</f>
        <v>Microsoft-G142443073   msbill.info   USA</v>
      </c>
      <c r="H16" s="4" t="str">
        <f ca="1">IFERROR(__xludf.DUMMYFUNCTION("""COMPUTED_VALUE"""),"Microsoft")</f>
        <v>Microsoft</v>
      </c>
      <c r="I16" s="4" t="str">
        <f ca="1">IFERROR(__xludf.DUMMYFUNCTION("""COMPUTED_VALUE"""),"Tech&amp;Product")</f>
        <v>Tech&amp;Product</v>
      </c>
      <c r="J16" s="4"/>
      <c r="K16" s="4" t="str">
        <f ca="1">IFERROR(__xludf.DUMMYFUNCTION("""COMPUTED_VALUE"""),".")</f>
        <v>.</v>
      </c>
      <c r="R16" s="7"/>
      <c r="S16" s="6">
        <v>5296</v>
      </c>
      <c r="T16" s="4" t="e">
        <f t="shared" ca="1" si="0"/>
        <v>#N/A</v>
      </c>
      <c r="V16" s="4" t="s">
        <v>25</v>
      </c>
      <c r="W16" s="4" t="str">
        <f t="shared" ca="1" si="1"/>
        <v>Miguel De Lascurain</v>
      </c>
    </row>
    <row r="17" spans="1:23" ht="15.75" customHeight="1">
      <c r="A17" s="4" t="str">
        <f ca="1">IFERROR(__xludf.DUMMYFUNCTION("""COMPUTED_VALUE"""),"TRX1239")</f>
        <v>TRX1239</v>
      </c>
      <c r="B17" s="4" t="str">
        <f ca="1">IFERROR(__xludf.DUMMYFUNCTION("""COMPUTED_VALUE"""),"#3")</f>
        <v>#3</v>
      </c>
      <c r="C17" s="5">
        <f ca="1">IFERROR(__xludf.DUMMYFUNCTION("""COMPUTED_VALUE"""),46058.4166666666)</f>
        <v>46058.416666666599</v>
      </c>
      <c r="D17" s="6">
        <f ca="1">IFERROR(__xludf.DUMMYFUNCTION("""COMPUTED_VALUE"""),1130)</f>
        <v>1130</v>
      </c>
      <c r="E17" s="4" t="str">
        <f ca="1">IFERROR(__xludf.DUMMYFUNCTION("""COMPUTED_VALUE"""),"MXN")</f>
        <v>MXN</v>
      </c>
      <c r="F17" s="4" t="str">
        <f ca="1">IFERROR(__xludf.DUMMYFUNCTION("""COMPUTED_VALUE"""),"Cesar Uriel Romo Trillo")</f>
        <v>Cesar Uriel Romo Trillo</v>
      </c>
      <c r="G17" s="4" t="str">
        <f ca="1">IFERROR(__xludf.DUMMYFUNCTION("""COMPUTED_VALUE"""),"HAMMER STRONG          CIUDAD DE MEX MEX")</f>
        <v>HAMMER STRONG          CIUDAD DE MEX MEX</v>
      </c>
      <c r="H17" s="4" t="str">
        <f ca="1">IFERROR(__xludf.DUMMYFUNCTION("""COMPUTED_VALUE"""),"Hammer Strong Ciudad De Mex Mex")</f>
        <v>Hammer Strong Ciudad De Mex Mex</v>
      </c>
      <c r="I17" s="4" t="str">
        <f ca="1">IFERROR(__xludf.DUMMYFUNCTION("""COMPUTED_VALUE"""),"Sales")</f>
        <v>Sales</v>
      </c>
      <c r="J17" s="4" t="str">
        <f ca="1">IFERROR(__xludf.DUMMYFUNCTION("""COMPUTED_VALUE"""),"Compra de Pulidora y discos para obra Grajales Robles PO1129")</f>
        <v>Compra de Pulidora y discos para obra Grajales Robles PO1129</v>
      </c>
      <c r="K17" s="4" t="str">
        <f ca="1">IFERROR(__xludf.DUMMYFUNCTION("""COMPUTED_VALUE"""),"TICKET")</f>
        <v>TICKET</v>
      </c>
      <c r="R17" s="7"/>
      <c r="S17" s="6">
        <v>102</v>
      </c>
      <c r="T17" s="4" t="e">
        <f t="shared" ca="1" si="0"/>
        <v>#N/A</v>
      </c>
      <c r="V17" s="4" t="s">
        <v>26</v>
      </c>
      <c r="W17" s="4" t="str">
        <f t="shared" ca="1" si="1"/>
        <v>Jorge Rojas</v>
      </c>
    </row>
    <row r="18" spans="1:23" ht="15.75" customHeight="1">
      <c r="A18" s="4" t="str">
        <f ca="1">IFERROR(__xludf.DUMMYFUNCTION("""COMPUTED_VALUE"""),"TRX1151")</f>
        <v>TRX1151</v>
      </c>
      <c r="B18" s="4" t="str">
        <f ca="1">IFERROR(__xludf.DUMMYFUNCTION("""COMPUTED_VALUE"""),"#3")</f>
        <v>#3</v>
      </c>
      <c r="C18" s="5">
        <f ca="1">IFERROR(__xludf.DUMMYFUNCTION("""COMPUTED_VALUE"""),46059.4173611111)</f>
        <v>46059.417361111096</v>
      </c>
      <c r="D18" s="6">
        <f ca="1">IFERROR(__xludf.DUMMYFUNCTION("""COMPUTED_VALUE"""),344.25)</f>
        <v>344.25</v>
      </c>
      <c r="E18" s="4" t="str">
        <f ca="1">IFERROR(__xludf.DUMMYFUNCTION("""COMPUTED_VALUE"""),"MXN")</f>
        <v>MXN</v>
      </c>
      <c r="F18" s="4" t="str">
        <f ca="1">IFERROR(__xludf.DUMMYFUNCTION("""COMPUTED_VALUE"""),"Cesar Uriel Romo Trillo")</f>
        <v>Cesar Uriel Romo Trillo</v>
      </c>
      <c r="G18" s="4" t="str">
        <f ca="1">IFERROR(__xludf.DUMMYFUNCTION("""COMPUTED_VALUE"""),"GAS JUVITA             MEXICO DF     MEX")</f>
        <v>GAS JUVITA             MEXICO DF     MEX</v>
      </c>
      <c r="H18" s="4" t="str">
        <f ca="1">IFERROR(__xludf.DUMMYFUNCTION("""COMPUTED_VALUE"""),"Gas Juvita Mexico Df Mex")</f>
        <v>Gas Juvita Mexico Df Mex</v>
      </c>
      <c r="I18" s="4" t="str">
        <f ca="1">IFERROR(__xludf.DUMMYFUNCTION("""COMPUTED_VALUE"""),"Sales")</f>
        <v>Sales</v>
      </c>
      <c r="J18" s="4" t="str">
        <f ca="1">IFERROR(__xludf.DUMMYFUNCTION("""COMPUTED_VALUE"""),"Gasolina visita desmontaje de Grua Grajales Robles PO1129")</f>
        <v>Gasolina visita desmontaje de Grua Grajales Robles PO1129</v>
      </c>
      <c r="K18" s="4" t="str">
        <f ca="1">IFERROR(__xludf.DUMMYFUNCTION("""COMPUTED_VALUE"""),"TICKET")</f>
        <v>TICKET</v>
      </c>
      <c r="R18" s="7"/>
      <c r="S18" s="6">
        <v>12818</v>
      </c>
      <c r="T18" s="4" t="e">
        <f t="shared" ca="1" si="0"/>
        <v>#N/A</v>
      </c>
      <c r="V18" s="4" t="s">
        <v>27</v>
      </c>
      <c r="W18" s="4" t="e">
        <f t="shared" ca="1" si="1"/>
        <v>#N/A</v>
      </c>
    </row>
    <row r="19" spans="1:23" ht="15.75" customHeight="1">
      <c r="A19" s="4" t="str">
        <f ca="1">IFERROR(__xludf.DUMMYFUNCTION("""COMPUTED_VALUE"""),"TRX1538")</f>
        <v>TRX1538</v>
      </c>
      <c r="B19" s="4" t="str">
        <f ca="1">IFERROR(__xludf.DUMMYFUNCTION("""COMPUTED_VALUE"""),"#3")</f>
        <v>#3</v>
      </c>
      <c r="C19" s="5">
        <f ca="1">IFERROR(__xludf.DUMMYFUNCTION("""COMPUTED_VALUE"""),46060.4173611111)</f>
        <v>46060.417361111096</v>
      </c>
      <c r="D19" s="6">
        <f ca="1">IFERROR(__xludf.DUMMYFUNCTION("""COMPUTED_VALUE"""),803.6)</f>
        <v>803.6</v>
      </c>
      <c r="E19" s="4" t="str">
        <f ca="1">IFERROR(__xludf.DUMMYFUNCTION("""COMPUTED_VALUE"""),"MXN")</f>
        <v>MXN</v>
      </c>
      <c r="F19" s="4" t="str">
        <f ca="1">IFERROR(__xludf.DUMMYFUNCTION("""COMPUTED_VALUE"""),"Cesar Uriel Romo Trillo")</f>
        <v>Cesar Uriel Romo Trillo</v>
      </c>
      <c r="G19" s="4" t="str">
        <f ca="1">IFERROR(__xludf.DUMMYFUNCTION("""COMPUTED_VALUE"""),"GASOLINERA COMB ERMITA CIUDAD DE MEX MEX")</f>
        <v>GASOLINERA COMB ERMITA CIUDAD DE MEX MEX</v>
      </c>
      <c r="H19" s="4" t="str">
        <f ca="1">IFERROR(__xludf.DUMMYFUNCTION("""COMPUTED_VALUE"""),"Gasolinera Comb Ermita Ciudad De Mex Mex")</f>
        <v>Gasolinera Comb Ermita Ciudad De Mex Mex</v>
      </c>
      <c r="I19" s="4" t="str">
        <f ca="1">IFERROR(__xludf.DUMMYFUNCTION("""COMPUTED_VALUE"""),"Sales")</f>
        <v>Sales</v>
      </c>
      <c r="J19" s="4" t="str">
        <f ca="1">IFERROR(__xludf.DUMMYFUNCTION("""COMPUTED_VALUE"""),"Gasolina para Malacate Grajales Robles PO 1129")</f>
        <v>Gasolina para Malacate Grajales Robles PO 1129</v>
      </c>
      <c r="K19" s="4" t="str">
        <f ca="1">IFERROR(__xludf.DUMMYFUNCTION("""COMPUTED_VALUE"""),"TICKET")</f>
        <v>TICKET</v>
      </c>
      <c r="R19" s="7"/>
      <c r="S19" s="6">
        <v>173.12</v>
      </c>
      <c r="T19" s="4" t="e">
        <f t="shared" ca="1" si="0"/>
        <v>#N/A</v>
      </c>
      <c r="V19" s="4" t="s">
        <v>28</v>
      </c>
      <c r="W19" s="4" t="str">
        <f t="shared" ca="1" si="1"/>
        <v>Fernando Villalobos Lara</v>
      </c>
    </row>
    <row r="20" spans="1:23" ht="12.5">
      <c r="A20" s="4" t="str">
        <f ca="1">IFERROR(__xludf.DUMMYFUNCTION("""COMPUTED_VALUE"""),"TRX1068")</f>
        <v>TRX1068</v>
      </c>
      <c r="B20" s="4" t="str">
        <f ca="1">IFERROR(__xludf.DUMMYFUNCTION("""COMPUTED_VALUE"""),"#3")</f>
        <v>#3</v>
      </c>
      <c r="C20" s="5">
        <f ca="1">IFERROR(__xludf.DUMMYFUNCTION("""COMPUTED_VALUE"""),46065.4173611111)</f>
        <v>46065.417361111096</v>
      </c>
      <c r="D20" s="6">
        <f ca="1">IFERROR(__xludf.DUMMYFUNCTION("""COMPUTED_VALUE"""),574)</f>
        <v>574</v>
      </c>
      <c r="E20" s="4" t="str">
        <f ca="1">IFERROR(__xludf.DUMMYFUNCTION("""COMPUTED_VALUE"""),"MXN")</f>
        <v>MXN</v>
      </c>
      <c r="F20" s="4" t="str">
        <f ca="1">IFERROR(__xludf.DUMMYFUNCTION("""COMPUTED_VALUE"""),"Cesar Uriel Romo Trillo")</f>
        <v>Cesar Uriel Romo Trillo</v>
      </c>
      <c r="G20" s="4" t="str">
        <f ca="1">IFERROR(__xludf.DUMMYFUNCTION("""COMPUTED_VALUE"""),"GASOLINERA COMB ERMITA CIUDAD DE MEX MEX")</f>
        <v>GASOLINERA COMB ERMITA CIUDAD DE MEX MEX</v>
      </c>
      <c r="H20" s="4" t="str">
        <f ca="1">IFERROR(__xludf.DUMMYFUNCTION("""COMPUTED_VALUE"""),"Gasolinera Comb Ermita Ciudad De Mex Mex")</f>
        <v>Gasolinera Comb Ermita Ciudad De Mex Mex</v>
      </c>
      <c r="I20" s="4" t="str">
        <f ca="1">IFERROR(__xludf.DUMMYFUNCTION("""COMPUTED_VALUE"""),"Sales")</f>
        <v>Sales</v>
      </c>
      <c r="J20" s="4" t="str">
        <f ca="1">IFERROR(__xludf.DUMMYFUNCTION("""COMPUTED_VALUE"""),"Gasolina visita equipo Elvic PO1129")</f>
        <v>Gasolina visita equipo Elvic PO1129</v>
      </c>
      <c r="K20" s="4" t="str">
        <f ca="1">IFERROR(__xludf.DUMMYFUNCTION("""COMPUTED_VALUE"""),"TICKET")</f>
        <v>TICKET</v>
      </c>
      <c r="R20" s="7"/>
      <c r="S20" s="6">
        <v>70</v>
      </c>
      <c r="T20" s="4" t="str">
        <f t="shared" ca="1" si="0"/>
        <v>Fernanda Sanchez Ruiz</v>
      </c>
      <c r="V20" s="4" t="s">
        <v>29</v>
      </c>
      <c r="W20" s="4" t="str">
        <f t="shared" ca="1" si="1"/>
        <v>Jose Arechavala</v>
      </c>
    </row>
    <row r="21" spans="1:23" ht="12.5">
      <c r="A21" s="4" t="str">
        <f ca="1">IFERROR(__xludf.DUMMYFUNCTION("""COMPUTED_VALUE"""),"TRX1608")</f>
        <v>TRX1608</v>
      </c>
      <c r="B21" s="4" t="str">
        <f ca="1">IFERROR(__xludf.DUMMYFUNCTION("""COMPUTED_VALUE"""),"#3")</f>
        <v>#3</v>
      </c>
      <c r="C21" s="5">
        <f ca="1">IFERROR(__xludf.DUMMYFUNCTION("""COMPUTED_VALUE"""),46065.4173611111)</f>
        <v>46065.417361111096</v>
      </c>
      <c r="D21" s="6">
        <f ca="1">IFERROR(__xludf.DUMMYFUNCTION("""COMPUTED_VALUE"""),767)</f>
        <v>767</v>
      </c>
      <c r="E21" s="4" t="str">
        <f ca="1">IFERROR(__xludf.DUMMYFUNCTION("""COMPUTED_VALUE"""),"MXN")</f>
        <v>MXN</v>
      </c>
      <c r="F21" s="4" t="str">
        <f ca="1">IFERROR(__xludf.DUMMYFUNCTION("""COMPUTED_VALUE"""),"Cesar Uriel Romo Trillo")</f>
        <v>Cesar Uriel Romo Trillo</v>
      </c>
      <c r="G21" s="4" t="str">
        <f ca="1">IFERROR(__xludf.DUMMYFUNCTION("""COMPUTED_VALUE"""),"MAMA S PIZZA           CIUDAD DE MEX MEX")</f>
        <v>MAMA S PIZZA           CIUDAD DE MEX MEX</v>
      </c>
      <c r="H21" s="4" t="str">
        <f ca="1">IFERROR(__xludf.DUMMYFUNCTION("""COMPUTED_VALUE"""),"Mama S Pizza Ciudad De Mex Mex")</f>
        <v>Mama S Pizza Ciudad De Mex Mex</v>
      </c>
      <c r="I21" s="4" t="str">
        <f ca="1">IFERROR(__xludf.DUMMYFUNCTION("""COMPUTED_VALUE"""),"Sales")</f>
        <v>Sales</v>
      </c>
      <c r="J21" s="4" t="str">
        <f ca="1">IFERROR(__xludf.DUMMYFUNCTION("""COMPUTED_VALUE"""),"Comida equipo Elvic  PO 1129")</f>
        <v>Comida equipo Elvic  PO 1129</v>
      </c>
      <c r="K21" s="4" t="str">
        <f ca="1">IFERROR(__xludf.DUMMYFUNCTION("""COMPUTED_VALUE"""),"TICKET")</f>
        <v>TICKET</v>
      </c>
      <c r="R21" s="7"/>
      <c r="S21" s="6">
        <v>309</v>
      </c>
      <c r="T21" s="4" t="e">
        <f t="shared" ca="1" si="0"/>
        <v>#N/A</v>
      </c>
      <c r="V21" s="4" t="s">
        <v>30</v>
      </c>
      <c r="W21" s="4" t="e">
        <f t="shared" ca="1" si="1"/>
        <v>#N/A</v>
      </c>
    </row>
    <row r="22" spans="1:23" ht="12.5">
      <c r="A22" s="4" t="str">
        <f ca="1">IFERROR(__xludf.DUMMYFUNCTION("""COMPUTED_VALUE"""),"TRX1618")</f>
        <v>TRX1618</v>
      </c>
      <c r="B22" s="4" t="str">
        <f ca="1">IFERROR(__xludf.DUMMYFUNCTION("""COMPUTED_VALUE"""),"#3")</f>
        <v>#3</v>
      </c>
      <c r="C22" s="5">
        <f ca="1">IFERROR(__xludf.DUMMYFUNCTION("""COMPUTED_VALUE"""),46071.4173611111)</f>
        <v>46071.417361111096</v>
      </c>
      <c r="D22" s="6">
        <f ca="1">IFERROR(__xludf.DUMMYFUNCTION("""COMPUTED_VALUE"""),918.4)</f>
        <v>918.4</v>
      </c>
      <c r="E22" s="4" t="str">
        <f ca="1">IFERROR(__xludf.DUMMYFUNCTION("""COMPUTED_VALUE"""),"MXN")</f>
        <v>MXN</v>
      </c>
      <c r="F22" s="4" t="str">
        <f ca="1">IFERROR(__xludf.DUMMYFUNCTION("""COMPUTED_VALUE"""),"Cesar Uriel Romo Trillo")</f>
        <v>Cesar Uriel Romo Trillo</v>
      </c>
      <c r="G22" s="4" t="str">
        <f ca="1">IFERROR(__xludf.DUMMYFUNCTION("""COMPUTED_VALUE"""),"GASOLINERA COMB ERMITA CIUDAD DE MEX MEX")</f>
        <v>GASOLINERA COMB ERMITA CIUDAD DE MEX MEX</v>
      </c>
      <c r="H22" s="4" t="str">
        <f ca="1">IFERROR(__xludf.DUMMYFUNCTION("""COMPUTED_VALUE"""),"Gasolinera Comb Ermita Ciudad De Mex Mex")</f>
        <v>Gasolinera Comb Ermita Ciudad De Mex Mex</v>
      </c>
      <c r="I22" s="4" t="str">
        <f ca="1">IFERROR(__xludf.DUMMYFUNCTION("""COMPUTED_VALUE"""),"Sales")</f>
        <v>Sales</v>
      </c>
      <c r="J22" s="4" t="str">
        <f ca="1">IFERROR(__xludf.DUMMYFUNCTION("""COMPUTED_VALUE"""),"Gasolina Visita deal nuevo Grupo GSA")</f>
        <v>Gasolina Visita deal nuevo Grupo GSA</v>
      </c>
      <c r="K22" s="4" t="str">
        <f ca="1">IFERROR(__xludf.DUMMYFUNCTION("""COMPUTED_VALUE"""),"TICKET")</f>
        <v>TICKET</v>
      </c>
      <c r="R22" s="7"/>
      <c r="S22" s="6">
        <v>14141.37</v>
      </c>
      <c r="T22" s="4" t="e">
        <f t="shared" ca="1" si="0"/>
        <v>#N/A</v>
      </c>
      <c r="V22" s="4" t="s">
        <v>31</v>
      </c>
      <c r="W22" s="4" t="str">
        <f t="shared" ca="1" si="1"/>
        <v>Gerardo Madrid</v>
      </c>
    </row>
    <row r="23" spans="1:23" ht="12.5">
      <c r="A23" s="4" t="str">
        <f ca="1">IFERROR(__xludf.DUMMYFUNCTION("""COMPUTED_VALUE"""),"TRX1068")</f>
        <v>TRX1068</v>
      </c>
      <c r="B23" s="4" t="str">
        <f ca="1">IFERROR(__xludf.DUMMYFUNCTION("""COMPUTED_VALUE"""),"#3")</f>
        <v>#3</v>
      </c>
      <c r="C23" s="5">
        <f ca="1">IFERROR(__xludf.DUMMYFUNCTION("""COMPUTED_VALUE"""),46075.4166666666)</f>
        <v>46075.416666666599</v>
      </c>
      <c r="D23" s="6">
        <f ca="1">IFERROR(__xludf.DUMMYFUNCTION("""COMPUTED_VALUE"""),344.4)</f>
        <v>344.4</v>
      </c>
      <c r="E23" s="4" t="str">
        <f ca="1">IFERROR(__xludf.DUMMYFUNCTION("""COMPUTED_VALUE"""),"MXN")</f>
        <v>MXN</v>
      </c>
      <c r="F23" s="4" t="str">
        <f ca="1">IFERROR(__xludf.DUMMYFUNCTION("""COMPUTED_VALUE"""),"Cesar Uriel Romo Trillo")</f>
        <v>Cesar Uriel Romo Trillo</v>
      </c>
      <c r="G23" s="4" t="str">
        <f ca="1">IFERROR(__xludf.DUMMYFUNCTION("""COMPUTED_VALUE"""),"COMBUSTIBLE ERMITA     CIUDAD DE MEX MEX")</f>
        <v>COMBUSTIBLE ERMITA     CIUDAD DE MEX MEX</v>
      </c>
      <c r="H23" s="4" t="str">
        <f ca="1">IFERROR(__xludf.DUMMYFUNCTION("""COMPUTED_VALUE"""),"Combustible Ermita Ciudad De Mex Mex")</f>
        <v>Combustible Ermita Ciudad De Mex Mex</v>
      </c>
      <c r="I23" s="4" t="str">
        <f ca="1">IFERROR(__xludf.DUMMYFUNCTION("""COMPUTED_VALUE"""),"Sales")</f>
        <v>Sales</v>
      </c>
      <c r="J23" s="4"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K23" s="4" t="str">
        <f ca="1">IFERROR(__xludf.DUMMYFUNCTION("""COMPUTED_VALUE"""),"TICKET")</f>
        <v>TICKET</v>
      </c>
      <c r="R23" s="7"/>
      <c r="S23" s="6">
        <v>211.71</v>
      </c>
      <c r="T23" s="4" t="e">
        <f t="shared" ca="1" si="0"/>
        <v>#N/A</v>
      </c>
      <c r="V23" s="4" t="s">
        <v>32</v>
      </c>
      <c r="W23" s="4" t="str">
        <f t="shared" ca="1" si="1"/>
        <v>Daniel Alejandro Castillo Rivera</v>
      </c>
    </row>
    <row r="24" spans="1:23" ht="12.5">
      <c r="A24" s="4" t="str">
        <f ca="1">IFERROR(__xludf.DUMMYFUNCTION("""COMPUTED_VALUE"""),"TRX1098")</f>
        <v>TRX1098</v>
      </c>
      <c r="B24" s="4" t="str">
        <f ca="1">IFERROR(__xludf.DUMMYFUNCTION("""COMPUTED_VALUE"""),"#3")</f>
        <v>#3</v>
      </c>
      <c r="C24" s="5">
        <f ca="1">IFERROR(__xludf.DUMMYFUNCTION("""COMPUTED_VALUE"""),46076.4166666666)</f>
        <v>46076.416666666599</v>
      </c>
      <c r="D24" s="6">
        <f ca="1">IFERROR(__xludf.DUMMYFUNCTION("""COMPUTED_VALUE"""),142.19)</f>
        <v>142.19</v>
      </c>
      <c r="E24" s="4" t="str">
        <f ca="1">IFERROR(__xludf.DUMMYFUNCTION("""COMPUTED_VALUE"""),"MXN")</f>
        <v>MXN</v>
      </c>
      <c r="F24" s="4" t="str">
        <f ca="1">IFERROR(__xludf.DUMMYFUNCTION("""COMPUTED_VALUE"""),"Cesar Uriel Romo Trillo")</f>
        <v>Cesar Uriel Romo Trillo</v>
      </c>
      <c r="G24" s="4" t="str">
        <f ca="1">IFERROR(__xludf.DUMMYFUNCTION("""COMPUTED_VALUE"""),"D LOCAL*REST DIDIFOOD  CIUDAD DE MEX MEX")</f>
        <v>D LOCAL*REST DIDIFOOD  CIUDAD DE MEX MEX</v>
      </c>
      <c r="H24" s="4" t="str">
        <f ca="1">IFERROR(__xludf.DUMMYFUNCTION("""COMPUTED_VALUE"""),"D Local Rest Didifood Ciudad De Mex Mex")</f>
        <v>D Local Rest Didifood Ciudad De Mex Mex</v>
      </c>
      <c r="I24" s="4" t="str">
        <f ca="1">IFERROR(__xludf.DUMMYFUNCTION("""COMPUTED_VALUE"""),"Sales")</f>
        <v>Sales</v>
      </c>
      <c r="J24" s="4" t="str">
        <f ca="1">IFERROR(__xludf.DUMMYFUNCTION("""COMPUTED_VALUE"""),"Compra de candado GRAJALES ROBLES PO 1129")</f>
        <v>Compra de candado GRAJALES ROBLES PO 1129</v>
      </c>
      <c r="K24" s="4" t="str">
        <f ca="1">IFERROR(__xludf.DUMMYFUNCTION("""COMPUTED_VALUE"""),"TICKET")</f>
        <v>TICKET</v>
      </c>
      <c r="R24" s="7"/>
      <c r="S24" s="6">
        <v>217.63</v>
      </c>
      <c r="T24" s="4" t="e">
        <f t="shared" ca="1" si="0"/>
        <v>#N/A</v>
      </c>
      <c r="V24" s="4" t="s">
        <v>33</v>
      </c>
      <c r="W24" s="4" t="str">
        <f t="shared" ca="1" si="1"/>
        <v>Emiliano Cavazos</v>
      </c>
    </row>
    <row r="25" spans="1:23" ht="12.5">
      <c r="A25" s="4" t="str">
        <f ca="1">IFERROR(__xludf.DUMMYFUNCTION("""COMPUTED_VALUE"""),"TRX1288")</f>
        <v>TRX1288</v>
      </c>
      <c r="B25" s="4" t="str">
        <f ca="1">IFERROR(__xludf.DUMMYFUNCTION("""COMPUTED_VALUE"""),"#4")</f>
        <v>#4</v>
      </c>
      <c r="C25" s="5">
        <f ca="1">IFERROR(__xludf.DUMMYFUNCTION("""COMPUTED_VALUE"""),46056.4166666666)</f>
        <v>46056.416666666599</v>
      </c>
      <c r="D25" s="6">
        <f ca="1">IFERROR(__xludf.DUMMYFUNCTION("""COMPUTED_VALUE"""),915.4)</f>
        <v>915.4</v>
      </c>
      <c r="E25" s="4" t="str">
        <f ca="1">IFERROR(__xludf.DUMMYFUNCTION("""COMPUTED_VALUE"""),"MXN")</f>
        <v>MXN</v>
      </c>
      <c r="F25" s="4" t="str">
        <f ca="1">IFERROR(__xludf.DUMMYFUNCTION("""COMPUTED_VALUE"""),"Daniel Autrique Echeveste")</f>
        <v>Daniel Autrique Echeveste</v>
      </c>
      <c r="G25" s="4" t="str">
        <f ca="1">IFERROR(__xludf.DUMMYFUNCTION("""COMPUTED_VALUE"""),"LPQ AICM T1 SALA 8 1   CIUDAD DE MEX MEX")</f>
        <v>LPQ AICM T1 SALA 8 1   CIUDAD DE MEX MEX</v>
      </c>
      <c r="H25" s="4" t="str">
        <f ca="1">IFERROR(__xludf.DUMMYFUNCTION("""COMPUTED_VALUE"""),"L")</f>
        <v>L</v>
      </c>
      <c r="I25" s="4" t="str">
        <f ca="1">IFERROR(__xludf.DUMMYFUNCTION("""COMPUTED_VALUE"""),"Recruiting")</f>
        <v>Recruiting</v>
      </c>
      <c r="J25" s="4" t="str">
        <f ca="1">IFERROR(__xludf.DUMMYFUNCTION("""COMPUTED_VALUE"""),"LinkedIn")</f>
        <v>LinkedIn</v>
      </c>
      <c r="K25" s="4" t="str">
        <f ca="1">IFERROR(__xludf.DUMMYFUNCTION("""COMPUTED_VALUE"""),".")</f>
        <v>.</v>
      </c>
      <c r="R25" s="7"/>
      <c r="S25" s="6">
        <v>314.35000000000002</v>
      </c>
      <c r="T25" s="4" t="e">
        <f t="shared" ca="1" si="0"/>
        <v>#N/A</v>
      </c>
      <c r="V25" s="4" t="s">
        <v>34</v>
      </c>
      <c r="W25" s="4" t="str">
        <f t="shared" ca="1" si="1"/>
        <v>Andres Camacho Herrera</v>
      </c>
    </row>
    <row r="26" spans="1:23" ht="12.5">
      <c r="A26" s="4" t="str">
        <f ca="1">IFERROR(__xludf.DUMMYFUNCTION("""COMPUTED_VALUE"""),"TRX1279")</f>
        <v>TRX1279</v>
      </c>
      <c r="B26" s="4" t="str">
        <f ca="1">IFERROR(__xludf.DUMMYFUNCTION("""COMPUTED_VALUE"""),"#4")</f>
        <v>#4</v>
      </c>
      <c r="C26" s="5">
        <f ca="1">IFERROR(__xludf.DUMMYFUNCTION("""COMPUTED_VALUE"""),46056.4166666666)</f>
        <v>46056.416666666599</v>
      </c>
      <c r="D26" s="6">
        <f ca="1">IFERROR(__xludf.DUMMYFUNCTION("""COMPUTED_VALUE"""),704.7)</f>
        <v>704.7</v>
      </c>
      <c r="E26" s="4" t="str">
        <f ca="1">IFERROR(__xludf.DUMMYFUNCTION("""COMPUTED_VALUE"""),"USD")</f>
        <v>USD</v>
      </c>
      <c r="F26" s="4" t="str">
        <f ca="1">IFERROR(__xludf.DUMMYFUNCTION("""COMPUTED_VALUE"""),"Daniel Autrique Echeveste")</f>
        <v>Daniel Autrique Echeveste</v>
      </c>
      <c r="G26" s="4" t="str">
        <f ca="1">IFERROR(__xludf.DUMMYFUNCTION("""COMPUTED_VALUE"""),"CURB MOBILITY          ASTORIA       USA")</f>
        <v>CURB MOBILITY          ASTORIA       USA</v>
      </c>
      <c r="H26" s="4" t="str">
        <f ca="1">IFERROR(__xludf.DUMMYFUNCTION("""COMPUTED_VALUE"""),"Curb Mobility")</f>
        <v>Curb Mobility</v>
      </c>
      <c r="I26" s="4" t="str">
        <f ca="1">IFERROR(__xludf.DUMMYFUNCTION("""COMPUTED_VALUE"""),"Sales")</f>
        <v>Sales</v>
      </c>
      <c r="J26" s="4" t="str">
        <f ca="1">IFERROR(__xludf.DUMMYFUNCTION("""COMPUTED_VALUE"""),"Vuelo a chicago Radioflyer")</f>
        <v>Vuelo a chicago Radioflyer</v>
      </c>
      <c r="K26" s="4" t="str">
        <f ca="1">IFERROR(__xludf.DUMMYFUNCTION("""COMPUTED_VALUE"""),".")</f>
        <v>.</v>
      </c>
      <c r="R26" s="7"/>
      <c r="S26" s="6">
        <v>492.45</v>
      </c>
      <c r="T26" s="4" t="e">
        <f t="shared" ca="1" si="0"/>
        <v>#N/A</v>
      </c>
      <c r="V26" s="4" t="s">
        <v>35</v>
      </c>
      <c r="W26" s="4" t="str">
        <f t="shared" ca="1" si="1"/>
        <v>Tommaso Rivetti Vinea</v>
      </c>
    </row>
    <row r="27" spans="1:23" ht="12.5">
      <c r="A27" s="4" t="str">
        <f ca="1">IFERROR(__xludf.DUMMYFUNCTION("""COMPUTED_VALUE"""),"TRX1272")</f>
        <v>TRX1272</v>
      </c>
      <c r="B27" s="4" t="str">
        <f ca="1">IFERROR(__xludf.DUMMYFUNCTION("""COMPUTED_VALUE"""),"#4")</f>
        <v>#4</v>
      </c>
      <c r="C27" s="5">
        <f ca="1">IFERROR(__xludf.DUMMYFUNCTION("""COMPUTED_VALUE"""),46057.4166666666)</f>
        <v>46057.416666666599</v>
      </c>
      <c r="D27" s="6">
        <f ca="1">IFERROR(__xludf.DUMMYFUNCTION("""COMPUTED_VALUE"""),1216.2)</f>
        <v>1216.2</v>
      </c>
      <c r="E27" s="4" t="str">
        <f ca="1">IFERROR(__xludf.DUMMYFUNCTION("""COMPUTED_VALUE"""),"USD")</f>
        <v>USD</v>
      </c>
      <c r="F27" s="4" t="str">
        <f ca="1">IFERROR(__xludf.DUMMYFUNCTION("""COMPUTED_VALUE"""),"Daniel Autrique Echeveste")</f>
        <v>Daniel Autrique Echeveste</v>
      </c>
      <c r="G27" s="4" t="str">
        <f ca="1">IFERROR(__xludf.DUMMYFUNCTION("""COMPUTED_VALUE"""),"TCOLV - Naughty Patt   LAS VEGAS     USA")</f>
        <v>TCOLV - Naughty Patt   LAS VEGAS     USA</v>
      </c>
      <c r="H27" s="4" t="str">
        <f ca="1">IFERROR(__xludf.DUMMYFUNCTION("""COMPUTED_VALUE"""),"Tcolv Naughty Patt Las Vegas USA")</f>
        <v>Tcolv Naughty Patt Las Vegas USA</v>
      </c>
      <c r="I27" s="4" t="str">
        <f ca="1">IFERROR(__xludf.DUMMYFUNCTION("""COMPUTED_VALUE"""),"Sales")</f>
        <v>Sales</v>
      </c>
      <c r="J27" s="4"/>
      <c r="K27" s="4" t="str">
        <f ca="1">IFERROR(__xludf.DUMMYFUNCTION("""COMPUTED_VALUE"""),".")</f>
        <v>.</v>
      </c>
      <c r="R27" s="7"/>
      <c r="S27" s="6">
        <v>69</v>
      </c>
      <c r="T27" s="4" t="str">
        <f t="shared" ca="1" si="0"/>
        <v>Rodrigo Perea</v>
      </c>
      <c r="V27" s="4" t="s">
        <v>36</v>
      </c>
      <c r="W27" s="4" t="str">
        <f t="shared" ca="1" si="1"/>
        <v>Gustavo Rivas</v>
      </c>
    </row>
    <row r="28" spans="1:23" ht="12.5">
      <c r="A28" s="4" t="str">
        <f ca="1">IFERROR(__xludf.DUMMYFUNCTION("""COMPUTED_VALUE"""),"TRX1271")</f>
        <v>TRX1271</v>
      </c>
      <c r="B28" s="4" t="str">
        <f ca="1">IFERROR(__xludf.DUMMYFUNCTION("""COMPUTED_VALUE"""),"#4")</f>
        <v>#4</v>
      </c>
      <c r="C28" s="5">
        <f ca="1">IFERROR(__xludf.DUMMYFUNCTION("""COMPUTED_VALUE"""),46057.4166666666)</f>
        <v>46057.416666666599</v>
      </c>
      <c r="D28" s="6">
        <f ca="1">IFERROR(__xludf.DUMMYFUNCTION("""COMPUTED_VALUE"""),476.1)</f>
        <v>476.1</v>
      </c>
      <c r="E28" s="4" t="str">
        <f ca="1">IFERROR(__xludf.DUMMYFUNCTION("""COMPUTED_VALUE"""),"USD")</f>
        <v>USD</v>
      </c>
      <c r="F28" s="4" t="str">
        <f ca="1">IFERROR(__xludf.DUMMYFUNCTION("""COMPUTED_VALUE"""),"Daniel Autrique Echeveste")</f>
        <v>Daniel Autrique Echeveste</v>
      </c>
      <c r="G28" s="4" t="str">
        <f ca="1">IFERROR(__xludf.DUMMYFUNCTION("""COMPUTED_VALUE"""),"ZTRIP TAXI             KANSAS CITY   USA")</f>
        <v>ZTRIP TAXI             KANSAS CITY   USA</v>
      </c>
      <c r="H28" s="4" t="str">
        <f ca="1">IFERROR(__xludf.DUMMYFUNCTION("""COMPUTED_VALUE"""),"Ztrip Taxi Kansas City USA")</f>
        <v>Ztrip Taxi Kansas City USA</v>
      </c>
      <c r="I28" s="4" t="str">
        <f ca="1">IFERROR(__xludf.DUMMYFUNCTION("""COMPUTED_VALUE"""),"Sales")</f>
        <v>Sales</v>
      </c>
      <c r="J28" s="4"/>
      <c r="K28" s="4" t="str">
        <f ca="1">IFERROR(__xludf.DUMMYFUNCTION("""COMPUTED_VALUE"""),".")</f>
        <v>.</v>
      </c>
      <c r="R28" s="7"/>
      <c r="S28" s="6">
        <v>392.61</v>
      </c>
      <c r="T28" s="4" t="e">
        <f t="shared" ca="1" si="0"/>
        <v>#N/A</v>
      </c>
      <c r="V28" s="4" t="s">
        <v>37</v>
      </c>
      <c r="W28" s="4" t="e">
        <f t="shared" ca="1" si="1"/>
        <v>#N/A</v>
      </c>
    </row>
    <row r="29" spans="1:23" ht="12.5">
      <c r="A29" s="4" t="str">
        <f ca="1">IFERROR(__xludf.DUMMYFUNCTION("""COMPUTED_VALUE"""),"TRX1197")</f>
        <v>TRX1197</v>
      </c>
      <c r="B29" s="4" t="str">
        <f ca="1">IFERROR(__xludf.DUMMYFUNCTION("""COMPUTED_VALUE"""),"#4")</f>
        <v>#4</v>
      </c>
      <c r="C29" s="5">
        <f ca="1">IFERROR(__xludf.DUMMYFUNCTION("""COMPUTED_VALUE"""),46058.4173611111)</f>
        <v>46058.417361111096</v>
      </c>
      <c r="D29" s="6">
        <f ca="1">IFERROR(__xludf.DUMMYFUNCTION("""COMPUTED_VALUE"""),11358)</f>
        <v>11358</v>
      </c>
      <c r="E29" s="4" t="str">
        <f ca="1">IFERROR(__xludf.DUMMYFUNCTION("""COMPUTED_VALUE"""),"USD")</f>
        <v>USD</v>
      </c>
      <c r="F29" s="4" t="str">
        <f ca="1">IFERROR(__xludf.DUMMYFUNCTION("""COMPUTED_VALUE"""),"Daniel Autrique Echeveste")</f>
        <v>Daniel Autrique Echeveste</v>
      </c>
      <c r="G29" s="4" t="str">
        <f ca="1">IFERROR(__xludf.DUMMYFUNCTION("""COMPUTED_VALUE"""),"WOLFGANG PUCK CUT      LAS VEGAS     USA")</f>
        <v>WOLFGANG PUCK CUT      LAS VEGAS     USA</v>
      </c>
      <c r="H29" s="4" t="str">
        <f ca="1">IFERROR(__xludf.DUMMYFUNCTION("""COMPUTED_VALUE"""),"Wolfgang Puck")</f>
        <v>Wolfgang Puck</v>
      </c>
      <c r="I29" s="4" t="str">
        <f ca="1">IFERROR(__xludf.DUMMYFUNCTION("""COMPUTED_VALUE"""),"G&amp;A expenses")</f>
        <v>G&amp;A expenses</v>
      </c>
      <c r="J29" s="4"/>
      <c r="K29" s="4" t="str">
        <f ca="1">IFERROR(__xludf.DUMMYFUNCTION("""COMPUTED_VALUE"""),".")</f>
        <v>.</v>
      </c>
      <c r="R29" s="7"/>
      <c r="S29" s="6">
        <v>5175.0200000000004</v>
      </c>
      <c r="T29" s="4" t="e">
        <f t="shared" ca="1" si="0"/>
        <v>#N/A</v>
      </c>
      <c r="V29" s="4" t="s">
        <v>38</v>
      </c>
      <c r="W29" s="4" t="e">
        <f t="shared" ca="1" si="1"/>
        <v>#N/A</v>
      </c>
    </row>
    <row r="30" spans="1:23" ht="12.5">
      <c r="A30" s="4" t="str">
        <f ca="1">IFERROR(__xludf.DUMMYFUNCTION("""COMPUTED_VALUE"""),"TRX1193")</f>
        <v>TRX1193</v>
      </c>
      <c r="B30" s="4" t="str">
        <f ca="1">IFERROR(__xludf.DUMMYFUNCTION("""COMPUTED_VALUE"""),"#4")</f>
        <v>#4</v>
      </c>
      <c r="C30" s="5">
        <f ca="1">IFERROR(__xludf.DUMMYFUNCTION("""COMPUTED_VALUE"""),46058.4180555555)</f>
        <v>46058.418055555499</v>
      </c>
      <c r="D30" s="6">
        <f ca="1">IFERROR(__xludf.DUMMYFUNCTION("""COMPUTED_VALUE"""),181.58)</f>
        <v>181.58</v>
      </c>
      <c r="E30" s="4" t="str">
        <f ca="1">IFERROR(__xludf.DUMMYFUNCTION("""COMPUTED_VALUE"""),"USD")</f>
        <v>USD</v>
      </c>
      <c r="F30" s="4" t="str">
        <f ca="1">IFERROR(__xludf.DUMMYFUNCTION("""COMPUTED_VALUE"""),"Daniel Autrique Echeveste")</f>
        <v>Daniel Autrique Echeveste</v>
      </c>
      <c r="G30" s="4" t="str">
        <f ca="1">IFERROR(__xludf.DUMMYFUNCTION("""COMPUTED_VALUE"""),"Viasat, Inc.           8669453258    USA")</f>
        <v>Viasat, Inc.           8669453258    USA</v>
      </c>
      <c r="H30" s="4" t="str">
        <f ca="1">IFERROR(__xludf.DUMMYFUNCTION("""COMPUTED_VALUE"""),"Viasat")</f>
        <v>Viasat</v>
      </c>
      <c r="I30" s="4" t="str">
        <f ca="1">IFERROR(__xludf.DUMMYFUNCTION("""COMPUTED_VALUE"""),"Sales")</f>
        <v>Sales</v>
      </c>
      <c r="J30" s="4"/>
      <c r="K30" s="4" t="str">
        <f ca="1">IFERROR(__xludf.DUMMYFUNCTION("""COMPUTED_VALUE"""),".")</f>
        <v>.</v>
      </c>
      <c r="R30" s="7"/>
      <c r="S30" s="6">
        <v>2527.29</v>
      </c>
      <c r="T30" s="4" t="e">
        <f t="shared" ca="1" si="0"/>
        <v>#N/A</v>
      </c>
      <c r="V30" s="4" t="s">
        <v>39</v>
      </c>
      <c r="W30" s="4" t="str">
        <f t="shared" ca="1" si="1"/>
        <v>Juan Pablo Ramos Aranda</v>
      </c>
    </row>
    <row r="31" spans="1:23" ht="12.5">
      <c r="A31" s="4" t="str">
        <f ca="1">IFERROR(__xludf.DUMMYFUNCTION("""COMPUTED_VALUE"""),"TRX1576")</f>
        <v>TRX1576</v>
      </c>
      <c r="B31" s="4" t="str">
        <f ca="1">IFERROR(__xludf.DUMMYFUNCTION("""COMPUTED_VALUE"""),"#4")</f>
        <v>#4</v>
      </c>
      <c r="C31" s="5">
        <f ca="1">IFERROR(__xludf.DUMMYFUNCTION("""COMPUTED_VALUE"""),46059.4173611111)</f>
        <v>46059.417361111096</v>
      </c>
      <c r="D31" s="6">
        <f ca="1">IFERROR(__xludf.DUMMYFUNCTION("""COMPUTED_VALUE"""),13052.62)</f>
        <v>13052.62</v>
      </c>
      <c r="E31" s="4" t="str">
        <f ca="1">IFERROR(__xludf.DUMMYFUNCTION("""COMPUTED_VALUE"""),"MXN")</f>
        <v>MXN</v>
      </c>
      <c r="F31" s="4" t="str">
        <f ca="1">IFERROR(__xludf.DUMMYFUNCTION("""COMPUTED_VALUE"""),"Daniel Autrique Echeveste")</f>
        <v>Daniel Autrique Echeveste</v>
      </c>
      <c r="G31" s="4" t="str">
        <f ca="1">IFERROR(__xludf.DUMMYFUNCTION("""COMPUTED_VALUE"""),"COSMOPOL-FRONT DESK    LAS VEGAS     USA")</f>
        <v>COSMOPOL-FRONT DESK    LAS VEGAS     USA</v>
      </c>
      <c r="H31" s="4" t="str">
        <f ca="1">IFERROR(__xludf.DUMMYFUNCTION("""COMPUTED_VALUE"""),"Cosmopol Front Desk Las Vegas USA")</f>
        <v>Cosmopol Front Desk Las Vegas USA</v>
      </c>
      <c r="I31" s="4" t="str">
        <f ca="1">IFERROR(__xludf.DUMMYFUNCTION("""COMPUTED_VALUE"""),"Sales")</f>
        <v>Sales</v>
      </c>
      <c r="J31" s="4"/>
      <c r="K31" s="4" t="str">
        <f ca="1">IFERROR(__xludf.DUMMYFUNCTION("""COMPUTED_VALUE"""),".")</f>
        <v>.</v>
      </c>
      <c r="R31" s="7"/>
      <c r="S31" s="6">
        <v>283.14999999999998</v>
      </c>
      <c r="T31" s="4" t="e">
        <f t="shared" ca="1" si="0"/>
        <v>#N/A</v>
      </c>
      <c r="V31" s="4" t="s">
        <v>40</v>
      </c>
      <c r="W31" s="4" t="str">
        <f t="shared" ca="1" si="1"/>
        <v>Cesar Uriel Romo Trillo</v>
      </c>
    </row>
    <row r="32" spans="1:23" ht="12.5">
      <c r="A32" s="4" t="str">
        <f ca="1">IFERROR(__xludf.DUMMYFUNCTION("""COMPUTED_VALUE"""),"TRX1408")</f>
        <v>TRX1408</v>
      </c>
      <c r="B32" s="4" t="str">
        <f ca="1">IFERROR(__xludf.DUMMYFUNCTION("""COMPUTED_VALUE"""),"#4")</f>
        <v>#4</v>
      </c>
      <c r="C32" s="5">
        <f ca="1">IFERROR(__xludf.DUMMYFUNCTION("""COMPUTED_VALUE"""),46060.4173611111)</f>
        <v>46060.417361111096</v>
      </c>
      <c r="D32" s="6">
        <f ca="1">IFERROR(__xludf.DUMMYFUNCTION("""COMPUTED_VALUE"""),2196.88)</f>
        <v>2196.88</v>
      </c>
      <c r="E32" s="4" t="str">
        <f ca="1">IFERROR(__xludf.DUMMYFUNCTION("""COMPUTED_VALUE"""),"USD")</f>
        <v>USD</v>
      </c>
      <c r="F32" s="4" t="str">
        <f ca="1">IFERROR(__xludf.DUMMYFUNCTION("""COMPUTED_VALUE"""),"Daniel Autrique Echeveste")</f>
        <v>Daniel Autrique Echeveste</v>
      </c>
      <c r="G32" s="4" t="str">
        <f ca="1">IFERROR(__xludf.DUMMYFUNCTION("""COMPUTED_VALUE"""),"20260203T00:00:00/COSMOPOL-FRONT DESK\3708 LAS VEGAS BLVD S\LAS VEGAS\89109     NV USA")</f>
        <v>20260203T00:00:00/COSMOPOL-FRONT DESK\3708 LAS VEGAS BLVD S\LAS VEGAS\89109     NV USA</v>
      </c>
      <c r="H32" s="4" t="str">
        <f ca="1">IFERROR(__xludf.DUMMYFUNCTION("""COMPUTED_VALUE"""),"T :00/Cosmopol Front Desk\3708 Las Vegas Blvd S\Las Vegas\ Nv USA")</f>
        <v>T :00/Cosmopol Front Desk\3708 Las Vegas Blvd S\Las Vegas\ Nv USA</v>
      </c>
      <c r="I32" s="4" t="str">
        <f ca="1">IFERROR(__xludf.DUMMYFUNCTION("""COMPUTED_VALUE"""),"Sales")</f>
        <v>Sales</v>
      </c>
      <c r="J32" s="4"/>
      <c r="K32" s="4" t="str">
        <f ca="1">IFERROR(__xludf.DUMMYFUNCTION("""COMPUTED_VALUE"""),".")</f>
        <v>.</v>
      </c>
      <c r="R32" s="7"/>
      <c r="S32" s="6">
        <v>402.99</v>
      </c>
      <c r="T32" s="4" t="e">
        <f t="shared" ca="1" si="0"/>
        <v>#N/A</v>
      </c>
      <c r="V32" s="4" t="s">
        <v>41</v>
      </c>
      <c r="W32" s="4" t="str">
        <f t="shared" ca="1" si="1"/>
        <v>Rodrigo Perea</v>
      </c>
    </row>
    <row r="33" spans="1:23" ht="12.5">
      <c r="A33" s="4" t="str">
        <f ca="1">IFERROR(__xludf.DUMMYFUNCTION("""COMPUTED_VALUE"""),"TRX1758")</f>
        <v>TRX1758</v>
      </c>
      <c r="B33" s="4" t="str">
        <f ca="1">IFERROR(__xludf.DUMMYFUNCTION("""COMPUTED_VALUE"""),"#4")</f>
        <v>#4</v>
      </c>
      <c r="C33" s="5">
        <f ca="1">IFERROR(__xludf.DUMMYFUNCTION("""COMPUTED_VALUE"""),46061.4166666666)</f>
        <v>46061.416666666599</v>
      </c>
      <c r="D33" s="6">
        <f ca="1">IFERROR(__xludf.DUMMYFUNCTION("""COMPUTED_VALUE"""),100)</f>
        <v>100</v>
      </c>
      <c r="E33" s="4" t="str">
        <f ca="1">IFERROR(__xludf.DUMMYFUNCTION("""COMPUTED_VALUE"""),"MXN")</f>
        <v>MXN</v>
      </c>
      <c r="F33" s="4" t="str">
        <f ca="1">IFERROR(__xludf.DUMMYFUNCTION("""COMPUTED_VALUE"""),"Daniel Autrique Echeveste")</f>
        <v>Daniel Autrique Echeveste</v>
      </c>
      <c r="G33" s="4" t="str">
        <f ca="1">IFERROR(__xludf.DUMMYFUNCTION("""COMPUTED_VALUE"""),"MEXPAGO*MUEVECIUDAD    CIUDAD DE MEX MEX")</f>
        <v>MEXPAGO*MUEVECIUDAD    CIUDAD DE MEX MEX</v>
      </c>
      <c r="H33" s="4" t="str">
        <f ca="1">IFERROR(__xludf.DUMMYFUNCTION("""COMPUTED_VALUE"""),"Mexpago Mueveciudad Ciudad De Mex Mex")</f>
        <v>Mexpago Mueveciudad Ciudad De Mex Mex</v>
      </c>
      <c r="I33" s="4" t="str">
        <f ca="1">IFERROR(__xludf.DUMMYFUNCTION("""COMPUTED_VALUE"""),"Sales")</f>
        <v>Sales</v>
      </c>
      <c r="J33" s="4"/>
      <c r="K33" s="4" t="str">
        <f ca="1">IFERROR(__xludf.DUMMYFUNCTION("""COMPUTED_VALUE"""),".")</f>
        <v>.</v>
      </c>
      <c r="R33" s="7"/>
      <c r="S33" s="6">
        <v>502.62</v>
      </c>
      <c r="T33" s="4" t="e">
        <f t="shared" ca="1" si="0"/>
        <v>#N/A</v>
      </c>
      <c r="V33" s="4" t="s">
        <v>42</v>
      </c>
      <c r="W33" s="4" t="str">
        <f t="shared" ca="1" si="1"/>
        <v>Fernando Sanchez Toledano</v>
      </c>
    </row>
    <row r="34" spans="1:23" ht="12.5">
      <c r="A34" s="4" t="str">
        <f ca="1">IFERROR(__xludf.DUMMYFUNCTION("""COMPUTED_VALUE"""),"TRX1501")</f>
        <v>TRX1501</v>
      </c>
      <c r="B34" s="4" t="str">
        <f ca="1">IFERROR(__xludf.DUMMYFUNCTION("""COMPUTED_VALUE"""),"#4")</f>
        <v>#4</v>
      </c>
      <c r="C34" s="5">
        <f ca="1">IFERROR(__xludf.DUMMYFUNCTION("""COMPUTED_VALUE"""),46064.4166666666)</f>
        <v>46064.416666666599</v>
      </c>
      <c r="D34" s="6">
        <f ca="1">IFERROR(__xludf.DUMMYFUNCTION("""COMPUTED_VALUE"""),870.55)</f>
        <v>870.55</v>
      </c>
      <c r="E34" s="4" t="str">
        <f ca="1">IFERROR(__xludf.DUMMYFUNCTION("""COMPUTED_VALUE"""),"MXN")</f>
        <v>MXN</v>
      </c>
      <c r="F34" s="4" t="str">
        <f ca="1">IFERROR(__xludf.DUMMYFUNCTION("""COMPUTED_VALUE"""),"Daniel Autrique Echeveste")</f>
        <v>Daniel Autrique Echeveste</v>
      </c>
      <c r="G34" s="4" t="str">
        <f ca="1">IFERROR(__xludf.DUMMYFUNCTION("""COMPUTED_VALUE"""),"REST ENO VIRREYES      CIUDAD DE MEX MEX")</f>
        <v>REST ENO VIRREYES      CIUDAD DE MEX MEX</v>
      </c>
      <c r="H34" s="4" t="str">
        <f ca="1">IFERROR(__xludf.DUMMYFUNCTION("""COMPUTED_VALUE"""),"Rest Eno Virreyes Ciudad De Mex Mex")</f>
        <v>Rest Eno Virreyes Ciudad De Mex Mex</v>
      </c>
      <c r="I34" s="4"/>
      <c r="J34" s="4"/>
      <c r="K34" s="4" t="str">
        <f ca="1">IFERROR(__xludf.DUMMYFUNCTION("""COMPUTED_VALUE"""),".")</f>
        <v>.</v>
      </c>
      <c r="R34" s="7"/>
      <c r="S34" s="6">
        <v>246.26</v>
      </c>
      <c r="T34" s="4" t="e">
        <f t="shared" ca="1" si="0"/>
        <v>#N/A</v>
      </c>
      <c r="V34" s="4" t="s">
        <v>43</v>
      </c>
      <c r="W34" s="4" t="e">
        <f t="shared" ca="1" si="1"/>
        <v>#N/A</v>
      </c>
    </row>
    <row r="35" spans="1:23" ht="12.5">
      <c r="A35" s="4" t="str">
        <f ca="1">IFERROR(__xludf.DUMMYFUNCTION("""COMPUTED_VALUE"""),"TRX1629")</f>
        <v>TRX1629</v>
      </c>
      <c r="B35" s="4" t="str">
        <f ca="1">IFERROR(__xludf.DUMMYFUNCTION("""COMPUTED_VALUE"""),"#4")</f>
        <v>#4</v>
      </c>
      <c r="C35" s="5">
        <f ca="1">IFERROR(__xludf.DUMMYFUNCTION("""COMPUTED_VALUE"""),46067.4166666666)</f>
        <v>46067.416666666599</v>
      </c>
      <c r="D35" s="6">
        <f ca="1">IFERROR(__xludf.DUMMYFUNCTION("""COMPUTED_VALUE"""),5662.6)</f>
        <v>5662.6</v>
      </c>
      <c r="E35" s="4" t="str">
        <f ca="1">IFERROR(__xludf.DUMMYFUNCTION("""COMPUTED_VALUE"""),"MXN")</f>
        <v>MXN</v>
      </c>
      <c r="F35" s="4" t="str">
        <f ca="1">IFERROR(__xludf.DUMMYFUNCTION("""COMPUTED_VALUE"""),"Daniel Autrique Echeveste")</f>
        <v>Daniel Autrique Echeveste</v>
      </c>
      <c r="G35" s="4" t="str">
        <f ca="1">IFERROR(__xludf.DUMMYFUNCTION("""COMPUTED_VALUE"""),"REST ZERU LOMAS        CIUDAD DE MEX MEX")</f>
        <v>REST ZERU LOMAS        CIUDAD DE MEX MEX</v>
      </c>
      <c r="H35" s="4" t="str">
        <f ca="1">IFERROR(__xludf.DUMMYFUNCTION("""COMPUTED_VALUE"""),"Rest Zeru Lomas Ciudad De Mex Mex")</f>
        <v>Rest Zeru Lomas Ciudad De Mex Mex</v>
      </c>
      <c r="I35" s="4"/>
      <c r="J35" s="4"/>
      <c r="K35" s="4" t="str">
        <f ca="1">IFERROR(__xludf.DUMMYFUNCTION("""COMPUTED_VALUE"""),".")</f>
        <v>.</v>
      </c>
      <c r="R35" s="7"/>
      <c r="S35" s="6">
        <v>251.27</v>
      </c>
      <c r="T35" s="4" t="e">
        <f t="shared" ca="1" si="0"/>
        <v>#N/A</v>
      </c>
      <c r="V35" s="4" t="s">
        <v>44</v>
      </c>
      <c r="W35" s="4" t="str">
        <f t="shared" ca="1" si="1"/>
        <v>Jose Rosas Ortiz</v>
      </c>
    </row>
    <row r="36" spans="1:23" ht="12.5">
      <c r="A36" s="4" t="str">
        <f ca="1">IFERROR(__xludf.DUMMYFUNCTION("""COMPUTED_VALUE"""),"TRX1043")</f>
        <v>TRX1043</v>
      </c>
      <c r="B36" s="4" t="str">
        <f ca="1">IFERROR(__xludf.DUMMYFUNCTION("""COMPUTED_VALUE"""),"#4")</f>
        <v>#4</v>
      </c>
      <c r="C36" s="5">
        <f ca="1">IFERROR(__xludf.DUMMYFUNCTION("""COMPUTED_VALUE"""),46071.4173611111)</f>
        <v>46071.417361111096</v>
      </c>
      <c r="D36" s="6">
        <f ca="1">IFERROR(__xludf.DUMMYFUNCTION("""COMPUTED_VALUE"""),1213.99)</f>
        <v>1213.99</v>
      </c>
      <c r="E36" s="4" t="str">
        <f ca="1">IFERROR(__xludf.DUMMYFUNCTION("""COMPUTED_VALUE"""),"MXN")</f>
        <v>MXN</v>
      </c>
      <c r="F36" s="4" t="str">
        <f ca="1">IFERROR(__xludf.DUMMYFUNCTION("""COMPUTED_VALUE"""),"Daniel Autrique Echeveste")</f>
        <v>Daniel Autrique Echeveste</v>
      </c>
      <c r="G36" s="4" t="str">
        <f ca="1">IFERROR(__xludf.DUMMYFUNCTION("""COMPUTED_VALUE"""),"GASOL VALERO LOMALINDA CIUDAD DE MEX MEX")</f>
        <v>GASOL VALERO LOMALINDA CIUDAD DE MEX MEX</v>
      </c>
      <c r="H36" s="4" t="str">
        <f ca="1">IFERROR(__xludf.DUMMYFUNCTION("""COMPUTED_VALUE"""),"Gasol Valero Lomalinda Ciudad De Mex Mex")</f>
        <v>Gasol Valero Lomalinda Ciudad De Mex Mex</v>
      </c>
      <c r="I36" s="4"/>
      <c r="J36" s="4"/>
      <c r="K36" s="4" t="str">
        <f ca="1">IFERROR(__xludf.DUMMYFUNCTION("""COMPUTED_VALUE"""),".")</f>
        <v>.</v>
      </c>
      <c r="R36" s="7"/>
      <c r="S36" s="6">
        <v>6677</v>
      </c>
      <c r="T36" s="4" t="e">
        <f t="shared" ca="1" si="0"/>
        <v>#N/A</v>
      </c>
      <c r="V36" s="4" t="s">
        <v>45</v>
      </c>
      <c r="W36" s="4" t="str">
        <f t="shared" ca="1" si="1"/>
        <v>Termis</v>
      </c>
    </row>
    <row r="37" spans="1:23" ht="12.5">
      <c r="A37" s="4" t="str">
        <f ca="1">IFERROR(__xludf.DUMMYFUNCTION("""COMPUTED_VALUE"""),"TRX1219")</f>
        <v>TRX1219</v>
      </c>
      <c r="B37" s="4" t="str">
        <f ca="1">IFERROR(__xludf.DUMMYFUNCTION("""COMPUTED_VALUE"""),"#5")</f>
        <v>#5</v>
      </c>
      <c r="C37" s="5">
        <f ca="1">IFERROR(__xludf.DUMMYFUNCTION("""COMPUTED_VALUE"""),46058.4173611111)</f>
        <v>46058.417361111096</v>
      </c>
      <c r="D37" s="6">
        <f ca="1">IFERROR(__xludf.DUMMYFUNCTION("""COMPUTED_VALUE"""),70)</f>
        <v>70</v>
      </c>
      <c r="E37" s="4" t="str">
        <f ca="1">IFERROR(__xludf.DUMMYFUNCTION("""COMPUTED_VALUE"""),"MXN")</f>
        <v>MXN</v>
      </c>
      <c r="F37" s="4" t="str">
        <f ca="1">IFERROR(__xludf.DUMMYFUNCTION("""COMPUTED_VALUE"""),"Fernanda Sanchez Ruiz")</f>
        <v>Fernanda Sanchez Ruiz</v>
      </c>
      <c r="G37" s="4" t="str">
        <f ca="1">IFERROR(__xludf.DUMMYFUNCTION("""COMPUTED_VALUE"""),"DLO*UBER RIDE          CIUDAD DE MEX MEX")</f>
        <v>DLO*UBER RIDE          CIUDAD DE MEX MEX</v>
      </c>
      <c r="H37" s="4" t="str">
        <f ca="1">IFERROR(__xludf.DUMMYFUNCTION("""COMPUTED_VALUE"""),"Uber")</f>
        <v>Uber</v>
      </c>
      <c r="I37" s="4" t="str">
        <f ca="1">IFERROR(__xludf.DUMMYFUNCTION("""COMPUTED_VALUE"""),"Office expenses")</f>
        <v>Office expenses</v>
      </c>
      <c r="J37" s="4" t="str">
        <f ca="1">IFERROR(__xludf.DUMMYFUNCTION("""COMPUTED_VALUE"""),"Snacks para la oficina")</f>
        <v>Snacks para la oficina</v>
      </c>
      <c r="K37" s="4" t="str">
        <f ca="1">IFERROR(__xludf.DUMMYFUNCTION("""COMPUTED_VALUE"""),".")</f>
        <v>.</v>
      </c>
      <c r="R37" s="7"/>
      <c r="S37" s="6">
        <v>3781.76</v>
      </c>
      <c r="T37" s="4" t="e">
        <f t="shared" ca="1" si="0"/>
        <v>#N/A</v>
      </c>
      <c r="V37" s="4" t="s">
        <v>46</v>
      </c>
      <c r="W37" s="4" t="str">
        <f t="shared" ca="1" si="1"/>
        <v>Jahaziel Galan</v>
      </c>
    </row>
    <row r="38" spans="1:23" ht="12.5">
      <c r="A38" s="4" t="str">
        <f ca="1">IFERROR(__xludf.DUMMYFUNCTION("""COMPUTED_VALUE"""),"TRX1206")</f>
        <v>TRX1206</v>
      </c>
      <c r="B38" s="4" t="str">
        <f ca="1">IFERROR(__xludf.DUMMYFUNCTION("""COMPUTED_VALUE"""),"#5")</f>
        <v>#5</v>
      </c>
      <c r="C38" s="5">
        <f ca="1">IFERROR(__xludf.DUMMYFUNCTION("""COMPUTED_VALUE"""),46058.4173611111)</f>
        <v>46058.417361111096</v>
      </c>
      <c r="D38" s="6">
        <f ca="1">IFERROR(__xludf.DUMMYFUNCTION("""COMPUTED_VALUE"""),1186.28)</f>
        <v>1186.28</v>
      </c>
      <c r="E38" s="4" t="str">
        <f ca="1">IFERROR(__xludf.DUMMYFUNCTION("""COMPUTED_VALUE"""),"MXN")</f>
        <v>MXN</v>
      </c>
      <c r="F38" s="4" t="str">
        <f ca="1">IFERROR(__xludf.DUMMYFUNCTION("""COMPUTED_VALUE"""),"Fernanda Sanchez Ruiz")</f>
        <v>Fernanda Sanchez Ruiz</v>
      </c>
      <c r="G38" s="4" t="str">
        <f ca="1">IFERROR(__xludf.DUMMYFUNCTION("""COMPUTED_VALUE"""),"SAMS VENTA EN LINEA    MEXICO DF     MEX")</f>
        <v>SAMS VENTA EN LINEA    MEXICO DF     MEX</v>
      </c>
      <c r="H38" s="4" t="str">
        <f ca="1">IFERROR(__xludf.DUMMYFUNCTION("""COMPUTED_VALUE"""),"Sam's Club")</f>
        <v>Sam's Club</v>
      </c>
      <c r="I38" s="4" t="str">
        <f ca="1">IFERROR(__xludf.DUMMYFUNCTION("""COMPUTED_VALUE"""),"Office expenses")</f>
        <v>Office expenses</v>
      </c>
      <c r="J38" s="4"/>
      <c r="K38" s="4" t="str">
        <f ca="1">IFERROR(__xludf.DUMMYFUNCTION("""COMPUTED_VALUE"""),".")</f>
        <v>.</v>
      </c>
      <c r="R38" s="7"/>
      <c r="S38" s="6">
        <v>332.45</v>
      </c>
      <c r="T38" s="4" t="e">
        <f t="shared" ca="1" si="0"/>
        <v>#N/A</v>
      </c>
      <c r="V38" s="4" t="s">
        <v>47</v>
      </c>
      <c r="W38" s="4" t="e">
        <f t="shared" ca="1" si="1"/>
        <v>#N/A</v>
      </c>
    </row>
    <row r="39" spans="1:23" ht="12.5">
      <c r="A39" s="4" t="str">
        <f ca="1">IFERROR(__xludf.DUMMYFUNCTION("""COMPUTED_VALUE"""),"TRX1628")</f>
        <v>TRX1628</v>
      </c>
      <c r="B39" s="4" t="str">
        <f ca="1">IFERROR(__xludf.DUMMYFUNCTION("""COMPUTED_VALUE"""),"#5")</f>
        <v>#5</v>
      </c>
      <c r="C39" s="5">
        <f ca="1">IFERROR(__xludf.DUMMYFUNCTION("""COMPUTED_VALUE"""),46065.4173611111)</f>
        <v>46065.417361111096</v>
      </c>
      <c r="D39" s="6">
        <f ca="1">IFERROR(__xludf.DUMMYFUNCTION("""COMPUTED_VALUE"""),1690.58)</f>
        <v>1690.58</v>
      </c>
      <c r="E39" s="4" t="str">
        <f ca="1">IFERROR(__xludf.DUMMYFUNCTION("""COMPUTED_VALUE"""),"MXN")</f>
        <v>MXN</v>
      </c>
      <c r="F39" s="4" t="str">
        <f ca="1">IFERROR(__xludf.DUMMYFUNCTION("""COMPUTED_VALUE"""),"Fernanda Sanchez Ruiz")</f>
        <v>Fernanda Sanchez Ruiz</v>
      </c>
      <c r="G39" s="4" t="str">
        <f ca="1">IFERROR(__xludf.DUMMYFUNCTION("""COMPUTED_VALUE"""),"SAMS VENTA EN LINEA    MEXICO DF     MEX")</f>
        <v>SAMS VENTA EN LINEA    MEXICO DF     MEX</v>
      </c>
      <c r="H39" s="4" t="str">
        <f ca="1">IFERROR(__xludf.DUMMYFUNCTION("""COMPUTED_VALUE"""),"Sam's Club")</f>
        <v>Sam's Club</v>
      </c>
      <c r="I39" s="4" t="str">
        <f ca="1">IFERROR(__xludf.DUMMYFUNCTION("""COMPUTED_VALUE"""),"Office expenses")</f>
        <v>Office expenses</v>
      </c>
      <c r="J39" s="4" t="str">
        <f ca="1">IFERROR(__xludf.DUMMYFUNCTION("""COMPUTED_VALUE"""),"Snacks para la oficina")</f>
        <v>Snacks para la oficina</v>
      </c>
      <c r="K39" s="4" t="str">
        <f ca="1">IFERROR(__xludf.DUMMYFUNCTION("""COMPUTED_VALUE"""),".")</f>
        <v>.</v>
      </c>
      <c r="R39" s="7"/>
      <c r="S39" s="6">
        <v>135.94</v>
      </c>
      <c r="T39" s="4" t="e">
        <f t="shared" ca="1" si="0"/>
        <v>#N/A</v>
      </c>
      <c r="V39" s="4" t="s">
        <v>48</v>
      </c>
      <c r="W39" s="4" t="str">
        <f t="shared" ca="1" si="1"/>
        <v>Daniel Autrique Echeveste</v>
      </c>
    </row>
    <row r="40" spans="1:23" ht="12.5">
      <c r="A40" s="4" t="str">
        <f ca="1">IFERROR(__xludf.DUMMYFUNCTION("""COMPUTED_VALUE"""),"TRX1890")</f>
        <v>TRX1890</v>
      </c>
      <c r="B40" s="4" t="str">
        <f ca="1">IFERROR(__xludf.DUMMYFUNCTION("""COMPUTED_VALUE"""),"#5")</f>
        <v>#5</v>
      </c>
      <c r="C40" s="5">
        <f ca="1">IFERROR(__xludf.DUMMYFUNCTION("""COMPUTED_VALUE"""),46067.4166666666)</f>
        <v>46067.416666666599</v>
      </c>
      <c r="D40" s="6">
        <f ca="1">IFERROR(__xludf.DUMMYFUNCTION("""COMPUTED_VALUE"""),317.52)</f>
        <v>317.52</v>
      </c>
      <c r="E40" s="4" t="str">
        <f ca="1">IFERROR(__xludf.DUMMYFUNCTION("""COMPUTED_VALUE"""),"MXN")</f>
        <v>MXN</v>
      </c>
      <c r="F40" s="4" t="str">
        <f ca="1">IFERROR(__xludf.DUMMYFUNCTION("""COMPUTED_VALUE"""),"Fernanda Sanchez Ruiz")</f>
        <v>Fernanda Sanchez Ruiz</v>
      </c>
      <c r="G40" s="4" t="str">
        <f ca="1">IFERROR(__xludf.DUMMYFUNCTION("""COMPUTED_VALUE"""),"UBER * EATS PENDING    CMX           MEX")</f>
        <v>UBER * EATS PENDING    CMX           MEX</v>
      </c>
      <c r="H40" s="4" t="str">
        <f ca="1">IFERROR(__xludf.DUMMYFUNCTION("""COMPUTED_VALUE"""),"Uber Eats")</f>
        <v>Uber Eats</v>
      </c>
      <c r="I40" s="4" t="str">
        <f ca="1">IFERROR(__xludf.DUMMYFUNCTION("""COMPUTED_VALUE"""),"Office expenses")</f>
        <v>Office expenses</v>
      </c>
      <c r="J40" s="4" t="str">
        <f ca="1">IFERROR(__xludf.DUMMYFUNCTION("""COMPUTED_VALUE"""),"Snacks para la oficina")</f>
        <v>Snacks para la oficina</v>
      </c>
      <c r="K40" s="4" t="str">
        <f ca="1">IFERROR(__xludf.DUMMYFUNCTION("""COMPUTED_VALUE"""),".")</f>
        <v>.</v>
      </c>
      <c r="R40" s="7"/>
      <c r="S40" s="6">
        <v>940</v>
      </c>
      <c r="T40" s="4" t="e">
        <f t="shared" ca="1" si="0"/>
        <v>#N/A</v>
      </c>
      <c r="V40" s="4" t="s">
        <v>49</v>
      </c>
      <c r="W40" s="4" t="e">
        <f t="shared" ca="1" si="1"/>
        <v>#N/A</v>
      </c>
    </row>
    <row r="41" spans="1:23" ht="12.5">
      <c r="A41" s="4" t="str">
        <f ca="1">IFERROR(__xludf.DUMMYFUNCTION("""COMPUTED_VALUE"""),"TRX1251")</f>
        <v>TRX1251</v>
      </c>
      <c r="B41" s="4" t="str">
        <f ca="1">IFERROR(__xludf.DUMMYFUNCTION("""COMPUTED_VALUE"""),"#5")</f>
        <v>#5</v>
      </c>
      <c r="C41" s="5">
        <f ca="1">IFERROR(__xludf.DUMMYFUNCTION("""COMPUTED_VALUE"""),46067.4166666666)</f>
        <v>46067.416666666599</v>
      </c>
      <c r="D41" s="6">
        <f ca="1">IFERROR(__xludf.DUMMYFUNCTION("""COMPUTED_VALUE"""),939.38)</f>
        <v>939.38</v>
      </c>
      <c r="E41" s="4" t="str">
        <f ca="1">IFERROR(__xludf.DUMMYFUNCTION("""COMPUTED_VALUE"""),"MXN")</f>
        <v>MXN</v>
      </c>
      <c r="F41" s="4" t="str">
        <f ca="1">IFERROR(__xludf.DUMMYFUNCTION("""COMPUTED_VALUE"""),"Fernanda Sanchez Ruiz")</f>
        <v>Fernanda Sanchez Ruiz</v>
      </c>
      <c r="G41" s="4" t="str">
        <f ca="1">IFERROR(__xludf.DUMMYFUNCTION("""COMPUTED_VALUE"""),"UBER * EATS PENDING    CMX           MEX")</f>
        <v>UBER * EATS PENDING    CMX           MEX</v>
      </c>
      <c r="H41" s="4" t="str">
        <f ca="1">IFERROR(__xludf.DUMMYFUNCTION("""COMPUTED_VALUE"""),"Uber Eats")</f>
        <v>Uber Eats</v>
      </c>
      <c r="I41" s="4" t="str">
        <f ca="1">IFERROR(__xludf.DUMMYFUNCTION("""COMPUTED_VALUE"""),"Office expenses")</f>
        <v>Office expenses</v>
      </c>
      <c r="J41" s="4" t="str">
        <f ca="1">IFERROR(__xludf.DUMMYFUNCTION("""COMPUTED_VALUE"""),"Botiquin ")</f>
        <v xml:space="preserve">Botiquin </v>
      </c>
      <c r="K41" s="4" t="str">
        <f ca="1">IFERROR(__xludf.DUMMYFUNCTION("""COMPUTED_VALUE"""),".")</f>
        <v>.</v>
      </c>
      <c r="R41" s="7"/>
      <c r="S41" s="6">
        <v>719.91</v>
      </c>
      <c r="T41" s="4" t="e">
        <f t="shared" ca="1" si="0"/>
        <v>#N/A</v>
      </c>
      <c r="V41" s="4" t="s">
        <v>50</v>
      </c>
      <c r="W41" s="4" t="str">
        <f t="shared" ca="1" si="1"/>
        <v>Alfonso Bello</v>
      </c>
    </row>
    <row r="42" spans="1:23" ht="12.5">
      <c r="A42" s="4" t="str">
        <f ca="1">IFERROR(__xludf.DUMMYFUNCTION("""COMPUTED_VALUE"""),"TRX1643")</f>
        <v>TRX1643</v>
      </c>
      <c r="B42" s="4" t="str">
        <f ca="1">IFERROR(__xludf.DUMMYFUNCTION("""COMPUTED_VALUE"""),"#5")</f>
        <v>#5</v>
      </c>
      <c r="C42" s="5">
        <f ca="1">IFERROR(__xludf.DUMMYFUNCTION("""COMPUTED_VALUE"""),46067.4166666666)</f>
        <v>46067.416666666599</v>
      </c>
      <c r="D42" s="6">
        <f ca="1">IFERROR(__xludf.DUMMYFUNCTION("""COMPUTED_VALUE"""),20)</f>
        <v>20</v>
      </c>
      <c r="E42" s="4" t="str">
        <f ca="1">IFERROR(__xludf.DUMMYFUNCTION("""COMPUTED_VALUE"""),"MXN")</f>
        <v>MXN</v>
      </c>
      <c r="F42" s="4" t="str">
        <f ca="1">IFERROR(__xludf.DUMMYFUNCTION("""COMPUTED_VALUE"""),"Fernanda Sanchez Ruiz")</f>
        <v>Fernanda Sanchez Ruiz</v>
      </c>
      <c r="G42" s="4" t="str">
        <f ca="1">IFERROR(__xludf.DUMMYFUNCTION("""COMPUTED_VALUE"""),"UBER *EATS HELP.UBER.C CMX           MEX")</f>
        <v>UBER *EATS HELP.UBER.C CMX           MEX</v>
      </c>
      <c r="H42" s="4" t="str">
        <f ca="1">IFERROR(__xludf.DUMMYFUNCTION("""COMPUTED_VALUE"""),"Uber Eats")</f>
        <v>Uber Eats</v>
      </c>
      <c r="I42" s="4" t="str">
        <f ca="1">IFERROR(__xludf.DUMMYFUNCTION("""COMPUTED_VALUE"""),"Office expenses")</f>
        <v>Office expenses</v>
      </c>
      <c r="J42" s="4" t="str">
        <f ca="1">IFERROR(__xludf.DUMMYFUNCTION("""COMPUTED_VALUE"""),"Refill de botiquin")</f>
        <v>Refill de botiquin</v>
      </c>
      <c r="K42" s="4" t="str">
        <f ca="1">IFERROR(__xludf.DUMMYFUNCTION("""COMPUTED_VALUE"""),".")</f>
        <v>.</v>
      </c>
      <c r="R42" s="7"/>
      <c r="S42" s="6">
        <v>1399.33</v>
      </c>
      <c r="T42" s="4" t="e">
        <f t="shared" ca="1" si="0"/>
        <v>#N/A</v>
      </c>
      <c r="V42" s="4" t="s">
        <v>51</v>
      </c>
      <c r="W42" s="4" t="e">
        <f t="shared" ca="1" si="1"/>
        <v>#N/A</v>
      </c>
    </row>
    <row r="43" spans="1:23" ht="12.5">
      <c r="A43" s="4" t="str">
        <f ca="1">IFERROR(__xludf.DUMMYFUNCTION("""COMPUTED_VALUE"""),"TRX1775")</f>
        <v>TRX1775</v>
      </c>
      <c r="B43" s="4" t="str">
        <f ca="1">IFERROR(__xludf.DUMMYFUNCTION("""COMPUTED_VALUE"""),"#5")</f>
        <v>#5</v>
      </c>
      <c r="C43" s="5">
        <f ca="1">IFERROR(__xludf.DUMMYFUNCTION("""COMPUTED_VALUE"""),46067.4166666666)</f>
        <v>46067.416666666599</v>
      </c>
      <c r="D43" s="6">
        <f ca="1">IFERROR(__xludf.DUMMYFUNCTION("""COMPUTED_VALUE"""),3142.4)</f>
        <v>3142.4</v>
      </c>
      <c r="E43" s="4" t="str">
        <f ca="1">IFERROR(__xludf.DUMMYFUNCTION("""COMPUTED_VALUE"""),"MXN")</f>
        <v>MXN</v>
      </c>
      <c r="F43" s="4" t="str">
        <f ca="1">IFERROR(__xludf.DUMMYFUNCTION("""COMPUTED_VALUE"""),"Fernanda Sanchez Ruiz")</f>
        <v>Fernanda Sanchez Ruiz</v>
      </c>
      <c r="G43" s="4" t="str">
        <f ca="1">IFERROR(__xludf.DUMMYFUNCTION("""COMPUTED_VALUE"""),"UBER * EATS PENDING    CMX           MEX")</f>
        <v>UBER * EATS PENDING    CMX           MEX</v>
      </c>
      <c r="H43" s="4" t="str">
        <f ca="1">IFERROR(__xludf.DUMMYFUNCTION("""COMPUTED_VALUE"""),"Uber Eats")</f>
        <v>Uber Eats</v>
      </c>
      <c r="I43" s="4"/>
      <c r="J43" s="4"/>
      <c r="K43" s="4" t="str">
        <f ca="1">IFERROR(__xludf.DUMMYFUNCTION("""COMPUTED_VALUE"""),".")</f>
        <v>.</v>
      </c>
      <c r="R43" s="7"/>
      <c r="S43" s="6">
        <v>1000</v>
      </c>
      <c r="T43" s="4" t="str">
        <f t="shared" ca="1" si="0"/>
        <v>Fernando Sanchez Toledano</v>
      </c>
      <c r="V43" s="4" t="s">
        <v>52</v>
      </c>
      <c r="W43" s="4" t="str">
        <f t="shared" ca="1" si="1"/>
        <v>Isaac Mendoza Ruiz</v>
      </c>
    </row>
    <row r="44" spans="1:23" ht="12.5">
      <c r="A44" s="4" t="str">
        <f ca="1">IFERROR(__xludf.DUMMYFUNCTION("""COMPUTED_VALUE"""),"TRX1734")</f>
        <v>TRX1734</v>
      </c>
      <c r="B44" s="4" t="str">
        <f ca="1">IFERROR(__xludf.DUMMYFUNCTION("""COMPUTED_VALUE"""),"#5")</f>
        <v>#5</v>
      </c>
      <c r="C44" s="5">
        <f ca="1">IFERROR(__xludf.DUMMYFUNCTION("""COMPUTED_VALUE"""),46067.4166666666)</f>
        <v>46067.416666666599</v>
      </c>
      <c r="D44" s="6">
        <f ca="1">IFERROR(__xludf.DUMMYFUNCTION("""COMPUTED_VALUE"""),40)</f>
        <v>40</v>
      </c>
      <c r="E44" s="4" t="str">
        <f ca="1">IFERROR(__xludf.DUMMYFUNCTION("""COMPUTED_VALUE"""),"MXN")</f>
        <v>MXN</v>
      </c>
      <c r="F44" s="4" t="str">
        <f ca="1">IFERROR(__xludf.DUMMYFUNCTION("""COMPUTED_VALUE"""),"Fernanda Sanchez Ruiz")</f>
        <v>Fernanda Sanchez Ruiz</v>
      </c>
      <c r="G44" s="4" t="str">
        <f ca="1">IFERROR(__xludf.DUMMYFUNCTION("""COMPUTED_VALUE"""),"UBER *EATS HELP.UBER.C CMX           MEX")</f>
        <v>UBER *EATS HELP.UBER.C CMX           MEX</v>
      </c>
      <c r="H44" s="4" t="str">
        <f ca="1">IFERROR(__xludf.DUMMYFUNCTION("""COMPUTED_VALUE"""),"Uber Eats")</f>
        <v>Uber Eats</v>
      </c>
      <c r="I44" s="4"/>
      <c r="J44" s="4"/>
      <c r="K44" s="4" t="str">
        <f ca="1">IFERROR(__xludf.DUMMYFUNCTION("""COMPUTED_VALUE"""),".")</f>
        <v>.</v>
      </c>
      <c r="R44" s="7"/>
      <c r="S44" s="6">
        <v>280</v>
      </c>
      <c r="T44" s="4" t="str">
        <f t="shared" ca="1" si="0"/>
        <v>Carlos Ivan Gonzalez Merino</v>
      </c>
      <c r="V44" s="4" t="s">
        <v>53</v>
      </c>
      <c r="W44" s="4" t="e">
        <f t="shared" ca="1" si="1"/>
        <v>#N/A</v>
      </c>
    </row>
    <row r="45" spans="1:23" ht="12.5">
      <c r="A45" s="4" t="str">
        <f ca="1">IFERROR(__xludf.DUMMYFUNCTION("""COMPUTED_VALUE"""),"TRX1953")</f>
        <v>TRX1953</v>
      </c>
      <c r="B45" s="4" t="str">
        <f ca="1">IFERROR(__xludf.DUMMYFUNCTION("""COMPUTED_VALUE"""),"#5")</f>
        <v>#5</v>
      </c>
      <c r="C45" s="5">
        <f ca="1">IFERROR(__xludf.DUMMYFUNCTION("""COMPUTED_VALUE"""),46071.4166666666)</f>
        <v>46071.416666666599</v>
      </c>
      <c r="D45" s="6">
        <f ca="1">IFERROR(__xludf.DUMMYFUNCTION("""COMPUTED_VALUE"""),1707.95)</f>
        <v>1707.95</v>
      </c>
      <c r="E45" s="4" t="str">
        <f ca="1">IFERROR(__xludf.DUMMYFUNCTION("""COMPUTED_VALUE"""),"MXN")</f>
        <v>MXN</v>
      </c>
      <c r="F45" s="4" t="str">
        <f ca="1">IFERROR(__xludf.DUMMYFUNCTION("""COMPUTED_VALUE"""),"Fernanda Sanchez Ruiz")</f>
        <v>Fernanda Sanchez Ruiz</v>
      </c>
      <c r="G45" s="4" t="str">
        <f ca="1">IFERROR(__xludf.DUMMYFUNCTION("""COMPUTED_VALUE"""),"SAMS VENTA EN LINEA    MEXICO DF     MEX")</f>
        <v>SAMS VENTA EN LINEA    MEXICO DF     MEX</v>
      </c>
      <c r="H45" s="4" t="str">
        <f ca="1">IFERROR(__xludf.DUMMYFUNCTION("""COMPUTED_VALUE"""),"Sam's Club")</f>
        <v>Sam's Club</v>
      </c>
      <c r="I45" s="4"/>
      <c r="J45" s="4"/>
      <c r="K45" s="4" t="str">
        <f ca="1">IFERROR(__xludf.DUMMYFUNCTION("""COMPUTED_VALUE"""),".")</f>
        <v>.</v>
      </c>
      <c r="R45" s="7"/>
      <c r="S45" s="6">
        <v>174.53</v>
      </c>
      <c r="T45" s="4" t="e">
        <f t="shared" ca="1" si="0"/>
        <v>#N/A</v>
      </c>
      <c r="V45" s="4" t="s">
        <v>54</v>
      </c>
      <c r="W45" s="4" t="e">
        <f t="shared" ca="1" si="1"/>
        <v>#N/A</v>
      </c>
    </row>
    <row r="46" spans="1:23" ht="12.5">
      <c r="A46" s="4" t="str">
        <f ca="1">IFERROR(__xludf.DUMMYFUNCTION("""COMPUTED_VALUE"""),"TRX1925")</f>
        <v>TRX1925</v>
      </c>
      <c r="B46" s="4" t="str">
        <f ca="1">IFERROR(__xludf.DUMMYFUNCTION("""COMPUTED_VALUE"""),"#5")</f>
        <v>#5</v>
      </c>
      <c r="C46" s="5">
        <f ca="1">IFERROR(__xludf.DUMMYFUNCTION("""COMPUTED_VALUE"""),46072.4166666666)</f>
        <v>46072.416666666599</v>
      </c>
      <c r="D46" s="6">
        <f ca="1">IFERROR(__xludf.DUMMYFUNCTION("""COMPUTED_VALUE"""),99.94)</f>
        <v>99.94</v>
      </c>
      <c r="E46" s="4" t="str">
        <f ca="1">IFERROR(__xludf.DUMMYFUNCTION("""COMPUTED_VALUE"""),"MXN")</f>
        <v>MXN</v>
      </c>
      <c r="F46" s="4" t="str">
        <f ca="1">IFERROR(__xludf.DUMMYFUNCTION("""COMPUTED_VALUE"""),"Fernanda Sanchez Ruiz")</f>
        <v>Fernanda Sanchez Ruiz</v>
      </c>
      <c r="G46" s="4" t="str">
        <f ca="1">IFERROR(__xludf.DUMMYFUNCTION("""COMPUTED_VALUE"""),"UBER * PENDING         CMX           MEX")</f>
        <v>UBER * PENDING         CMX           MEX</v>
      </c>
      <c r="H46" s="4" t="str">
        <f ca="1">IFERROR(__xludf.DUMMYFUNCTION("""COMPUTED_VALUE"""),"Uber")</f>
        <v>Uber</v>
      </c>
      <c r="I46" s="4"/>
      <c r="J46" s="4"/>
      <c r="K46" s="4" t="str">
        <f ca="1">IFERROR(__xludf.DUMMYFUNCTION("""COMPUTED_VALUE"""),".")</f>
        <v>.</v>
      </c>
      <c r="R46" s="7"/>
      <c r="S46" s="6">
        <v>105.49</v>
      </c>
      <c r="T46" s="4" t="e">
        <f t="shared" ca="1" si="0"/>
        <v>#N/A</v>
      </c>
      <c r="V46" s="4" t="s">
        <v>55</v>
      </c>
      <c r="W46" s="4" t="str">
        <f t="shared" ca="1" si="1"/>
        <v>Fernanda Sanchez Ruiz</v>
      </c>
    </row>
    <row r="47" spans="1:23" ht="12.5">
      <c r="A47" s="4" t="str">
        <f ca="1">IFERROR(__xludf.DUMMYFUNCTION("""COMPUTED_VALUE"""),"TRX1228")</f>
        <v>TRX1228</v>
      </c>
      <c r="B47" s="4" t="str">
        <f ca="1">IFERROR(__xludf.DUMMYFUNCTION("""COMPUTED_VALUE"""),"#5")</f>
        <v>#5</v>
      </c>
      <c r="C47" s="5">
        <f ca="1">IFERROR(__xludf.DUMMYFUNCTION("""COMPUTED_VALUE"""),46073.4166666666)</f>
        <v>46073.416666666599</v>
      </c>
      <c r="D47" s="6">
        <f ca="1">IFERROR(__xludf.DUMMYFUNCTION("""COMPUTED_VALUE"""),38.68)</f>
        <v>38.68</v>
      </c>
      <c r="E47" s="4" t="str">
        <f ca="1">IFERROR(__xludf.DUMMYFUNCTION("""COMPUTED_VALUE"""),"MXN")</f>
        <v>MXN</v>
      </c>
      <c r="F47" s="4" t="str">
        <f ca="1">IFERROR(__xludf.DUMMYFUNCTION("""COMPUTED_VALUE"""),"Fernanda Sanchez Ruiz")</f>
        <v>Fernanda Sanchez Ruiz</v>
      </c>
      <c r="G47" s="4" t="str">
        <f ca="1">IFERROR(__xludf.DUMMYFUNCTION("""COMPUTED_VALUE"""),"UBER * PENDING         CMX           MEX")</f>
        <v>UBER * PENDING         CMX           MEX</v>
      </c>
      <c r="H47" s="4" t="str">
        <f ca="1">IFERROR(__xludf.DUMMYFUNCTION("""COMPUTED_VALUE"""),"Uber")</f>
        <v>Uber</v>
      </c>
      <c r="I47" s="4"/>
      <c r="J47" s="4"/>
      <c r="K47" s="4" t="str">
        <f ca="1">IFERROR(__xludf.DUMMYFUNCTION("""COMPUTED_VALUE"""),".")</f>
        <v>.</v>
      </c>
      <c r="R47" s="7"/>
      <c r="S47" s="6">
        <v>79.95</v>
      </c>
      <c r="T47" s="4" t="str">
        <f t="shared" ca="1" si="0"/>
        <v>Isaac Mendoza Ruiz</v>
      </c>
      <c r="V47" s="4" t="s">
        <v>56</v>
      </c>
      <c r="W47" s="4" t="str">
        <f t="shared" ca="1" si="1"/>
        <v>Jesus Gonzalez Grana</v>
      </c>
    </row>
    <row r="48" spans="1:23" ht="12.5">
      <c r="A48" s="4" t="str">
        <f ca="1">IFERROR(__xludf.DUMMYFUNCTION("""COMPUTED_VALUE"""),"TRX1222")</f>
        <v>TRX1222</v>
      </c>
      <c r="B48" s="4" t="str">
        <f ca="1">IFERROR(__xludf.DUMMYFUNCTION("""COMPUTED_VALUE"""),"#5")</f>
        <v>#5</v>
      </c>
      <c r="C48" s="5">
        <f ca="1">IFERROR(__xludf.DUMMYFUNCTION("""COMPUTED_VALUE"""),46073.4166666666)</f>
        <v>46073.416666666599</v>
      </c>
      <c r="D48" s="6">
        <f ca="1">IFERROR(__xludf.DUMMYFUNCTION("""COMPUTED_VALUE"""),29.96)</f>
        <v>29.96</v>
      </c>
      <c r="E48" s="4" t="str">
        <f ca="1">IFERROR(__xludf.DUMMYFUNCTION("""COMPUTED_VALUE"""),"MXN")</f>
        <v>MXN</v>
      </c>
      <c r="F48" s="4" t="str">
        <f ca="1">IFERROR(__xludf.DUMMYFUNCTION("""COMPUTED_VALUE"""),"Fernanda Sanchez Ruiz")</f>
        <v>Fernanda Sanchez Ruiz</v>
      </c>
      <c r="G48" s="4" t="str">
        <f ca="1">IFERROR(__xludf.DUMMYFUNCTION("""COMPUTED_VALUE"""),"UBER * PENDING         CMX           MEX")</f>
        <v>UBER * PENDING         CMX           MEX</v>
      </c>
      <c r="H48" s="4" t="str">
        <f ca="1">IFERROR(__xludf.DUMMYFUNCTION("""COMPUTED_VALUE"""),"Uber")</f>
        <v>Uber</v>
      </c>
      <c r="I48" s="4"/>
      <c r="J48" s="4"/>
      <c r="K48" s="4" t="str">
        <f ca="1">IFERROR(__xludf.DUMMYFUNCTION("""COMPUTED_VALUE"""),".")</f>
        <v>.</v>
      </c>
      <c r="R48" s="7"/>
      <c r="S48" s="6">
        <v>282.07</v>
      </c>
      <c r="T48" s="4" t="e">
        <f t="shared" ca="1" si="0"/>
        <v>#N/A</v>
      </c>
      <c r="V48" s="4" t="s">
        <v>57</v>
      </c>
      <c r="W48" s="4" t="e">
        <f t="shared" ca="1" si="1"/>
        <v>#N/A</v>
      </c>
    </row>
    <row r="49" spans="1:23" ht="12.5">
      <c r="A49" s="4" t="str">
        <f ca="1">IFERROR(__xludf.DUMMYFUNCTION("""COMPUTED_VALUE"""),"TRX1222")</f>
        <v>TRX1222</v>
      </c>
      <c r="B49" s="4" t="str">
        <f ca="1">IFERROR(__xludf.DUMMYFUNCTION("""COMPUTED_VALUE"""),"#6")</f>
        <v>#6</v>
      </c>
      <c r="C49" s="5">
        <f ca="1">IFERROR(__xludf.DUMMYFUNCTION("""COMPUTED_VALUE"""),46058.4173611111)</f>
        <v>46058.417361111096</v>
      </c>
      <c r="D49" s="6">
        <f ca="1">IFERROR(__xludf.DUMMYFUNCTION("""COMPUTED_VALUE"""),1149)</f>
        <v>1149</v>
      </c>
      <c r="E49" s="4" t="str">
        <f ca="1">IFERROR(__xludf.DUMMYFUNCTION("""COMPUTED_VALUE"""),"MXN")</f>
        <v>MXN</v>
      </c>
      <c r="F49" s="4" t="str">
        <f ca="1">IFERROR(__xludf.DUMMYFUNCTION("""COMPUTED_VALUE"""),"Fernando Sanchez Toledano")</f>
        <v>Fernando Sanchez Toledano</v>
      </c>
      <c r="G49" s="4" t="str">
        <f ca="1">IFERROR(__xludf.DUMMYFUNCTION("""COMPUTED_VALUE"""),"AVIS WEB MXN           MERIDA YUC    MEX")</f>
        <v>AVIS WEB MXN           MERIDA YUC    MEX</v>
      </c>
      <c r="H49" s="4" t="str">
        <f ca="1">IFERROR(__xludf.DUMMYFUNCTION("""COMPUTED_VALUE"""),"Avis")</f>
        <v>Avis</v>
      </c>
      <c r="I49" s="4" t="str">
        <f ca="1">IFERROR(__xludf.DUMMYFUNCTION("""COMPUTED_VALUE"""),"Transaction cost")</f>
        <v>Transaction cost</v>
      </c>
      <c r="J49" s="4" t="str">
        <f ca="1">IFERROR(__xludf.DUMMYFUNCTION("""COMPUTED_VALUE"""),"Transaction cost")</f>
        <v>Transaction cost</v>
      </c>
      <c r="K49" s="4" t="str">
        <f ca="1">IFERROR(__xludf.DUMMYFUNCTION("""COMPUTED_VALUE"""),"Gasolina recolección Fer Marcelo")</f>
        <v>Gasolina recolección Fer Marcelo</v>
      </c>
      <c r="R49" s="7"/>
      <c r="S49" s="6">
        <v>142.86000000000001</v>
      </c>
      <c r="T49" s="4" t="e">
        <f t="shared" ca="1" si="0"/>
        <v>#N/A</v>
      </c>
      <c r="V49" s="4" t="s">
        <v>58</v>
      </c>
      <c r="W49" s="4" t="str">
        <f t="shared" ca="1" si="1"/>
        <v>Patricio Servitje Azcarraga</v>
      </c>
    </row>
    <row r="50" spans="1:23" ht="12.5">
      <c r="A50" s="4" t="str">
        <f ca="1">IFERROR(__xludf.DUMMYFUNCTION("""COMPUTED_VALUE"""),"TRX1202")</f>
        <v>TRX1202</v>
      </c>
      <c r="B50" s="4" t="str">
        <f ca="1">IFERROR(__xludf.DUMMYFUNCTION("""COMPUTED_VALUE"""),"#6")</f>
        <v>#6</v>
      </c>
      <c r="C50" s="5">
        <f ca="1">IFERROR(__xludf.DUMMYFUNCTION("""COMPUTED_VALUE"""),46058.4173611111)</f>
        <v>46058.417361111096</v>
      </c>
      <c r="D50" s="6">
        <f ca="1">IFERROR(__xludf.DUMMYFUNCTION("""COMPUTED_VALUE"""),91)</f>
        <v>91</v>
      </c>
      <c r="E50" s="4" t="str">
        <f ca="1">IFERROR(__xludf.DUMMYFUNCTION("""COMPUTED_VALUE"""),"MXN")</f>
        <v>MXN</v>
      </c>
      <c r="F50" s="4" t="str">
        <f ca="1">IFERROR(__xludf.DUMMYFUNCTION("""COMPUTED_VALUE"""),"Fernando Sanchez Toledano")</f>
        <v>Fernando Sanchez Toledano</v>
      </c>
      <c r="G50" s="4" t="str">
        <f ca="1">IFERROR(__xludf.DUMMYFUNCTION("""COMPUTED_VALUE"""),"DLO*DIDI RIDES         MEXICO        MEX")</f>
        <v>DLO*DIDI RIDES         MEXICO        MEX</v>
      </c>
      <c r="H50" s="4" t="str">
        <f ca="1">IFERROR(__xludf.DUMMYFUNCTION("""COMPUTED_VALUE"""),"Didi Chuxing")</f>
        <v>Didi Chuxing</v>
      </c>
      <c r="I50" s="4" t="str">
        <f ca="1">IFERROR(__xludf.DUMMYFUNCTION("""COMPUTED_VALUE"""),"Transaction cost")</f>
        <v>Transaction cost</v>
      </c>
      <c r="J50" s="4" t="str">
        <f ca="1">IFERROR(__xludf.DUMMYFUNCTION("""COMPUTED_VALUE"""),"Transaction cost")</f>
        <v>Transaction cost</v>
      </c>
      <c r="K50" s="4" t="str">
        <f ca="1">IFERROR(__xludf.DUMMYFUNCTION("""COMPUTED_VALUE"""),"Comida visita fer Marcelo ")</f>
        <v xml:space="preserve">Comida visita fer Marcelo </v>
      </c>
      <c r="R50" s="7"/>
      <c r="S50" s="6">
        <v>1500</v>
      </c>
      <c r="T50" s="4" t="e">
        <f t="shared" ca="1" si="0"/>
        <v>#N/A</v>
      </c>
      <c r="V50" s="4" t="s">
        <v>59</v>
      </c>
      <c r="W50" s="4" t="e">
        <f t="shared" ca="1" si="1"/>
        <v>#N/A</v>
      </c>
    </row>
    <row r="51" spans="1:23" ht="12.5">
      <c r="A51" s="4" t="str">
        <f ca="1">IFERROR(__xludf.DUMMYFUNCTION("""COMPUTED_VALUE"""),"TRX1176")</f>
        <v>TRX1176</v>
      </c>
      <c r="B51" s="4" t="str">
        <f ca="1">IFERROR(__xludf.DUMMYFUNCTION("""COMPUTED_VALUE"""),"#6")</f>
        <v>#6</v>
      </c>
      <c r="C51" s="5">
        <f ca="1">IFERROR(__xludf.DUMMYFUNCTION("""COMPUTED_VALUE"""),46059.4166666666)</f>
        <v>46059.416666666599</v>
      </c>
      <c r="D51" s="6">
        <f ca="1">IFERROR(__xludf.DUMMYFUNCTION("""COMPUTED_VALUE"""),791.04)</f>
        <v>791.04</v>
      </c>
      <c r="E51" s="4" t="str">
        <f ca="1">IFERROR(__xludf.DUMMYFUNCTION("""COMPUTED_VALUE"""),"MXN")</f>
        <v>MXN</v>
      </c>
      <c r="F51" s="4" t="str">
        <f ca="1">IFERROR(__xludf.DUMMYFUNCTION("""COMPUTED_VALUE"""),"Fernando Sanchez Toledano")</f>
        <v>Fernando Sanchez Toledano</v>
      </c>
      <c r="G51" s="4" t="str">
        <f ca="1">IFERROR(__xludf.DUMMYFUNCTION("""COMPUTED_VALUE"""),"GAS COGA LOM CHA MIT 2 CIUDAD DE MEX MEX")</f>
        <v>GAS COGA LOM CHA MIT 2 CIUDAD DE MEX MEX</v>
      </c>
      <c r="H51" s="4" t="str">
        <f ca="1">IFERROR(__xludf.DUMMYFUNCTION("""COMPUTED_VALUE"""),"Gas Coga Lom Cha Mit 2 Ciudad De Mex Mex")</f>
        <v>Gas Coga Lom Cha Mit 2 Ciudad De Mex Mex</v>
      </c>
      <c r="I51" s="4" t="str">
        <f ca="1">IFERROR(__xludf.DUMMYFUNCTION("""COMPUTED_VALUE"""),"Transaction cost")</f>
        <v>Transaction cost</v>
      </c>
      <c r="J51" s="4" t="str">
        <f ca="1">IFERROR(__xludf.DUMMYFUNCTION("""COMPUTED_VALUE"""),"Transaction cost")</f>
        <v>Transaction cost</v>
      </c>
      <c r="K51" s="4" t="str">
        <f ca="1">IFERROR(__xludf.DUMMYFUNCTION("""COMPUTED_VALUE"""),"Recarga de tag")</f>
        <v>Recarga de tag</v>
      </c>
      <c r="R51" s="7"/>
      <c r="S51" s="6">
        <v>449</v>
      </c>
      <c r="T51" s="4" t="e">
        <f t="shared" ca="1" si="0"/>
        <v>#N/A</v>
      </c>
      <c r="V51" s="4" t="s">
        <v>60</v>
      </c>
      <c r="W51" s="4" t="str">
        <f t="shared" ca="1" si="1"/>
        <v>JP Hammerstein</v>
      </c>
    </row>
    <row r="52" spans="1:23" ht="12.5">
      <c r="A52" s="4" t="str">
        <f ca="1">IFERROR(__xludf.DUMMYFUNCTION("""COMPUTED_VALUE"""),"TRX1155")</f>
        <v>TRX1155</v>
      </c>
      <c r="B52" s="4" t="str">
        <f ca="1">IFERROR(__xludf.DUMMYFUNCTION("""COMPUTED_VALUE"""),"#6")</f>
        <v>#6</v>
      </c>
      <c r="C52" s="5">
        <f ca="1">IFERROR(__xludf.DUMMYFUNCTION("""COMPUTED_VALUE"""),46059.4173611111)</f>
        <v>46059.417361111096</v>
      </c>
      <c r="D52" s="6">
        <f ca="1">IFERROR(__xludf.DUMMYFUNCTION("""COMPUTED_VALUE"""),193)</f>
        <v>193</v>
      </c>
      <c r="E52" s="4" t="str">
        <f ca="1">IFERROR(__xludf.DUMMYFUNCTION("""COMPUTED_VALUE"""),"MXN")</f>
        <v>MXN</v>
      </c>
      <c r="F52" s="4" t="str">
        <f ca="1">IFERROR(__xludf.DUMMYFUNCTION("""COMPUTED_VALUE"""),"Fernando Sanchez Toledano")</f>
        <v>Fernando Sanchez Toledano</v>
      </c>
      <c r="G52" s="4" t="str">
        <f ca="1">IFERROR(__xludf.DUMMYFUNCTION("""COMPUTED_VALUE"""),"OXXO SAN IGNACIO QRF   POLOTITLAN EM MEX")</f>
        <v>OXXO SAN IGNACIO QRF   POLOTITLAN EM MEX</v>
      </c>
      <c r="H52" s="4" t="str">
        <f ca="1">IFERROR(__xludf.DUMMYFUNCTION("""COMPUTED_VALUE"""),"Oxxo")</f>
        <v>Oxxo</v>
      </c>
      <c r="I52" s="4" t="str">
        <f ca="1">IFERROR(__xludf.DUMMYFUNCTION("""COMPUTED_VALUE"""),"Transaction cost")</f>
        <v>Transaction cost</v>
      </c>
      <c r="J52" s="4" t="str">
        <f ca="1">IFERROR(__xludf.DUMMYFUNCTION("""COMPUTED_VALUE"""),"Transaction cost")</f>
        <v>Transaction cost</v>
      </c>
      <c r="K52" s="4" t="str">
        <f ca="1">IFERROR(__xludf.DUMMYFUNCTION("""COMPUTED_VALUE"""),"Gasolina, entrega en Deacero ")</f>
        <v xml:space="preserve">Gasolina, entrega en Deacero </v>
      </c>
      <c r="R52" s="7"/>
      <c r="S52" s="6">
        <v>84.85</v>
      </c>
      <c r="T52" s="4" t="e">
        <f t="shared" ca="1" si="0"/>
        <v>#N/A</v>
      </c>
    </row>
    <row r="53" spans="1:23" ht="12.5">
      <c r="A53" s="4" t="str">
        <f ca="1">IFERROR(__xludf.DUMMYFUNCTION("""COMPUTED_VALUE"""),"TRX1149")</f>
        <v>TRX1149</v>
      </c>
      <c r="B53" s="4" t="str">
        <f ca="1">IFERROR(__xludf.DUMMYFUNCTION("""COMPUTED_VALUE"""),"#6")</f>
        <v>#6</v>
      </c>
      <c r="C53" s="5">
        <f ca="1">IFERROR(__xludf.DUMMYFUNCTION("""COMPUTED_VALUE"""),46059.4173611111)</f>
        <v>46059.417361111096</v>
      </c>
      <c r="D53" s="6">
        <f ca="1">IFERROR(__xludf.DUMMYFUNCTION("""COMPUTED_VALUE"""),1000)</f>
        <v>1000</v>
      </c>
      <c r="E53" s="4" t="str">
        <f ca="1">IFERROR(__xludf.DUMMYFUNCTION("""COMPUTED_VALUE"""),"MXN")</f>
        <v>MXN</v>
      </c>
      <c r="F53" s="4" t="str">
        <f ca="1">IFERROR(__xludf.DUMMYFUNCTION("""COMPUTED_VALUE"""),"Fernando Sanchez Toledano")</f>
        <v>Fernando Sanchez Toledano</v>
      </c>
      <c r="G53" s="4" t="str">
        <f ca="1">IFERROR(__xludf.DUMMYFUNCTION("""COMPUTED_VALUE"""),"CASHI ECOMMERCE RC     CIUDAD DE MEX MEX")</f>
        <v>CASHI ECOMMERCE RC     CIUDAD DE MEX MEX</v>
      </c>
      <c r="H53" s="4" t="str">
        <f ca="1">IFERROR(__xludf.DUMMYFUNCTION("""COMPUTED_VALUE"""),"Cashi Ecommerce Rc Ciudad De Mex Mex")</f>
        <v>Cashi Ecommerce Rc Ciudad De Mex Mex</v>
      </c>
      <c r="I53" s="4" t="str">
        <f ca="1">IFERROR(__xludf.DUMMYFUNCTION("""COMPUTED_VALUE"""),"Transaction cost")</f>
        <v>Transaction cost</v>
      </c>
      <c r="J53" s="4" t="str">
        <f ca="1">IFERROR(__xludf.DUMMYFUNCTION("""COMPUTED_VALUE"""),"Transaction cost")</f>
        <v>Transaction cost</v>
      </c>
      <c r="K53" s="4" t="str">
        <f ca="1">IFERROR(__xludf.DUMMYFUNCTION("""COMPUTED_VALUE"""),"Comida, entrega en Deacero ")</f>
        <v xml:space="preserve">Comida, entrega en Deacero </v>
      </c>
      <c r="R53" s="7"/>
      <c r="S53" s="6">
        <v>3610.38</v>
      </c>
      <c r="T53" s="4" t="e">
        <f t="shared" ca="1" si="0"/>
        <v>#N/A</v>
      </c>
    </row>
    <row r="54" spans="1:23" ht="12.5">
      <c r="A54" s="4" t="str">
        <f ca="1">IFERROR(__xludf.DUMMYFUNCTION("""COMPUTED_VALUE"""),"TRX1732")</f>
        <v>TRX1732</v>
      </c>
      <c r="B54" s="4" t="str">
        <f ca="1">IFERROR(__xludf.DUMMYFUNCTION("""COMPUTED_VALUE"""),"#6")</f>
        <v>#6</v>
      </c>
      <c r="C54" s="5">
        <f ca="1">IFERROR(__xludf.DUMMYFUNCTION("""COMPUTED_VALUE"""),46059.4173611111)</f>
        <v>46059.417361111096</v>
      </c>
      <c r="D54" s="6">
        <f ca="1">IFERROR(__xludf.DUMMYFUNCTION("""COMPUTED_VALUE"""),186)</f>
        <v>186</v>
      </c>
      <c r="E54" s="4" t="str">
        <f ca="1">IFERROR(__xludf.DUMMYFUNCTION("""COMPUTED_VALUE"""),"MXN")</f>
        <v>MXN</v>
      </c>
      <c r="F54" s="4" t="str">
        <f ca="1">IFERROR(__xludf.DUMMYFUNCTION("""COMPUTED_VALUE"""),"Fernando Sanchez Toledano")</f>
        <v>Fernando Sanchez Toledano</v>
      </c>
      <c r="G54" s="4" t="str">
        <f ca="1">IFERROR(__xludf.DUMMYFUNCTION("""COMPUTED_VALUE"""),"OXXOMICROPARQUE QRF    QUERETARO QRO MEX")</f>
        <v>OXXOMICROPARQUE QRF    QUERETARO QRO MEX</v>
      </c>
      <c r="H54" s="4" t="str">
        <f ca="1">IFERROR(__xludf.DUMMYFUNCTION("""COMPUTED_VALUE"""),"Oxxomicroparque Qrf Queretaro Qro Mex")</f>
        <v>Oxxomicroparque Qrf Queretaro Qro Mex</v>
      </c>
      <c r="I54" s="4" t="str">
        <f ca="1">IFERROR(__xludf.DUMMYFUNCTION("""COMPUTED_VALUE"""),"Transaction cost")</f>
        <v>Transaction cost</v>
      </c>
      <c r="J54" s="4" t="str">
        <f ca="1">IFERROR(__xludf.DUMMYFUNCTION("""COMPUTED_VALUE"""),"Transaction cost")</f>
        <v>Transaction cost</v>
      </c>
      <c r="K54" s="4" t="str">
        <f ca="1">IFERROR(__xludf.DUMMYFUNCTION("""COMPUTED_VALUE"""),"Comida, entrega en Deacero ")</f>
        <v xml:space="preserve">Comida, entrega en Deacero </v>
      </c>
      <c r="R54" s="7"/>
      <c r="S54" s="6">
        <v>5920</v>
      </c>
      <c r="T54" s="4" t="e">
        <f t="shared" ca="1" si="0"/>
        <v>#N/A</v>
      </c>
    </row>
    <row r="55" spans="1:23" ht="12.5">
      <c r="A55" s="4" t="str">
        <f ca="1">IFERROR(__xludf.DUMMYFUNCTION("""COMPUTED_VALUE"""),"TRX1815")</f>
        <v>TRX1815</v>
      </c>
      <c r="B55" s="4" t="str">
        <f ca="1">IFERROR(__xludf.DUMMYFUNCTION("""COMPUTED_VALUE"""),"#6")</f>
        <v>#6</v>
      </c>
      <c r="C55" s="5">
        <f ca="1">IFERROR(__xludf.DUMMYFUNCTION("""COMPUTED_VALUE"""),46059.4173611111)</f>
        <v>46059.417361111096</v>
      </c>
      <c r="D55" s="6">
        <f ca="1">IFERROR(__xludf.DUMMYFUNCTION("""COMPUTED_VALUE"""),1545.3)</f>
        <v>1545.3</v>
      </c>
      <c r="E55" s="4" t="str">
        <f ca="1">IFERROR(__xludf.DUMMYFUNCTION("""COMPUTED_VALUE"""),"MXN")</f>
        <v>MXN</v>
      </c>
      <c r="F55" s="4" t="str">
        <f ca="1">IFERROR(__xludf.DUMMYFUNCTION("""COMPUTED_VALUE"""),"Fernando Sanchez Toledano")</f>
        <v>Fernando Sanchez Toledano</v>
      </c>
      <c r="G55" s="4" t="str">
        <f ca="1">IFERROR(__xludf.DUMMYFUNCTION("""COMPUTED_VALUE"""),"GAS SERVI BOUL         TEOLOYUCAN EM MEX")</f>
        <v>GAS SERVI BOUL         TEOLOYUCAN EM MEX</v>
      </c>
      <c r="H55" s="4" t="str">
        <f ca="1">IFERROR(__xludf.DUMMYFUNCTION("""COMPUTED_VALUE"""),"Gas Servi Boul Teoloyucan Em Mex")</f>
        <v>Gas Servi Boul Teoloyucan Em Mex</v>
      </c>
      <c r="I55" s="4" t="str">
        <f ca="1">IFERROR(__xludf.DUMMYFUNCTION("""COMPUTED_VALUE"""),"Transaction cost")</f>
        <v>Transaction cost</v>
      </c>
      <c r="J55" s="4" t="str">
        <f ca="1">IFERROR(__xludf.DUMMYFUNCTION("""COMPUTED_VALUE"""),"Transaction cost")</f>
        <v>Transaction cost</v>
      </c>
      <c r="K55" s="4" t="str">
        <f ca="1">IFERROR(__xludf.DUMMYFUNCTION("""COMPUTED_VALUE"""),"Gasolina, entrega en SALJAMEX ")</f>
        <v xml:space="preserve">Gasolina, entrega en SALJAMEX </v>
      </c>
      <c r="R55" s="7"/>
      <c r="S55" s="6">
        <v>390</v>
      </c>
      <c r="T55" s="4" t="e">
        <f t="shared" ca="1" si="0"/>
        <v>#N/A</v>
      </c>
    </row>
    <row r="56" spans="1:23" ht="12.5">
      <c r="A56" s="4" t="str">
        <f ca="1">IFERROR(__xludf.DUMMYFUNCTION("""COMPUTED_VALUE"""),"TRX1939")</f>
        <v>TRX1939</v>
      </c>
      <c r="B56" s="4" t="str">
        <f ca="1">IFERROR(__xludf.DUMMYFUNCTION("""COMPUTED_VALUE"""),"#6")</f>
        <v>#6</v>
      </c>
      <c r="C56" s="5">
        <f ca="1">IFERROR(__xludf.DUMMYFUNCTION("""COMPUTED_VALUE"""),46059.4173611111)</f>
        <v>46059.417361111096</v>
      </c>
      <c r="D56" s="6">
        <f ca="1">IFERROR(__xludf.DUMMYFUNCTION("""COMPUTED_VALUE"""),1912.76)</f>
        <v>1912.76</v>
      </c>
      <c r="E56" s="4" t="str">
        <f ca="1">IFERROR(__xludf.DUMMYFUNCTION("""COMPUTED_VALUE"""),"MXN")</f>
        <v>MXN</v>
      </c>
      <c r="F56" s="4" t="str">
        <f ca="1">IFERROR(__xludf.DUMMYFUNCTION("""COMPUTED_VALUE"""),"Fernando Sanchez Toledano")</f>
        <v>Fernando Sanchez Toledano</v>
      </c>
      <c r="G56" s="4" t="str">
        <f ca="1">IFERROR(__xludf.DUMMYFUNCTION("""COMPUTED_VALUE"""),"GASOL LOS APASEO       APASEO EL ALT MEX")</f>
        <v>GASOL LOS APASEO       APASEO EL ALT MEX</v>
      </c>
      <c r="H56" s="4" t="str">
        <f ca="1">IFERROR(__xludf.DUMMYFUNCTION("""COMPUTED_VALUE"""),"Gasol Los Apaseo Apaseo El Alt Mex")</f>
        <v>Gasol Los Apaseo Apaseo El Alt Mex</v>
      </c>
      <c r="I56" s="4" t="str">
        <f ca="1">IFERROR(__xludf.DUMMYFUNCTION("""COMPUTED_VALUE"""),"Transaction cost")</f>
        <v>Transaction cost</v>
      </c>
      <c r="J56" s="4" t="str">
        <f ca="1">IFERROR(__xludf.DUMMYFUNCTION("""COMPUTED_VALUE"""),"Transaction cost")</f>
        <v>Transaction cost</v>
      </c>
      <c r="K56" s="4"/>
      <c r="R56" s="7"/>
      <c r="S56" s="6">
        <v>405</v>
      </c>
      <c r="T56" s="4" t="e">
        <f t="shared" ca="1" si="0"/>
        <v>#N/A</v>
      </c>
    </row>
    <row r="57" spans="1:23" ht="12.5">
      <c r="A57" s="4" t="str">
        <f ca="1">IFERROR(__xludf.DUMMYFUNCTION("""COMPUTED_VALUE"""),"TRX1504")</f>
        <v>TRX1504</v>
      </c>
      <c r="B57" s="4" t="str">
        <f ca="1">IFERROR(__xludf.DUMMYFUNCTION("""COMPUTED_VALUE"""),"#6")</f>
        <v>#6</v>
      </c>
      <c r="C57" s="5">
        <f ca="1">IFERROR(__xludf.DUMMYFUNCTION("""COMPUTED_VALUE"""),46060.4166666666)</f>
        <v>46060.416666666599</v>
      </c>
      <c r="D57" s="6">
        <f ca="1">IFERROR(__xludf.DUMMYFUNCTION("""COMPUTED_VALUE"""),2216.15)</f>
        <v>2216.15</v>
      </c>
      <c r="E57" s="4" t="str">
        <f ca="1">IFERROR(__xludf.DUMMYFUNCTION("""COMPUTED_VALUE"""),"MXN")</f>
        <v>MXN</v>
      </c>
      <c r="F57" s="4" t="str">
        <f ca="1">IFERROR(__xludf.DUMMYFUNCTION("""COMPUTED_VALUE"""),"Fernando Sanchez Toledano")</f>
        <v>Fernando Sanchez Toledano</v>
      </c>
      <c r="G57" s="4" t="str">
        <f ca="1">IFERROR(__xludf.DUMMYFUNCTION("""COMPUTED_VALUE"""),"AVIS MXN               MERIDA YUC    MEX")</f>
        <v>AVIS MXN               MERIDA YUC    MEX</v>
      </c>
      <c r="H57" s="4" t="str">
        <f ca="1">IFERROR(__xludf.DUMMYFUNCTION("""COMPUTED_VALUE"""),"Avis Rent A Car")</f>
        <v>Avis Rent A Car</v>
      </c>
      <c r="I57" s="4" t="str">
        <f ca="1">IFERROR(__xludf.DUMMYFUNCTION("""COMPUTED_VALUE"""),"Transaction cost")</f>
        <v>Transaction cost</v>
      </c>
      <c r="J57" s="4" t="str">
        <f ca="1">IFERROR(__xludf.DUMMYFUNCTION("""COMPUTED_VALUE"""),"Transaction cost")</f>
        <v>Transaction cost</v>
      </c>
      <c r="K57" s="4" t="str">
        <f ca="1">IFERROR(__xludf.DUMMYFUNCTION("""COMPUTED_VALUE"""),"Recolección Fer Marcelo ")</f>
        <v xml:space="preserve">Recolección Fer Marcelo </v>
      </c>
      <c r="R57" s="7"/>
      <c r="S57" s="6">
        <v>12782.67</v>
      </c>
      <c r="T57" s="4" t="e">
        <f t="shared" ca="1" si="0"/>
        <v>#N/A</v>
      </c>
    </row>
    <row r="58" spans="1:23" ht="12.5">
      <c r="A58" s="4" t="str">
        <f ca="1">IFERROR(__xludf.DUMMYFUNCTION("""COMPUTED_VALUE"""),"TRX1380")</f>
        <v>TRX1380</v>
      </c>
      <c r="B58" s="4" t="str">
        <f ca="1">IFERROR(__xludf.DUMMYFUNCTION("""COMPUTED_VALUE"""),"#6")</f>
        <v>#6</v>
      </c>
      <c r="C58" s="5">
        <f ca="1">IFERROR(__xludf.DUMMYFUNCTION("""COMPUTED_VALUE"""),46060.4166666666)</f>
        <v>46060.416666666599</v>
      </c>
      <c r="D58" s="6">
        <f ca="1">IFERROR(__xludf.DUMMYFUNCTION("""COMPUTED_VALUE"""),248)</f>
        <v>248</v>
      </c>
      <c r="E58" s="4" t="str">
        <f ca="1">IFERROR(__xludf.DUMMYFUNCTION("""COMPUTED_VALUE"""),"MXN")</f>
        <v>MXN</v>
      </c>
      <c r="F58" s="4" t="str">
        <f ca="1">IFERROR(__xludf.DUMMYFUNCTION("""COMPUTED_VALUE"""),"Fernando Sanchez Toledano")</f>
        <v>Fernando Sanchez Toledano</v>
      </c>
      <c r="G58" s="4" t="str">
        <f ca="1">IFERROR(__xludf.DUMMYFUNCTION("""COMPUTED_VALUE"""),"KFC 1100 PIN TLACOPA   TOLUCA EM     MEX")</f>
        <v>KFC 1100 PIN TLACOPA   TOLUCA EM     MEX</v>
      </c>
      <c r="H58" s="4" t="str">
        <f ca="1">IFERROR(__xludf.DUMMYFUNCTION("""COMPUTED_VALUE"""),"Kentucky Fried Chicken")</f>
        <v>Kentucky Fried Chicken</v>
      </c>
      <c r="I58" s="4" t="str">
        <f ca="1">IFERROR(__xludf.DUMMYFUNCTION("""COMPUTED_VALUE"""),"Transaction cost")</f>
        <v>Transaction cost</v>
      </c>
      <c r="J58" s="4" t="str">
        <f ca="1">IFERROR(__xludf.DUMMYFUNCTION("""COMPUTED_VALUE"""),"Transaction cost")</f>
        <v>Transaction cost</v>
      </c>
      <c r="K58" s="4" t="str">
        <f ca="1">IFERROR(__xludf.DUMMYFUNCTION("""COMPUTED_VALUE"""),"Gasolina recolección Fer Marcelo")</f>
        <v>Gasolina recolección Fer Marcelo</v>
      </c>
      <c r="R58" s="7"/>
      <c r="S58" s="6">
        <v>6743.27</v>
      </c>
      <c r="T58" s="4" t="e">
        <f t="shared" ca="1" si="0"/>
        <v>#N/A</v>
      </c>
    </row>
    <row r="59" spans="1:23" ht="12.5">
      <c r="A59" s="4" t="str">
        <f ca="1">IFERROR(__xludf.DUMMYFUNCTION("""COMPUTED_VALUE"""),"TRX1533")</f>
        <v>TRX1533</v>
      </c>
      <c r="B59" s="4" t="str">
        <f ca="1">IFERROR(__xludf.DUMMYFUNCTION("""COMPUTED_VALUE"""),"#6")</f>
        <v>#6</v>
      </c>
      <c r="C59" s="5">
        <f ca="1">IFERROR(__xludf.DUMMYFUNCTION("""COMPUTED_VALUE"""),46070.4166666666)</f>
        <v>46070.416666666599</v>
      </c>
      <c r="D59" s="6">
        <f ca="1">IFERROR(__xludf.DUMMYFUNCTION("""COMPUTED_VALUE"""),38.53)</f>
        <v>38.53</v>
      </c>
      <c r="E59" s="4" t="str">
        <f ca="1">IFERROR(__xludf.DUMMYFUNCTION("""COMPUTED_VALUE"""),"MXN")</f>
        <v>MXN</v>
      </c>
      <c r="F59" s="4" t="str">
        <f ca="1">IFERROR(__xludf.DUMMYFUNCTION("""COMPUTED_VALUE"""),"Fernando Sanchez Toledano")</f>
        <v>Fernando Sanchez Toledano</v>
      </c>
      <c r="G59" s="4" t="str">
        <f ca="1">IFERROR(__xludf.DUMMYFUNCTION("""COMPUTED_VALUE"""),"DLO DIDI RIDES MX      CIUDAD DE MEX MEX")</f>
        <v>DLO DIDI RIDES MX      CIUDAD DE MEX MEX</v>
      </c>
      <c r="H59" s="4" t="str">
        <f ca="1">IFERROR(__xludf.DUMMYFUNCTION("""COMPUTED_VALUE"""),"Didi Chuxing")</f>
        <v>Didi Chuxing</v>
      </c>
      <c r="I59" s="4" t="str">
        <f ca="1">IFERROR(__xludf.DUMMYFUNCTION("""COMPUTED_VALUE"""),"Transaction cost")</f>
        <v>Transaction cost</v>
      </c>
      <c r="J59" s="4" t="str">
        <f ca="1">IFERROR(__xludf.DUMMYFUNCTION("""COMPUTED_VALUE"""),"Transaction cost")</f>
        <v>Transaction cost</v>
      </c>
      <c r="K59" s="4" t="str">
        <f ca="1">IFERROR(__xludf.DUMMYFUNCTION("""COMPUTED_VALUE"""),"Parquímetro")</f>
        <v>Parquímetro</v>
      </c>
      <c r="R59" s="7"/>
      <c r="S59" s="6">
        <v>1101.5999999999999</v>
      </c>
      <c r="T59" s="4" t="e">
        <f t="shared" ca="1" si="0"/>
        <v>#N/A</v>
      </c>
    </row>
    <row r="60" spans="1:23" ht="12.5">
      <c r="A60" s="4" t="str">
        <f ca="1">IFERROR(__xludf.DUMMYFUNCTION("""COMPUTED_VALUE"""),"TRX1493")</f>
        <v>TRX1493</v>
      </c>
      <c r="B60" s="4" t="str">
        <f ca="1">IFERROR(__xludf.DUMMYFUNCTION("""COMPUTED_VALUE"""),"#6")</f>
        <v>#6</v>
      </c>
      <c r="C60" s="5">
        <f ca="1">IFERROR(__xludf.DUMMYFUNCTION("""COMPUTED_VALUE"""),46070.4166666666)</f>
        <v>46070.416666666599</v>
      </c>
      <c r="D60" s="6">
        <f ca="1">IFERROR(__xludf.DUMMYFUNCTION("""COMPUTED_VALUE"""),132)</f>
        <v>132</v>
      </c>
      <c r="E60" s="4" t="str">
        <f ca="1">IFERROR(__xludf.DUMMYFUNCTION("""COMPUTED_VALUE"""),"MXN")</f>
        <v>MXN</v>
      </c>
      <c r="F60" s="4" t="str">
        <f ca="1">IFERROR(__xludf.DUMMYFUNCTION("""COMPUTED_VALUE"""),"Fernando Sanchez Toledano")</f>
        <v>Fernando Sanchez Toledano</v>
      </c>
      <c r="G60" s="4" t="str">
        <f ca="1">IFERROR(__xludf.DUMMYFUNCTION("""COMPUTED_VALUE"""),"DLO DIDI RIDES MX      CIUDAD DE MEX MEX")</f>
        <v>DLO DIDI RIDES MX      CIUDAD DE MEX MEX</v>
      </c>
      <c r="H60" s="4" t="str">
        <f ca="1">IFERROR(__xludf.DUMMYFUNCTION("""COMPUTED_VALUE"""),"Didi Chuxing")</f>
        <v>Didi Chuxing</v>
      </c>
      <c r="I60" s="4" t="str">
        <f ca="1">IFERROR(__xludf.DUMMYFUNCTION("""COMPUTED_VALUE"""),"Transaction cost")</f>
        <v>Transaction cost</v>
      </c>
      <c r="J60" s="4" t="str">
        <f ca="1">IFERROR(__xludf.DUMMYFUNCTION("""COMPUTED_VALUE"""),"Transaction cost")</f>
        <v>Transaction cost</v>
      </c>
      <c r="K60" s="4" t="str">
        <f ca="1">IFERROR(__xludf.DUMMYFUNCTION("""COMPUTED_VALUE"""),"Recarga de tag")</f>
        <v>Recarga de tag</v>
      </c>
      <c r="R60" s="7"/>
      <c r="S60" s="6">
        <v>1050.5999999999999</v>
      </c>
      <c r="T60" s="4" t="e">
        <f t="shared" ca="1" si="0"/>
        <v>#N/A</v>
      </c>
    </row>
    <row r="61" spans="1:23" ht="12.5">
      <c r="A61" s="4" t="str">
        <f ca="1">IFERROR(__xludf.DUMMYFUNCTION("""COMPUTED_VALUE"""),"TRX1351")</f>
        <v>TRX1351</v>
      </c>
      <c r="B61" s="4" t="str">
        <f ca="1">IFERROR(__xludf.DUMMYFUNCTION("""COMPUTED_VALUE"""),"#6")</f>
        <v>#6</v>
      </c>
      <c r="C61" s="5">
        <f ca="1">IFERROR(__xludf.DUMMYFUNCTION("""COMPUTED_VALUE"""),46071.4166666666)</f>
        <v>46071.416666666599</v>
      </c>
      <c r="D61" s="6">
        <f ca="1">IFERROR(__xludf.DUMMYFUNCTION("""COMPUTED_VALUE"""),76)</f>
        <v>76</v>
      </c>
      <c r="E61" s="4" t="str">
        <f ca="1">IFERROR(__xludf.DUMMYFUNCTION("""COMPUTED_VALUE"""),"MXN")</f>
        <v>MXN</v>
      </c>
      <c r="F61" s="4" t="str">
        <f ca="1">IFERROR(__xludf.DUMMYFUNCTION("""COMPUTED_VALUE"""),"Fernando Sanchez Toledano")</f>
        <v>Fernando Sanchez Toledano</v>
      </c>
      <c r="G61" s="4" t="str">
        <f ca="1">IFERROR(__xludf.DUMMYFUNCTION("""COMPUTED_VALUE"""),"DLO DIDI RIDES MX      CIUDAD DE MEX MEX")</f>
        <v>DLO DIDI RIDES MX      CIUDAD DE MEX MEX</v>
      </c>
      <c r="H61" s="4" t="str">
        <f ca="1">IFERROR(__xludf.DUMMYFUNCTION("""COMPUTED_VALUE"""),"Didi Chuxing")</f>
        <v>Didi Chuxing</v>
      </c>
      <c r="I61" s="4" t="str">
        <f ca="1">IFERROR(__xludf.DUMMYFUNCTION("""COMPUTED_VALUE"""),"Transaction cost")</f>
        <v>Transaction cost</v>
      </c>
      <c r="J61" s="4" t="str">
        <f ca="1">IFERROR(__xludf.DUMMYFUNCTION("""COMPUTED_VALUE"""),"Transaction cost")</f>
        <v>Transaction cost</v>
      </c>
      <c r="K61" s="4" t="str">
        <f ca="1">IFERROR(__xludf.DUMMYFUNCTION("""COMPUTED_VALUE"""),"Gasolina, entrega en Deacero ")</f>
        <v xml:space="preserve">Gasolina, entrega en Deacero </v>
      </c>
      <c r="R61" s="7"/>
      <c r="S61" s="6">
        <v>1130.72</v>
      </c>
      <c r="T61" s="4" t="e">
        <f t="shared" ca="1" si="0"/>
        <v>#N/A</v>
      </c>
    </row>
    <row r="62" spans="1:23" ht="12.5">
      <c r="A62" s="4" t="str">
        <f ca="1">IFERROR(__xludf.DUMMYFUNCTION("""COMPUTED_VALUE"""),"TRX1066")</f>
        <v>TRX1066</v>
      </c>
      <c r="B62" s="4" t="str">
        <f ca="1">IFERROR(__xludf.DUMMYFUNCTION("""COMPUTED_VALUE"""),"#6")</f>
        <v>#6</v>
      </c>
      <c r="C62" s="5">
        <f ca="1">IFERROR(__xludf.DUMMYFUNCTION("""COMPUTED_VALUE"""),46071.4166666666)</f>
        <v>46071.416666666599</v>
      </c>
      <c r="D62" s="6">
        <f ca="1">IFERROR(__xludf.DUMMYFUNCTION("""COMPUTED_VALUE"""),196)</f>
        <v>196</v>
      </c>
      <c r="E62" s="4" t="str">
        <f ca="1">IFERROR(__xludf.DUMMYFUNCTION("""COMPUTED_VALUE"""),"MXN")</f>
        <v>MXN</v>
      </c>
      <c r="F62" s="4" t="str">
        <f ca="1">IFERROR(__xludf.DUMMYFUNCTION("""COMPUTED_VALUE"""),"Fernando Sanchez Toledano")</f>
        <v>Fernando Sanchez Toledano</v>
      </c>
      <c r="G62" s="4" t="str">
        <f ca="1">IFERROR(__xludf.DUMMYFUNCTION("""COMPUTED_VALUE"""),"OXXO JAJALPA TLC       OCOYOACAC EM  MEX")</f>
        <v>OXXO JAJALPA TLC       OCOYOACAC EM  MEX</v>
      </c>
      <c r="H62" s="4" t="str">
        <f ca="1">IFERROR(__xludf.DUMMYFUNCTION("""COMPUTED_VALUE"""),"Oxxo")</f>
        <v>Oxxo</v>
      </c>
      <c r="I62" s="4" t="str">
        <f ca="1">IFERROR(__xludf.DUMMYFUNCTION("""COMPUTED_VALUE"""),"Transaction cost")</f>
        <v>Transaction cost</v>
      </c>
      <c r="J62" s="4" t="str">
        <f ca="1">IFERROR(__xludf.DUMMYFUNCTION("""COMPUTED_VALUE"""),"Transaction cost")</f>
        <v>Transaction cost</v>
      </c>
      <c r="K62" s="4" t="str">
        <f ca="1">IFERROR(__xludf.DUMMYFUNCTION("""COMPUTED_VALUE"""),"Aceite camioneta")</f>
        <v>Aceite camioneta</v>
      </c>
      <c r="R62" s="7"/>
      <c r="S62" s="6">
        <v>155</v>
      </c>
      <c r="T62" s="4" t="e">
        <f t="shared" ca="1" si="0"/>
        <v>#N/A</v>
      </c>
    </row>
    <row r="63" spans="1:23" ht="12.5">
      <c r="A63" s="4" t="str">
        <f ca="1">IFERROR(__xludf.DUMMYFUNCTION("""COMPUTED_VALUE"""),"TRX1690")</f>
        <v>TRX1690</v>
      </c>
      <c r="B63" s="4" t="str">
        <f ca="1">IFERROR(__xludf.DUMMYFUNCTION("""COMPUTED_VALUE"""),"#6")</f>
        <v>#6</v>
      </c>
      <c r="C63" s="5">
        <f ca="1">IFERROR(__xludf.DUMMYFUNCTION("""COMPUTED_VALUE"""),46071.4166666666)</f>
        <v>46071.416666666599</v>
      </c>
      <c r="D63" s="6">
        <f ca="1">IFERROR(__xludf.DUMMYFUNCTION("""COMPUTED_VALUE"""),1000)</f>
        <v>1000</v>
      </c>
      <c r="E63" s="4" t="str">
        <f ca="1">IFERROR(__xludf.DUMMYFUNCTION("""COMPUTED_VALUE"""),"MXN")</f>
        <v>MXN</v>
      </c>
      <c r="F63" s="4" t="str">
        <f ca="1">IFERROR(__xludf.DUMMYFUNCTION("""COMPUTED_VALUE"""),"Fernando Sanchez Toledano")</f>
        <v>Fernando Sanchez Toledano</v>
      </c>
      <c r="G63" s="4" t="str">
        <f ca="1">IFERROR(__xludf.DUMMYFUNCTION("""COMPUTED_VALUE"""),"CASHI ECOMMERCE RC     CIUDAD DE MEX MEX")</f>
        <v>CASHI ECOMMERCE RC     CIUDAD DE MEX MEX</v>
      </c>
      <c r="H63" s="4" t="str">
        <f ca="1">IFERROR(__xludf.DUMMYFUNCTION("""COMPUTED_VALUE"""),"Cashi Ecommerce Rc Ciudad De Mex Mex")</f>
        <v>Cashi Ecommerce Rc Ciudad De Mex Mex</v>
      </c>
      <c r="I63" s="4" t="str">
        <f ca="1">IFERROR(__xludf.DUMMYFUNCTION("""COMPUTED_VALUE"""),"Transaction cost")</f>
        <v>Transaction cost</v>
      </c>
      <c r="J63" s="4" t="str">
        <f ca="1">IFERROR(__xludf.DUMMYFUNCTION("""COMPUTED_VALUE"""),"Transaction cost")</f>
        <v>Transaction cost</v>
      </c>
      <c r="K63" s="4" t="str">
        <f ca="1">IFERROR(__xludf.DUMMYFUNCTION("""COMPUTED_VALUE"""),"Comida entrega en deacero")</f>
        <v>Comida entrega en deacero</v>
      </c>
      <c r="R63" s="7"/>
      <c r="S63" s="6">
        <v>5660.42</v>
      </c>
      <c r="T63" s="4" t="e">
        <f t="shared" ca="1" si="0"/>
        <v>#N/A</v>
      </c>
    </row>
    <row r="64" spans="1:23" ht="12.5">
      <c r="A64" s="4" t="str">
        <f ca="1">IFERROR(__xludf.DUMMYFUNCTION("""COMPUTED_VALUE"""),"TRX1102")</f>
        <v>TRX1102</v>
      </c>
      <c r="B64" s="4" t="str">
        <f ca="1">IFERROR(__xludf.DUMMYFUNCTION("""COMPUTED_VALUE"""),"#6")</f>
        <v>#6</v>
      </c>
      <c r="C64" s="5">
        <f ca="1">IFERROR(__xludf.DUMMYFUNCTION("""COMPUTED_VALUE"""),46071.4166666666)</f>
        <v>46071.416666666599</v>
      </c>
      <c r="D64" s="6">
        <f ca="1">IFERROR(__xludf.DUMMYFUNCTION("""COMPUTED_VALUE"""),1233.86)</f>
        <v>1233.8599999999999</v>
      </c>
      <c r="E64" s="4" t="str">
        <f ca="1">IFERROR(__xludf.DUMMYFUNCTION("""COMPUTED_VALUE"""),"MXN")</f>
        <v>MXN</v>
      </c>
      <c r="F64" s="4" t="str">
        <f ca="1">IFERROR(__xludf.DUMMYFUNCTION("""COMPUTED_VALUE"""),"Fernando Sanchez Toledano")</f>
        <v>Fernando Sanchez Toledano</v>
      </c>
      <c r="G64" s="4" t="str">
        <f ca="1">IFERROR(__xludf.DUMMYFUNCTION("""COMPUTED_VALUE"""),"AVIS WEB MXN           MERIDA YUC    MEX")</f>
        <v>AVIS WEB MXN           MERIDA YUC    MEX</v>
      </c>
      <c r="H64" s="4" t="str">
        <f ca="1">IFERROR(__xludf.DUMMYFUNCTION("""COMPUTED_VALUE"""),"Avis")</f>
        <v>Avis</v>
      </c>
      <c r="I64" s="4" t="str">
        <f ca="1">IFERROR(__xludf.DUMMYFUNCTION("""COMPUTED_VALUE"""),"Transaction cost")</f>
        <v>Transaction cost</v>
      </c>
      <c r="J64" s="4" t="str">
        <f ca="1">IFERROR(__xludf.DUMMYFUNCTION("""COMPUTED_VALUE"""),"Transaction cost")</f>
        <v>Transaction cost</v>
      </c>
      <c r="K64" s="4" t="str">
        <f ca="1">IFERROR(__xludf.DUMMYFUNCTION("""COMPUTED_VALUE"""),"Comida entrega en Deacero")</f>
        <v>Comida entrega en Deacero</v>
      </c>
      <c r="R64" s="7"/>
      <c r="S64" s="6">
        <v>247.26</v>
      </c>
      <c r="T64" s="4" t="e">
        <f t="shared" ca="1" si="0"/>
        <v>#N/A</v>
      </c>
    </row>
    <row r="65" spans="1:20" ht="12.5">
      <c r="A65" s="4" t="str">
        <f ca="1">IFERROR(__xludf.DUMMYFUNCTION("""COMPUTED_VALUE"""),"TRX1139")</f>
        <v>TRX1139</v>
      </c>
      <c r="B65" s="4" t="str">
        <f ca="1">IFERROR(__xludf.DUMMYFUNCTION("""COMPUTED_VALUE"""),"#6")</f>
        <v>#6</v>
      </c>
      <c r="C65" s="5">
        <f ca="1">IFERROR(__xludf.DUMMYFUNCTION("""COMPUTED_VALUE"""),46071.4173611111)</f>
        <v>46071.417361111096</v>
      </c>
      <c r="D65" s="6">
        <f ca="1">IFERROR(__xludf.DUMMYFUNCTION("""COMPUTED_VALUE"""),283)</f>
        <v>283</v>
      </c>
      <c r="E65" s="4" t="str">
        <f ca="1">IFERROR(__xludf.DUMMYFUNCTION("""COMPUTED_VALUE"""),"MXN")</f>
        <v>MXN</v>
      </c>
      <c r="F65" s="4" t="str">
        <f ca="1">IFERROR(__xludf.DUMMYFUNCTION("""COMPUTED_VALUE"""),"Fernando Sanchez Toledano")</f>
        <v>Fernando Sanchez Toledano</v>
      </c>
      <c r="G65" s="4" t="str">
        <f ca="1">IFERROR(__xludf.DUMMYFUNCTION("""COMPUTED_VALUE"""),"BK ALFREDO DEL MAZO    TOLUCA EM     MEX")</f>
        <v>BK ALFREDO DEL MAZO    TOLUCA EM     MEX</v>
      </c>
      <c r="H65" s="4" t="str">
        <f ca="1">IFERROR(__xludf.DUMMYFUNCTION("""COMPUTED_VALUE"""),"Bk Alfredo Del Mazo Toluca Em Mex")</f>
        <v>Bk Alfredo Del Mazo Toluca Em Mex</v>
      </c>
      <c r="I65" s="4" t="str">
        <f ca="1">IFERROR(__xludf.DUMMYFUNCTION("""COMPUTED_VALUE"""),"Transaction cost")</f>
        <v>Transaction cost</v>
      </c>
      <c r="J65" s="4" t="str">
        <f ca="1">IFERROR(__xludf.DUMMYFUNCTION("""COMPUTED_VALUE"""),"Transaction cost")</f>
        <v>Transaction cost</v>
      </c>
      <c r="K65" s="4" t="str">
        <f ca="1">IFERROR(__xludf.DUMMYFUNCTION("""COMPUTED_VALUE"""),"Gasolina recolección en wonderdesk")</f>
        <v>Gasolina recolección en wonderdesk</v>
      </c>
      <c r="R65" s="7"/>
      <c r="S65" s="6">
        <v>487</v>
      </c>
      <c r="T65" s="4" t="e">
        <f t="shared" ca="1" si="0"/>
        <v>#N/A</v>
      </c>
    </row>
    <row r="66" spans="1:20" ht="12.5">
      <c r="A66" s="4" t="str">
        <f ca="1">IFERROR(__xludf.DUMMYFUNCTION("""COMPUTED_VALUE"""),"TRX1843")</f>
        <v>TRX1843</v>
      </c>
      <c r="B66" s="4" t="str">
        <f ca="1">IFERROR(__xludf.DUMMYFUNCTION("""COMPUTED_VALUE"""),"#6")</f>
        <v>#6</v>
      </c>
      <c r="C66" s="5">
        <f ca="1">IFERROR(__xludf.DUMMYFUNCTION("""COMPUTED_VALUE"""),46072.4166666666)</f>
        <v>46072.416666666599</v>
      </c>
      <c r="D66" s="6">
        <f ca="1">IFERROR(__xludf.DUMMYFUNCTION("""COMPUTED_VALUE"""),410.25)</f>
        <v>410.25</v>
      </c>
      <c r="E66" s="4" t="str">
        <f ca="1">IFERROR(__xludf.DUMMYFUNCTION("""COMPUTED_VALUE"""),"MXN")</f>
        <v>MXN</v>
      </c>
      <c r="F66" s="4" t="str">
        <f ca="1">IFERROR(__xludf.DUMMYFUNCTION("""COMPUTED_VALUE"""),"Fernando Sanchez Toledano")</f>
        <v>Fernando Sanchez Toledano</v>
      </c>
      <c r="G66" s="4" t="str">
        <f ca="1">IFERROR(__xludf.DUMMYFUNCTION("""COMPUTED_VALUE"""),"GAS COGA LOM CHA MIT 2 CIUDAD DE MEX MEX")</f>
        <v>GAS COGA LOM CHA MIT 2 CIUDAD DE MEX MEX</v>
      </c>
      <c r="H66" s="4" t="str">
        <f ca="1">IFERROR(__xludf.DUMMYFUNCTION("""COMPUTED_VALUE"""),"Gas Coga Lom Cha Mit 2 Ciudad De Mex Mex")</f>
        <v>Gas Coga Lom Cha Mit 2 Ciudad De Mex Mex</v>
      </c>
      <c r="I66" s="4" t="str">
        <f ca="1">IFERROR(__xludf.DUMMYFUNCTION("""COMPUTED_VALUE"""),"Transaction cost")</f>
        <v>Transaction cost</v>
      </c>
      <c r="J66" s="4" t="str">
        <f ca="1">IFERROR(__xludf.DUMMYFUNCTION("""COMPUTED_VALUE"""),"Transaction cost")</f>
        <v>Transaction cost</v>
      </c>
      <c r="K66" s="4" t="str">
        <f ca="1">IFERROR(__xludf.DUMMYFUNCTION("""COMPUTED_VALUE"""),"Comoda, recolección en Fer Marcelo")</f>
        <v>Comoda, recolección en Fer Marcelo</v>
      </c>
      <c r="R66" s="7"/>
      <c r="S66" s="6">
        <v>228.85</v>
      </c>
      <c r="T66" s="4" t="e">
        <f t="shared" ca="1" si="0"/>
        <v>#N/A</v>
      </c>
    </row>
    <row r="67" spans="1:20" ht="12.5">
      <c r="A67" s="4" t="str">
        <f ca="1">IFERROR(__xludf.DUMMYFUNCTION("""COMPUTED_VALUE"""),"TRX1234")</f>
        <v>TRX1234</v>
      </c>
      <c r="B67" s="4" t="str">
        <f ca="1">IFERROR(__xludf.DUMMYFUNCTION("""COMPUTED_VALUE"""),"#6")</f>
        <v>#6</v>
      </c>
      <c r="C67" s="5">
        <f ca="1">IFERROR(__xludf.DUMMYFUNCTION("""COMPUTED_VALUE"""),46072.4166666666)</f>
        <v>46072.416666666599</v>
      </c>
      <c r="D67" s="6">
        <f ca="1">IFERROR(__xludf.DUMMYFUNCTION("""COMPUTED_VALUE"""),145)</f>
        <v>145</v>
      </c>
      <c r="E67" s="4" t="str">
        <f ca="1">IFERROR(__xludf.DUMMYFUNCTION("""COMPUTED_VALUE"""),"MXN")</f>
        <v>MXN</v>
      </c>
      <c r="F67" s="4" t="str">
        <f ca="1">IFERROR(__xludf.DUMMYFUNCTION("""COMPUTED_VALUE"""),"Fernando Sanchez Toledano")</f>
        <v>Fernando Sanchez Toledano</v>
      </c>
      <c r="G67" s="4" t="str">
        <f ca="1">IFERROR(__xludf.DUMMYFUNCTION("""COMPUTED_VALUE"""),"DLO DIDI RIDES MX      CIUDAD DE MEX MEX")</f>
        <v>DLO DIDI RIDES MX      CIUDAD DE MEX MEX</v>
      </c>
      <c r="H67" s="4" t="str">
        <f ca="1">IFERROR(__xludf.DUMMYFUNCTION("""COMPUTED_VALUE"""),"Didi Chuxing")</f>
        <v>Didi Chuxing</v>
      </c>
      <c r="I67" s="4" t="str">
        <f ca="1">IFERROR(__xludf.DUMMYFUNCTION("""COMPUTED_VALUE"""),"Transaction cost")</f>
        <v>Transaction cost</v>
      </c>
      <c r="J67" s="4" t="str">
        <f ca="1">IFERROR(__xludf.DUMMYFUNCTION("""COMPUTED_VALUE"""),"Transaction cost")</f>
        <v>Transaction cost</v>
      </c>
      <c r="K67" s="4" t="str">
        <f ca="1">IFERROR(__xludf.DUMMYFUNCTION("""COMPUTED_VALUE"""),"Recarga de tag")</f>
        <v>Recarga de tag</v>
      </c>
      <c r="R67" s="7"/>
      <c r="S67" s="6">
        <v>118.32</v>
      </c>
      <c r="T67" s="4" t="e">
        <f t="shared" ca="1" si="0"/>
        <v>#N/A</v>
      </c>
    </row>
    <row r="68" spans="1:20" ht="12.5">
      <c r="A68" s="4" t="str">
        <f ca="1">IFERROR(__xludf.DUMMYFUNCTION("""COMPUTED_VALUE"""),"TRX1712")</f>
        <v>TRX1712</v>
      </c>
      <c r="B68" s="4" t="str">
        <f ca="1">IFERROR(__xludf.DUMMYFUNCTION("""COMPUTED_VALUE"""),"#6")</f>
        <v>#6</v>
      </c>
      <c r="C68" s="5">
        <f ca="1">IFERROR(__xludf.DUMMYFUNCTION("""COMPUTED_VALUE"""),46072.4166666666)</f>
        <v>46072.416666666599</v>
      </c>
      <c r="D68" s="6">
        <f ca="1">IFERROR(__xludf.DUMMYFUNCTION("""COMPUTED_VALUE"""),190)</f>
        <v>190</v>
      </c>
      <c r="E68" s="4" t="str">
        <f ca="1">IFERROR(__xludf.DUMMYFUNCTION("""COMPUTED_VALUE"""),"MXN")</f>
        <v>MXN</v>
      </c>
      <c r="F68" s="4" t="str">
        <f ca="1">IFERROR(__xludf.DUMMYFUNCTION("""COMPUTED_VALUE"""),"Fernando Sanchez Toledano")</f>
        <v>Fernando Sanchez Toledano</v>
      </c>
      <c r="G68" s="4" t="str">
        <f ca="1">IFERROR(__xludf.DUMMYFUNCTION("""COMPUTED_VALUE"""),"OXXOMICROPARQUE QRF    QUERETARO QRO MEX")</f>
        <v>OXXOMICROPARQUE QRF    QUERETARO QRO MEX</v>
      </c>
      <c r="H68" s="4" t="str">
        <f ca="1">IFERROR(__xludf.DUMMYFUNCTION("""COMPUTED_VALUE"""),"Oxxomicroparque Qrf Queretaro Qro Mex")</f>
        <v>Oxxomicroparque Qrf Queretaro Qro Mex</v>
      </c>
      <c r="I68" s="4" t="str">
        <f ca="1">IFERROR(__xludf.DUMMYFUNCTION("""COMPUTED_VALUE"""),"Transaction cost")</f>
        <v>Transaction cost</v>
      </c>
      <c r="J68" s="4" t="str">
        <f ca="1">IFERROR(__xludf.DUMMYFUNCTION("""COMPUTED_VALUE"""),"Transaction cost")</f>
        <v>Transaction cost</v>
      </c>
      <c r="K68" s="4" t="str">
        <f ca="1">IFERROR(__xludf.DUMMYFUNCTION("""COMPUTED_VALUE"""),"Gasolina entrega en Deacero, PROSI ")</f>
        <v xml:space="preserve">Gasolina entrega en Deacero, PROSI </v>
      </c>
      <c r="R68" s="7"/>
      <c r="S68" s="6">
        <v>1366.99</v>
      </c>
      <c r="T68" s="4" t="e">
        <f t="shared" ca="1" si="0"/>
        <v>#N/A</v>
      </c>
    </row>
    <row r="69" spans="1:20" ht="12.5">
      <c r="A69" s="4" t="str">
        <f ca="1">IFERROR(__xludf.DUMMYFUNCTION("""COMPUTED_VALUE"""),"TRX1764")</f>
        <v>TRX1764</v>
      </c>
      <c r="B69" s="4" t="str">
        <f ca="1">IFERROR(__xludf.DUMMYFUNCTION("""COMPUTED_VALUE"""),"#6")</f>
        <v>#6</v>
      </c>
      <c r="C69" s="5">
        <f ca="1">IFERROR(__xludf.DUMMYFUNCTION("""COMPUTED_VALUE"""),46072.4166666666)</f>
        <v>46072.416666666599</v>
      </c>
      <c r="D69" s="6">
        <f ca="1">IFERROR(__xludf.DUMMYFUNCTION("""COMPUTED_VALUE"""),500)</f>
        <v>500</v>
      </c>
      <c r="E69" s="4" t="str">
        <f ca="1">IFERROR(__xludf.DUMMYFUNCTION("""COMPUTED_VALUE"""),"MXN")</f>
        <v>MXN</v>
      </c>
      <c r="F69" s="4" t="str">
        <f ca="1">IFERROR(__xludf.DUMMYFUNCTION("""COMPUTED_VALUE"""),"Fernando Sanchez Toledano")</f>
        <v>Fernando Sanchez Toledano</v>
      </c>
      <c r="G69" s="4" t="str">
        <f ca="1">IFERROR(__xludf.DUMMYFUNCTION("""COMPUTED_VALUE"""),"CASHI ECOMMERCE RC     CIUDAD DE MEX MEX")</f>
        <v>CASHI ECOMMERCE RC     CIUDAD DE MEX MEX</v>
      </c>
      <c r="H69" s="4" t="str">
        <f ca="1">IFERROR(__xludf.DUMMYFUNCTION("""COMPUTED_VALUE"""),"Cashi Ecommerce Rc Ciudad De Mex Mex")</f>
        <v>Cashi Ecommerce Rc Ciudad De Mex Mex</v>
      </c>
      <c r="I69" s="4" t="str">
        <f ca="1">IFERROR(__xludf.DUMMYFUNCTION("""COMPUTED_VALUE"""),"Transaction cost")</f>
        <v>Transaction cost</v>
      </c>
      <c r="J69" s="4" t="str">
        <f ca="1">IFERROR(__xludf.DUMMYFUNCTION("""COMPUTED_VALUE"""),"Transaction cost")</f>
        <v>Transaction cost</v>
      </c>
      <c r="K69" s="4" t="str">
        <f ca="1">IFERROR(__xludf.DUMMYFUNCTION("""COMPUTED_VALUE"""),"Comida entrega en Deacero")</f>
        <v>Comida entrega en Deacero</v>
      </c>
      <c r="S69" s="6">
        <v>2240.15</v>
      </c>
      <c r="T69" s="4" t="e">
        <f t="shared" ca="1" si="0"/>
        <v>#N/A</v>
      </c>
    </row>
    <row r="70" spans="1:20" ht="12.5">
      <c r="A70" s="4" t="str">
        <f ca="1">IFERROR(__xludf.DUMMYFUNCTION("""COMPUTED_VALUE"""),"TRX1610")</f>
        <v>TRX1610</v>
      </c>
      <c r="B70" s="4" t="str">
        <f ca="1">IFERROR(__xludf.DUMMYFUNCTION("""COMPUTED_VALUE"""),"#6")</f>
        <v>#6</v>
      </c>
      <c r="C70" s="5">
        <f ca="1">IFERROR(__xludf.DUMMYFUNCTION("""COMPUTED_VALUE"""),46072.4173611111)</f>
        <v>46072.417361111096</v>
      </c>
      <c r="D70" s="6">
        <f ca="1">IFERROR(__xludf.DUMMYFUNCTION("""COMPUTED_VALUE"""),2139.51)</f>
        <v>2139.5100000000002</v>
      </c>
      <c r="E70" s="4" t="str">
        <f ca="1">IFERROR(__xludf.DUMMYFUNCTION("""COMPUTED_VALUE"""),"MXN")</f>
        <v>MXN</v>
      </c>
      <c r="F70" s="4" t="str">
        <f ca="1">IFERROR(__xludf.DUMMYFUNCTION("""COMPUTED_VALUE"""),"Fernando Sanchez Toledano")</f>
        <v>Fernando Sanchez Toledano</v>
      </c>
      <c r="G70" s="4" t="str">
        <f ca="1">IFERROR(__xludf.DUMMYFUNCTION("""COMPUTED_VALUE"""),"AVIS MXN               MERIDA YUC    MEX")</f>
        <v>AVIS MXN               MERIDA YUC    MEX</v>
      </c>
      <c r="H70" s="4" t="str">
        <f ca="1">IFERROR(__xludf.DUMMYFUNCTION("""COMPUTED_VALUE"""),"Avis Rent A Car")</f>
        <v>Avis Rent A Car</v>
      </c>
      <c r="I70" s="4" t="str">
        <f ca="1">IFERROR(__xludf.DUMMYFUNCTION("""COMPUTED_VALUE"""),"Transaction cost")</f>
        <v>Transaction cost</v>
      </c>
      <c r="J70" s="4" t="str">
        <f ca="1">IFERROR(__xludf.DUMMYFUNCTION("""COMPUTED_VALUE"""),"Transaction cost")</f>
        <v>Transaction cost</v>
      </c>
      <c r="K70" s="4"/>
      <c r="S70" s="6">
        <v>768612.13</v>
      </c>
      <c r="T70" s="4" t="e">
        <f t="shared" ca="1" si="0"/>
        <v>#N/A</v>
      </c>
    </row>
    <row r="71" spans="1:20" ht="12.5">
      <c r="A71" s="4" t="str">
        <f ca="1">IFERROR(__xludf.DUMMYFUNCTION("""COMPUTED_VALUE"""),"TRX1314")</f>
        <v>TRX1314</v>
      </c>
      <c r="B71" s="4" t="str">
        <f ca="1">IFERROR(__xludf.DUMMYFUNCTION("""COMPUTED_VALUE"""),"#6")</f>
        <v>#6</v>
      </c>
      <c r="C71" s="5">
        <f ca="1">IFERROR(__xludf.DUMMYFUNCTION("""COMPUTED_VALUE"""),46072.4173611111)</f>
        <v>46072.417361111096</v>
      </c>
      <c r="D71" s="6">
        <f ca="1">IFERROR(__xludf.DUMMYFUNCTION("""COMPUTED_VALUE"""),1485.35)</f>
        <v>1485.35</v>
      </c>
      <c r="E71" s="4" t="str">
        <f ca="1">IFERROR(__xludf.DUMMYFUNCTION("""COMPUTED_VALUE"""),"MXN")</f>
        <v>MXN</v>
      </c>
      <c r="F71" s="4" t="str">
        <f ca="1">IFERROR(__xludf.DUMMYFUNCTION("""COMPUTED_VALUE"""),"Fernando Sanchez Toledano")</f>
        <v>Fernando Sanchez Toledano</v>
      </c>
      <c r="G71" s="4" t="str">
        <f ca="1">IFERROR(__xludf.DUMMYFUNCTION("""COMPUTED_VALUE"""),"SERVI FER TECAMAC      TECAMAC EM    MEX")</f>
        <v>SERVI FER TECAMAC      TECAMAC EM    MEX</v>
      </c>
      <c r="H71" s="4" t="str">
        <f ca="1">IFERROR(__xludf.DUMMYFUNCTION("""COMPUTED_VALUE"""),"Servi Fer Tecamac Tecamac Em Mex")</f>
        <v>Servi Fer Tecamac Tecamac Em Mex</v>
      </c>
      <c r="I71" s="4" t="str">
        <f ca="1">IFERROR(__xludf.DUMMYFUNCTION("""COMPUTED_VALUE"""),"Transaction cost")</f>
        <v>Transaction cost</v>
      </c>
      <c r="J71" s="4" t="str">
        <f ca="1">IFERROR(__xludf.DUMMYFUNCTION("""COMPUTED_VALUE"""),"Transaction cost")</f>
        <v>Transaction cost</v>
      </c>
      <c r="K71" s="4"/>
      <c r="S71" s="6">
        <v>198</v>
      </c>
      <c r="T71" s="4" t="e">
        <f t="shared" ca="1" si="0"/>
        <v>#N/A</v>
      </c>
    </row>
    <row r="72" spans="1:20" ht="12.5">
      <c r="A72" s="4" t="str">
        <f ca="1">IFERROR(__xludf.DUMMYFUNCTION("""COMPUTED_VALUE"""),"TRX1083")</f>
        <v>TRX1083</v>
      </c>
      <c r="B72" s="4" t="str">
        <f ca="1">IFERROR(__xludf.DUMMYFUNCTION("""COMPUTED_VALUE"""),"#6")</f>
        <v>#6</v>
      </c>
      <c r="C72" s="5">
        <f ca="1">IFERROR(__xludf.DUMMYFUNCTION("""COMPUTED_VALUE"""),46075.4173611111)</f>
        <v>46075.417361111096</v>
      </c>
      <c r="D72" s="6">
        <f ca="1">IFERROR(__xludf.DUMMYFUNCTION("""COMPUTED_VALUE"""),1479)</f>
        <v>1479</v>
      </c>
      <c r="E72" s="4" t="str">
        <f ca="1">IFERROR(__xludf.DUMMYFUNCTION("""COMPUTED_VALUE"""),"MXN")</f>
        <v>MXN</v>
      </c>
      <c r="F72" s="4" t="str">
        <f ca="1">IFERROR(__xludf.DUMMYFUNCTION("""COMPUTED_VALUE"""),"Fernando Sanchez Toledano")</f>
        <v>Fernando Sanchez Toledano</v>
      </c>
      <c r="G72" s="4" t="str">
        <f ca="1">IFERROR(__xludf.DUMMYFUNCTION("""COMPUTED_VALUE"""),"SERVICIO HERRADURA     HUIXQUILUCAN  MEX")</f>
        <v>SERVICIO HERRADURA     HUIXQUILUCAN  MEX</v>
      </c>
      <c r="H72" s="4" t="str">
        <f ca="1">IFERROR(__xludf.DUMMYFUNCTION("""COMPUTED_VALUE"""),"Servicio Herradura Huixquilucan Mex")</f>
        <v>Servicio Herradura Huixquilucan Mex</v>
      </c>
      <c r="I72" s="4" t="str">
        <f ca="1">IFERROR(__xludf.DUMMYFUNCTION("""COMPUTED_VALUE"""),"Transaction cost")</f>
        <v>Transaction cost</v>
      </c>
      <c r="J72" s="4" t="str">
        <f ca="1">IFERROR(__xludf.DUMMYFUNCTION("""COMPUTED_VALUE"""),"Transaction cost")</f>
        <v>Transaction cost</v>
      </c>
      <c r="K72" s="4"/>
      <c r="S72" s="6">
        <v>556.6</v>
      </c>
      <c r="T72" s="4" t="e">
        <f t="shared" ca="1" si="0"/>
        <v>#N/A</v>
      </c>
    </row>
    <row r="73" spans="1:20" ht="12.5">
      <c r="A73" s="4" t="str">
        <f ca="1">IFERROR(__xludf.DUMMYFUNCTION("""COMPUTED_VALUE"""),"TRX1291")</f>
        <v>TRX1291</v>
      </c>
      <c r="B73" s="4" t="str">
        <f ca="1">IFERROR(__xludf.DUMMYFUNCTION("""COMPUTED_VALUE"""),"#7")</f>
        <v>#7</v>
      </c>
      <c r="C73" s="5">
        <f ca="1">IFERROR(__xludf.DUMMYFUNCTION("""COMPUTED_VALUE"""),46056.4166666666)</f>
        <v>46056.416666666599</v>
      </c>
      <c r="D73" s="6">
        <f ca="1">IFERROR(__xludf.DUMMYFUNCTION("""COMPUTED_VALUE"""),341.6)</f>
        <v>341.6</v>
      </c>
      <c r="E73" s="4" t="str">
        <f ca="1">IFERROR(__xludf.DUMMYFUNCTION("""COMPUTED_VALUE"""),"MXN")</f>
        <v>MXN</v>
      </c>
      <c r="F73" s="4" t="str">
        <f ca="1">IFERROR(__xludf.DUMMYFUNCTION("""COMPUTED_VALUE"""),"Isaac Mendoza Ruiz")</f>
        <v>Isaac Mendoza Ruiz</v>
      </c>
      <c r="G73" s="4" t="str">
        <f ca="1">IFERROR(__xludf.DUMMYFUNCTION("""COMPUTED_VALUE"""),"UBER * EATS PENDING    CMX           MEX")</f>
        <v>UBER * EATS PENDING    CMX           MEX</v>
      </c>
      <c r="H73" s="4" t="str">
        <f ca="1">IFERROR(__xludf.DUMMYFUNCTION("""COMPUTED_VALUE"""),"Uber Eats")</f>
        <v>Uber Eats</v>
      </c>
      <c r="I73" s="4" t="str">
        <f ca="1">IFERROR(__xludf.DUMMYFUNCTION("""COMPUTED_VALUE"""),"Office expenses")</f>
        <v>Office expenses</v>
      </c>
      <c r="J73" s="4" t="str">
        <f ca="1">IFERROR(__xludf.DUMMYFUNCTION("""COMPUTED_VALUE"""),"MTY ATP + Maken")</f>
        <v>MTY ATP + Maken</v>
      </c>
      <c r="K73" s="4" t="str">
        <f ca="1">IFERROR(__xludf.DUMMYFUNCTION("""COMPUTED_VALUE"""),".")</f>
        <v>.</v>
      </c>
      <c r="S73" s="6">
        <v>160.25</v>
      </c>
      <c r="T73" s="4" t="e">
        <f t="shared" ca="1" si="0"/>
        <v>#N/A</v>
      </c>
    </row>
    <row r="74" spans="1:20" ht="12.5">
      <c r="A74" s="4" t="str">
        <f ca="1">IFERROR(__xludf.DUMMYFUNCTION("""COMPUTED_VALUE"""),"TRX1156")</f>
        <v>TRX1156</v>
      </c>
      <c r="B74" s="4" t="str">
        <f ca="1">IFERROR(__xludf.DUMMYFUNCTION("""COMPUTED_VALUE"""),"#7")</f>
        <v>#7</v>
      </c>
      <c r="C74" s="5">
        <f ca="1">IFERROR(__xludf.DUMMYFUNCTION("""COMPUTED_VALUE"""),46059.4173611111)</f>
        <v>46059.417361111096</v>
      </c>
      <c r="D74" s="6">
        <f ca="1">IFERROR(__xludf.DUMMYFUNCTION("""COMPUTED_VALUE"""),120)</f>
        <v>120</v>
      </c>
      <c r="E74" s="4" t="str">
        <f ca="1">IFERROR(__xludf.DUMMYFUNCTION("""COMPUTED_VALUE"""),"MXN")</f>
        <v>MXN</v>
      </c>
      <c r="F74" s="4" t="str">
        <f ca="1">IFERROR(__xludf.DUMMYFUNCTION("""COMPUTED_VALUE"""),"Isaac Mendoza Ruiz")</f>
        <v>Isaac Mendoza Ruiz</v>
      </c>
      <c r="G74" s="4" t="str">
        <f ca="1">IFERROR(__xludf.DUMMYFUNCTION("""COMPUTED_VALUE"""),"EL SAZON DE MAMA       CIUDAD DE MEX MEX")</f>
        <v>EL SAZON DE MAMA       CIUDAD DE MEX MEX</v>
      </c>
      <c r="H74" s="4" t="str">
        <f ca="1">IFERROR(__xludf.DUMMYFUNCTION("""COMPUTED_VALUE"""),"El Sazon De Mama Ciudad De Mex Mex")</f>
        <v>El Sazon De Mama Ciudad De Mex Mex</v>
      </c>
      <c r="I74" s="4" t="str">
        <f ca="1">IFERROR(__xludf.DUMMYFUNCTION("""COMPUTED_VALUE"""),"Office expenses")</f>
        <v>Office expenses</v>
      </c>
      <c r="J74" s="4" t="str">
        <f ca="1">IFERROR(__xludf.DUMMYFUNCTION("""COMPUTED_VALUE"""),"MTY ATP + Maken")</f>
        <v>MTY ATP + Maken</v>
      </c>
      <c r="K74" s="4" t="str">
        <f ca="1">IFERROR(__xludf.DUMMYFUNCTION("""COMPUTED_VALUE"""),".")</f>
        <v>.</v>
      </c>
      <c r="S74" s="6">
        <v>228</v>
      </c>
      <c r="T74" s="4" t="str">
        <f t="shared" ca="1" si="0"/>
        <v>Karen Alexandra Ballesteros Contreras</v>
      </c>
    </row>
    <row r="75" spans="1:20" ht="12.5">
      <c r="A75" s="4" t="str">
        <f ca="1">IFERROR(__xludf.DUMMYFUNCTION("""COMPUTED_VALUE"""),"TRX1160")</f>
        <v>TRX1160</v>
      </c>
      <c r="B75" s="4" t="str">
        <f ca="1">IFERROR(__xludf.DUMMYFUNCTION("""COMPUTED_VALUE"""),"#7")</f>
        <v>#7</v>
      </c>
      <c r="C75" s="5">
        <f ca="1">IFERROR(__xludf.DUMMYFUNCTION("""COMPUTED_VALUE"""),46060.4166666666)</f>
        <v>46060.416666666599</v>
      </c>
      <c r="D75" s="6">
        <f ca="1">IFERROR(__xludf.DUMMYFUNCTION("""COMPUTED_VALUE"""),276.69)</f>
        <v>276.69</v>
      </c>
      <c r="E75" s="4" t="str">
        <f ca="1">IFERROR(__xludf.DUMMYFUNCTION("""COMPUTED_VALUE"""),"MXN")</f>
        <v>MXN</v>
      </c>
      <c r="F75" s="4" t="str">
        <f ca="1">IFERROR(__xludf.DUMMYFUNCTION("""COMPUTED_VALUE"""),"Isaac Mendoza Ruiz")</f>
        <v>Isaac Mendoza Ruiz</v>
      </c>
      <c r="G75" s="4" t="str">
        <f ca="1">IFERROR(__xludf.DUMMYFUNCTION("""COMPUTED_VALUE"""),"UBER * PENDING         CMX           MEX")</f>
        <v>UBER * PENDING         CMX           MEX</v>
      </c>
      <c r="H75" s="4" t="str">
        <f ca="1">IFERROR(__xludf.DUMMYFUNCTION("""COMPUTED_VALUE"""),"Uber")</f>
        <v>Uber</v>
      </c>
      <c r="I75" s="4" t="str">
        <f ca="1">IFERROR(__xludf.DUMMYFUNCTION("""COMPUTED_VALUE"""),"Office expenses")</f>
        <v>Office expenses</v>
      </c>
      <c r="J75" s="4" t="str">
        <f ca="1">IFERROR(__xludf.DUMMYFUNCTION("""COMPUTED_VALUE"""),"Viaje Puebla - Industrias Norm")</f>
        <v>Viaje Puebla - Industrias Norm</v>
      </c>
      <c r="K75" s="4" t="str">
        <f ca="1">IFERROR(__xludf.DUMMYFUNCTION("""COMPUTED_VALUE"""),".")</f>
        <v>.</v>
      </c>
      <c r="S75" s="6">
        <v>90.42</v>
      </c>
      <c r="T75" s="4" t="e">
        <f t="shared" ca="1" si="0"/>
        <v>#N/A</v>
      </c>
    </row>
    <row r="76" spans="1:20" ht="12.5">
      <c r="A76" s="4" t="str">
        <f ca="1">IFERROR(__xludf.DUMMYFUNCTION("""COMPUTED_VALUE"""),"TRX1059")</f>
        <v>TRX1059</v>
      </c>
      <c r="B76" s="4" t="str">
        <f ca="1">IFERROR(__xludf.DUMMYFUNCTION("""COMPUTED_VALUE"""),"#7")</f>
        <v>#7</v>
      </c>
      <c r="C76" s="5">
        <f ca="1">IFERROR(__xludf.DUMMYFUNCTION("""COMPUTED_VALUE"""),46064.4166666666)</f>
        <v>46064.416666666599</v>
      </c>
      <c r="D76" s="6">
        <f ca="1">IFERROR(__xludf.DUMMYFUNCTION("""COMPUTED_VALUE"""),334.12)</f>
        <v>334.12</v>
      </c>
      <c r="E76" s="4" t="str">
        <f ca="1">IFERROR(__xludf.DUMMYFUNCTION("""COMPUTED_VALUE"""),"MXN")</f>
        <v>MXN</v>
      </c>
      <c r="F76" s="4" t="str">
        <f ca="1">IFERROR(__xludf.DUMMYFUNCTION("""COMPUTED_VALUE"""),"Isaac Mendoza Ruiz")</f>
        <v>Isaac Mendoza Ruiz</v>
      </c>
      <c r="G76" s="4" t="str">
        <f ca="1">IFERROR(__xludf.DUMMYFUNCTION("""COMPUTED_VALUE"""),"UBER * PENDING         CMX           MEX")</f>
        <v>UBER * PENDING         CMX           MEX</v>
      </c>
      <c r="H76" s="4" t="str">
        <f ca="1">IFERROR(__xludf.DUMMYFUNCTION("""COMPUTED_VALUE"""),"Uber")</f>
        <v>Uber</v>
      </c>
      <c r="I76" s="4" t="str">
        <f ca="1">IFERROR(__xludf.DUMMYFUNCTION("""COMPUTED_VALUE"""),"Office expenses")</f>
        <v>Office expenses</v>
      </c>
      <c r="J76" s="4" t="str">
        <f ca="1">IFERROR(__xludf.DUMMYFUNCTION("""COMPUTED_VALUE"""),"MTY ATP + Maken")</f>
        <v>MTY ATP + Maken</v>
      </c>
      <c r="K76" s="4" t="str">
        <f ca="1">IFERROR(__xludf.DUMMYFUNCTION("""COMPUTED_VALUE"""),".")</f>
        <v>.</v>
      </c>
      <c r="S76" s="6">
        <v>97.05</v>
      </c>
      <c r="T76" s="4" t="e">
        <f t="shared" ca="1" si="0"/>
        <v>#N/A</v>
      </c>
    </row>
    <row r="77" spans="1:20" ht="12.5">
      <c r="A77" s="4" t="str">
        <f ca="1">IFERROR(__xludf.DUMMYFUNCTION("""COMPUTED_VALUE"""),"TRX1154")</f>
        <v>TRX1154</v>
      </c>
      <c r="B77" s="4" t="str">
        <f ca="1">IFERROR(__xludf.DUMMYFUNCTION("""COMPUTED_VALUE"""),"#7")</f>
        <v>#7</v>
      </c>
      <c r="C77" s="5">
        <f ca="1">IFERROR(__xludf.DUMMYFUNCTION("""COMPUTED_VALUE"""),46064.4166666666)</f>
        <v>46064.416666666599</v>
      </c>
      <c r="D77" s="6">
        <f ca="1">IFERROR(__xludf.DUMMYFUNCTION("""COMPUTED_VALUE"""),65.79)</f>
        <v>65.790000000000006</v>
      </c>
      <c r="E77" s="4" t="str">
        <f ca="1">IFERROR(__xludf.DUMMYFUNCTION("""COMPUTED_VALUE"""),"MXN")</f>
        <v>MXN</v>
      </c>
      <c r="F77" s="4" t="str">
        <f ca="1">IFERROR(__xludf.DUMMYFUNCTION("""COMPUTED_VALUE"""),"Isaac Mendoza Ruiz")</f>
        <v>Isaac Mendoza Ruiz</v>
      </c>
      <c r="G77" s="4" t="str">
        <f ca="1">IFERROR(__xludf.DUMMYFUNCTION("""COMPUTED_VALUE"""),"UBER *TRIP HELP.UBER.C CMX           MEX")</f>
        <v>UBER *TRIP HELP.UBER.C CMX           MEX</v>
      </c>
      <c r="H77" s="4" t="str">
        <f ca="1">IFERROR(__xludf.DUMMYFUNCTION("""COMPUTED_VALUE"""),"Uber")</f>
        <v>Uber</v>
      </c>
      <c r="I77" s="4" t="str">
        <f ca="1">IFERROR(__xludf.DUMMYFUNCTION("""COMPUTED_VALUE"""),"Office expenses")</f>
        <v>Office expenses</v>
      </c>
      <c r="J77" s="4" t="str">
        <f ca="1">IFERROR(__xludf.DUMMYFUNCTION("""COMPUTED_VALUE"""),"MTY ATP + Maken")</f>
        <v>MTY ATP + Maken</v>
      </c>
      <c r="K77" s="4" t="str">
        <f ca="1">IFERROR(__xludf.DUMMYFUNCTION("""COMPUTED_VALUE"""),".")</f>
        <v>.</v>
      </c>
      <c r="S77" s="6">
        <v>659.71</v>
      </c>
      <c r="T77" s="4" t="e">
        <f t="shared" ca="1" si="0"/>
        <v>#N/A</v>
      </c>
    </row>
    <row r="78" spans="1:20" ht="12.5">
      <c r="A78" s="4" t="str">
        <f ca="1">IFERROR(__xludf.DUMMYFUNCTION("""COMPUTED_VALUE"""),"TRX1113")</f>
        <v>TRX1113</v>
      </c>
      <c r="B78" s="4" t="str">
        <f ca="1">IFERROR(__xludf.DUMMYFUNCTION("""COMPUTED_VALUE"""),"#7")</f>
        <v>#7</v>
      </c>
      <c r="C78" s="5">
        <f ca="1">IFERROR(__xludf.DUMMYFUNCTION("""COMPUTED_VALUE"""),46077.4166666666)</f>
        <v>46077.416666666599</v>
      </c>
      <c r="D78" s="6">
        <f ca="1">IFERROR(__xludf.DUMMYFUNCTION("""COMPUTED_VALUE"""),69.98)</f>
        <v>69.98</v>
      </c>
      <c r="E78" s="4" t="str">
        <f ca="1">IFERROR(__xludf.DUMMYFUNCTION("""COMPUTED_VALUE"""),"MXN")</f>
        <v>MXN</v>
      </c>
      <c r="F78" s="4" t="str">
        <f ca="1">IFERROR(__xludf.DUMMYFUNCTION("""COMPUTED_VALUE"""),"Isaac Mendoza Ruiz")</f>
        <v>Isaac Mendoza Ruiz</v>
      </c>
      <c r="G78" s="4" t="str">
        <f ca="1">IFERROR(__xludf.DUMMYFUNCTION("""COMPUTED_VALUE"""),"DLO*Uber               CDMX          MEX")</f>
        <v>DLO*Uber               CDMX          MEX</v>
      </c>
      <c r="H78" s="4" t="str">
        <f ca="1">IFERROR(__xludf.DUMMYFUNCTION("""COMPUTED_VALUE"""),"Uber")</f>
        <v>Uber</v>
      </c>
      <c r="I78" s="4" t="str">
        <f ca="1">IFERROR(__xludf.DUMMYFUNCTION("""COMPUTED_VALUE"""),"Office expenses")</f>
        <v>Office expenses</v>
      </c>
      <c r="J78" s="4" t="str">
        <f ca="1">IFERROR(__xludf.DUMMYFUNCTION("""COMPUTED_VALUE"""),"MTY ATP + Maken")</f>
        <v>MTY ATP + Maken</v>
      </c>
      <c r="K78" s="4" t="str">
        <f ca="1">IFERROR(__xludf.DUMMYFUNCTION("""COMPUTED_VALUE"""),".")</f>
        <v>.</v>
      </c>
      <c r="S78" s="6">
        <v>566.82000000000005</v>
      </c>
      <c r="T78" s="4" t="e">
        <f t="shared" ca="1" si="0"/>
        <v>#N/A</v>
      </c>
    </row>
    <row r="79" spans="1:20" ht="12.5">
      <c r="A79" s="4" t="str">
        <f ca="1">IFERROR(__xludf.DUMMYFUNCTION("""COMPUTED_VALUE"""),"TRX1129")</f>
        <v>TRX1129</v>
      </c>
      <c r="B79" s="4" t="str">
        <f ca="1">IFERROR(__xludf.DUMMYFUNCTION("""COMPUTED_VALUE"""),"#7")</f>
        <v>#7</v>
      </c>
      <c r="C79" s="5">
        <f ca="1">IFERROR(__xludf.DUMMYFUNCTION("""COMPUTED_VALUE"""),46078.4166666666)</f>
        <v>46078.416666666599</v>
      </c>
      <c r="D79" s="6">
        <f ca="1">IFERROR(__xludf.DUMMYFUNCTION("""COMPUTED_VALUE"""),79.95)</f>
        <v>79.95</v>
      </c>
      <c r="E79" s="4" t="str">
        <f ca="1">IFERROR(__xludf.DUMMYFUNCTION("""COMPUTED_VALUE"""),"MXN")</f>
        <v>MXN</v>
      </c>
      <c r="F79" s="4" t="str">
        <f ca="1">IFERROR(__xludf.DUMMYFUNCTION("""COMPUTED_VALUE"""),"Isaac Mendoza Ruiz")</f>
        <v>Isaac Mendoza Ruiz</v>
      </c>
      <c r="G79" s="4" t="str">
        <f ca="1">IFERROR(__xludf.DUMMYFUNCTION("""COMPUTED_VALUE"""),"UBER * PENDING         CMX           MEX")</f>
        <v>UBER * PENDING         CMX           MEX</v>
      </c>
      <c r="H79" s="4" t="str">
        <f ca="1">IFERROR(__xludf.DUMMYFUNCTION("""COMPUTED_VALUE"""),"Uber")</f>
        <v>Uber</v>
      </c>
      <c r="I79" s="4" t="str">
        <f ca="1">IFERROR(__xludf.DUMMYFUNCTION("""COMPUTED_VALUE"""),"Office expenses")</f>
        <v>Office expenses</v>
      </c>
      <c r="J79" s="4" t="str">
        <f ca="1">IFERROR(__xludf.DUMMYFUNCTION("""COMPUTED_VALUE"""),"Viaje Puebla - Industrias Norm")</f>
        <v>Viaje Puebla - Industrias Norm</v>
      </c>
      <c r="K79" s="4" t="str">
        <f ca="1">IFERROR(__xludf.DUMMYFUNCTION("""COMPUTED_VALUE"""),".")</f>
        <v>.</v>
      </c>
      <c r="S79" s="6">
        <v>4979</v>
      </c>
      <c r="T79" s="4" t="e">
        <f t="shared" ca="1" si="0"/>
        <v>#N/A</v>
      </c>
    </row>
    <row r="80" spans="1:20" ht="12.5">
      <c r="A80" s="4" t="str">
        <f ca="1">IFERROR(__xludf.DUMMYFUNCTION("""COMPUTED_VALUE"""),"TRX1251")</f>
        <v>TRX1251</v>
      </c>
      <c r="B80" s="4" t="str">
        <f ca="1">IFERROR(__xludf.DUMMYFUNCTION("""COMPUTED_VALUE"""),"#8")</f>
        <v>#8</v>
      </c>
      <c r="C80" s="5">
        <f ca="1">IFERROR(__xludf.DUMMYFUNCTION("""COMPUTED_VALUE"""),46058.4166666666)</f>
        <v>46058.416666666599</v>
      </c>
      <c r="D80" s="6">
        <f ca="1">IFERROR(__xludf.DUMMYFUNCTION("""COMPUTED_VALUE"""),489.95)</f>
        <v>489.95</v>
      </c>
      <c r="E80" s="4" t="str">
        <f ca="1">IFERROR(__xludf.DUMMYFUNCTION("""COMPUTED_VALUE"""),"MXN")</f>
        <v>MXN</v>
      </c>
      <c r="F80" s="4" t="str">
        <f ca="1">IFERROR(__xludf.DUMMYFUNCTION("""COMPUTED_VALUE"""),"Jose Ignacio Martinez Flemate")</f>
        <v>Jose Ignacio Martinez Flemate</v>
      </c>
      <c r="G80" s="4" t="str">
        <f ca="1">IFERROR(__xludf.DUMMYFUNCTION("""COMPUTED_VALUE"""),"UBER *TRIP HELP.UBER.C CMX           MEX")</f>
        <v>UBER *TRIP HELP.UBER.C CMX           MEX</v>
      </c>
      <c r="H80" s="4" t="str">
        <f ca="1">IFERROR(__xludf.DUMMYFUNCTION("""COMPUTED_VALUE"""),"Uber")</f>
        <v>Uber</v>
      </c>
      <c r="I80" s="4" t="str">
        <f ca="1">IFERROR(__xludf.DUMMYFUNCTION("""COMPUTED_VALUE"""),"Transaction cost")</f>
        <v>Transaction cost</v>
      </c>
      <c r="J80" s="4" t="str">
        <f ca="1">IFERROR(__xludf.DUMMYFUNCTION("""COMPUTED_VALUE"""),"UBER PARA DEJAR HERRAMIENTA DE INSTALACION PO2023 - SAFE IN THE BOX")</f>
        <v>UBER PARA DEJAR HERRAMIENTA DE INSTALACION PO2023 - SAFE IN THE BOX</v>
      </c>
      <c r="K80" s="4" t="str">
        <f ca="1">IFERROR(__xludf.DUMMYFUNCTION("""COMPUTED_VALUE"""),".")</f>
        <v>.</v>
      </c>
      <c r="S80" s="6">
        <v>72.86</v>
      </c>
      <c r="T80" s="4" t="e">
        <f t="shared" ca="1" si="0"/>
        <v>#N/A</v>
      </c>
    </row>
    <row r="81" spans="1:20" ht="12.5">
      <c r="A81" s="4" t="str">
        <f ca="1">IFERROR(__xludf.DUMMYFUNCTION("""COMPUTED_VALUE"""),"TRX1201")</f>
        <v>TRX1201</v>
      </c>
      <c r="B81" s="4" t="str">
        <f ca="1">IFERROR(__xludf.DUMMYFUNCTION("""COMPUTED_VALUE"""),"#8")</f>
        <v>#8</v>
      </c>
      <c r="C81" s="5">
        <f ca="1">IFERROR(__xludf.DUMMYFUNCTION("""COMPUTED_VALUE"""),46058.4173611111)</f>
        <v>46058.417361111096</v>
      </c>
      <c r="D81" s="6">
        <f ca="1">IFERROR(__xludf.DUMMYFUNCTION("""COMPUTED_VALUE"""),744.75)</f>
        <v>744.75</v>
      </c>
      <c r="E81" s="4" t="str">
        <f ca="1">IFERROR(__xludf.DUMMYFUNCTION("""COMPUTED_VALUE"""),"MXN")</f>
        <v>MXN</v>
      </c>
      <c r="F81" s="4" t="str">
        <f ca="1">IFERROR(__xludf.DUMMYFUNCTION("""COMPUTED_VALUE"""),"Jose Ignacio Martinez Flemate")</f>
        <v>Jose Ignacio Martinez Flemate</v>
      </c>
      <c r="G81" s="4" t="str">
        <f ca="1">IFERROR(__xludf.DUMMYFUNCTION("""COMPUTED_VALUE"""),"FAR GUAD 1052          TECAMAC EM    MEX")</f>
        <v>FAR GUAD 1052          TECAMAC EM    MEX</v>
      </c>
      <c r="H81" s="4" t="str">
        <f ca="1">IFERROR(__xludf.DUMMYFUNCTION("""COMPUTED_VALUE"""),"Far Guad 1052 Tecamac Em Mex")</f>
        <v>Far Guad 1052 Tecamac Em Mex</v>
      </c>
      <c r="I81" s="4" t="str">
        <f ca="1">IFERROR(__xludf.DUMMYFUNCTION("""COMPUTED_VALUE"""),"Transaction cost")</f>
        <v>Transaction cost</v>
      </c>
      <c r="J81" s="4" t="str">
        <f ca="1">IFERROR(__xludf.DUMMYFUNCTION("""COMPUTED_VALUE"""),"PAGO A CUENTA DE UN GASTO DE GASOLINA QUE NO PASO CON LA JEEVES PO2165 - ENSAMBLE UF/CEB MECANICO")</f>
        <v>PAGO A CUENTA DE UN GASTO DE GASOLINA QUE NO PASO CON LA JEEVES PO2165 - ENSAMBLE UF/CEB MECANICO</v>
      </c>
      <c r="K81" s="4" t="str">
        <f ca="1">IFERROR(__xludf.DUMMYFUNCTION("""COMPUTED_VALUE"""),".")</f>
        <v>.</v>
      </c>
      <c r="S81" s="6">
        <v>78.69</v>
      </c>
      <c r="T81" s="4" t="e">
        <f t="shared" ca="1" si="0"/>
        <v>#N/A</v>
      </c>
    </row>
    <row r="82" spans="1:20" ht="12.5">
      <c r="A82" s="4" t="str">
        <f ca="1">IFERROR(__xludf.DUMMYFUNCTION("""COMPUTED_VALUE"""),"TRX1198")</f>
        <v>TRX1198</v>
      </c>
      <c r="B82" s="4" t="str">
        <f ca="1">IFERROR(__xludf.DUMMYFUNCTION("""COMPUTED_VALUE"""),"#8")</f>
        <v>#8</v>
      </c>
      <c r="C82" s="5">
        <f ca="1">IFERROR(__xludf.DUMMYFUNCTION("""COMPUTED_VALUE"""),46058.4173611111)</f>
        <v>46058.417361111096</v>
      </c>
      <c r="D82" s="6">
        <f ca="1">IFERROR(__xludf.DUMMYFUNCTION("""COMPUTED_VALUE"""),91)</f>
        <v>91</v>
      </c>
      <c r="E82" s="4" t="str">
        <f ca="1">IFERROR(__xludf.DUMMYFUNCTION("""COMPUTED_VALUE"""),"MXN")</f>
        <v>MXN</v>
      </c>
      <c r="F82" s="4" t="str">
        <f ca="1">IFERROR(__xludf.DUMMYFUNCTION("""COMPUTED_VALUE"""),"Jose Ignacio Martinez Flemate")</f>
        <v>Jose Ignacio Martinez Flemate</v>
      </c>
      <c r="G82" s="4" t="str">
        <f ca="1">IFERROR(__xludf.DUMMYFUNCTION("""COMPUTED_VALUE"""),"OXXOSAN ANTONIO 17 MEX CUAUTITLAN EM MEX")</f>
        <v>OXXOSAN ANTONIO 17 MEX CUAUTITLAN EM MEX</v>
      </c>
      <c r="H82" s="4" t="str">
        <f ca="1">IFERROR(__xludf.DUMMYFUNCTION("""COMPUTED_VALUE"""),"Oxxosan Antonio 17 Mex Cuautitlan Em Mex")</f>
        <v>Oxxosan Antonio 17 Mex Cuautitlan Em Mex</v>
      </c>
      <c r="I82" s="4" t="str">
        <f ca="1">IFERROR(__xludf.DUMMYFUNCTION("""COMPUTED_VALUE"""),"Transaction cost")</f>
        <v>Transaction cost</v>
      </c>
      <c r="J82" s="4" t="str">
        <f ca="1">IFERROR(__xludf.DUMMYFUNCTION("""COMPUTED_VALUE"""),"COMIDA   PO2165 - ENSAMBLE UF/CEB MECANICO")</f>
        <v>COMIDA   PO2165 - ENSAMBLE UF/CEB MECANICO</v>
      </c>
      <c r="K82" s="4" t="str">
        <f ca="1">IFERROR(__xludf.DUMMYFUNCTION("""COMPUTED_VALUE"""),".")</f>
        <v>.</v>
      </c>
      <c r="S82" s="6">
        <v>569.96</v>
      </c>
      <c r="T82" s="4" t="e">
        <f t="shared" ca="1" si="0"/>
        <v>#N/A</v>
      </c>
    </row>
    <row r="83" spans="1:20" ht="12.5">
      <c r="A83" s="4" t="str">
        <f ca="1">IFERROR(__xludf.DUMMYFUNCTION("""COMPUTED_VALUE"""),"TRX1676")</f>
        <v>TRX1676</v>
      </c>
      <c r="B83" s="4" t="str">
        <f ca="1">IFERROR(__xludf.DUMMYFUNCTION("""COMPUTED_VALUE"""),"#8")</f>
        <v>#8</v>
      </c>
      <c r="C83" s="5">
        <f ca="1">IFERROR(__xludf.DUMMYFUNCTION("""COMPUTED_VALUE"""),46060.4173611111)</f>
        <v>46060.417361111096</v>
      </c>
      <c r="D83" s="6">
        <f ca="1">IFERROR(__xludf.DUMMYFUNCTION("""COMPUTED_VALUE"""),60.5)</f>
        <v>60.5</v>
      </c>
      <c r="E83" s="4" t="str">
        <f ca="1">IFERROR(__xludf.DUMMYFUNCTION("""COMPUTED_VALUE"""),"MXN")</f>
        <v>MXN</v>
      </c>
      <c r="F83" s="4" t="str">
        <f ca="1">IFERROR(__xludf.DUMMYFUNCTION("""COMPUTED_VALUE"""),"Jose Ignacio Martinez Flemate")</f>
        <v>Jose Ignacio Martinez Flemate</v>
      </c>
      <c r="G83" s="4" t="str">
        <f ca="1">IFERROR(__xludf.DUMMYFUNCTION("""COMPUTED_VALUE"""),"OXXOSAN ANTONIO 17 MEX CUAUTITLAN EM MEX")</f>
        <v>OXXOSAN ANTONIO 17 MEX CUAUTITLAN EM MEX</v>
      </c>
      <c r="H83" s="4" t="str">
        <f ca="1">IFERROR(__xludf.DUMMYFUNCTION("""COMPUTED_VALUE"""),"Oxxosan Antonio 17 Mex Cuautitlan Em Mex")</f>
        <v>Oxxosan Antonio 17 Mex Cuautitlan Em Mex</v>
      </c>
      <c r="I83" s="4" t="str">
        <f ca="1">IFERROR(__xludf.DUMMYFUNCTION("""COMPUTED_VALUE"""),"Transaction cost")</f>
        <v>Transaction cost</v>
      </c>
      <c r="J83" s="4" t="str">
        <f ca="1">IFERROR(__xludf.DUMMYFUNCTION("""COMPUTED_VALUE"""),"COMIDA   PO2165 - ENSAMBLE UF/CEB MECANICO")</f>
        <v>COMIDA   PO2165 - ENSAMBLE UF/CEB MECANICO</v>
      </c>
      <c r="K83" s="4" t="str">
        <f ca="1">IFERROR(__xludf.DUMMYFUNCTION("""COMPUTED_VALUE"""),".")</f>
        <v>.</v>
      </c>
      <c r="S83" s="6">
        <v>1951.14</v>
      </c>
      <c r="T83" s="4" t="e">
        <f t="shared" ca="1" si="0"/>
        <v>#N/A</v>
      </c>
    </row>
    <row r="84" spans="1:20" ht="12.5">
      <c r="A84" s="4" t="str">
        <f ca="1">IFERROR(__xludf.DUMMYFUNCTION("""COMPUTED_VALUE"""),"TRX1340")</f>
        <v>TRX1340</v>
      </c>
      <c r="B84" s="4" t="str">
        <f ca="1">IFERROR(__xludf.DUMMYFUNCTION("""COMPUTED_VALUE"""),"#8")</f>
        <v>#8</v>
      </c>
      <c r="C84" s="5">
        <f ca="1">IFERROR(__xludf.DUMMYFUNCTION("""COMPUTED_VALUE"""),46061.4166666666)</f>
        <v>46061.416666666599</v>
      </c>
      <c r="D84" s="6">
        <f ca="1">IFERROR(__xludf.DUMMYFUNCTION("""COMPUTED_VALUE"""),320)</f>
        <v>320</v>
      </c>
      <c r="E84" s="4" t="str">
        <f ca="1">IFERROR(__xludf.DUMMYFUNCTION("""COMPUTED_VALUE"""),"MXN")</f>
        <v>MXN</v>
      </c>
      <c r="F84" s="4" t="str">
        <f ca="1">IFERROR(__xludf.DUMMYFUNCTION("""COMPUTED_VALUE"""),"Jose Ignacio Martinez Flemate")</f>
        <v>Jose Ignacio Martinez Flemate</v>
      </c>
      <c r="G84" s="4" t="str">
        <f ca="1">IFERROR(__xludf.DUMMYFUNCTION("""COMPUTED_VALUE"""),"MERCADOPAGO *DOSGARDE  Tultitln      MEX")</f>
        <v>MERCADOPAGO *DOSGARDE  Tultitln      MEX</v>
      </c>
      <c r="H84" s="4" t="str">
        <f ca="1">IFERROR(__xludf.DUMMYFUNCTION("""COMPUTED_VALUE"""),"Mercadopago")</f>
        <v>Mercadopago</v>
      </c>
      <c r="I84" s="4" t="str">
        <f ca="1">IFERROR(__xludf.DUMMYFUNCTION("""COMPUTED_VALUE"""),"Transaction cost")</f>
        <v>Transaction cost</v>
      </c>
      <c r="J84" s="4" t="str">
        <f ca="1">IFERROR(__xludf.DUMMYFUNCTION("""COMPUTED_VALUE"""),"CASETAS VISITA VISITA A ESCATO PO2165 - ENSAMBLE UF/CEB MECANICO")</f>
        <v>CASETAS VISITA VISITA A ESCATO PO2165 - ENSAMBLE UF/CEB MECANICO</v>
      </c>
      <c r="K84" s="4" t="str">
        <f ca="1">IFERROR(__xludf.DUMMYFUNCTION("""COMPUTED_VALUE"""),".")</f>
        <v>.</v>
      </c>
      <c r="S84" s="6">
        <v>415</v>
      </c>
      <c r="T84" s="4" t="e">
        <f t="shared" ca="1" si="0"/>
        <v>#N/A</v>
      </c>
    </row>
    <row r="85" spans="1:20" ht="12.5">
      <c r="A85" s="4" t="str">
        <f ca="1">IFERROR(__xludf.DUMMYFUNCTION("""COMPUTED_VALUE"""),"TRX2021")</f>
        <v>TRX2021</v>
      </c>
      <c r="B85" s="4" t="str">
        <f ca="1">IFERROR(__xludf.DUMMYFUNCTION("""COMPUTED_VALUE"""),"#8")</f>
        <v>#8</v>
      </c>
      <c r="C85" s="5">
        <f ca="1">IFERROR(__xludf.DUMMYFUNCTION("""COMPUTED_VALUE"""),46063.4166666666)</f>
        <v>46063.416666666599</v>
      </c>
      <c r="D85" s="6">
        <f ca="1">IFERROR(__xludf.DUMMYFUNCTION("""COMPUTED_VALUE"""),802.27)</f>
        <v>802.27</v>
      </c>
      <c r="E85" s="4" t="str">
        <f ca="1">IFERROR(__xludf.DUMMYFUNCTION("""COMPUTED_VALUE"""),"MXN")</f>
        <v>MXN</v>
      </c>
      <c r="F85" s="4" t="str">
        <f ca="1">IFERROR(__xludf.DUMMYFUNCTION("""COMPUTED_VALUE"""),"Jose Ignacio Martinez Flemate")</f>
        <v>Jose Ignacio Martinez Flemate</v>
      </c>
      <c r="G85" s="4" t="str">
        <f ca="1">IFERROR(__xludf.DUMMYFUNCTION("""COMPUTED_VALUE"""),"SERV ALISAS            LERMA EM      MEX")</f>
        <v>SERV ALISAS            LERMA EM      MEX</v>
      </c>
      <c r="H85" s="4" t="str">
        <f ca="1">IFERROR(__xludf.DUMMYFUNCTION("""COMPUTED_VALUE"""),"Serv Alisas Lerma Em Mex")</f>
        <v>Serv Alisas Lerma Em Mex</v>
      </c>
      <c r="I85" s="4" t="str">
        <f ca="1">IFERROR(__xludf.DUMMYFUNCTION("""COMPUTED_VALUE"""),"Transaction cost")</f>
        <v>Transaction cost</v>
      </c>
      <c r="J85" s="4" t="str">
        <f ca="1">IFERROR(__xludf.DUMMYFUNCTION("""COMPUTED_VALUE"""),"GASOLINA VISITA A CAMI PO2165 - ENSAMBLE UF/CEB MECANICO")</f>
        <v>GASOLINA VISITA A CAMI PO2165 - ENSAMBLE UF/CEB MECANICO</v>
      </c>
      <c r="K85" s="4" t="str">
        <f ca="1">IFERROR(__xludf.DUMMYFUNCTION("""COMPUTED_VALUE"""),".")</f>
        <v>.</v>
      </c>
      <c r="S85" s="6">
        <v>50.8</v>
      </c>
      <c r="T85" s="4" t="e">
        <f t="shared" ca="1" si="0"/>
        <v>#N/A</v>
      </c>
    </row>
    <row r="86" spans="1:20" ht="12.5">
      <c r="A86" s="4" t="str">
        <f ca="1">IFERROR(__xludf.DUMMYFUNCTION("""COMPUTED_VALUE"""),"TRX1336")</f>
        <v>TRX1336</v>
      </c>
      <c r="B86" s="4" t="str">
        <f ca="1">IFERROR(__xludf.DUMMYFUNCTION("""COMPUTED_VALUE"""),"#8")</f>
        <v>#8</v>
      </c>
      <c r="C86" s="5">
        <f ca="1">IFERROR(__xludf.DUMMYFUNCTION("""COMPUTED_VALUE"""),46065.4166666666)</f>
        <v>46065.416666666599</v>
      </c>
      <c r="D86" s="6">
        <f ca="1">IFERROR(__xludf.DUMMYFUNCTION("""COMPUTED_VALUE"""),947)</f>
        <v>947</v>
      </c>
      <c r="E86" s="4" t="str">
        <f ca="1">IFERROR(__xludf.DUMMYFUNCTION("""COMPUTED_VALUE"""),"MXN")</f>
        <v>MXN</v>
      </c>
      <c r="F86" s="4" t="str">
        <f ca="1">IFERROR(__xludf.DUMMYFUNCTION("""COMPUTED_VALUE"""),"Jose Ignacio Martinez Flemate")</f>
        <v>Jose Ignacio Martinez Flemate</v>
      </c>
      <c r="G86" s="4" t="str">
        <f ca="1">IFERROR(__xludf.DUMMYFUNCTION("""COMPUTED_VALUE"""),"OFFICE MAX TECAMAC     TECAMAC       MEX")</f>
        <v>OFFICE MAX TECAMAC     TECAMAC       MEX</v>
      </c>
      <c r="H86" s="4" t="str">
        <f ca="1">IFERROR(__xludf.DUMMYFUNCTION("""COMPUTED_VALUE"""),"Office Depot")</f>
        <v>Office Depot</v>
      </c>
      <c r="I86" s="4" t="str">
        <f ca="1">IFERROR(__xludf.DUMMYFUNCTION("""COMPUTED_VALUE"""),"Transaction cost")</f>
        <v>Transaction cost</v>
      </c>
      <c r="J86" s="4" t="str">
        <f ca="1">IFERROR(__xludf.DUMMYFUNCTION("""COMPUTED_VALUE"""),"PAPELERIA PARA DOSSIER DE CALIDAD PO2165 - ENSAMBLE UF/CEB MECANICO")</f>
        <v>PAPELERIA PARA DOSSIER DE CALIDAD PO2165 - ENSAMBLE UF/CEB MECANICO</v>
      </c>
      <c r="K86" s="4" t="str">
        <f ca="1">IFERROR(__xludf.DUMMYFUNCTION("""COMPUTED_VALUE"""),".")</f>
        <v>.</v>
      </c>
      <c r="S86" s="6">
        <v>234</v>
      </c>
      <c r="T86" s="4" t="e">
        <f t="shared" ca="1" si="0"/>
        <v>#N/A</v>
      </c>
    </row>
    <row r="87" spans="1:20" ht="12.5">
      <c r="A87" s="4" t="str">
        <f ca="1">IFERROR(__xludf.DUMMYFUNCTION("""COMPUTED_VALUE"""),"TRX1714")</f>
        <v>TRX1714</v>
      </c>
      <c r="B87" s="4" t="str">
        <f ca="1">IFERROR(__xludf.DUMMYFUNCTION("""COMPUTED_VALUE"""),"#8")</f>
        <v>#8</v>
      </c>
      <c r="C87" s="5">
        <f ca="1">IFERROR(__xludf.DUMMYFUNCTION("""COMPUTED_VALUE"""),46065.4173611111)</f>
        <v>46065.417361111096</v>
      </c>
      <c r="D87" s="6">
        <f ca="1">IFERROR(__xludf.DUMMYFUNCTION("""COMPUTED_VALUE"""),145)</f>
        <v>145</v>
      </c>
      <c r="E87" s="4" t="str">
        <f ca="1">IFERROR(__xludf.DUMMYFUNCTION("""COMPUTED_VALUE"""),"MXN")</f>
        <v>MXN</v>
      </c>
      <c r="F87" s="4" t="str">
        <f ca="1">IFERROR(__xludf.DUMMYFUNCTION("""COMPUTED_VALUE"""),"Jose Ignacio Martinez Flemate")</f>
        <v>Jose Ignacio Martinez Flemate</v>
      </c>
      <c r="G87" s="4" t="str">
        <f ca="1">IFERROR(__xludf.DUMMYFUNCTION("""COMPUTED_VALUE"""),"HOME DEPOT TECAMAC     TECAMAC EM    MEX")</f>
        <v>HOME DEPOT TECAMAC     TECAMAC EM    MEX</v>
      </c>
      <c r="H87" s="4" t="str">
        <f ca="1">IFERROR(__xludf.DUMMYFUNCTION("""COMPUTED_VALUE"""),"The Home Depot")</f>
        <v>The Home Depot</v>
      </c>
      <c r="I87" s="4" t="str">
        <f ca="1">IFERROR(__xludf.DUMMYFUNCTION("""COMPUTED_VALUE"""),"Transaction cost")</f>
        <v>Transaction cost</v>
      </c>
      <c r="J87" s="4" t="str">
        <f ca="1">IFERROR(__xludf.DUMMYFUNCTION("""COMPUTED_VALUE"""),"PLUMONES PARA MARCAJE DE ESTRUCTURA PO2165 - ENSAMBLE UF/CEB MECANICO")</f>
        <v>PLUMONES PARA MARCAJE DE ESTRUCTURA PO2165 - ENSAMBLE UF/CEB MECANICO</v>
      </c>
      <c r="K87" s="4" t="str">
        <f ca="1">IFERROR(__xludf.DUMMYFUNCTION("""COMPUTED_VALUE"""),".")</f>
        <v>.</v>
      </c>
      <c r="S87" s="6">
        <v>438</v>
      </c>
      <c r="T87" s="4" t="str">
        <f t="shared" ca="1" si="0"/>
        <v>Carlos Ivan Gonzalez Merino</v>
      </c>
    </row>
    <row r="88" spans="1:20" ht="12.5">
      <c r="A88" s="4" t="str">
        <f ca="1">IFERROR(__xludf.DUMMYFUNCTION("""COMPUTED_VALUE"""),"TRX1943")</f>
        <v>TRX1943</v>
      </c>
      <c r="B88" s="4" t="str">
        <f ca="1">IFERROR(__xludf.DUMMYFUNCTION("""COMPUTED_VALUE"""),"#8")</f>
        <v>#8</v>
      </c>
      <c r="C88" s="5">
        <f ca="1">IFERROR(__xludf.DUMMYFUNCTION("""COMPUTED_VALUE"""),46065.4173611111)</f>
        <v>46065.417361111096</v>
      </c>
      <c r="D88" s="6">
        <f ca="1">IFERROR(__xludf.DUMMYFUNCTION("""COMPUTED_VALUE"""),114)</f>
        <v>114</v>
      </c>
      <c r="E88" s="4" t="str">
        <f ca="1">IFERROR(__xludf.DUMMYFUNCTION("""COMPUTED_VALUE"""),"MXN")</f>
        <v>MXN</v>
      </c>
      <c r="F88" s="4" t="str">
        <f ca="1">IFERROR(__xludf.DUMMYFUNCTION("""COMPUTED_VALUE"""),"Jose Ignacio Martinez Flemate")</f>
        <v>Jose Ignacio Martinez Flemate</v>
      </c>
      <c r="G88" s="4" t="str">
        <f ca="1">IFERROR(__xludf.DUMMYFUNCTION("""COMPUTED_VALUE"""),"OXXOSAN ANTONIO 17 MEX CUAUTITLAN EM MEX")</f>
        <v>OXXOSAN ANTONIO 17 MEX CUAUTITLAN EM MEX</v>
      </c>
      <c r="H88" s="4" t="str">
        <f ca="1">IFERROR(__xludf.DUMMYFUNCTION("""COMPUTED_VALUE"""),"Oxxosan Antonio 17 Mex Cuautitlan Em Mex")</f>
        <v>Oxxosan Antonio 17 Mex Cuautitlan Em Mex</v>
      </c>
      <c r="I88" s="4" t="str">
        <f ca="1">IFERROR(__xludf.DUMMYFUNCTION("""COMPUTED_VALUE"""),"Transaction cost")</f>
        <v>Transaction cost</v>
      </c>
      <c r="J88" s="4" t="str">
        <f ca="1">IFERROR(__xludf.DUMMYFUNCTION("""COMPUTED_VALUE"""),"COMIDA   PO2165 - ENSAMBLE UF/CEB MECANICO")</f>
        <v>COMIDA   PO2165 - ENSAMBLE UF/CEB MECANICO</v>
      </c>
      <c r="K88" s="4" t="str">
        <f ca="1">IFERROR(__xludf.DUMMYFUNCTION("""COMPUTED_VALUE"""),".")</f>
        <v>.</v>
      </c>
      <c r="S88" s="6">
        <v>612.70000000000005</v>
      </c>
      <c r="T88" s="4" t="e">
        <f t="shared" ca="1" si="0"/>
        <v>#N/A</v>
      </c>
    </row>
    <row r="89" spans="1:20" ht="12.5">
      <c r="A89" s="4" t="str">
        <f ca="1">IFERROR(__xludf.DUMMYFUNCTION("""COMPUTED_VALUE"""),"TRX1930")</f>
        <v>TRX1930</v>
      </c>
      <c r="B89" s="4" t="str">
        <f ca="1">IFERROR(__xludf.DUMMYFUNCTION("""COMPUTED_VALUE"""),"#8")</f>
        <v>#8</v>
      </c>
      <c r="C89" s="5">
        <f ca="1">IFERROR(__xludf.DUMMYFUNCTION("""COMPUTED_VALUE"""),46067.4166666666)</f>
        <v>46067.416666666599</v>
      </c>
      <c r="D89" s="6">
        <f ca="1">IFERROR(__xludf.DUMMYFUNCTION("""COMPUTED_VALUE"""),2010)</f>
        <v>2010</v>
      </c>
      <c r="E89" s="4" t="str">
        <f ca="1">IFERROR(__xludf.DUMMYFUNCTION("""COMPUTED_VALUE"""),"MXN")</f>
        <v>MXN</v>
      </c>
      <c r="F89" s="4" t="str">
        <f ca="1">IFERROR(__xludf.DUMMYFUNCTION("""COMPUTED_VALUE"""),"Jose Ignacio Martinez Flemate")</f>
        <v>Jose Ignacio Martinez Flemate</v>
      </c>
      <c r="G89" s="4" t="str">
        <f ca="1">IFERROR(__xludf.DUMMYFUNCTION("""COMPUTED_VALUE"""),"MERCADOPAGO *PASE      Ciudad de Mex MEX")</f>
        <v>MERCADOPAGO *PASE      Ciudad de Mex MEX</v>
      </c>
      <c r="H89" s="4" t="str">
        <f ca="1">IFERROR(__xludf.DUMMYFUNCTION("""COMPUTED_VALUE"""),"Mercadopago")</f>
        <v>Mercadopago</v>
      </c>
      <c r="I89" s="4" t="str">
        <f ca="1">IFERROR(__xludf.DUMMYFUNCTION("""COMPUTED_VALUE"""),"Transaction cost")</f>
        <v>Transaction cost</v>
      </c>
      <c r="J89" s="4" t="str">
        <f ca="1">IFERROR(__xludf.DUMMYFUNCTION("""COMPUTED_VALUE"""),"CASETAS VISITA VISITA A ESCATO PO2165 - ENSAMBLE UF/CEB MECANICO")</f>
        <v>CASETAS VISITA VISITA A ESCATO PO2165 - ENSAMBLE UF/CEB MECANICO</v>
      </c>
      <c r="K89" s="4" t="str">
        <f ca="1">IFERROR(__xludf.DUMMYFUNCTION("""COMPUTED_VALUE"""),".")</f>
        <v>.</v>
      </c>
      <c r="S89" s="6">
        <v>960.93</v>
      </c>
      <c r="T89" s="4" t="e">
        <f t="shared" ca="1" si="0"/>
        <v>#N/A</v>
      </c>
    </row>
    <row r="90" spans="1:20" ht="12.5">
      <c r="A90" s="4" t="str">
        <f ca="1">IFERROR(__xludf.DUMMYFUNCTION("""COMPUTED_VALUE"""),"TRX1799")</f>
        <v>TRX1799</v>
      </c>
      <c r="B90" s="4" t="str">
        <f ca="1">IFERROR(__xludf.DUMMYFUNCTION("""COMPUTED_VALUE"""),"#8")</f>
        <v>#8</v>
      </c>
      <c r="C90" s="5">
        <f ca="1">IFERROR(__xludf.DUMMYFUNCTION("""COMPUTED_VALUE"""),46067.4166666666)</f>
        <v>46067.416666666599</v>
      </c>
      <c r="D90" s="6">
        <f ca="1">IFERROR(__xludf.DUMMYFUNCTION("""COMPUTED_VALUE"""),709.41)</f>
        <v>709.41</v>
      </c>
      <c r="E90" s="4" t="str">
        <f ca="1">IFERROR(__xludf.DUMMYFUNCTION("""COMPUTED_VALUE"""),"MXN")</f>
        <v>MXN</v>
      </c>
      <c r="F90" s="4" t="str">
        <f ca="1">IFERROR(__xludf.DUMMYFUNCTION("""COMPUTED_VALUE"""),"Jose Ignacio Martinez Flemate")</f>
        <v>Jose Ignacio Martinez Flemate</v>
      </c>
      <c r="G90" s="4" t="str">
        <f ca="1">IFERROR(__xludf.DUMMYFUNCTION("""COMPUTED_VALUE"""),"GASOL LUNAGAS TECAMAC3 TECAMAC EM    MEX")</f>
        <v>GASOL LUNAGAS TECAMAC3 TECAMAC EM    MEX</v>
      </c>
      <c r="H90" s="4" t="str">
        <f ca="1">IFERROR(__xludf.DUMMYFUNCTION("""COMPUTED_VALUE"""),"Gasol Lunagas Tecamac3 Tecamac Em Mex")</f>
        <v>Gasol Lunagas Tecamac3 Tecamac Em Mex</v>
      </c>
      <c r="I90" s="4" t="str">
        <f ca="1">IFERROR(__xludf.DUMMYFUNCTION("""COMPUTED_VALUE"""),"Transaction cost")</f>
        <v>Transaction cost</v>
      </c>
      <c r="J90" s="4" t="str">
        <f ca="1">IFERROR(__xludf.DUMMYFUNCTION("""COMPUTED_VALUE"""),"GASOLINA VISITA A CAMI PO2165 - ENSAMBLE UF/CEB MECANICO")</f>
        <v>GASOLINA VISITA A CAMI PO2165 - ENSAMBLE UF/CEB MECANICO</v>
      </c>
      <c r="K90" s="4" t="str">
        <f ca="1">IFERROR(__xludf.DUMMYFUNCTION("""COMPUTED_VALUE"""),".")</f>
        <v>.</v>
      </c>
      <c r="S90" s="6">
        <v>1108.6300000000001</v>
      </c>
      <c r="T90" s="4" t="e">
        <f t="shared" ca="1" si="0"/>
        <v>#N/A</v>
      </c>
    </row>
    <row r="91" spans="1:20" ht="12.5">
      <c r="A91" s="4" t="str">
        <f ca="1">IFERROR(__xludf.DUMMYFUNCTION("""COMPUTED_VALUE"""),"TRX1405")</f>
        <v>TRX1405</v>
      </c>
      <c r="B91" s="4" t="str">
        <f ca="1">IFERROR(__xludf.DUMMYFUNCTION("""COMPUTED_VALUE"""),"#8")</f>
        <v>#8</v>
      </c>
      <c r="C91" s="5">
        <f ca="1">IFERROR(__xludf.DUMMYFUNCTION("""COMPUTED_VALUE"""),46068.4166666666)</f>
        <v>46068.416666666599</v>
      </c>
      <c r="D91" s="6">
        <f ca="1">IFERROR(__xludf.DUMMYFUNCTION("""COMPUTED_VALUE"""),20)</f>
        <v>20</v>
      </c>
      <c r="E91" s="4" t="str">
        <f ca="1">IFERROR(__xludf.DUMMYFUNCTION("""COMPUTED_VALUE"""),"MXN")</f>
        <v>MXN</v>
      </c>
      <c r="F91" s="4" t="str">
        <f ca="1">IFERROR(__xludf.DUMMYFUNCTION("""COMPUTED_VALUE"""),"Jose Ignacio Martinez Flemate")</f>
        <v>Jose Ignacio Martinez Flemate</v>
      </c>
      <c r="G91" s="4" t="str">
        <f ca="1">IFERROR(__xludf.DUMMYFUNCTION("""COMPUTED_VALUE"""),"UBER *TRIP HELP.UBER.C CMX           MEX")</f>
        <v>UBER *TRIP HELP.UBER.C CMX           MEX</v>
      </c>
      <c r="H91" s="4" t="str">
        <f ca="1">IFERROR(__xludf.DUMMYFUNCTION("""COMPUTED_VALUE"""),"Uber")</f>
        <v>Uber</v>
      </c>
      <c r="I91" s="4" t="str">
        <f ca="1">IFERROR(__xludf.DUMMYFUNCTION("""COMPUTED_VALUE"""),"Transaction cost")</f>
        <v>Transaction cost</v>
      </c>
      <c r="J91" s="4" t="str">
        <f ca="1">IFERROR(__xludf.DUMMYFUNCTION("""COMPUTED_VALUE"""),"UBER PARA DEJAR HERRAMIENTA DE INSTALACION PO2023 - SAFE IN THE BOX ")</f>
        <v xml:space="preserve">UBER PARA DEJAR HERRAMIENTA DE INSTALACION PO2023 - SAFE IN THE BOX </v>
      </c>
      <c r="K91" s="4" t="str">
        <f ca="1">IFERROR(__xludf.DUMMYFUNCTION("""COMPUTED_VALUE"""),".")</f>
        <v>.</v>
      </c>
      <c r="S91" s="6">
        <v>999.35</v>
      </c>
      <c r="T91" s="4" t="e">
        <f t="shared" ca="1" si="0"/>
        <v>#N/A</v>
      </c>
    </row>
    <row r="92" spans="1:20" ht="12.5">
      <c r="A92" s="4" t="str">
        <f ca="1">IFERROR(__xludf.DUMMYFUNCTION("""COMPUTED_VALUE"""),"TRX2025")</f>
        <v>TRX2025</v>
      </c>
      <c r="B92" s="4" t="str">
        <f ca="1">IFERROR(__xludf.DUMMYFUNCTION("""COMPUTED_VALUE"""),"#8")</f>
        <v>#8</v>
      </c>
      <c r="C92" s="5">
        <f ca="1">IFERROR(__xludf.DUMMYFUNCTION("""COMPUTED_VALUE"""),46068.4166666666)</f>
        <v>46068.416666666599</v>
      </c>
      <c r="D92" s="6">
        <f ca="1">IFERROR(__xludf.DUMMYFUNCTION("""COMPUTED_VALUE"""),499.99)</f>
        <v>499.99</v>
      </c>
      <c r="E92" s="4" t="str">
        <f ca="1">IFERROR(__xludf.DUMMYFUNCTION("""COMPUTED_VALUE"""),"MXN")</f>
        <v>MXN</v>
      </c>
      <c r="F92" s="4" t="str">
        <f ca="1">IFERROR(__xludf.DUMMYFUNCTION("""COMPUTED_VALUE"""),"Jose Ignacio Martinez Flemate")</f>
        <v>Jose Ignacio Martinez Flemate</v>
      </c>
      <c r="G92" s="4" t="str">
        <f ca="1">IFERROR(__xludf.DUMMYFUNCTION("""COMPUTED_VALUE"""),"UBER * PENDING         CMX           MEX")</f>
        <v>UBER * PENDING         CMX           MEX</v>
      </c>
      <c r="H92" s="4" t="str">
        <f ca="1">IFERROR(__xludf.DUMMYFUNCTION("""COMPUTED_VALUE"""),"Uber")</f>
        <v>Uber</v>
      </c>
      <c r="I92" s="4" t="str">
        <f ca="1">IFERROR(__xludf.DUMMYFUNCTION("""COMPUTED_VALUE"""),"Transaction cost")</f>
        <v>Transaction cost</v>
      </c>
      <c r="J92" s="4" t="str">
        <f ca="1">IFERROR(__xludf.DUMMYFUNCTION("""COMPUTED_VALUE"""),"UBER VISITA A PROVEEDOR (NO CIRCULA) PO2165 - ENSAMBLE UF/CEB MECANICO")</f>
        <v>UBER VISITA A PROVEEDOR (NO CIRCULA) PO2165 - ENSAMBLE UF/CEB MECANICO</v>
      </c>
      <c r="K92" s="4" t="str">
        <f ca="1">IFERROR(__xludf.DUMMYFUNCTION("""COMPUTED_VALUE"""),".")</f>
        <v>.</v>
      </c>
      <c r="S92" s="6">
        <v>150</v>
      </c>
      <c r="T92" s="4" t="str">
        <f t="shared" ca="1" si="0"/>
        <v>Karen Alexandra Ballesteros Contreras</v>
      </c>
    </row>
    <row r="93" spans="1:20" ht="12.5">
      <c r="A93" s="4" t="str">
        <f ca="1">IFERROR(__xludf.DUMMYFUNCTION("""COMPUTED_VALUE"""),"TRX1045")</f>
        <v>TRX1045</v>
      </c>
      <c r="B93" s="4" t="str">
        <f ca="1">IFERROR(__xludf.DUMMYFUNCTION("""COMPUTED_VALUE"""),"#8")</f>
        <v>#8</v>
      </c>
      <c r="C93" s="5">
        <f ca="1">IFERROR(__xludf.DUMMYFUNCTION("""COMPUTED_VALUE"""),46068.4166666666)</f>
        <v>46068.416666666599</v>
      </c>
      <c r="D93" s="6">
        <f ca="1">IFERROR(__xludf.DUMMYFUNCTION("""COMPUTED_VALUE"""),309.98)</f>
        <v>309.98</v>
      </c>
      <c r="E93" s="4" t="str">
        <f ca="1">IFERROR(__xludf.DUMMYFUNCTION("""COMPUTED_VALUE"""),"MXN")</f>
        <v>MXN</v>
      </c>
      <c r="F93" s="4" t="str">
        <f ca="1">IFERROR(__xludf.DUMMYFUNCTION("""COMPUTED_VALUE"""),"Jose Ignacio Martinez Flemate")</f>
        <v>Jose Ignacio Martinez Flemate</v>
      </c>
      <c r="G93" s="4" t="str">
        <f ca="1">IFERROR(__xludf.DUMMYFUNCTION("""COMPUTED_VALUE"""),"UBER * PENDING         CMX           MEX")</f>
        <v>UBER * PENDING         CMX           MEX</v>
      </c>
      <c r="H93" s="4" t="str">
        <f ca="1">IFERROR(__xludf.DUMMYFUNCTION("""COMPUTED_VALUE"""),"Uber")</f>
        <v>Uber</v>
      </c>
      <c r="I93" s="4" t="str">
        <f ca="1">IFERROR(__xludf.DUMMYFUNCTION("""COMPUTED_VALUE"""),"Transaction cost")</f>
        <v>Transaction cost</v>
      </c>
      <c r="J93" s="4" t="str">
        <f ca="1">IFERROR(__xludf.DUMMYFUNCTION("""COMPUTED_VALUE"""),"UBER VISITA A PROVEEDOR (NO CIRCULA) PO2165 - ENSAMBLE UF/CEB MECANICO")</f>
        <v>UBER VISITA A PROVEEDOR (NO CIRCULA) PO2165 - ENSAMBLE UF/CEB MECANICO</v>
      </c>
      <c r="K93" s="4" t="str">
        <f ca="1">IFERROR(__xludf.DUMMYFUNCTION("""COMPUTED_VALUE"""),".")</f>
        <v>.</v>
      </c>
      <c r="S93" s="6">
        <v>0.01</v>
      </c>
      <c r="T93" s="4" t="str">
        <f t="shared" ca="1" si="0"/>
        <v>Gerardo Madrid</v>
      </c>
    </row>
    <row r="94" spans="1:20" ht="12.5">
      <c r="A94" s="4" t="str">
        <f ca="1">IFERROR(__xludf.DUMMYFUNCTION("""COMPUTED_VALUE"""),"TRX1800")</f>
        <v>TRX1800</v>
      </c>
      <c r="B94" s="4" t="str">
        <f ca="1">IFERROR(__xludf.DUMMYFUNCTION("""COMPUTED_VALUE"""),"#8")</f>
        <v>#8</v>
      </c>
      <c r="C94" s="5">
        <f ca="1">IFERROR(__xludf.DUMMYFUNCTION("""COMPUTED_VALUE"""),46071.4166666666)</f>
        <v>46071.416666666599</v>
      </c>
      <c r="D94" s="6">
        <f ca="1">IFERROR(__xludf.DUMMYFUNCTION("""COMPUTED_VALUE"""),102.5)</f>
        <v>102.5</v>
      </c>
      <c r="E94" s="4" t="str">
        <f ca="1">IFERROR(__xludf.DUMMYFUNCTION("""COMPUTED_VALUE"""),"MXN")</f>
        <v>MXN</v>
      </c>
      <c r="F94" s="4" t="str">
        <f ca="1">IFERROR(__xludf.DUMMYFUNCTION("""COMPUTED_VALUE"""),"Jose Ignacio Martinez Flemate")</f>
        <v>Jose Ignacio Martinez Flemate</v>
      </c>
      <c r="G94" s="4" t="str">
        <f ca="1">IFERROR(__xludf.DUMMYFUNCTION("""COMPUTED_VALUE"""),"OXXOSAN ANTONIO 17 MEX CUAUTITLAN EM MEX")</f>
        <v>OXXOSAN ANTONIO 17 MEX CUAUTITLAN EM MEX</v>
      </c>
      <c r="H94" s="4" t="str">
        <f ca="1">IFERROR(__xludf.DUMMYFUNCTION("""COMPUTED_VALUE"""),"Oxxosan Antonio 17 Mex Cuautitlan Em Mex")</f>
        <v>Oxxosan Antonio 17 Mex Cuautitlan Em Mex</v>
      </c>
      <c r="I94" s="4" t="str">
        <f ca="1">IFERROR(__xludf.DUMMYFUNCTION("""COMPUTED_VALUE"""),"Transaction cost")</f>
        <v>Transaction cost</v>
      </c>
      <c r="J94" s="4" t="str">
        <f ca="1">IFERROR(__xludf.DUMMYFUNCTION("""COMPUTED_VALUE"""),"COMIDA   PO2165 - ENSAMBLE UF/CEB MECANICO")</f>
        <v>COMIDA   PO2165 - ENSAMBLE UF/CEB MECANICO</v>
      </c>
      <c r="K94" s="4" t="str">
        <f ca="1">IFERROR(__xludf.DUMMYFUNCTION("""COMPUTED_VALUE"""),".")</f>
        <v>.</v>
      </c>
      <c r="S94" s="6">
        <v>262.89999999999998</v>
      </c>
      <c r="T94" s="4" t="e">
        <f t="shared" ca="1" si="0"/>
        <v>#N/A</v>
      </c>
    </row>
    <row r="95" spans="1:20" ht="12.5">
      <c r="A95" s="4" t="str">
        <f ca="1">IFERROR(__xludf.DUMMYFUNCTION("""COMPUTED_VALUE"""),"TRX1508")</f>
        <v>TRX1508</v>
      </c>
      <c r="B95" s="4" t="str">
        <f ca="1">IFERROR(__xludf.DUMMYFUNCTION("""COMPUTED_VALUE"""),"#8")</f>
        <v>#8</v>
      </c>
      <c r="C95" s="5">
        <f ca="1">IFERROR(__xludf.DUMMYFUNCTION("""COMPUTED_VALUE"""),46072.4173611111)</f>
        <v>46072.417361111096</v>
      </c>
      <c r="D95" s="6">
        <f ca="1">IFERROR(__xludf.DUMMYFUNCTION("""COMPUTED_VALUE"""),23.5)</f>
        <v>23.5</v>
      </c>
      <c r="E95" s="4" t="str">
        <f ca="1">IFERROR(__xludf.DUMMYFUNCTION("""COMPUTED_VALUE"""),"MXN")</f>
        <v>MXN</v>
      </c>
      <c r="F95" s="4" t="str">
        <f ca="1">IFERROR(__xludf.DUMMYFUNCTION("""COMPUTED_VALUE"""),"Jose Ignacio Martinez Flemate")</f>
        <v>Jose Ignacio Martinez Flemate</v>
      </c>
      <c r="G95" s="4" t="str">
        <f ca="1">IFERROR(__xludf.DUMMYFUNCTION("""COMPUTED_VALUE"""),"OXXOSAN ANTONIO 17 MEX CUAUTITLAN EM MEX")</f>
        <v>OXXOSAN ANTONIO 17 MEX CUAUTITLAN EM MEX</v>
      </c>
      <c r="H95" s="4" t="str">
        <f ca="1">IFERROR(__xludf.DUMMYFUNCTION("""COMPUTED_VALUE"""),"Oxxosan Antonio 17 Mex Cuautitlan Em Mex")</f>
        <v>Oxxosan Antonio 17 Mex Cuautitlan Em Mex</v>
      </c>
      <c r="I95" s="4" t="str">
        <f ca="1">IFERROR(__xludf.DUMMYFUNCTION("""COMPUTED_VALUE"""),"Transaction cost")</f>
        <v>Transaction cost</v>
      </c>
      <c r="J95" s="4" t="str">
        <f ca="1">IFERROR(__xludf.DUMMYFUNCTION("""COMPUTED_VALUE"""),"COMIDA   PO2165 - ENSAMBLE UF/CEB MECANICO")</f>
        <v>COMIDA   PO2165 - ENSAMBLE UF/CEB MECANICO</v>
      </c>
      <c r="K95" s="4" t="str">
        <f ca="1">IFERROR(__xludf.DUMMYFUNCTION("""COMPUTED_VALUE"""),".")</f>
        <v>.</v>
      </c>
      <c r="S95" s="6">
        <v>964.63</v>
      </c>
      <c r="T95" s="4" t="e">
        <f t="shared" ca="1" si="0"/>
        <v>#N/A</v>
      </c>
    </row>
    <row r="96" spans="1:20" ht="12.5">
      <c r="A96" s="4" t="str">
        <f ca="1">IFERROR(__xludf.DUMMYFUNCTION("""COMPUTED_VALUE"""),"TRX1931")</f>
        <v>TRX1931</v>
      </c>
      <c r="B96" s="4" t="str">
        <f ca="1">IFERROR(__xludf.DUMMYFUNCTION("""COMPUTED_VALUE"""),"#8")</f>
        <v>#8</v>
      </c>
      <c r="C96" s="5">
        <f ca="1">IFERROR(__xludf.DUMMYFUNCTION("""COMPUTED_VALUE"""),46073.4166666666)</f>
        <v>46073.416666666599</v>
      </c>
      <c r="D96" s="6">
        <f ca="1">IFERROR(__xludf.DUMMYFUNCTION("""COMPUTED_VALUE"""),129)</f>
        <v>129</v>
      </c>
      <c r="E96" s="4" t="str">
        <f ca="1">IFERROR(__xludf.DUMMYFUNCTION("""COMPUTED_VALUE"""),"MXN")</f>
        <v>MXN</v>
      </c>
      <c r="F96" s="4" t="str">
        <f ca="1">IFERROR(__xludf.DUMMYFUNCTION("""COMPUTED_VALUE"""),"Jose Ignacio Martinez Flemate")</f>
        <v>Jose Ignacio Martinez Flemate</v>
      </c>
      <c r="G96" s="4" t="str">
        <f ca="1">IFERROR(__xludf.DUMMYFUNCTION("""COMPUTED_VALUE"""),"CLIP MX*TDA LAMINAS Y  CUAUTITLAN    MEX")</f>
        <v>CLIP MX*TDA LAMINAS Y  CUAUTITLAN    MEX</v>
      </c>
      <c r="H96" s="4" t="str">
        <f ca="1">IFERROR(__xludf.DUMMYFUNCTION("""COMPUTED_VALUE"""),"Clip Mx Tda Laminas Y Cuautitlan Mex")</f>
        <v>Clip Mx Tda Laminas Y Cuautitlan Mex</v>
      </c>
      <c r="I96" s="4" t="str">
        <f ca="1">IFERROR(__xludf.DUMMYFUNCTION("""COMPUTED_VALUE"""),"Transaction cost")</f>
        <v>Transaction cost</v>
      </c>
      <c r="J96" s="4" t="str">
        <f ca="1">IFERROR(__xludf.DUMMYFUNCTION("""COMPUTED_VALUE"""),"INSUMOS PARA PRUEBA DE ADHEDRENCIA  PO2165 - ENSAMBLE UF/CEB MECANICO")</f>
        <v>INSUMOS PARA PRUEBA DE ADHEDRENCIA  PO2165 - ENSAMBLE UF/CEB MECANICO</v>
      </c>
      <c r="K96" s="4" t="str">
        <f ca="1">IFERROR(__xludf.DUMMYFUNCTION("""COMPUTED_VALUE"""),".")</f>
        <v>.</v>
      </c>
      <c r="S96" s="6">
        <v>240.7</v>
      </c>
      <c r="T96" s="4" t="e">
        <f t="shared" ca="1" si="0"/>
        <v>#N/A</v>
      </c>
    </row>
    <row r="97" spans="1:20" ht="12.5">
      <c r="A97" s="4" t="str">
        <f ca="1">IFERROR(__xludf.DUMMYFUNCTION("""COMPUTED_VALUE"""),"TRX1513")</f>
        <v>TRX1513</v>
      </c>
      <c r="B97" s="4" t="str">
        <f ca="1">IFERROR(__xludf.DUMMYFUNCTION("""COMPUTED_VALUE"""),"#8")</f>
        <v>#8</v>
      </c>
      <c r="C97" s="5">
        <f ca="1">IFERROR(__xludf.DUMMYFUNCTION("""COMPUTED_VALUE"""),46073.4166666666)</f>
        <v>46073.416666666599</v>
      </c>
      <c r="D97" s="6">
        <f ca="1">IFERROR(__xludf.DUMMYFUNCTION("""COMPUTED_VALUE"""),1376)</f>
        <v>1376</v>
      </c>
      <c r="E97" s="4" t="str">
        <f ca="1">IFERROR(__xludf.DUMMYFUNCTION("""COMPUTED_VALUE"""),"MXN")</f>
        <v>MXN</v>
      </c>
      <c r="F97" s="4" t="str">
        <f ca="1">IFERROR(__xludf.DUMMYFUNCTION("""COMPUTED_VALUE"""),"Jose Ignacio Martinez Flemate")</f>
        <v>Jose Ignacio Martinez Flemate</v>
      </c>
      <c r="G97" s="4" t="str">
        <f ca="1">IFERROR(__xludf.DUMMYFUNCTION("""COMPUTED_VALUE"""),"HOME DEPOT             CUAUTITLAN IZ MEX")</f>
        <v>HOME DEPOT             CUAUTITLAN IZ MEX</v>
      </c>
      <c r="H97" s="4" t="str">
        <f ca="1">IFERROR(__xludf.DUMMYFUNCTION("""COMPUTED_VALUE"""),"The Home Depot")</f>
        <v>The Home Depot</v>
      </c>
      <c r="I97" s="4" t="str">
        <f ca="1">IFERROR(__xludf.DUMMYFUNCTION("""COMPUTED_VALUE"""),"Transaction cost")</f>
        <v>Transaction cost</v>
      </c>
      <c r="J97" s="4" t="str">
        <f ca="1">IFERROR(__xludf.DUMMYFUNCTION("""COMPUTED_VALUE"""),"EPP E INSUMOS PARA PRUEBA DE ESPESORES DE PINTURA PO2165 - ENSAMBLE UF/CEB MECANICO")</f>
        <v>EPP E INSUMOS PARA PRUEBA DE ESPESORES DE PINTURA PO2165 - ENSAMBLE UF/CEB MECANICO</v>
      </c>
      <c r="K97" s="4" t="str">
        <f ca="1">IFERROR(__xludf.DUMMYFUNCTION("""COMPUTED_VALUE"""),".")</f>
        <v>.</v>
      </c>
      <c r="S97" s="6">
        <v>724</v>
      </c>
      <c r="T97" s="4" t="e">
        <f t="shared" ca="1" si="0"/>
        <v>#N/A</v>
      </c>
    </row>
    <row r="98" spans="1:20" ht="12.5">
      <c r="A98" s="4" t="str">
        <f ca="1">IFERROR(__xludf.DUMMYFUNCTION("""COMPUTED_VALUE"""),"TRX1826")</f>
        <v>TRX1826</v>
      </c>
      <c r="B98" s="4" t="str">
        <f ca="1">IFERROR(__xludf.DUMMYFUNCTION("""COMPUTED_VALUE"""),"#8")</f>
        <v>#8</v>
      </c>
      <c r="C98" s="5">
        <f ca="1">IFERROR(__xludf.DUMMYFUNCTION("""COMPUTED_VALUE"""),46073.4173611111)</f>
        <v>46073.417361111096</v>
      </c>
      <c r="D98" s="6">
        <f ca="1">IFERROR(__xludf.DUMMYFUNCTION("""COMPUTED_VALUE"""),48.5)</f>
        <v>48.5</v>
      </c>
      <c r="E98" s="4" t="str">
        <f ca="1">IFERROR(__xludf.DUMMYFUNCTION("""COMPUTED_VALUE"""),"MXN")</f>
        <v>MXN</v>
      </c>
      <c r="F98" s="4" t="str">
        <f ca="1">IFERROR(__xludf.DUMMYFUNCTION("""COMPUTED_VALUE"""),"Jose Ignacio Martinez Flemate")</f>
        <v>Jose Ignacio Martinez Flemate</v>
      </c>
      <c r="G98" s="4" t="str">
        <f ca="1">IFERROR(__xludf.DUMMYFUNCTION("""COMPUTED_VALUE"""),"OXXOSAN ANTONIO 17 MEX CUAUTITLAN EM MEX")</f>
        <v>OXXOSAN ANTONIO 17 MEX CUAUTITLAN EM MEX</v>
      </c>
      <c r="H98" s="4" t="str">
        <f ca="1">IFERROR(__xludf.DUMMYFUNCTION("""COMPUTED_VALUE"""),"Oxxosan Antonio 17 Mex Cuautitlan Em Mex")</f>
        <v>Oxxosan Antonio 17 Mex Cuautitlan Em Mex</v>
      </c>
      <c r="I98" s="4" t="str">
        <f ca="1">IFERROR(__xludf.DUMMYFUNCTION("""COMPUTED_VALUE"""),"Transaction cost")</f>
        <v>Transaction cost</v>
      </c>
      <c r="J98" s="4" t="str">
        <f ca="1">IFERROR(__xludf.DUMMYFUNCTION("""COMPUTED_VALUE"""),"COMIDA   PO2165 - ENSAMBLE UF/CEB MECANICO")</f>
        <v>COMIDA   PO2165 - ENSAMBLE UF/CEB MECANICO</v>
      </c>
      <c r="K98" s="4" t="str">
        <f ca="1">IFERROR(__xludf.DUMMYFUNCTION("""COMPUTED_VALUE"""),".")</f>
        <v>.</v>
      </c>
      <c r="S98" s="6">
        <v>228</v>
      </c>
      <c r="T98" s="4" t="str">
        <f t="shared" ca="1" si="0"/>
        <v>Karen Alexandra Ballesteros Contreras</v>
      </c>
    </row>
    <row r="99" spans="1:20" ht="12.5">
      <c r="A99" s="4" t="str">
        <f ca="1">IFERROR(__xludf.DUMMYFUNCTION("""COMPUTED_VALUE"""),"TRX2030")</f>
        <v>TRX2030</v>
      </c>
      <c r="B99" s="4" t="str">
        <f ca="1">IFERROR(__xludf.DUMMYFUNCTION("""COMPUTED_VALUE"""),"#8")</f>
        <v>#8</v>
      </c>
      <c r="C99" s="5">
        <f ca="1">IFERROR(__xludf.DUMMYFUNCTION("""COMPUTED_VALUE"""),46073.4173611111)</f>
        <v>46073.417361111096</v>
      </c>
      <c r="D99" s="6">
        <f ca="1">IFERROR(__xludf.DUMMYFUNCTION("""COMPUTED_VALUE"""),1946)</f>
        <v>1946</v>
      </c>
      <c r="E99" s="4" t="str">
        <f ca="1">IFERROR(__xludf.DUMMYFUNCTION("""COMPUTED_VALUE"""),"MXN")</f>
        <v>MXN</v>
      </c>
      <c r="F99" s="4" t="str">
        <f ca="1">IFERROR(__xludf.DUMMYFUNCTION("""COMPUTED_VALUE"""),"Jose Ignacio Martinez Flemate")</f>
        <v>Jose Ignacio Martinez Flemate</v>
      </c>
      <c r="G99" s="4" t="str">
        <f ca="1">IFERROR(__xludf.DUMMYFUNCTION("""COMPUTED_VALUE"""),"REST 2 LA JEFA         CUAUTITLAN EM MEX")</f>
        <v>REST 2 LA JEFA         CUAUTITLAN EM MEX</v>
      </c>
      <c r="H99" s="4" t="str">
        <f ca="1">IFERROR(__xludf.DUMMYFUNCTION("""COMPUTED_VALUE"""),"Rest 2 La Jefa Cuautitlan Em Mex")</f>
        <v>Rest 2 La Jefa Cuautitlan Em Mex</v>
      </c>
      <c r="I99" s="4" t="str">
        <f ca="1">IFERROR(__xludf.DUMMYFUNCTION("""COMPUTED_VALUE"""),"Transaction cost")</f>
        <v>Transaction cost</v>
      </c>
      <c r="J99" s="4" t="str">
        <f ca="1">IFERROR(__xludf.DUMMYFUNCTION("""COMPUTED_VALUE"""),"COMIDA - CENA VISITA A CAMI / VISITA DE CALIDAD VEOLIA PO2165 - ENSAMBLE UF/CEB MECANICO")</f>
        <v>COMIDA - CENA VISITA A CAMI / VISITA DE CALIDAD VEOLIA PO2165 - ENSAMBLE UF/CEB MECANICO</v>
      </c>
      <c r="K99" s="4" t="str">
        <f ca="1">IFERROR(__xludf.DUMMYFUNCTION("""COMPUTED_VALUE"""),".")</f>
        <v>.</v>
      </c>
      <c r="S99" s="6">
        <v>163.94</v>
      </c>
      <c r="T99" s="4" t="e">
        <f t="shared" ca="1" si="0"/>
        <v>#N/A</v>
      </c>
    </row>
    <row r="100" spans="1:20" ht="12.5">
      <c r="A100" s="4" t="str">
        <f ca="1">IFERROR(__xludf.DUMMYFUNCTION("""COMPUTED_VALUE"""),"TRX1117")</f>
        <v>TRX1117</v>
      </c>
      <c r="B100" s="4" t="str">
        <f ca="1">IFERROR(__xludf.DUMMYFUNCTION("""COMPUTED_VALUE"""),"#8")</f>
        <v>#8</v>
      </c>
      <c r="C100" s="5">
        <f ca="1">IFERROR(__xludf.DUMMYFUNCTION("""COMPUTED_VALUE"""),46074.4166666666)</f>
        <v>46074.416666666599</v>
      </c>
      <c r="D100" s="6">
        <f ca="1">IFERROR(__xludf.DUMMYFUNCTION("""COMPUTED_VALUE"""),781.02)</f>
        <v>781.02</v>
      </c>
      <c r="E100" s="4" t="str">
        <f ca="1">IFERROR(__xludf.DUMMYFUNCTION("""COMPUTED_VALUE"""),"MXN")</f>
        <v>MXN</v>
      </c>
      <c r="F100" s="4" t="str">
        <f ca="1">IFERROR(__xludf.DUMMYFUNCTION("""COMPUTED_VALUE"""),"Jose Ignacio Martinez Flemate")</f>
        <v>Jose Ignacio Martinez Flemate</v>
      </c>
      <c r="G100" s="4" t="str">
        <f ca="1">IFERROR(__xludf.DUMMYFUNCTION("""COMPUTED_VALUE"""),"EST DE SERV EUL GUZ    TECAMAC EM    MEX")</f>
        <v>EST DE SERV EUL GUZ    TECAMAC EM    MEX</v>
      </c>
      <c r="H100" s="4" t="str">
        <f ca="1">IFERROR(__xludf.DUMMYFUNCTION("""COMPUTED_VALUE"""),"Est De Serv Eul Guz Tecamac Em Mex")</f>
        <v>Est De Serv Eul Guz Tecamac Em Mex</v>
      </c>
      <c r="I100" s="4" t="str">
        <f ca="1">IFERROR(__xludf.DUMMYFUNCTION("""COMPUTED_VALUE"""),"Transaction cost")</f>
        <v>Transaction cost</v>
      </c>
      <c r="J100" s="4" t="str">
        <f ca="1">IFERROR(__xludf.DUMMYFUNCTION("""COMPUTED_VALUE"""),"GASOLINA VISITA A CAMI PO2165 - ENSAMBLE UF/CEB MECANICO")</f>
        <v>GASOLINA VISITA A CAMI PO2165 - ENSAMBLE UF/CEB MECANICO</v>
      </c>
      <c r="K100" s="4" t="str">
        <f ca="1">IFERROR(__xludf.DUMMYFUNCTION("""COMPUTED_VALUE"""),".")</f>
        <v>.</v>
      </c>
      <c r="S100" s="6">
        <v>172</v>
      </c>
      <c r="T100" s="4" t="e">
        <f t="shared" ca="1" si="0"/>
        <v>#N/A</v>
      </c>
    </row>
    <row r="101" spans="1:20" ht="12.5">
      <c r="A101" s="4" t="str">
        <f ca="1">IFERROR(__xludf.DUMMYFUNCTION("""COMPUTED_VALUE"""),"TRX1127")</f>
        <v>TRX1127</v>
      </c>
      <c r="B101" s="4" t="str">
        <f ca="1">IFERROR(__xludf.DUMMYFUNCTION("""COMPUTED_VALUE"""),"#8")</f>
        <v>#8</v>
      </c>
      <c r="C101" s="5">
        <f ca="1">IFERROR(__xludf.DUMMYFUNCTION("""COMPUTED_VALUE"""),46074.4166666666)</f>
        <v>46074.416666666599</v>
      </c>
      <c r="D101" s="6">
        <f ca="1">IFERROR(__xludf.DUMMYFUNCTION("""COMPUTED_VALUE"""),1510)</f>
        <v>1510</v>
      </c>
      <c r="E101" s="4" t="str">
        <f ca="1">IFERROR(__xludf.DUMMYFUNCTION("""COMPUTED_VALUE"""),"MXN")</f>
        <v>MXN</v>
      </c>
      <c r="F101" s="4" t="str">
        <f ca="1">IFERROR(__xludf.DUMMYFUNCTION("""COMPUTED_VALUE"""),"Jose Ignacio Martinez Flemate")</f>
        <v>Jose Ignacio Martinez Flemate</v>
      </c>
      <c r="G101" s="4" t="str">
        <f ca="1">IFERROR(__xludf.DUMMYFUNCTION("""COMPUTED_VALUE"""),"MERCADOPAGO *PASE      MIGUEL HIDALG MEX")</f>
        <v>MERCADOPAGO *PASE      MIGUEL HIDALG MEX</v>
      </c>
      <c r="H101" s="4" t="str">
        <f ca="1">IFERROR(__xludf.DUMMYFUNCTION("""COMPUTED_VALUE"""),"Mercadopago")</f>
        <v>Mercadopago</v>
      </c>
      <c r="I101" s="4" t="str">
        <f ca="1">IFERROR(__xludf.DUMMYFUNCTION("""COMPUTED_VALUE"""),"Transaction cost")</f>
        <v>Transaction cost</v>
      </c>
      <c r="J101" s="4" t="str">
        <f ca="1">IFERROR(__xludf.DUMMYFUNCTION("""COMPUTED_VALUE"""),"CASETAS VISITA VISITA A ESCATO PO2165 - ENSAMBLE UF/CEB MECANICO")</f>
        <v>CASETAS VISITA VISITA A ESCATO PO2165 - ENSAMBLE UF/CEB MECANICO</v>
      </c>
      <c r="K101" s="4" t="str">
        <f ca="1">IFERROR(__xludf.DUMMYFUNCTION("""COMPUTED_VALUE"""),".")</f>
        <v>.</v>
      </c>
      <c r="S101" s="6">
        <v>61</v>
      </c>
      <c r="T101" s="4" t="str">
        <f t="shared" ca="1" si="0"/>
        <v>Karen Alexandra Ballesteros Contreras</v>
      </c>
    </row>
    <row r="102" spans="1:20" ht="12.5">
      <c r="A102" s="4" t="str">
        <f ca="1">IFERROR(__xludf.DUMMYFUNCTION("""COMPUTED_VALUE"""),"TRX1085")</f>
        <v>TRX1085</v>
      </c>
      <c r="B102" s="4" t="str">
        <f ca="1">IFERROR(__xludf.DUMMYFUNCTION("""COMPUTED_VALUE"""),"#8")</f>
        <v>#8</v>
      </c>
      <c r="C102" s="5">
        <f ca="1">IFERROR(__xludf.DUMMYFUNCTION("""COMPUTED_VALUE"""),46074.4166666666)</f>
        <v>46074.416666666599</v>
      </c>
      <c r="D102" s="6">
        <f ca="1">IFERROR(__xludf.DUMMYFUNCTION("""COMPUTED_VALUE"""),115)</f>
        <v>115</v>
      </c>
      <c r="E102" s="4" t="str">
        <f ca="1">IFERROR(__xludf.DUMMYFUNCTION("""COMPUTED_VALUE"""),"MXN")</f>
        <v>MXN</v>
      </c>
      <c r="F102" s="4" t="str">
        <f ca="1">IFERROR(__xludf.DUMMYFUNCTION("""COMPUTED_VALUE"""),"Jose Ignacio Martinez Flemate")</f>
        <v>Jose Ignacio Martinez Flemate</v>
      </c>
      <c r="G102" s="4" t="str">
        <f ca="1">IFERROR(__xludf.DUMMYFUNCTION("""COMPUTED_VALUE"""),"MERCADOPAGO *COMLOSOL  Tecamac       MEX")</f>
        <v>MERCADOPAGO *COMLOSOL  Tecamac       MEX</v>
      </c>
      <c r="H102" s="4" t="str">
        <f ca="1">IFERROR(__xludf.DUMMYFUNCTION("""COMPUTED_VALUE"""),"Mercadopago")</f>
        <v>Mercadopago</v>
      </c>
      <c r="I102" s="4" t="str">
        <f ca="1">IFERROR(__xludf.DUMMYFUNCTION("""COMPUTED_VALUE"""),"Transaction cost")</f>
        <v>Transaction cost</v>
      </c>
      <c r="J102" s="4" t="str">
        <f ca="1">IFERROR(__xludf.DUMMYFUNCTION("""COMPUTED_VALUE"""),"CENA   PO2165 - ENSAMBLE UF/CEB MECANICO")</f>
        <v>CENA   PO2165 - ENSAMBLE UF/CEB MECANICO</v>
      </c>
      <c r="K102" s="4" t="str">
        <f ca="1">IFERROR(__xludf.DUMMYFUNCTION("""COMPUTED_VALUE"""),".")</f>
        <v>.</v>
      </c>
      <c r="S102" s="6">
        <v>196.37</v>
      </c>
      <c r="T102" s="4" t="e">
        <f t="shared" ca="1" si="0"/>
        <v>#N/A</v>
      </c>
    </row>
    <row r="103" spans="1:20" ht="12.5">
      <c r="A103" s="4" t="str">
        <f ca="1">IFERROR(__xludf.DUMMYFUNCTION("""COMPUTED_VALUE"""),"TRX1075")</f>
        <v>TRX1075</v>
      </c>
      <c r="B103" s="4" t="str">
        <f ca="1">IFERROR(__xludf.DUMMYFUNCTION("""COMPUTED_VALUE"""),"#8")</f>
        <v>#8</v>
      </c>
      <c r="C103" s="5">
        <f ca="1">IFERROR(__xludf.DUMMYFUNCTION("""COMPUTED_VALUE"""),46075.4173611111)</f>
        <v>46075.417361111096</v>
      </c>
      <c r="D103" s="6">
        <f ca="1">IFERROR(__xludf.DUMMYFUNCTION("""COMPUTED_VALUE"""),55)</f>
        <v>55</v>
      </c>
      <c r="E103" s="4" t="str">
        <f ca="1">IFERROR(__xludf.DUMMYFUNCTION("""COMPUTED_VALUE"""),"MXN")</f>
        <v>MXN</v>
      </c>
      <c r="F103" s="4" t="str">
        <f ca="1">IFERROR(__xludf.DUMMYFUNCTION("""COMPUTED_VALUE"""),"Jose Ignacio Martinez Flemate")</f>
        <v>Jose Ignacio Martinez Flemate</v>
      </c>
      <c r="G103" s="4" t="str">
        <f ca="1">IFERROR(__xludf.DUMMYFUNCTION("""COMPUTED_VALUE"""),"DLO*Uber               CDMX          MEX")</f>
        <v>DLO*Uber               CDMX          MEX</v>
      </c>
      <c r="H103" s="4" t="str">
        <f ca="1">IFERROR(__xludf.DUMMYFUNCTION("""COMPUTED_VALUE"""),"Uber")</f>
        <v>Uber</v>
      </c>
      <c r="I103" s="4" t="str">
        <f ca="1">IFERROR(__xludf.DUMMYFUNCTION("""COMPUTED_VALUE"""),"Transaction cost")</f>
        <v>Transaction cost</v>
      </c>
      <c r="J103" s="4" t="str">
        <f ca="1">IFERROR(__xludf.DUMMYFUNCTION("""COMPUTED_VALUE"""),"CASETAS POR VISITA A CAMI (NO CIRCULA) PO2165 - ENSAMBLE UF/CEB MECANICO")</f>
        <v>CASETAS POR VISITA A CAMI (NO CIRCULA) PO2165 - ENSAMBLE UF/CEB MECANICO</v>
      </c>
      <c r="K103" s="4" t="str">
        <f ca="1">IFERROR(__xludf.DUMMYFUNCTION("""COMPUTED_VALUE"""),".")</f>
        <v>.</v>
      </c>
      <c r="S103" s="6">
        <v>2761.03</v>
      </c>
      <c r="T103" s="4" t="e">
        <f t="shared" ca="1" si="0"/>
        <v>#N/A</v>
      </c>
    </row>
    <row r="104" spans="1:20" ht="12.5">
      <c r="A104" s="4" t="str">
        <f ca="1">IFERROR(__xludf.DUMMYFUNCTION("""COMPUTED_VALUE"""),"TRX1078")</f>
        <v>TRX1078</v>
      </c>
      <c r="B104" s="4" t="str">
        <f ca="1">IFERROR(__xludf.DUMMYFUNCTION("""COMPUTED_VALUE"""),"#8")</f>
        <v>#8</v>
      </c>
      <c r="C104" s="5">
        <f ca="1">IFERROR(__xludf.DUMMYFUNCTION("""COMPUTED_VALUE"""),46075.4173611111)</f>
        <v>46075.417361111096</v>
      </c>
      <c r="D104" s="6">
        <f ca="1">IFERROR(__xludf.DUMMYFUNCTION("""COMPUTED_VALUE"""),182)</f>
        <v>182</v>
      </c>
      <c r="E104" s="4" t="str">
        <f ca="1">IFERROR(__xludf.DUMMYFUNCTION("""COMPUTED_VALUE"""),"MXN")</f>
        <v>MXN</v>
      </c>
      <c r="F104" s="4" t="str">
        <f ca="1">IFERROR(__xludf.DUMMYFUNCTION("""COMPUTED_VALUE"""),"Jose Ignacio Martinez Flemate")</f>
        <v>Jose Ignacio Martinez Flemate</v>
      </c>
      <c r="G104" s="4" t="str">
        <f ca="1">IFERROR(__xludf.DUMMYFUNCTION("""COMPUTED_VALUE"""),"DLO*Uber               CDMX          MEX")</f>
        <v>DLO*Uber               CDMX          MEX</v>
      </c>
      <c r="H104" s="4" t="str">
        <f ca="1">IFERROR(__xludf.DUMMYFUNCTION("""COMPUTED_VALUE"""),"Uber")</f>
        <v>Uber</v>
      </c>
      <c r="I104" s="4" t="str">
        <f ca="1">IFERROR(__xludf.DUMMYFUNCTION("""COMPUTED_VALUE"""),"Transaction cost")</f>
        <v>Transaction cost</v>
      </c>
      <c r="J104" s="4" t="str">
        <f ca="1">IFERROR(__xludf.DUMMYFUNCTION("""COMPUTED_VALUE"""),"CASETAS POR VISITA A CAMI (NO CIRCULA) PO2165 - ENSAMBLE UF/CEB MECANICO")</f>
        <v>CASETAS POR VISITA A CAMI (NO CIRCULA) PO2165 - ENSAMBLE UF/CEB MECANICO</v>
      </c>
      <c r="K104" s="4" t="str">
        <f ca="1">IFERROR(__xludf.DUMMYFUNCTION("""COMPUTED_VALUE"""),".")</f>
        <v>.</v>
      </c>
      <c r="S104" s="6">
        <v>245</v>
      </c>
      <c r="T104" s="4" t="str">
        <f t="shared" ca="1" si="0"/>
        <v>Erik Castillo</v>
      </c>
    </row>
    <row r="105" spans="1:20" ht="12.5">
      <c r="A105" s="4" t="str">
        <f ca="1">IFERROR(__xludf.DUMMYFUNCTION("""COMPUTED_VALUE"""),"TRX1244")</f>
        <v>TRX1244</v>
      </c>
      <c r="B105" s="4" t="str">
        <f ca="1">IFERROR(__xludf.DUMMYFUNCTION("""COMPUTED_VALUE"""),"#9")</f>
        <v>#9</v>
      </c>
      <c r="C105" s="5">
        <f ca="1">IFERROR(__xludf.DUMMYFUNCTION("""COMPUTED_VALUE"""),46058.4166666666)</f>
        <v>46058.416666666599</v>
      </c>
      <c r="D105" s="6">
        <f ca="1">IFERROR(__xludf.DUMMYFUNCTION("""COMPUTED_VALUE"""),700)</f>
        <v>700</v>
      </c>
      <c r="E105" s="4" t="str">
        <f ca="1">IFERROR(__xludf.DUMMYFUNCTION("""COMPUTED_VALUE"""),"MXN")</f>
        <v>MXN</v>
      </c>
      <c r="F105" s="4" t="str">
        <f ca="1">IFERROR(__xludf.DUMMYFUNCTION("""COMPUTED_VALUE"""),"Jose Maria Garcia Hernandez")</f>
        <v>Jose Maria Garcia Hernandez</v>
      </c>
      <c r="G105" s="4" t="str">
        <f ca="1">IFERROR(__xludf.DUMMYFUNCTION("""COMPUTED_VALUE"""),"GASOLINERIA ES 06254   HUIXQUILUCAN  MEX")</f>
        <v>GASOLINERIA ES 06254   HUIXQUILUCAN  MEX</v>
      </c>
      <c r="H105" s="4" t="str">
        <f ca="1">IFERROR(__xludf.DUMMYFUNCTION("""COMPUTED_VALUE"""),"Gasolineria Es Huixquilucan Mex")</f>
        <v>Gasolineria Es Huixquilucan Mex</v>
      </c>
      <c r="I105" s="4" t="str">
        <f ca="1">IFERROR(__xludf.DUMMYFUNCTION("""COMPUTED_VALUE"""),"Sales")</f>
        <v>Sales</v>
      </c>
      <c r="J105" s="4" t="str">
        <f ca="1">IFERROR(__xludf.DUMMYFUNCTION("""COMPUTED_VALUE"""),"Vuelo Mty Grupo GI ")</f>
        <v xml:space="preserve">Vuelo Mty Grupo GI </v>
      </c>
      <c r="K105" s="4" t="str">
        <f ca="1">IFERROR(__xludf.DUMMYFUNCTION("""COMPUTED_VALUE"""),".")</f>
        <v>.</v>
      </c>
      <c r="S105" s="6">
        <v>129.54</v>
      </c>
      <c r="T105" s="4" t="e">
        <f t="shared" ca="1" si="0"/>
        <v>#N/A</v>
      </c>
    </row>
    <row r="106" spans="1:20" ht="12.5">
      <c r="A106" s="4" t="str">
        <f ca="1">IFERROR(__xludf.DUMMYFUNCTION("""COMPUTED_VALUE"""),"TRX1237")</f>
        <v>TRX1237</v>
      </c>
      <c r="B106" s="4" t="str">
        <f ca="1">IFERROR(__xludf.DUMMYFUNCTION("""COMPUTED_VALUE"""),"#9")</f>
        <v>#9</v>
      </c>
      <c r="C106" s="5">
        <f ca="1">IFERROR(__xludf.DUMMYFUNCTION("""COMPUTED_VALUE"""),46058.4166666666)</f>
        <v>46058.416666666599</v>
      </c>
      <c r="D106" s="6">
        <f ca="1">IFERROR(__xludf.DUMMYFUNCTION("""COMPUTED_VALUE"""),210)</f>
        <v>210</v>
      </c>
      <c r="E106" s="4" t="str">
        <f ca="1">IFERROR(__xludf.DUMMYFUNCTION("""COMPUTED_VALUE"""),"MXN")</f>
        <v>MXN</v>
      </c>
      <c r="F106" s="4" t="str">
        <f ca="1">IFERROR(__xludf.DUMMYFUNCTION("""COMPUTED_VALUE"""),"Jose Maria Garcia Hernandez")</f>
        <v>Jose Maria Garcia Hernandez</v>
      </c>
      <c r="G106" s="4" t="str">
        <f ca="1">IFERROR(__xludf.DUMMYFUNCTION("""COMPUTED_VALUE"""),"MERCADOPAGO *PASE      MIGUEL HIDALG MEX")</f>
        <v>MERCADOPAGO *PASE      MIGUEL HIDALG MEX</v>
      </c>
      <c r="H106" s="4" t="str">
        <f ca="1">IFERROR(__xludf.DUMMYFUNCTION("""COMPUTED_VALUE"""),"Mercadopago")</f>
        <v>Mercadopago</v>
      </c>
      <c r="I106" s="4" t="str">
        <f ca="1">IFERROR(__xludf.DUMMYFUNCTION("""COMPUTED_VALUE"""),"Sales")</f>
        <v>Sales</v>
      </c>
      <c r="J106" s="4" t="str">
        <f ca="1">IFERROR(__xludf.DUMMYFUNCTION("""COMPUTED_VALUE"""),"Comida 2KDC")</f>
        <v>Comida 2KDC</v>
      </c>
      <c r="K106" s="4" t="str">
        <f ca="1">IFERROR(__xludf.DUMMYFUNCTION("""COMPUTED_VALUE"""),".")</f>
        <v>.</v>
      </c>
      <c r="S106" s="6">
        <v>166.3</v>
      </c>
      <c r="T106" s="4" t="e">
        <f t="shared" ca="1" si="0"/>
        <v>#N/A</v>
      </c>
    </row>
    <row r="107" spans="1:20" ht="12.5">
      <c r="A107" s="4" t="str">
        <f ca="1">IFERROR(__xludf.DUMMYFUNCTION("""COMPUTED_VALUE"""),"TRX1346")</f>
        <v>TRX1346</v>
      </c>
      <c r="B107" s="4" t="str">
        <f ca="1">IFERROR(__xludf.DUMMYFUNCTION("""COMPUTED_VALUE"""),"#9")</f>
        <v>#9</v>
      </c>
      <c r="C107" s="5">
        <f ca="1">IFERROR(__xludf.DUMMYFUNCTION("""COMPUTED_VALUE"""),46060.4166666666)</f>
        <v>46060.416666666599</v>
      </c>
      <c r="D107" s="6">
        <f ca="1">IFERROR(__xludf.DUMMYFUNCTION("""COMPUTED_VALUE"""),510)</f>
        <v>510</v>
      </c>
      <c r="E107" s="4" t="str">
        <f ca="1">IFERROR(__xludf.DUMMYFUNCTION("""COMPUTED_VALUE"""),"MXN")</f>
        <v>MXN</v>
      </c>
      <c r="F107" s="4" t="str">
        <f ca="1">IFERROR(__xludf.DUMMYFUNCTION("""COMPUTED_VALUE"""),"Jose Maria Garcia Hernandez")</f>
        <v>Jose Maria Garcia Hernandez</v>
      </c>
      <c r="G107" s="4" t="str">
        <f ca="1">IFERROR(__xludf.DUMMYFUNCTION("""COMPUTED_VALUE"""),"MERCADOPAGO *PASE      MIGUEL HIDALG MEX")</f>
        <v>MERCADOPAGO *PASE      MIGUEL HIDALG MEX</v>
      </c>
      <c r="H107" s="4" t="str">
        <f ca="1">IFERROR(__xludf.DUMMYFUNCTION("""COMPUTED_VALUE"""),"Mercadopago")</f>
        <v>Mercadopago</v>
      </c>
      <c r="I107" s="4" t="str">
        <f ca="1">IFERROR(__xludf.DUMMYFUNCTION("""COMPUTED_VALUE"""),"Sales")</f>
        <v>Sales</v>
      </c>
      <c r="J107" s="4" t="str">
        <f ca="1">IFERROR(__xludf.DUMMYFUNCTION("""COMPUTED_VALUE"""),"TAG ")</f>
        <v xml:space="preserve">TAG </v>
      </c>
      <c r="K107" s="4" t="str">
        <f ca="1">IFERROR(__xludf.DUMMYFUNCTION("""COMPUTED_VALUE"""),".")</f>
        <v>.</v>
      </c>
      <c r="S107" s="6">
        <v>1123.19</v>
      </c>
      <c r="T107" s="4" t="e">
        <f t="shared" ca="1" si="0"/>
        <v>#N/A</v>
      </c>
    </row>
    <row r="108" spans="1:20" ht="12.5">
      <c r="A108" s="4" t="str">
        <f ca="1">IFERROR(__xludf.DUMMYFUNCTION("""COMPUTED_VALUE"""),"TRX1435")</f>
        <v>TRX1435</v>
      </c>
      <c r="B108" s="4" t="str">
        <f ca="1">IFERROR(__xludf.DUMMYFUNCTION("""COMPUTED_VALUE"""),"#9")</f>
        <v>#9</v>
      </c>
      <c r="C108" s="5">
        <f ca="1">IFERROR(__xludf.DUMMYFUNCTION("""COMPUTED_VALUE"""),46063.4166666666)</f>
        <v>46063.416666666599</v>
      </c>
      <c r="D108" s="6">
        <f ca="1">IFERROR(__xludf.DUMMYFUNCTION("""COMPUTED_VALUE"""),810)</f>
        <v>810</v>
      </c>
      <c r="E108" s="4" t="str">
        <f ca="1">IFERROR(__xludf.DUMMYFUNCTION("""COMPUTED_VALUE"""),"MXN")</f>
        <v>MXN</v>
      </c>
      <c r="F108" s="4" t="str">
        <f ca="1">IFERROR(__xludf.DUMMYFUNCTION("""COMPUTED_VALUE"""),"Jose Maria Garcia Hernandez")</f>
        <v>Jose Maria Garcia Hernandez</v>
      </c>
      <c r="G108" s="4" t="str">
        <f ca="1">IFERROR(__xludf.DUMMYFUNCTION("""COMPUTED_VALUE"""),"MERCADOPAGO *PASE      MIGUEL HIDALG MEX")</f>
        <v>MERCADOPAGO *PASE      MIGUEL HIDALG MEX</v>
      </c>
      <c r="H108" s="4" t="str">
        <f ca="1">IFERROR(__xludf.DUMMYFUNCTION("""COMPUTED_VALUE"""),"Mercadopago")</f>
        <v>Mercadopago</v>
      </c>
      <c r="I108" s="4" t="str">
        <f ca="1">IFERROR(__xludf.DUMMYFUNCTION("""COMPUTED_VALUE"""),"Sales")</f>
        <v>Sales</v>
      </c>
      <c r="J108" s="4" t="str">
        <f ca="1">IFERROR(__xludf.DUMMYFUNCTION("""COMPUTED_VALUE"""),"TAXI MTY")</f>
        <v>TAXI MTY</v>
      </c>
      <c r="K108" s="4" t="str">
        <f ca="1">IFERROR(__xludf.DUMMYFUNCTION("""COMPUTED_VALUE"""),".")</f>
        <v>.</v>
      </c>
      <c r="S108" s="6">
        <v>794.8</v>
      </c>
      <c r="T108" s="4" t="e">
        <f t="shared" ca="1" si="0"/>
        <v>#N/A</v>
      </c>
    </row>
    <row r="109" spans="1:20" ht="12.5">
      <c r="A109" s="4" t="str">
        <f ca="1">IFERROR(__xludf.DUMMYFUNCTION("""COMPUTED_VALUE"""),"TRX1018")</f>
        <v>TRX1018</v>
      </c>
      <c r="B109" s="4" t="str">
        <f ca="1">IFERROR(__xludf.DUMMYFUNCTION("""COMPUTED_VALUE"""),"#9")</f>
        <v>#9</v>
      </c>
      <c r="C109" s="5">
        <f ca="1">IFERROR(__xludf.DUMMYFUNCTION("""COMPUTED_VALUE"""),46067.4166666666)</f>
        <v>46067.416666666599</v>
      </c>
      <c r="D109" s="6">
        <f ca="1">IFERROR(__xludf.DUMMYFUNCTION("""COMPUTED_VALUE"""),3777)</f>
        <v>3777</v>
      </c>
      <c r="E109" s="4" t="str">
        <f ca="1">IFERROR(__xludf.DUMMYFUNCTION("""COMPUTED_VALUE"""),"MXN")</f>
        <v>MXN</v>
      </c>
      <c r="F109" s="4" t="str">
        <f ca="1">IFERROR(__xludf.DUMMYFUNCTION("""COMPUTED_VALUE"""),"Jose Maria Garcia Hernandez")</f>
        <v>Jose Maria Garcia Hernandez</v>
      </c>
      <c r="G109" s="4" t="str">
        <f ca="1">IFERROR(__xludf.DUMMYFUNCTION("""COMPUTED_VALUE"""),"FISHERS HOUSE SATELITE NAUCALPAN DE  MEX")</f>
        <v>FISHERS HOUSE SATELITE NAUCALPAN DE  MEX</v>
      </c>
      <c r="H109" s="4" t="str">
        <f ca="1">IFERROR(__xludf.DUMMYFUNCTION("""COMPUTED_VALUE"""),"Fishers House Satelite Naucalpan De Mex")</f>
        <v>Fishers House Satelite Naucalpan De Mex</v>
      </c>
      <c r="I109" s="4" t="str">
        <f ca="1">IFERROR(__xludf.DUMMYFUNCTION("""COMPUTED_VALUE"""),"Sales")</f>
        <v>Sales</v>
      </c>
      <c r="J109" s="4" t="str">
        <f ca="1">IFERROR(__xludf.DUMMYFUNCTION("""COMPUTED_VALUE"""),"Desayuno con Fabian de grupo GI")</f>
        <v>Desayuno con Fabian de grupo GI</v>
      </c>
      <c r="K109" s="4" t="str">
        <f ca="1">IFERROR(__xludf.DUMMYFUNCTION("""COMPUTED_VALUE"""),".")</f>
        <v>.</v>
      </c>
      <c r="S109" s="6">
        <v>500</v>
      </c>
      <c r="T109" s="4" t="str">
        <f t="shared" ca="1" si="0"/>
        <v>Fernando Sanchez Toledano</v>
      </c>
    </row>
    <row r="110" spans="1:20" ht="12.5">
      <c r="A110" s="4" t="str">
        <f ca="1">IFERROR(__xludf.DUMMYFUNCTION("""COMPUTED_VALUE"""),"TRX1166")</f>
        <v>TRX1166</v>
      </c>
      <c r="B110" s="4" t="str">
        <f ca="1">IFERROR(__xludf.DUMMYFUNCTION("""COMPUTED_VALUE"""),"#9")</f>
        <v>#9</v>
      </c>
      <c r="C110" s="5">
        <f ca="1">IFERROR(__xludf.DUMMYFUNCTION("""COMPUTED_VALUE"""),46072.4173611111)</f>
        <v>46072.417361111096</v>
      </c>
      <c r="D110" s="6">
        <f ca="1">IFERROR(__xludf.DUMMYFUNCTION("""COMPUTED_VALUE"""),500)</f>
        <v>500</v>
      </c>
      <c r="E110" s="4" t="str">
        <f ca="1">IFERROR(__xludf.DUMMYFUNCTION("""COMPUTED_VALUE"""),"MXN")</f>
        <v>MXN</v>
      </c>
      <c r="F110" s="4" t="str">
        <f ca="1">IFERROR(__xludf.DUMMYFUNCTION("""COMPUTED_VALUE"""),"Jose Maria Garcia Hernandez")</f>
        <v>Jose Maria Garcia Hernandez</v>
      </c>
      <c r="G110" s="4" t="str">
        <f ca="1">IFERROR(__xludf.DUMMYFUNCTION("""COMPUTED_VALUE"""),"GASOL VALERO LOMALINDA CIUDAD DE MEX MEX")</f>
        <v>GASOL VALERO LOMALINDA CIUDAD DE MEX MEX</v>
      </c>
      <c r="H110" s="4" t="str">
        <f ca="1">IFERROR(__xludf.DUMMYFUNCTION("""COMPUTED_VALUE"""),"Gasol Valero Lomalinda Ciudad De Mex Mex")</f>
        <v>Gasol Valero Lomalinda Ciudad De Mex Mex</v>
      </c>
      <c r="I110" s="4" t="str">
        <f ca="1">IFERROR(__xludf.DUMMYFUNCTION("""COMPUTED_VALUE"""),"Sales")</f>
        <v>Sales</v>
      </c>
      <c r="J110" s="4" t="str">
        <f ca="1">IFERROR(__xludf.DUMMYFUNCTION("""COMPUTED_VALUE"""),"Hotel mty ")</f>
        <v xml:space="preserve">Hotel mty </v>
      </c>
      <c r="K110" s="4" t="str">
        <f ca="1">IFERROR(__xludf.DUMMYFUNCTION("""COMPUTED_VALUE"""),".")</f>
        <v>.</v>
      </c>
      <c r="S110" s="6">
        <v>900</v>
      </c>
      <c r="T110" s="4" t="e">
        <f t="shared" ca="1" si="0"/>
        <v>#N/A</v>
      </c>
    </row>
    <row r="111" spans="1:20" ht="12.5">
      <c r="A111" s="4" t="str">
        <f ca="1">IFERROR(__xludf.DUMMYFUNCTION("""COMPUTED_VALUE"""),"TRX1070")</f>
        <v>TRX1070</v>
      </c>
      <c r="B111" s="4" t="str">
        <f ca="1">IFERROR(__xludf.DUMMYFUNCTION("""COMPUTED_VALUE"""),"#9")</f>
        <v>#9</v>
      </c>
      <c r="C111" s="5">
        <f ca="1">IFERROR(__xludf.DUMMYFUNCTION("""COMPUTED_VALUE"""),46072.4173611111)</f>
        <v>46072.417361111096</v>
      </c>
      <c r="D111" s="6">
        <f ca="1">IFERROR(__xludf.DUMMYFUNCTION("""COMPUTED_VALUE"""),1432.9)</f>
        <v>1432.9</v>
      </c>
      <c r="E111" s="4" t="str">
        <f ca="1">IFERROR(__xludf.DUMMYFUNCTION("""COMPUTED_VALUE"""),"MXN")</f>
        <v>MXN</v>
      </c>
      <c r="F111" s="4" t="str">
        <f ca="1">IFERROR(__xludf.DUMMYFUNCTION("""COMPUTED_VALUE"""),"Jose Maria Garcia Hernandez")</f>
        <v>Jose Maria Garcia Hernandez</v>
      </c>
      <c r="G111" s="4" t="str">
        <f ca="1">IFERROR(__xludf.DUMMYFUNCTION("""COMPUTED_VALUE"""),"REST SLIDERS           CIUDAD DE MEX MEX")</f>
        <v>REST SLIDERS           CIUDAD DE MEX MEX</v>
      </c>
      <c r="H111" s="4" t="str">
        <f ca="1">IFERROR(__xludf.DUMMYFUNCTION("""COMPUTED_VALUE"""),"Rest Sliders Ciudad De Mex Mex")</f>
        <v>Rest Sliders Ciudad De Mex Mex</v>
      </c>
      <c r="I111" s="4" t="str">
        <f ca="1">IFERROR(__xludf.DUMMYFUNCTION("""COMPUTED_VALUE"""),"Sales")</f>
        <v>Sales</v>
      </c>
      <c r="J111" s="4" t="str">
        <f ca="1">IFERROR(__xludf.DUMMYFUNCTION("""COMPUTED_VALUE"""),"Uber")</f>
        <v>Uber</v>
      </c>
      <c r="K111" s="4" t="str">
        <f ca="1">IFERROR(__xludf.DUMMYFUNCTION("""COMPUTED_VALUE"""),".")</f>
        <v>.</v>
      </c>
      <c r="S111" s="6">
        <v>469.54</v>
      </c>
      <c r="T111" s="4" t="e">
        <f t="shared" ca="1" si="0"/>
        <v>#N/A</v>
      </c>
    </row>
    <row r="112" spans="1:20" ht="12.5">
      <c r="A112" s="4" t="str">
        <f ca="1">IFERROR(__xludf.DUMMYFUNCTION("""COMPUTED_VALUE"""),"TRX1413")</f>
        <v>TRX1413</v>
      </c>
      <c r="B112" s="4" t="str">
        <f ca="1">IFERROR(__xludf.DUMMYFUNCTION("""COMPUTED_VALUE"""),"#9")</f>
        <v>#9</v>
      </c>
      <c r="C112" s="5">
        <f ca="1">IFERROR(__xludf.DUMMYFUNCTION("""COMPUTED_VALUE"""),46074.4166666666)</f>
        <v>46074.416666666599</v>
      </c>
      <c r="D112" s="6">
        <f ca="1">IFERROR(__xludf.DUMMYFUNCTION("""COMPUTED_VALUE"""),1555.95)</f>
        <v>1555.95</v>
      </c>
      <c r="E112" s="4" t="str">
        <f ca="1">IFERROR(__xludf.DUMMYFUNCTION("""COMPUTED_VALUE"""),"MXN")</f>
        <v>MXN</v>
      </c>
      <c r="F112" s="4" t="str">
        <f ca="1">IFERROR(__xludf.DUMMYFUNCTION("""COMPUTED_VALUE"""),"Jose Maria Garcia Hernandez")</f>
        <v>Jose Maria Garcia Hernandez</v>
      </c>
      <c r="G112" s="4" t="str">
        <f ca="1">IFERROR(__xludf.DUMMYFUNCTION("""COMPUTED_VALUE"""),"LE PAIN QUOTIDIEN      CIUDAD DE MEX MEX")</f>
        <v>LE PAIN QUOTIDIEN      CIUDAD DE MEX MEX</v>
      </c>
      <c r="H112" s="4" t="str">
        <f ca="1">IFERROR(__xludf.DUMMYFUNCTION("""COMPUTED_VALUE"""),"Le Pain Quotidien")</f>
        <v>Le Pain Quotidien</v>
      </c>
      <c r="I112" s="4" t="str">
        <f ca="1">IFERROR(__xludf.DUMMYFUNCTION("""COMPUTED_VALUE"""),"Sales")</f>
        <v>Sales</v>
      </c>
      <c r="J112" s="4" t="str">
        <f ca="1">IFERROR(__xludf.DUMMYFUNCTION("""COMPUTED_VALUE"""),"Comida Mty viatico")</f>
        <v>Comida Mty viatico</v>
      </c>
      <c r="K112" s="4" t="str">
        <f ca="1">IFERROR(__xludf.DUMMYFUNCTION("""COMPUTED_VALUE"""),".")</f>
        <v>.</v>
      </c>
      <c r="S112" s="6">
        <v>384.43</v>
      </c>
      <c r="T112" s="4" t="e">
        <f t="shared" ca="1" si="0"/>
        <v>#N/A</v>
      </c>
    </row>
    <row r="113" spans="1:20" ht="12.5">
      <c r="A113" s="4" t="str">
        <f ca="1">IFERROR(__xludf.DUMMYFUNCTION("""COMPUTED_VALUE"""),"TRX1132")</f>
        <v>TRX1132</v>
      </c>
      <c r="B113" s="4" t="str">
        <f ca="1">IFERROR(__xludf.DUMMYFUNCTION("""COMPUTED_VALUE"""),"#9")</f>
        <v>#9</v>
      </c>
      <c r="C113" s="5">
        <f ca="1">IFERROR(__xludf.DUMMYFUNCTION("""COMPUTED_VALUE"""),46078.4166666666)</f>
        <v>46078.416666666599</v>
      </c>
      <c r="D113" s="6">
        <f ca="1">IFERROR(__xludf.DUMMYFUNCTION("""COMPUTED_VALUE"""),500)</f>
        <v>500</v>
      </c>
      <c r="E113" s="4" t="str">
        <f ca="1">IFERROR(__xludf.DUMMYFUNCTION("""COMPUTED_VALUE"""),"MXN")</f>
        <v>MXN</v>
      </c>
      <c r="F113" s="4" t="str">
        <f ca="1">IFERROR(__xludf.DUMMYFUNCTION("""COMPUTED_VALUE"""),"Jose Maria Garcia Hernandez")</f>
        <v>Jose Maria Garcia Hernandez</v>
      </c>
      <c r="G113" s="4" t="str">
        <f ca="1">IFERROR(__xludf.DUMMYFUNCTION("""COMPUTED_VALUE"""),"GASOL VEVEGA           HUIXQUILUCAN  MEX")</f>
        <v>GASOL VEVEGA           HUIXQUILUCAN  MEX</v>
      </c>
      <c r="H113" s="4" t="str">
        <f ca="1">IFERROR(__xludf.DUMMYFUNCTION("""COMPUTED_VALUE"""),"Gasol Vevega Huixquilucan Mex")</f>
        <v>Gasol Vevega Huixquilucan Mex</v>
      </c>
      <c r="I113" s="4" t="str">
        <f ca="1">IFERROR(__xludf.DUMMYFUNCTION("""COMPUTED_VALUE"""),"Sales")</f>
        <v>Sales</v>
      </c>
      <c r="J113" s="4" t="str">
        <f ca="1">IFERROR(__xludf.DUMMYFUNCTION("""COMPUTED_VALUE"""),"uber")</f>
        <v>uber</v>
      </c>
      <c r="K113" s="4" t="str">
        <f ca="1">IFERROR(__xludf.DUMMYFUNCTION("""COMPUTED_VALUE"""),".")</f>
        <v>.</v>
      </c>
      <c r="S113" s="6">
        <v>472</v>
      </c>
      <c r="T113" s="4" t="e">
        <f t="shared" ca="1" si="0"/>
        <v>#N/A</v>
      </c>
    </row>
    <row r="114" spans="1:20" ht="12.5">
      <c r="A114" s="4" t="str">
        <f ca="1">IFERROR(__xludf.DUMMYFUNCTION("""COMPUTED_VALUE"""),"#N/A")</f>
        <v>#N/A</v>
      </c>
      <c r="B114" s="4"/>
      <c r="C114" s="4"/>
      <c r="D114" s="4" t="str">
        <f ca="1">IFERROR(__xludf.DUMMYFUNCTION("""COMPUTED_VALUE"""),"#N/A")</f>
        <v>#N/A</v>
      </c>
      <c r="E114" s="4" t="str">
        <f ca="1">IFERROR(__xludf.DUMMYFUNCTION("""COMPUTED_VALUE"""),"#N/A")</f>
        <v>#N/A</v>
      </c>
      <c r="F114" s="4" t="str">
        <f ca="1">IFERROR(__xludf.DUMMYFUNCTION("""COMPUTED_VALUE"""),"#N/A")</f>
        <v>#N/A</v>
      </c>
      <c r="G114" s="4" t="str">
        <f ca="1">IFERROR(__xludf.DUMMYFUNCTION("""COMPUTED_VALUE"""),"#N/A")</f>
        <v>#N/A</v>
      </c>
      <c r="H114" s="4"/>
      <c r="I114" s="4" t="str">
        <f ca="1">IFERROR(__xludf.DUMMYFUNCTION("""COMPUTED_VALUE"""),"Transaction cost")</f>
        <v>Transaction cost</v>
      </c>
      <c r="J114" s="4" t="str">
        <f ca="1">IFERROR(__xludf.DUMMYFUNCTION("""COMPUTED_VALUE"""),"RFQ-820 Radio Flyer Compra de muestras")</f>
        <v>RFQ-820 Radio Flyer Compra de muestras</v>
      </c>
      <c r="K114" s="4"/>
      <c r="S114" s="6">
        <v>5112.95</v>
      </c>
      <c r="T114" s="4" t="e">
        <f t="shared" ca="1" si="0"/>
        <v>#N/A</v>
      </c>
    </row>
    <row r="115" spans="1:20" ht="12.5">
      <c r="A115" s="4" t="str">
        <f ca="1">IFERROR(__xludf.DUMMYFUNCTION("""COMPUTED_VALUE"""),"TRX1627")</f>
        <v>TRX1627</v>
      </c>
      <c r="B115" s="4" t="str">
        <f ca="1">IFERROR(__xludf.DUMMYFUNCTION("""COMPUTED_VALUE"""),"#13")</f>
        <v>#13</v>
      </c>
      <c r="C115" s="5">
        <f ca="1">IFERROR(__xludf.DUMMYFUNCTION("""COMPUTED_VALUE"""),46060.4166666666)</f>
        <v>46060.416666666599</v>
      </c>
      <c r="D115" s="6">
        <f ca="1">IFERROR(__xludf.DUMMYFUNCTION("""COMPUTED_VALUE"""),99.93)</f>
        <v>99.93</v>
      </c>
      <c r="E115" s="4" t="str">
        <f ca="1">IFERROR(__xludf.DUMMYFUNCTION("""COMPUTED_VALUE"""),"MXN")</f>
        <v>MXN</v>
      </c>
      <c r="F115" s="4" t="str">
        <f ca="1">IFERROR(__xludf.DUMMYFUNCTION("""COMPUTED_VALUE"""),"Miguel De Lascurain")</f>
        <v>Miguel De Lascurain</v>
      </c>
      <c r="G115" s="4" t="str">
        <f ca="1">IFERROR(__xludf.DUMMYFUNCTION("""COMPUTED_VALUE"""),"UBER *TRIP HELP.UBER.C CMX           MEX")</f>
        <v>UBER *TRIP HELP.UBER.C CMX           MEX</v>
      </c>
      <c r="H115" s="4" t="str">
        <f ca="1">IFERROR(__xludf.DUMMYFUNCTION("""COMPUTED_VALUE"""),"Uber")</f>
        <v>Uber</v>
      </c>
      <c r="I115" s="4" t="str">
        <f ca="1">IFERROR(__xludf.DUMMYFUNCTION("""COMPUTED_VALUE"""),"Sales")</f>
        <v>Sales</v>
      </c>
      <c r="J115" s="4" t="str">
        <f ca="1">IFERROR(__xludf.DUMMYFUNCTION("""COMPUTED_VALUE"""),"Update de casetas: ida hacia comida Onest")</f>
        <v>Update de casetas: ida hacia comida Onest</v>
      </c>
      <c r="K115" s="4" t="str">
        <f ca="1">IFERROR(__xludf.DUMMYFUNCTION("""COMPUTED_VALUE"""),"NA")</f>
        <v>NA</v>
      </c>
      <c r="S115" s="6">
        <v>1861.8</v>
      </c>
      <c r="T115" s="4" t="e">
        <f t="shared" ca="1" si="0"/>
        <v>#N/A</v>
      </c>
    </row>
    <row r="116" spans="1:20" ht="12.5">
      <c r="A116" s="4" t="str">
        <f ca="1">IFERROR(__xludf.DUMMYFUNCTION("""COMPUTED_VALUE"""),"TRX1801")</f>
        <v>TRX1801</v>
      </c>
      <c r="B116" s="4" t="str">
        <f ca="1">IFERROR(__xludf.DUMMYFUNCTION("""COMPUTED_VALUE"""),"#13")</f>
        <v>#13</v>
      </c>
      <c r="C116" s="5">
        <f ca="1">IFERROR(__xludf.DUMMYFUNCTION("""COMPUTED_VALUE"""),46060.4166666666)</f>
        <v>46060.416666666599</v>
      </c>
      <c r="D116" s="6">
        <f ca="1">IFERROR(__xludf.DUMMYFUNCTION("""COMPUTED_VALUE"""),60.13)</f>
        <v>60.13</v>
      </c>
      <c r="E116" s="4" t="str">
        <f ca="1">IFERROR(__xludf.DUMMYFUNCTION("""COMPUTED_VALUE"""),"MXN")</f>
        <v>MXN</v>
      </c>
      <c r="F116" s="4" t="str">
        <f ca="1">IFERROR(__xludf.DUMMYFUNCTION("""COMPUTED_VALUE"""),"Miguel De Lascurain")</f>
        <v>Miguel De Lascurain</v>
      </c>
      <c r="G116" s="4" t="str">
        <f ca="1">IFERROR(__xludf.DUMMYFUNCTION("""COMPUTED_VALUE"""),"UBER *TRIP HELP.UBER.C CMX           MEX")</f>
        <v>UBER *TRIP HELP.UBER.C CMX           MEX</v>
      </c>
      <c r="H116" s="4" t="str">
        <f ca="1">IFERROR(__xludf.DUMMYFUNCTION("""COMPUTED_VALUE"""),"Uber")</f>
        <v>Uber</v>
      </c>
      <c r="I116" s="4" t="str">
        <f ca="1">IFERROR(__xludf.DUMMYFUNCTION("""COMPUTED_VALUE"""),"Sales")</f>
        <v>Sales</v>
      </c>
      <c r="J116" s="4" t="str">
        <f ca="1">IFERROR(__xludf.DUMMYFUNCTION("""COMPUTED_VALUE"""),"Update de casetas: regreso desde comida Onest")</f>
        <v>Update de casetas: regreso desde comida Onest</v>
      </c>
      <c r="K116" s="4" t="str">
        <f ca="1">IFERROR(__xludf.DUMMYFUNCTION("""COMPUTED_VALUE"""),"NA")</f>
        <v>NA</v>
      </c>
      <c r="S116" s="6">
        <v>1209.01</v>
      </c>
      <c r="T116" s="4" t="e">
        <f t="shared" ca="1" si="0"/>
        <v>#N/A</v>
      </c>
    </row>
    <row r="117" spans="1:20" ht="12.5">
      <c r="A117" s="4" t="str">
        <f ca="1">IFERROR(__xludf.DUMMYFUNCTION("""COMPUTED_VALUE"""),"TRX1290")</f>
        <v>TRX1290</v>
      </c>
      <c r="B117" s="4" t="str">
        <f ca="1">IFERROR(__xludf.DUMMYFUNCTION("""COMPUTED_VALUE"""),"#13")</f>
        <v>#13</v>
      </c>
      <c r="C117" s="5">
        <f ca="1">IFERROR(__xludf.DUMMYFUNCTION("""COMPUTED_VALUE"""),46066.4173611111)</f>
        <v>46066.417361111096</v>
      </c>
      <c r="D117" s="6">
        <f ca="1">IFERROR(__xludf.DUMMYFUNCTION("""COMPUTED_VALUE"""),1298.35)</f>
        <v>1298.3499999999999</v>
      </c>
      <c r="E117" s="4" t="str">
        <f ca="1">IFERROR(__xludf.DUMMYFUNCTION("""COMPUTED_VALUE"""),"MXN")</f>
        <v>MXN</v>
      </c>
      <c r="F117" s="4" t="str">
        <f ca="1">IFERROR(__xludf.DUMMYFUNCTION("""COMPUTED_VALUE"""),"Miguel De Lascurain")</f>
        <v>Miguel De Lascurain</v>
      </c>
      <c r="G117" s="4" t="str">
        <f ca="1">IFERROR(__xludf.DUMMYFUNCTION("""COMPUTED_VALUE"""),"REST MACA Y LOLO SA DE CIUDAD DE MEX MEX")</f>
        <v>REST MACA Y LOLO SA DE CIUDAD DE MEX MEX</v>
      </c>
      <c r="H117" s="4" t="str">
        <f ca="1">IFERROR(__xludf.DUMMYFUNCTION("""COMPUTED_VALUE"""),"Rest Maca Y Lolo Sa De Ciudad De Mex Mex")</f>
        <v>Rest Maca Y Lolo Sa De Ciudad De Mex Mex</v>
      </c>
      <c r="I117" s="4" t="str">
        <f ca="1">IFERROR(__xludf.DUMMYFUNCTION("""COMPUTED_VALUE"""),"Sales")</f>
        <v>Sales</v>
      </c>
      <c r="J117" s="4" t="str">
        <f ca="1">IFERROR(__xludf.DUMMYFUNCTION("""COMPUTED_VALUE"""),"Comida Cliente. Asistentes:
- Mariela Martínez (Gaya)
- Kenia Durán (Gaya)
- Miguel de Lascurain (Prima)
- Alfonso Bello (Prima)")</f>
        <v>Comida Cliente. Asistentes:
- Mariela Martínez (Gaya)
- Kenia Durán (Gaya)
- Miguel de Lascurain (Prima)
- Alfonso Bello (Prima)</v>
      </c>
      <c r="K117" s="4" t="str">
        <f ca="1">IFERROR(__xludf.DUMMYFUNCTION("""COMPUTED_VALUE"""),"8787B2CF-A15D-4633-8ACA-5D36673EEA82103181561770853649271")</f>
        <v>8787B2CF-A15D-4633-8ACA-5D36673EEA82103181561770853649271</v>
      </c>
      <c r="S117" s="6">
        <v>765.98</v>
      </c>
      <c r="T117" s="4" t="e">
        <f t="shared" ca="1" si="0"/>
        <v>#N/A</v>
      </c>
    </row>
    <row r="118" spans="1:20" ht="12.5">
      <c r="A118" s="4" t="str">
        <f ca="1">IFERROR(__xludf.DUMMYFUNCTION("""COMPUTED_VALUE"""),"TRX1187")</f>
        <v>TRX1187</v>
      </c>
      <c r="B118" s="4" t="str">
        <f ca="1">IFERROR(__xludf.DUMMYFUNCTION("""COMPUTED_VALUE"""),"#13")</f>
        <v>#13</v>
      </c>
      <c r="C118" s="5">
        <f ca="1">IFERROR(__xludf.DUMMYFUNCTION("""COMPUTED_VALUE"""),46067.4173611111)</f>
        <v>46067.417361111096</v>
      </c>
      <c r="D118" s="6">
        <f ca="1">IFERROR(__xludf.DUMMYFUNCTION("""COMPUTED_VALUE"""),1834.25)</f>
        <v>1834.25</v>
      </c>
      <c r="E118" s="4" t="str">
        <f ca="1">IFERROR(__xludf.DUMMYFUNCTION("""COMPUTED_VALUE"""),"MXN")</f>
        <v>MXN</v>
      </c>
      <c r="F118" s="4" t="str">
        <f ca="1">IFERROR(__xludf.DUMMYFUNCTION("""COMPUTED_VALUE"""),"Miguel De Lascurain")</f>
        <v>Miguel De Lascurain</v>
      </c>
      <c r="G118" s="4" t="str">
        <f ca="1">IFERROR(__xludf.DUMMYFUNCTION("""COMPUTED_VALUE"""),"REST ESTIATORIO NOSTOS CIUDAD DE MEX MEX")</f>
        <v>REST ESTIATORIO NOSTOS CIUDAD DE MEX MEX</v>
      </c>
      <c r="H118" s="4" t="str">
        <f ca="1">IFERROR(__xludf.DUMMYFUNCTION("""COMPUTED_VALUE"""),"Rest Estiatorio Nostos Ciudad De Mex Mex")</f>
        <v>Rest Estiatorio Nostos Ciudad De Mex Mex</v>
      </c>
      <c r="I118" s="4" t="str">
        <f ca="1">IFERROR(__xludf.DUMMYFUNCTION("""COMPUTED_VALUE"""),"Sales")</f>
        <v>Sales</v>
      </c>
      <c r="J118" s="4" t="str">
        <f ca="1">IFERROR(__xludf.DUMMYFUNCTION("""COMPUTED_VALUE"""),"Comida Cliente. Asistentes:
- Mariano García (Plexo)
- Miguel de Lascurain (Prima)")</f>
        <v>Comida Cliente. Asistentes:
- Mariano García (Plexo)
- Miguel de Lascurain (Prima)</v>
      </c>
      <c r="K118" s="4" t="str">
        <f ca="1">IFERROR(__xludf.DUMMYFUNCTION("""COMPUTED_VALUE"""),"18D35FF7-B120-4B07-8A58-A31600016077103297401771006817878")</f>
        <v>18D35FF7-B120-4B07-8A58-A31600016077103297401771006817878</v>
      </c>
      <c r="S118" s="6">
        <v>899.5</v>
      </c>
      <c r="T118" s="4" t="e">
        <f t="shared" ca="1" si="0"/>
        <v>#N/A</v>
      </c>
    </row>
    <row r="119" spans="1:20" ht="12.5">
      <c r="A119" s="4" t="str">
        <f ca="1">IFERROR(__xludf.DUMMYFUNCTION("""COMPUTED_VALUE"""),"TRX1558")</f>
        <v>TRX1558</v>
      </c>
      <c r="B119" s="4" t="str">
        <f ca="1">IFERROR(__xludf.DUMMYFUNCTION("""COMPUTED_VALUE"""),"#13")</f>
        <v>#13</v>
      </c>
      <c r="C119" s="5">
        <f ca="1">IFERROR(__xludf.DUMMYFUNCTION("""COMPUTED_VALUE"""),46071.4173611111)</f>
        <v>46071.417361111096</v>
      </c>
      <c r="D119" s="6">
        <f ca="1">IFERROR(__xludf.DUMMYFUNCTION("""COMPUTED_VALUE"""),3966)</f>
        <v>3966</v>
      </c>
      <c r="E119" s="4" t="str">
        <f ca="1">IFERROR(__xludf.DUMMYFUNCTION("""COMPUTED_VALUE"""),"MXN")</f>
        <v>MXN</v>
      </c>
      <c r="F119" s="4" t="str">
        <f ca="1">IFERROR(__xludf.DUMMYFUNCTION("""COMPUTED_VALUE"""),"Miguel De Lascurain")</f>
        <v>Miguel De Lascurain</v>
      </c>
      <c r="G119" s="4" t="str">
        <f ca="1">IFERROR(__xludf.DUMMYFUNCTION("""COMPUTED_VALUE"""),"REST CARMELA Y SAL     CIUDAD DE MEX MEX")</f>
        <v>REST CARMELA Y SAL     CIUDAD DE MEX MEX</v>
      </c>
      <c r="H119" s="4" t="str">
        <f ca="1">IFERROR(__xludf.DUMMYFUNCTION("""COMPUTED_VALUE"""),"Rest Carmela Y Sal Ciudad De Mex Mex")</f>
        <v>Rest Carmela Y Sal Ciudad De Mex Mex</v>
      </c>
      <c r="I119" s="4" t="str">
        <f ca="1">IFERROR(__xludf.DUMMYFUNCTION("""COMPUTED_VALUE"""),"Office expenses")</f>
        <v>Office expenses</v>
      </c>
      <c r="J119" s="4" t="str">
        <f ca="1">IFERROR(__xludf.DUMMYFUNCTION("""COMPUTED_VALUE"""),"Comida trimestral Engineering. Asistentes:
- Eduardo González
- Daniel Rojas
- Jorge Peña
- Tonancy Isidoro
- Ernesto Anaya
- Miguel de Lascurain")</f>
        <v>Comida trimestral Engineering. Asistentes:
- Eduardo González
- Daniel Rojas
- Jorge Peña
- Tonancy Isidoro
- Ernesto Anaya
- Miguel de Lascurain</v>
      </c>
      <c r="K119" s="4" t="str">
        <f ca="1">IFERROR(__xludf.DUMMYFUNCTION("""COMPUTED_VALUE"""),"84520D68-07C5-4274-B4CE-85FC8AA3612A103599061771628471541")</f>
        <v>84520D68-07C5-4274-B4CE-85FC8AA3612A103599061771628471541</v>
      </c>
      <c r="S119" s="6">
        <v>1328.4</v>
      </c>
      <c r="T119" s="4" t="e">
        <f t="shared" ca="1" si="0"/>
        <v>#N/A</v>
      </c>
    </row>
    <row r="120" spans="1:20" ht="12.5">
      <c r="A120" s="4" t="str">
        <f ca="1">IFERROR(__xludf.DUMMYFUNCTION("""COMPUTED_VALUE"""),"TRX1248")</f>
        <v>TRX1248</v>
      </c>
      <c r="B120" s="4" t="str">
        <f ca="1">IFERROR(__xludf.DUMMYFUNCTION("""COMPUTED_VALUE"""),"#14")</f>
        <v>#14</v>
      </c>
      <c r="C120" s="5">
        <f ca="1">IFERROR(__xludf.DUMMYFUNCTION("""COMPUTED_VALUE"""),46058.4166666666)</f>
        <v>46058.416666666599</v>
      </c>
      <c r="D120" s="6">
        <f ca="1">IFERROR(__xludf.DUMMYFUNCTION("""COMPUTED_VALUE"""),10)</f>
        <v>10</v>
      </c>
      <c r="E120" s="4" t="str">
        <f ca="1">IFERROR(__xludf.DUMMYFUNCTION("""COMPUTED_VALUE"""),"MXN")</f>
        <v>MXN</v>
      </c>
      <c r="F120" s="4" t="str">
        <f ca="1">IFERROR(__xludf.DUMMYFUNCTION("""COMPUTED_VALUE"""),"Patricio Servitje Azcarraga")</f>
        <v>Patricio Servitje Azcarraga</v>
      </c>
      <c r="G120" s="4" t="str">
        <f ca="1">IFERROR(__xludf.DUMMYFUNCTION("""COMPUTED_VALUE"""),"UBER *TRIP HELP.UBER.C CMX           MEX")</f>
        <v>UBER *TRIP HELP.UBER.C CMX           MEX</v>
      </c>
      <c r="H120" s="4" t="str">
        <f ca="1">IFERROR(__xludf.DUMMYFUNCTION("""COMPUTED_VALUE"""),"Uber")</f>
        <v>Uber</v>
      </c>
      <c r="I120" s="4"/>
      <c r="J120" s="4"/>
      <c r="K120" s="4" t="str">
        <f ca="1">IFERROR(__xludf.DUMMYFUNCTION("""COMPUTED_VALUE"""),".")</f>
        <v>.</v>
      </c>
      <c r="S120" s="6">
        <v>79.180000000000007</v>
      </c>
      <c r="T120" s="4" t="e">
        <f t="shared" ca="1" si="0"/>
        <v>#N/A</v>
      </c>
    </row>
    <row r="121" spans="1:20" ht="12.5">
      <c r="A121" s="4" t="str">
        <f ca="1">IFERROR(__xludf.DUMMYFUNCTION("""COMPUTED_VALUE"""),"TRX1201")</f>
        <v>TRX1201</v>
      </c>
      <c r="B121" s="4" t="str">
        <f ca="1">IFERROR(__xludf.DUMMYFUNCTION("""COMPUTED_VALUE"""),"#14")</f>
        <v>#14</v>
      </c>
      <c r="C121" s="5">
        <f ca="1">IFERROR(__xludf.DUMMYFUNCTION("""COMPUTED_VALUE"""),46059.4173611111)</f>
        <v>46059.417361111096</v>
      </c>
      <c r="D121" s="6">
        <f ca="1">IFERROR(__xludf.DUMMYFUNCTION("""COMPUTED_VALUE"""),2939.4)</f>
        <v>2939.4</v>
      </c>
      <c r="E121" s="4" t="str">
        <f ca="1">IFERROR(__xludf.DUMMYFUNCTION("""COMPUTED_VALUE"""),"MXN")</f>
        <v>MXN</v>
      </c>
      <c r="F121" s="4" t="str">
        <f ca="1">IFERROR(__xludf.DUMMYFUNCTION("""COMPUTED_VALUE"""),"Patricio Servitje Azcarraga")</f>
        <v>Patricio Servitje Azcarraga</v>
      </c>
      <c r="G121" s="4" t="str">
        <f ca="1">IFERROR(__xludf.DUMMYFUNCTION("""COMPUTED_VALUE"""),"CLIP MX*REST SAKS POLA MIGUEL HIDALG MEX")</f>
        <v>CLIP MX*REST SAKS POLA MIGUEL HIDALG MEX</v>
      </c>
      <c r="H121" s="4" t="str">
        <f ca="1">IFERROR(__xludf.DUMMYFUNCTION("""COMPUTED_VALUE"""),"Clip Mx Rest Saks Pola Miguel Hidalg Mex")</f>
        <v>Clip Mx Rest Saks Pola Miguel Hidalg Mex</v>
      </c>
      <c r="I121" s="4"/>
      <c r="J121" s="4"/>
      <c r="K121" s="4" t="str">
        <f ca="1">IFERROR(__xludf.DUMMYFUNCTION("""COMPUTED_VALUE"""),".")</f>
        <v>.</v>
      </c>
      <c r="S121" s="6">
        <v>1020</v>
      </c>
      <c r="T121" s="4" t="str">
        <f t="shared" ca="1" si="0"/>
        <v>Juan Pablo Ramos Aranda</v>
      </c>
    </row>
    <row r="122" spans="1:20" ht="12.5">
      <c r="A122" s="4" t="str">
        <f ca="1">IFERROR(__xludf.DUMMYFUNCTION("""COMPUTED_VALUE"""),"TRX1294")</f>
        <v>TRX1294</v>
      </c>
      <c r="B122" s="4" t="str">
        <f ca="1">IFERROR(__xludf.DUMMYFUNCTION("""COMPUTED_VALUE"""),"#16")</f>
        <v>#16</v>
      </c>
      <c r="C122" s="5">
        <f ca="1">IFERROR(__xludf.DUMMYFUNCTION("""COMPUTED_VALUE"""),46055.4166666666)</f>
        <v>46055.416666666599</v>
      </c>
      <c r="D122" s="6">
        <f ca="1">IFERROR(__xludf.DUMMYFUNCTION("""COMPUTED_VALUE"""),363.15)</f>
        <v>363.15</v>
      </c>
      <c r="E122" s="4" t="str">
        <f ca="1">IFERROR(__xludf.DUMMYFUNCTION("""COMPUTED_VALUE"""),"USD")</f>
        <v>USD</v>
      </c>
      <c r="F122" s="4" t="str">
        <f ca="1">IFERROR(__xludf.DUMMYFUNCTION("""COMPUTED_VALUE"""),"Rogelio Gamez")</f>
        <v>Rogelio Gamez</v>
      </c>
      <c r="G122" s="4" t="str">
        <f ca="1">IFERROR(__xludf.DUMMYFUNCTION("""COMPUTED_VALUE"""),"OPENAI *CHATGPT SUBSCR SAN FRANCISCO USA")</f>
        <v>OPENAI *CHATGPT SUBSCR SAN FRANCISCO USA</v>
      </c>
      <c r="H122" s="4" t="str">
        <f ca="1">IFERROR(__xludf.DUMMYFUNCTION("""COMPUTED_VALUE"""),"Openai")</f>
        <v>Openai</v>
      </c>
      <c r="I122" s="4" t="str">
        <f ca="1">IFERROR(__xludf.DUMMYFUNCTION("""COMPUTED_VALUE"""),"Tech&amp;Product")</f>
        <v>Tech&amp;Product</v>
      </c>
      <c r="J122" s="4"/>
      <c r="K122" s="4"/>
      <c r="S122" s="6">
        <v>99</v>
      </c>
      <c r="T122" s="4" t="e">
        <f t="shared" ca="1" si="0"/>
        <v>#N/A</v>
      </c>
    </row>
    <row r="123" spans="1:20" ht="12.5">
      <c r="A123" s="4" t="str">
        <f ca="1">IFERROR(__xludf.DUMMYFUNCTION("""COMPUTED_VALUE"""),"TRX1233")</f>
        <v>TRX1233</v>
      </c>
      <c r="B123" s="4" t="str">
        <f ca="1">IFERROR(__xludf.DUMMYFUNCTION("""COMPUTED_VALUE"""),"#16")</f>
        <v>#16</v>
      </c>
      <c r="C123" s="5">
        <f ca="1">IFERROR(__xludf.DUMMYFUNCTION("""COMPUTED_VALUE"""),46058.4166666666)</f>
        <v>46058.416666666599</v>
      </c>
      <c r="D123" s="6">
        <f ca="1">IFERROR(__xludf.DUMMYFUNCTION("""COMPUTED_VALUE"""),6615.11)</f>
        <v>6615.11</v>
      </c>
      <c r="E123" s="4" t="str">
        <f ca="1">IFERROR(__xludf.DUMMYFUNCTION("""COMPUTED_VALUE"""),"MXN")</f>
        <v>MXN</v>
      </c>
      <c r="F123" s="4" t="str">
        <f ca="1">IFERROR(__xludf.DUMMYFUNCTION("""COMPUTED_VALUE"""),"Rogelio Gamez")</f>
        <v>Rogelio Gamez</v>
      </c>
      <c r="G123" s="4" t="str">
        <f ca="1">IFERROR(__xludf.DUMMYFUNCTION("""COMPUTED_VALUE"""),"PAYU   *GOOGLE ADS     MIGUEL HIDALG MEX")</f>
        <v>PAYU   *GOOGLE ADS     MIGUEL HIDALG MEX</v>
      </c>
      <c r="H123" s="4" t="str">
        <f ca="1">IFERROR(__xludf.DUMMYFUNCTION("""COMPUTED_VALUE"""),"Google")</f>
        <v>Google</v>
      </c>
      <c r="I123" s="4" t="str">
        <f ca="1">IFERROR(__xludf.DUMMYFUNCTION("""COMPUTED_VALUE"""),"Sales")</f>
        <v>Sales</v>
      </c>
      <c r="J123" s="4" t="str">
        <f ca="1">IFERROR(__xludf.DUMMYFUNCTION("""COMPUTED_VALUE"""),"Marketing")</f>
        <v>Marketing</v>
      </c>
      <c r="K123" s="4"/>
      <c r="S123" s="6">
        <v>20658.57</v>
      </c>
      <c r="T123" s="4" t="e">
        <f t="shared" ca="1" si="0"/>
        <v>#N/A</v>
      </c>
    </row>
    <row r="124" spans="1:20" ht="12.5">
      <c r="A124" s="4" t="str">
        <f ca="1">IFERROR(__xludf.DUMMYFUNCTION("""COMPUTED_VALUE"""),"TRX1185")</f>
        <v>TRX1185</v>
      </c>
      <c r="B124" s="4" t="str">
        <f ca="1">IFERROR(__xludf.DUMMYFUNCTION("""COMPUTED_VALUE"""),"#16")</f>
        <v>#16</v>
      </c>
      <c r="C124" s="5">
        <f ca="1">IFERROR(__xludf.DUMMYFUNCTION("""COMPUTED_VALUE"""),46059.4166666666)</f>
        <v>46059.416666666599</v>
      </c>
      <c r="D124" s="6">
        <f ca="1">IFERROR(__xludf.DUMMYFUNCTION("""COMPUTED_VALUE"""),696.88)</f>
        <v>696.88</v>
      </c>
      <c r="E124" s="4" t="str">
        <f ca="1">IFERROR(__xludf.DUMMYFUNCTION("""COMPUTED_VALUE"""),"MXN")</f>
        <v>MXN</v>
      </c>
      <c r="F124" s="4" t="str">
        <f ca="1">IFERROR(__xludf.DUMMYFUNCTION("""COMPUTED_VALUE"""),"Rogelio Gamez")</f>
        <v>Rogelio Gamez</v>
      </c>
      <c r="G124" s="4" t="str">
        <f ca="1">IFERROR(__xludf.DUMMYFUNCTION("""COMPUTED_VALUE"""),"Amazon Mexico          CMX           MEX")</f>
        <v>Amazon Mexico          CMX           MEX</v>
      </c>
      <c r="H124" s="4" t="str">
        <f ca="1">IFERROR(__xludf.DUMMYFUNCTION("""COMPUTED_VALUE"""),"Amazon")</f>
        <v>Amazon</v>
      </c>
      <c r="I124" s="4" t="str">
        <f ca="1">IFERROR(__xludf.DUMMYFUNCTION("""COMPUTED_VALUE"""),"Office expenses")</f>
        <v>Office expenses</v>
      </c>
      <c r="J124" s="4"/>
      <c r="K124" s="4"/>
      <c r="S124" s="6">
        <v>225</v>
      </c>
      <c r="T124" s="4" t="e">
        <f t="shared" ca="1" si="0"/>
        <v>#N/A</v>
      </c>
    </row>
    <row r="125" spans="1:20" ht="12.5">
      <c r="A125" s="4" t="str">
        <f ca="1">IFERROR(__xludf.DUMMYFUNCTION("""COMPUTED_VALUE"""),"TRX1184")</f>
        <v>TRX1184</v>
      </c>
      <c r="B125" s="4" t="str">
        <f ca="1">IFERROR(__xludf.DUMMYFUNCTION("""COMPUTED_VALUE"""),"#16")</f>
        <v>#16</v>
      </c>
      <c r="C125" s="5">
        <f ca="1">IFERROR(__xludf.DUMMYFUNCTION("""COMPUTED_VALUE"""),46059.4166666666)</f>
        <v>46059.416666666599</v>
      </c>
      <c r="D125" s="6">
        <f ca="1">IFERROR(__xludf.DUMMYFUNCTION("""COMPUTED_VALUE"""),903.99)</f>
        <v>903.99</v>
      </c>
      <c r="E125" s="4" t="str">
        <f ca="1">IFERROR(__xludf.DUMMYFUNCTION("""COMPUTED_VALUE"""),"MXN")</f>
        <v>MXN</v>
      </c>
      <c r="F125" s="4" t="str">
        <f ca="1">IFERROR(__xludf.DUMMYFUNCTION("""COMPUTED_VALUE"""),"Rogelio Gamez")</f>
        <v>Rogelio Gamez</v>
      </c>
      <c r="G125" s="4" t="str">
        <f ca="1">IFERROR(__xludf.DUMMYFUNCTION("""COMPUTED_VALUE"""),"Amazon Mexico          CMX           MEX")</f>
        <v>Amazon Mexico          CMX           MEX</v>
      </c>
      <c r="H125" s="4" t="str">
        <f ca="1">IFERROR(__xludf.DUMMYFUNCTION("""COMPUTED_VALUE"""),"Amazon")</f>
        <v>Amazon</v>
      </c>
      <c r="I125" s="4" t="str">
        <f ca="1">IFERROR(__xludf.DUMMYFUNCTION("""COMPUTED_VALUE"""),"Office expenses")</f>
        <v>Office expenses</v>
      </c>
      <c r="J125" s="4"/>
      <c r="K125" s="4"/>
      <c r="S125" s="6">
        <v>257.66000000000003</v>
      </c>
      <c r="T125" s="4" t="e">
        <f t="shared" ca="1" si="0"/>
        <v>#N/A</v>
      </c>
    </row>
    <row r="126" spans="1:20" ht="12.5">
      <c r="A126" s="4" t="str">
        <f ca="1">IFERROR(__xludf.DUMMYFUNCTION("""COMPUTED_VALUE"""),"TRX1179")</f>
        <v>TRX1179</v>
      </c>
      <c r="B126" s="4" t="str">
        <f ca="1">IFERROR(__xludf.DUMMYFUNCTION("""COMPUTED_VALUE"""),"#16")</f>
        <v>#16</v>
      </c>
      <c r="C126" s="5">
        <f ca="1">IFERROR(__xludf.DUMMYFUNCTION("""COMPUTED_VALUE"""),46059.4166666666)</f>
        <v>46059.416666666599</v>
      </c>
      <c r="D126" s="6">
        <f ca="1">IFERROR(__xludf.DUMMYFUNCTION("""COMPUTED_VALUE"""),647.17)</f>
        <v>647.16999999999996</v>
      </c>
      <c r="E126" s="4" t="str">
        <f ca="1">IFERROR(__xludf.DUMMYFUNCTION("""COMPUTED_VALUE"""),"MXN")</f>
        <v>MXN</v>
      </c>
      <c r="F126" s="4" t="str">
        <f ca="1">IFERROR(__xludf.DUMMYFUNCTION("""COMPUTED_VALUE"""),"Rogelio Gamez")</f>
        <v>Rogelio Gamez</v>
      </c>
      <c r="G126" s="4" t="str">
        <f ca="1">IFERROR(__xludf.DUMMYFUNCTION("""COMPUTED_VALUE"""),"Amazon Mexico          CMX           MEX")</f>
        <v>Amazon Mexico          CMX           MEX</v>
      </c>
      <c r="H126" s="4" t="str">
        <f ca="1">IFERROR(__xludf.DUMMYFUNCTION("""COMPUTED_VALUE"""),"Amazon")</f>
        <v>Amazon</v>
      </c>
      <c r="I126" s="4" t="str">
        <f ca="1">IFERROR(__xludf.DUMMYFUNCTION("""COMPUTED_VALUE"""),"Tech&amp;Product")</f>
        <v>Tech&amp;Product</v>
      </c>
      <c r="J126" s="4"/>
      <c r="K126" s="4"/>
      <c r="S126" s="6">
        <v>410</v>
      </c>
      <c r="T126" s="4" t="str">
        <f t="shared" ca="1" si="0"/>
        <v>Karen Alexandra Ballesteros Contreras</v>
      </c>
    </row>
    <row r="127" spans="1:20" ht="12.5">
      <c r="A127" s="4" t="str">
        <f ca="1">IFERROR(__xludf.DUMMYFUNCTION("""COMPUTED_VALUE"""),"TRX1177")</f>
        <v>TRX1177</v>
      </c>
      <c r="B127" s="4" t="str">
        <f ca="1">IFERROR(__xludf.DUMMYFUNCTION("""COMPUTED_VALUE"""),"#16")</f>
        <v>#16</v>
      </c>
      <c r="C127" s="5">
        <f ca="1">IFERROR(__xludf.DUMMYFUNCTION("""COMPUTED_VALUE"""),46059.4166666666)</f>
        <v>46059.416666666599</v>
      </c>
      <c r="D127" s="6">
        <f ca="1">IFERROR(__xludf.DUMMYFUNCTION("""COMPUTED_VALUE"""),620.01)</f>
        <v>620.01</v>
      </c>
      <c r="E127" s="4" t="str">
        <f ca="1">IFERROR(__xludf.DUMMYFUNCTION("""COMPUTED_VALUE"""),"MXN")</f>
        <v>MXN</v>
      </c>
      <c r="F127" s="4" t="str">
        <f ca="1">IFERROR(__xludf.DUMMYFUNCTION("""COMPUTED_VALUE"""),"Rogelio Gamez")</f>
        <v>Rogelio Gamez</v>
      </c>
      <c r="G127" s="4" t="str">
        <f ca="1">IFERROR(__xludf.DUMMYFUNCTION("""COMPUTED_VALUE"""),"Amazon Mexico          CMX           MEX")</f>
        <v>Amazon Mexico          CMX           MEX</v>
      </c>
      <c r="H127" s="4" t="str">
        <f ca="1">IFERROR(__xludf.DUMMYFUNCTION("""COMPUTED_VALUE"""),"Amazon")</f>
        <v>Amazon</v>
      </c>
      <c r="I127" s="4" t="str">
        <f ca="1">IFERROR(__xludf.DUMMYFUNCTION("""COMPUTED_VALUE"""),"Office expenses")</f>
        <v>Office expenses</v>
      </c>
      <c r="J127" s="4"/>
      <c r="K127" s="4"/>
      <c r="S127" s="6">
        <v>2357.0700000000002</v>
      </c>
      <c r="T127" s="4" t="e">
        <f t="shared" ca="1" si="0"/>
        <v>#N/A</v>
      </c>
    </row>
    <row r="128" spans="1:20" ht="12.5">
      <c r="A128" s="4" t="str">
        <f ca="1">IFERROR(__xludf.DUMMYFUNCTION("""COMPUTED_VALUE"""),"TRX1170")</f>
        <v>TRX1170</v>
      </c>
      <c r="B128" s="4" t="str">
        <f ca="1">IFERROR(__xludf.DUMMYFUNCTION("""COMPUTED_VALUE"""),"#16")</f>
        <v>#16</v>
      </c>
      <c r="C128" s="5">
        <f ca="1">IFERROR(__xludf.DUMMYFUNCTION("""COMPUTED_VALUE"""),46059.4166666666)</f>
        <v>46059.416666666599</v>
      </c>
      <c r="D128" s="6">
        <f ca="1">IFERROR(__xludf.DUMMYFUNCTION("""COMPUTED_VALUE"""),4420)</f>
        <v>4420</v>
      </c>
      <c r="E128" s="4" t="str">
        <f ca="1">IFERROR(__xludf.DUMMYFUNCTION("""COMPUTED_VALUE"""),"MXN")</f>
        <v>MXN</v>
      </c>
      <c r="F128" s="4" t="str">
        <f ca="1">IFERROR(__xludf.DUMMYFUNCTION("""COMPUTED_VALUE"""),"Rogelio Gamez")</f>
        <v>Rogelio Gamez</v>
      </c>
      <c r="G128" s="4" t="str">
        <f ca="1">IFERROR(__xludf.DUMMYFUNCTION("""COMPUTED_VALUE"""),"MERCADOPAGO *FIERCEMX  Ciudad de Mex MEX")</f>
        <v>MERCADOPAGO *FIERCEMX  Ciudad de Mex MEX</v>
      </c>
      <c r="H128" s="4" t="str">
        <f ca="1">IFERROR(__xludf.DUMMYFUNCTION("""COMPUTED_VALUE"""),"Mercadopago")</f>
        <v>Mercadopago</v>
      </c>
      <c r="I128" s="4" t="str">
        <f ca="1">IFERROR(__xludf.DUMMYFUNCTION("""COMPUTED_VALUE"""),"Office expenses")</f>
        <v>Office expenses</v>
      </c>
      <c r="J128" s="4"/>
      <c r="K128" s="4"/>
      <c r="S128" s="6">
        <v>388.78</v>
      </c>
      <c r="T128" s="4" t="e">
        <f t="shared" ca="1" si="0"/>
        <v>#N/A</v>
      </c>
    </row>
    <row r="129" spans="1:20" ht="12.5">
      <c r="A129" s="4" t="str">
        <f ca="1">IFERROR(__xludf.DUMMYFUNCTION("""COMPUTED_VALUE"""),"TRX1157")</f>
        <v>TRX1157</v>
      </c>
      <c r="B129" s="4" t="str">
        <f ca="1">IFERROR(__xludf.DUMMYFUNCTION("""COMPUTED_VALUE"""),"#16")</f>
        <v>#16</v>
      </c>
      <c r="C129" s="5">
        <f ca="1">IFERROR(__xludf.DUMMYFUNCTION("""COMPUTED_VALUE"""),46059.4173611111)</f>
        <v>46059.417361111096</v>
      </c>
      <c r="D129" s="6">
        <f ca="1">IFERROR(__xludf.DUMMYFUNCTION("""COMPUTED_VALUE"""),8990)</f>
        <v>8990</v>
      </c>
      <c r="E129" s="4" t="str">
        <f ca="1">IFERROR(__xludf.DUMMYFUNCTION("""COMPUTED_VALUE"""),"MXN")</f>
        <v>MXN</v>
      </c>
      <c r="F129" s="4" t="str">
        <f ca="1">IFERROR(__xludf.DUMMYFUNCTION("""COMPUTED_VALUE"""),"Rogelio Gamez")</f>
        <v>Rogelio Gamez</v>
      </c>
      <c r="G129" s="4" t="str">
        <f ca="1">IFERROR(__xludf.DUMMYFUNCTION("""COMPUTED_VALUE"""),"STR*SYNTAGE            CIUDAD DE MEX MEX")</f>
        <v>STR*SYNTAGE            CIUDAD DE MEX MEX</v>
      </c>
      <c r="H129" s="4" t="str">
        <f ca="1">IFERROR(__xludf.DUMMYFUNCTION("""COMPUTED_VALUE"""),"Str Syntage Ciudad De Mex Mex")</f>
        <v>Str Syntage Ciudad De Mex Mex</v>
      </c>
      <c r="I129" s="4" t="str">
        <f ca="1">IFERROR(__xludf.DUMMYFUNCTION("""COMPUTED_VALUE"""),"Office expenses")</f>
        <v>Office expenses</v>
      </c>
      <c r="J129" s="4"/>
      <c r="K129" s="4"/>
      <c r="S129" s="6">
        <v>61</v>
      </c>
      <c r="T129" s="4" t="str">
        <f t="shared" ca="1" si="0"/>
        <v>Karen Alexandra Ballesteros Contreras</v>
      </c>
    </row>
    <row r="130" spans="1:20" ht="12.5">
      <c r="A130" s="4" t="str">
        <f ca="1">IFERROR(__xludf.DUMMYFUNCTION("""COMPUTED_VALUE"""),"TRX1541")</f>
        <v>TRX1541</v>
      </c>
      <c r="B130" s="4" t="str">
        <f ca="1">IFERROR(__xludf.DUMMYFUNCTION("""COMPUTED_VALUE"""),"#16")</f>
        <v>#16</v>
      </c>
      <c r="C130" s="5">
        <f ca="1">IFERROR(__xludf.DUMMYFUNCTION("""COMPUTED_VALUE"""),46061.4173611111)</f>
        <v>46061.417361111096</v>
      </c>
      <c r="D130" s="6">
        <f ca="1">IFERROR(__xludf.DUMMYFUNCTION("""COMPUTED_VALUE"""),17401.35)</f>
        <v>17401.349999999999</v>
      </c>
      <c r="E130" s="4" t="str">
        <f ca="1">IFERROR(__xludf.DUMMYFUNCTION("""COMPUTED_VALUE"""),"USD")</f>
        <v>USD</v>
      </c>
      <c r="F130" s="4" t="str">
        <f ca="1">IFERROR(__xludf.DUMMYFUNCTION("""COMPUTED_VALUE"""),"Rogelio Gamez")</f>
        <v>Rogelio Gamez</v>
      </c>
      <c r="G130" s="4" t="str">
        <f ca="1">IFERROR(__xludf.DUMMYFUNCTION("""COMPUTED_VALUE"""),"NOTION LABS, INC.      SAN FRANCISCO USA")</f>
        <v>NOTION LABS, INC.      SAN FRANCISCO USA</v>
      </c>
      <c r="H130" s="4" t="str">
        <f ca="1">IFERROR(__xludf.DUMMYFUNCTION("""COMPUTED_VALUE"""),"Notion")</f>
        <v>Notion</v>
      </c>
      <c r="I130" s="4" t="str">
        <f ca="1">IFERROR(__xludf.DUMMYFUNCTION("""COMPUTED_VALUE"""),"Office expenses")</f>
        <v>Office expenses</v>
      </c>
      <c r="J130" s="4"/>
      <c r="K130" s="4"/>
      <c r="S130" s="6">
        <v>442</v>
      </c>
      <c r="T130" s="4" t="e">
        <f t="shared" ca="1" si="0"/>
        <v>#N/A</v>
      </c>
    </row>
    <row r="131" spans="1:20" ht="12.5">
      <c r="A131" s="4" t="str">
        <f ca="1">IFERROR(__xludf.DUMMYFUNCTION("""COMPUTED_VALUE"""),"TRX1648")</f>
        <v>TRX1648</v>
      </c>
      <c r="B131" s="4" t="str">
        <f ca="1">IFERROR(__xludf.DUMMYFUNCTION("""COMPUTED_VALUE"""),"#16")</f>
        <v>#16</v>
      </c>
      <c r="C131" s="5">
        <f ca="1">IFERROR(__xludf.DUMMYFUNCTION("""COMPUTED_VALUE"""),46061.4173611111)</f>
        <v>46061.417361111096</v>
      </c>
      <c r="D131" s="6">
        <f ca="1">IFERROR(__xludf.DUMMYFUNCTION("""COMPUTED_VALUE"""),151306.79)</f>
        <v>151306.79</v>
      </c>
      <c r="E131" s="4" t="str">
        <f ca="1">IFERROR(__xludf.DUMMYFUNCTION("""COMPUTED_VALUE"""),"USD")</f>
        <v>USD</v>
      </c>
      <c r="F131" s="4" t="str">
        <f ca="1">IFERROR(__xludf.DUMMYFUNCTION("""COMPUTED_VALUE"""),"Rogelio Gamez")</f>
        <v>Rogelio Gamez</v>
      </c>
      <c r="G131" s="4" t="str">
        <f ca="1">IFERROR(__xludf.DUMMYFUNCTION("""COMPUTED_VALUE"""),"Amazon web services    SEATTLE       USA")</f>
        <v>Amazon web services    SEATTLE       USA</v>
      </c>
      <c r="H131" s="4" t="str">
        <f ca="1">IFERROR(__xludf.DUMMYFUNCTION("""COMPUTED_VALUE"""),"Amazon Web Services")</f>
        <v>Amazon Web Services</v>
      </c>
      <c r="I131" s="4" t="str">
        <f ca="1">IFERROR(__xludf.DUMMYFUNCTION("""COMPUTED_VALUE"""),"Sales")</f>
        <v>Sales</v>
      </c>
      <c r="J131" s="4" t="str">
        <f ca="1">IFERROR(__xludf.DUMMYFUNCTION("""COMPUTED_VALUE"""),"Marketing")</f>
        <v>Marketing</v>
      </c>
      <c r="K131" s="4"/>
      <c r="S131" s="6">
        <v>60</v>
      </c>
      <c r="T131" s="4" t="e">
        <f t="shared" ca="1" si="0"/>
        <v>#N/A</v>
      </c>
    </row>
    <row r="132" spans="1:20" ht="12.5">
      <c r="A132" s="4" t="str">
        <f ca="1">IFERROR(__xludf.DUMMYFUNCTION("""COMPUTED_VALUE"""),"TRX1277")</f>
        <v>TRX1277</v>
      </c>
      <c r="B132" s="4" t="str">
        <f ca="1">IFERROR(__xludf.DUMMYFUNCTION("""COMPUTED_VALUE"""),"#16")</f>
        <v>#16</v>
      </c>
      <c r="C132" s="5">
        <f ca="1">IFERROR(__xludf.DUMMYFUNCTION("""COMPUTED_VALUE"""),46062.4166666666)</f>
        <v>46062.416666666599</v>
      </c>
      <c r="D132" s="6">
        <f ca="1">IFERROR(__xludf.DUMMYFUNCTION("""COMPUTED_VALUE"""),39)</f>
        <v>39</v>
      </c>
      <c r="E132" s="4" t="str">
        <f ca="1">IFERROR(__xludf.DUMMYFUNCTION("""COMPUTED_VALUE"""),"MXN")</f>
        <v>MXN</v>
      </c>
      <c r="F132" s="4" t="str">
        <f ca="1">IFERROR(__xludf.DUMMYFUNCTION("""COMPUTED_VALUE"""),"Rogelio Gamez")</f>
        <v>Rogelio Gamez</v>
      </c>
      <c r="G132" s="4" t="str">
        <f ca="1">IFERROR(__xludf.DUMMYFUNCTION("""COMPUTED_VALUE"""),"OFFICE DEPOT STAM      TLANEPANTLA E MEX")</f>
        <v>OFFICE DEPOT STAM      TLANEPANTLA E MEX</v>
      </c>
      <c r="H132" s="4" t="str">
        <f ca="1">IFERROR(__xludf.DUMMYFUNCTION("""COMPUTED_VALUE"""),"Office Depot")</f>
        <v>Office Depot</v>
      </c>
      <c r="I132" s="4" t="str">
        <f ca="1">IFERROR(__xludf.DUMMYFUNCTION("""COMPUTED_VALUE"""),"Office expenses")</f>
        <v>Office expenses</v>
      </c>
      <c r="J132" s="4"/>
      <c r="K132" s="4"/>
      <c r="S132" s="6">
        <v>705.6</v>
      </c>
      <c r="T132" s="4" t="e">
        <f t="shared" ca="1" si="0"/>
        <v>#N/A</v>
      </c>
    </row>
    <row r="133" spans="1:20" ht="12.5">
      <c r="A133" s="4" t="str">
        <f ca="1">IFERROR(__xludf.DUMMYFUNCTION("""COMPUTED_VALUE"""),"TRX1426")</f>
        <v>TRX1426</v>
      </c>
      <c r="B133" s="4" t="str">
        <f ca="1">IFERROR(__xludf.DUMMYFUNCTION("""COMPUTED_VALUE"""),"#16")</f>
        <v>#16</v>
      </c>
      <c r="C133" s="5">
        <f ca="1">IFERROR(__xludf.DUMMYFUNCTION("""COMPUTED_VALUE"""),46064.4166666666)</f>
        <v>46064.416666666599</v>
      </c>
      <c r="D133" s="6">
        <f ca="1">IFERROR(__xludf.DUMMYFUNCTION("""COMPUTED_VALUE"""),259.94)</f>
        <v>259.94</v>
      </c>
      <c r="E133" s="4" t="str">
        <f ca="1">IFERROR(__xludf.DUMMYFUNCTION("""COMPUTED_VALUE"""),"MXN")</f>
        <v>MXN</v>
      </c>
      <c r="F133" s="4" t="str">
        <f ca="1">IFERROR(__xludf.DUMMYFUNCTION("""COMPUTED_VALUE"""),"Rogelio Gamez")</f>
        <v>Rogelio Gamez</v>
      </c>
      <c r="G133" s="4" t="str">
        <f ca="1">IFERROR(__xludf.DUMMYFUNCTION("""COMPUTED_VALUE"""),"UBER * PENDING         CMX           MEX")</f>
        <v>UBER * PENDING         CMX           MEX</v>
      </c>
      <c r="H133" s="4" t="str">
        <f ca="1">IFERROR(__xludf.DUMMYFUNCTION("""COMPUTED_VALUE"""),"Uber")</f>
        <v>Uber</v>
      </c>
      <c r="I133" s="4" t="str">
        <f ca="1">IFERROR(__xludf.DUMMYFUNCTION("""COMPUTED_VALUE"""),"G&amp;A expenses")</f>
        <v>G&amp;A expenses</v>
      </c>
      <c r="J133" s="4"/>
      <c r="K133" s="4"/>
      <c r="S133" s="6">
        <v>4979</v>
      </c>
      <c r="T133" s="4" t="e">
        <f t="shared" ca="1" si="0"/>
        <v>#N/A</v>
      </c>
    </row>
    <row r="134" spans="1:20" ht="12.5">
      <c r="A134" s="4" t="str">
        <f ca="1">IFERROR(__xludf.DUMMYFUNCTION("""COMPUTED_VALUE"""),"TRX1453")</f>
        <v>TRX1453</v>
      </c>
      <c r="B134" s="4" t="str">
        <f ca="1">IFERROR(__xludf.DUMMYFUNCTION("""COMPUTED_VALUE"""),"#16")</f>
        <v>#16</v>
      </c>
      <c r="C134" s="5">
        <f ca="1">IFERROR(__xludf.DUMMYFUNCTION("""COMPUTED_VALUE"""),46065.4166666666)</f>
        <v>46065.416666666599</v>
      </c>
      <c r="D134" s="6">
        <f ca="1">IFERROR(__xludf.DUMMYFUNCTION("""COMPUTED_VALUE"""),179)</f>
        <v>179</v>
      </c>
      <c r="E134" s="4" t="str">
        <f ca="1">IFERROR(__xludf.DUMMYFUNCTION("""COMPUTED_VALUE"""),"MXN")</f>
        <v>MXN</v>
      </c>
      <c r="F134" s="4" t="str">
        <f ca="1">IFERROR(__xludf.DUMMYFUNCTION("""COMPUTED_VALUE"""),"Rogelio Gamez")</f>
        <v>Rogelio Gamez</v>
      </c>
      <c r="G134" s="4" t="str">
        <f ca="1">IFERROR(__xludf.DUMMYFUNCTION("""COMPUTED_VALUE"""),"Amazon Mexico          CMX           MEX")</f>
        <v>Amazon Mexico          CMX           MEX</v>
      </c>
      <c r="H134" s="4" t="str">
        <f ca="1">IFERROR(__xludf.DUMMYFUNCTION("""COMPUTED_VALUE"""),"Amazon")</f>
        <v>Amazon</v>
      </c>
      <c r="I134" s="4" t="str">
        <f ca="1">IFERROR(__xludf.DUMMYFUNCTION("""COMPUTED_VALUE"""),"Office expenses")</f>
        <v>Office expenses</v>
      </c>
      <c r="J134" s="4"/>
      <c r="K134" s="4"/>
      <c r="S134" s="6">
        <v>340.06</v>
      </c>
      <c r="T134" s="4" t="e">
        <f t="shared" ca="1" si="0"/>
        <v>#N/A</v>
      </c>
    </row>
    <row r="135" spans="1:20" ht="12.5">
      <c r="A135" s="4" t="str">
        <f ca="1">IFERROR(__xludf.DUMMYFUNCTION("""COMPUTED_VALUE"""),"TRX1331")</f>
        <v>TRX1331</v>
      </c>
      <c r="B135" s="4" t="str">
        <f ca="1">IFERROR(__xludf.DUMMYFUNCTION("""COMPUTED_VALUE"""),"#16")</f>
        <v>#16</v>
      </c>
      <c r="C135" s="5">
        <f ca="1">IFERROR(__xludf.DUMMYFUNCTION("""COMPUTED_VALUE"""),46065.4166666666)</f>
        <v>46065.416666666599</v>
      </c>
      <c r="D135" s="6">
        <f ca="1">IFERROR(__xludf.DUMMYFUNCTION("""COMPUTED_VALUE"""),939.94)</f>
        <v>939.94</v>
      </c>
      <c r="E135" s="4" t="str">
        <f ca="1">IFERROR(__xludf.DUMMYFUNCTION("""COMPUTED_VALUE"""),"MXN")</f>
        <v>MXN</v>
      </c>
      <c r="F135" s="4" t="str">
        <f ca="1">IFERROR(__xludf.DUMMYFUNCTION("""COMPUTED_VALUE"""),"Rogelio Gamez")</f>
        <v>Rogelio Gamez</v>
      </c>
      <c r="G135" s="4" t="str">
        <f ca="1">IFERROR(__xludf.DUMMYFUNCTION("""COMPUTED_VALUE"""),"Amazon Mexico          CMX           MEX")</f>
        <v>Amazon Mexico          CMX           MEX</v>
      </c>
      <c r="H135" s="4" t="str">
        <f ca="1">IFERROR(__xludf.DUMMYFUNCTION("""COMPUTED_VALUE"""),"Amazon")</f>
        <v>Amazon</v>
      </c>
      <c r="I135" s="4" t="str">
        <f ca="1">IFERROR(__xludf.DUMMYFUNCTION("""COMPUTED_VALUE"""),"G&amp;A expenses")</f>
        <v>G&amp;A expenses</v>
      </c>
      <c r="J135" s="4"/>
      <c r="K135" s="4"/>
      <c r="S135" s="6">
        <v>884.8</v>
      </c>
      <c r="T135" s="4" t="str">
        <f t="shared" ca="1" si="0"/>
        <v>Termis</v>
      </c>
    </row>
    <row r="136" spans="1:20" ht="12.5">
      <c r="A136" s="4" t="str">
        <f ca="1">IFERROR(__xludf.DUMMYFUNCTION("""COMPUTED_VALUE"""),"TRX1926")</f>
        <v>TRX1926</v>
      </c>
      <c r="B136" s="4" t="str">
        <f ca="1">IFERROR(__xludf.DUMMYFUNCTION("""COMPUTED_VALUE"""),"#16")</f>
        <v>#16</v>
      </c>
      <c r="C136" s="5">
        <f ca="1">IFERROR(__xludf.DUMMYFUNCTION("""COMPUTED_VALUE"""),46065.4166666666)</f>
        <v>46065.416666666599</v>
      </c>
      <c r="D136" s="6">
        <f ca="1">IFERROR(__xludf.DUMMYFUNCTION("""COMPUTED_VALUE"""),499.72)</f>
        <v>499.72</v>
      </c>
      <c r="E136" s="4" t="str">
        <f ca="1">IFERROR(__xludf.DUMMYFUNCTION("""COMPUTED_VALUE"""),"MXN")</f>
        <v>MXN</v>
      </c>
      <c r="F136" s="4" t="str">
        <f ca="1">IFERROR(__xludf.DUMMYFUNCTION("""COMPUTED_VALUE"""),"Rogelio Gamez")</f>
        <v>Rogelio Gamez</v>
      </c>
      <c r="G136" s="4" t="str">
        <f ca="1">IFERROR(__xludf.DUMMYFUNCTION("""COMPUTED_VALUE"""),"Amazon Mexico          CMX           MEX")</f>
        <v>Amazon Mexico          CMX           MEX</v>
      </c>
      <c r="H136" s="4" t="str">
        <f ca="1">IFERROR(__xludf.DUMMYFUNCTION("""COMPUTED_VALUE"""),"Amazon")</f>
        <v>Amazon</v>
      </c>
      <c r="I136" s="4" t="str">
        <f ca="1">IFERROR(__xludf.DUMMYFUNCTION("""COMPUTED_VALUE"""),"Tech&amp;Product")</f>
        <v>Tech&amp;Product</v>
      </c>
      <c r="J136" s="4"/>
      <c r="K136" s="4"/>
      <c r="S136" s="6">
        <v>328.98</v>
      </c>
      <c r="T136" s="4" t="e">
        <f t="shared" ca="1" si="0"/>
        <v>#N/A</v>
      </c>
    </row>
    <row r="137" spans="1:20" ht="12.5">
      <c r="A137" s="4" t="str">
        <f ca="1">IFERROR(__xludf.DUMMYFUNCTION("""COMPUTED_VALUE"""),"TRX1345")</f>
        <v>TRX1345</v>
      </c>
      <c r="B137" s="4" t="str">
        <f ca="1">IFERROR(__xludf.DUMMYFUNCTION("""COMPUTED_VALUE"""),"#16")</f>
        <v>#16</v>
      </c>
      <c r="C137" s="5">
        <f ca="1">IFERROR(__xludf.DUMMYFUNCTION("""COMPUTED_VALUE"""),46065.4166666666)</f>
        <v>46065.416666666599</v>
      </c>
      <c r="D137" s="6">
        <f ca="1">IFERROR(__xludf.DUMMYFUNCTION("""COMPUTED_VALUE"""),299.99)</f>
        <v>299.99</v>
      </c>
      <c r="E137" s="4" t="str">
        <f ca="1">IFERROR(__xludf.DUMMYFUNCTION("""COMPUTED_VALUE"""),"MXN")</f>
        <v>MXN</v>
      </c>
      <c r="F137" s="4" t="str">
        <f ca="1">IFERROR(__xludf.DUMMYFUNCTION("""COMPUTED_VALUE"""),"Rogelio Gamez")</f>
        <v>Rogelio Gamez</v>
      </c>
      <c r="G137" s="4" t="str">
        <f ca="1">IFERROR(__xludf.DUMMYFUNCTION("""COMPUTED_VALUE"""),"Amazon Mexico          CMX           MEX")</f>
        <v>Amazon Mexico          CMX           MEX</v>
      </c>
      <c r="H137" s="4" t="str">
        <f ca="1">IFERROR(__xludf.DUMMYFUNCTION("""COMPUTED_VALUE"""),"Amazon")</f>
        <v>Amazon</v>
      </c>
      <c r="I137" s="4" t="str">
        <f ca="1">IFERROR(__xludf.DUMMYFUNCTION("""COMPUTED_VALUE"""),"Office expenses")</f>
        <v>Office expenses</v>
      </c>
      <c r="J137" s="4"/>
      <c r="K137" s="4"/>
      <c r="S137" s="6">
        <v>189.94</v>
      </c>
      <c r="T137" s="4" t="e">
        <f t="shared" ca="1" si="0"/>
        <v>#N/A</v>
      </c>
    </row>
    <row r="138" spans="1:20" ht="12.5">
      <c r="A138" s="4" t="str">
        <f ca="1">IFERROR(__xludf.DUMMYFUNCTION("""COMPUTED_VALUE"""),"TRX1338")</f>
        <v>TRX1338</v>
      </c>
      <c r="B138" s="4" t="str">
        <f ca="1">IFERROR(__xludf.DUMMYFUNCTION("""COMPUTED_VALUE"""),"#16")</f>
        <v>#16</v>
      </c>
      <c r="C138" s="5">
        <f ca="1">IFERROR(__xludf.DUMMYFUNCTION("""COMPUTED_VALUE"""),46065.4166666666)</f>
        <v>46065.416666666599</v>
      </c>
      <c r="D138" s="6">
        <f ca="1">IFERROR(__xludf.DUMMYFUNCTION("""COMPUTED_VALUE"""),10000)</f>
        <v>10000</v>
      </c>
      <c r="E138" s="4" t="str">
        <f ca="1">IFERROR(__xludf.DUMMYFUNCTION("""COMPUTED_VALUE"""),"MXN")</f>
        <v>MXN</v>
      </c>
      <c r="F138" s="4" t="str">
        <f ca="1">IFERROR(__xludf.DUMMYFUNCTION("""COMPUTED_VALUE"""),"Rogelio Gamez")</f>
        <v>Rogelio Gamez</v>
      </c>
      <c r="G138" s="4" t="str">
        <f ca="1">IFERROR(__xludf.DUMMYFUNCTION("""COMPUTED_VALUE"""),"PAYU   *GOOGLE ADS     MIGUEL HIDALG MEX")</f>
        <v>PAYU   *GOOGLE ADS     MIGUEL HIDALG MEX</v>
      </c>
      <c r="H138" s="4" t="str">
        <f ca="1">IFERROR(__xludf.DUMMYFUNCTION("""COMPUTED_VALUE"""),"Google")</f>
        <v>Google</v>
      </c>
      <c r="I138" s="4" t="str">
        <f ca="1">IFERROR(__xludf.DUMMYFUNCTION("""COMPUTED_VALUE"""),"Tech&amp;Product")</f>
        <v>Tech&amp;Product</v>
      </c>
      <c r="J138" s="4"/>
      <c r="K138" s="4"/>
      <c r="S138" s="6">
        <v>101</v>
      </c>
      <c r="T138" s="4" t="str">
        <f t="shared" ca="1" si="0"/>
        <v>Karen Alexandra Ballesteros Contreras</v>
      </c>
    </row>
    <row r="139" spans="1:20" ht="12.5">
      <c r="A139" s="4" t="str">
        <f ca="1">IFERROR(__xludf.DUMMYFUNCTION("""COMPUTED_VALUE"""),"TRX1265")</f>
        <v>TRX1265</v>
      </c>
      <c r="B139" s="4" t="str">
        <f ca="1">IFERROR(__xludf.DUMMYFUNCTION("""COMPUTED_VALUE"""),"#16")</f>
        <v>#16</v>
      </c>
      <c r="C139" s="5">
        <f ca="1">IFERROR(__xludf.DUMMYFUNCTION("""COMPUTED_VALUE"""),46065.4173611111)</f>
        <v>46065.417361111096</v>
      </c>
      <c r="D139" s="6">
        <f ca="1">IFERROR(__xludf.DUMMYFUNCTION("""COMPUTED_VALUE"""),0.86)</f>
        <v>0.86</v>
      </c>
      <c r="E139" s="4" t="str">
        <f ca="1">IFERROR(__xludf.DUMMYFUNCTION("""COMPUTED_VALUE"""),"MXN")</f>
        <v>MXN</v>
      </c>
      <c r="F139" s="4" t="str">
        <f ca="1">IFERROR(__xludf.DUMMYFUNCTION("""COMPUTED_VALUE"""),"Rogelio Gamez")</f>
        <v>Rogelio Gamez</v>
      </c>
      <c r="G139" s="4" t="str">
        <f ca="1">IFERROR(__xludf.DUMMYFUNCTION("""COMPUTED_VALUE"""),"20260211T04:49:55/Amazon Mexico\AV BLVD MANUEL A CAMACHO\CMX\11510     MEXMEX")</f>
        <v>20260211T04:49:55/Amazon Mexico\AV BLVD MANUEL A CAMACHO\CMX\11510     MEXMEX</v>
      </c>
      <c r="H139" s="4" t="str">
        <f ca="1">IFERROR(__xludf.DUMMYFUNCTION("""COMPUTED_VALUE"""),"Amazon")</f>
        <v>Amazon</v>
      </c>
      <c r="I139" s="4" t="str">
        <f ca="1">IFERROR(__xludf.DUMMYFUNCTION("""COMPUTED_VALUE"""),"Sales")</f>
        <v>Sales</v>
      </c>
      <c r="J139" s="4" t="str">
        <f ca="1">IFERROR(__xludf.DUMMYFUNCTION("""COMPUTED_VALUE"""),"Marketing")</f>
        <v>Marketing</v>
      </c>
      <c r="K139" s="4"/>
      <c r="S139" s="6">
        <v>149.94</v>
      </c>
      <c r="T139" s="4" t="e">
        <f t="shared" ca="1" si="0"/>
        <v>#N/A</v>
      </c>
    </row>
    <row r="140" spans="1:20" ht="12.5">
      <c r="A140" s="4" t="str">
        <f ca="1">IFERROR(__xludf.DUMMYFUNCTION("""COMPUTED_VALUE"""),"TRX1303")</f>
        <v>TRX1303</v>
      </c>
      <c r="B140" s="4" t="str">
        <f ca="1">IFERROR(__xludf.DUMMYFUNCTION("""COMPUTED_VALUE"""),"#16")</f>
        <v>#16</v>
      </c>
      <c r="C140" s="5">
        <f ca="1">IFERROR(__xludf.DUMMYFUNCTION("""COMPUTED_VALUE"""),46072.4173611111)</f>
        <v>46072.417361111096</v>
      </c>
      <c r="D140" s="6">
        <f ca="1">IFERROR(__xludf.DUMMYFUNCTION("""COMPUTED_VALUE"""),300)</f>
        <v>300</v>
      </c>
      <c r="E140" s="4" t="str">
        <f ca="1">IFERROR(__xludf.DUMMYFUNCTION("""COMPUTED_VALUE"""),"MXN")</f>
        <v>MXN</v>
      </c>
      <c r="F140" s="4" t="str">
        <f ca="1">IFERROR(__xludf.DUMMYFUNCTION("""COMPUTED_VALUE"""),"Rogelio Gamez")</f>
        <v>Rogelio Gamez</v>
      </c>
      <c r="G140" s="4" t="str">
        <f ca="1">IFERROR(__xludf.DUMMYFUNCTION("""COMPUTED_VALUE"""),"ABTS 12911 PRADO NORTE CIUDAD DE MEX MEX")</f>
        <v>ABTS 12911 PRADO NORTE CIUDAD DE MEX MEX</v>
      </c>
      <c r="H140" s="4" t="str">
        <f ca="1">IFERROR(__xludf.DUMMYFUNCTION("""COMPUTED_VALUE"""),"Abts Prado Norte Ciudad De Mex Mex")</f>
        <v>Abts Prado Norte Ciudad De Mex Mex</v>
      </c>
      <c r="I140" s="4" t="str">
        <f ca="1">IFERROR(__xludf.DUMMYFUNCTION("""COMPUTED_VALUE"""),"Tech&amp;Product")</f>
        <v>Tech&amp;Product</v>
      </c>
      <c r="J140" s="4"/>
      <c r="K140" s="4"/>
      <c r="S140" s="6">
        <v>172</v>
      </c>
      <c r="T140" s="4" t="e">
        <f t="shared" ca="1" si="0"/>
        <v>#N/A</v>
      </c>
    </row>
    <row r="141" spans="1:20" ht="12.5">
      <c r="A141" s="4" t="str">
        <f ca="1">IFERROR(__xludf.DUMMYFUNCTION("""COMPUTED_VALUE"""),"TRX1313")</f>
        <v>TRX1313</v>
      </c>
      <c r="B141" s="4" t="str">
        <f ca="1">IFERROR(__xludf.DUMMYFUNCTION("""COMPUTED_VALUE"""),"#16")</f>
        <v>#16</v>
      </c>
      <c r="C141" s="5">
        <f ca="1">IFERROR(__xludf.DUMMYFUNCTION("""COMPUTED_VALUE"""),46074.4166666666)</f>
        <v>46074.416666666599</v>
      </c>
      <c r="D141" s="6">
        <f ca="1">IFERROR(__xludf.DUMMYFUNCTION("""COMPUTED_VALUE"""),10000)</f>
        <v>10000</v>
      </c>
      <c r="E141" s="4" t="str">
        <f ca="1">IFERROR(__xludf.DUMMYFUNCTION("""COMPUTED_VALUE"""),"MXN")</f>
        <v>MXN</v>
      </c>
      <c r="F141" s="4" t="str">
        <f ca="1">IFERROR(__xludf.DUMMYFUNCTION("""COMPUTED_VALUE"""),"Rogelio Gamez")</f>
        <v>Rogelio Gamez</v>
      </c>
      <c r="G141" s="4" t="str">
        <f ca="1">IFERROR(__xludf.DUMMYFUNCTION("""COMPUTED_VALUE"""),"PAYU   *GOOGLE ADS     MIGUEL HIDALG MEX")</f>
        <v>PAYU   *GOOGLE ADS     MIGUEL HIDALG MEX</v>
      </c>
      <c r="H141" s="4" t="str">
        <f ca="1">IFERROR(__xludf.DUMMYFUNCTION("""COMPUTED_VALUE"""),"Google")</f>
        <v>Google</v>
      </c>
      <c r="I141" s="4" t="str">
        <f ca="1">IFERROR(__xludf.DUMMYFUNCTION("""COMPUTED_VALUE"""),"Office expenses")</f>
        <v>Office expenses</v>
      </c>
      <c r="J141" s="4"/>
      <c r="K141" s="4"/>
      <c r="S141" s="6">
        <v>239.95</v>
      </c>
      <c r="T141" s="4" t="e">
        <f t="shared" ca="1" si="0"/>
        <v>#N/A</v>
      </c>
    </row>
    <row r="142" spans="1:20" ht="12.5">
      <c r="A142" s="4" t="str">
        <f ca="1">IFERROR(__xludf.DUMMYFUNCTION("""COMPUTED_VALUE"""),"TRX1077")</f>
        <v>TRX1077</v>
      </c>
      <c r="B142" s="4" t="str">
        <f ca="1">IFERROR(__xludf.DUMMYFUNCTION("""COMPUTED_VALUE"""),"#16")</f>
        <v>#16</v>
      </c>
      <c r="C142" s="5">
        <f ca="1">IFERROR(__xludf.DUMMYFUNCTION("""COMPUTED_VALUE"""),46075.4173611111)</f>
        <v>46075.417361111096</v>
      </c>
      <c r="D142" s="6">
        <f ca="1">IFERROR(__xludf.DUMMYFUNCTION("""COMPUTED_VALUE"""),377.09)</f>
        <v>377.09</v>
      </c>
      <c r="E142" s="4" t="str">
        <f ca="1">IFERROR(__xludf.DUMMYFUNCTION("""COMPUTED_VALUE"""),"USD")</f>
        <v>USD</v>
      </c>
      <c r="F142" s="4" t="str">
        <f ca="1">IFERROR(__xludf.DUMMYFUNCTION("""COMPUTED_VALUE"""),"Rogelio Gamez")</f>
        <v>Rogelio Gamez</v>
      </c>
      <c r="G142" s="4" t="str">
        <f ca="1">IFERROR(__xludf.DUMMYFUNCTION("""COMPUTED_VALUE"""),"Box_UK                 London        GBR")</f>
        <v>Box_UK                 London        GBR</v>
      </c>
      <c r="H142" s="4" t="str">
        <f ca="1">IFERROR(__xludf.DUMMYFUNCTION("""COMPUTED_VALUE"""),"Box_Uk London")</f>
        <v>Box_Uk London</v>
      </c>
      <c r="I142" s="4" t="str">
        <f ca="1">IFERROR(__xludf.DUMMYFUNCTION("""COMPUTED_VALUE"""),"Tech&amp;Product")</f>
        <v>Tech&amp;Product</v>
      </c>
      <c r="J142" s="4"/>
      <c r="K142" s="4"/>
      <c r="S142" s="6">
        <v>159.94999999999999</v>
      </c>
      <c r="T142" s="4" t="e">
        <f t="shared" ca="1" si="0"/>
        <v>#N/A</v>
      </c>
    </row>
    <row r="143" spans="1:20" ht="12.5">
      <c r="A143" s="4" t="str">
        <f ca="1">IFERROR(__xludf.DUMMYFUNCTION("""COMPUTED_VALUE"""),"TRX1097")</f>
        <v>TRX1097</v>
      </c>
      <c r="B143" s="4" t="str">
        <f ca="1">IFERROR(__xludf.DUMMYFUNCTION("""COMPUTED_VALUE"""),"#16")</f>
        <v>#16</v>
      </c>
      <c r="C143" s="5">
        <f ca="1">IFERROR(__xludf.DUMMYFUNCTION("""COMPUTED_VALUE"""),46076.4166666666)</f>
        <v>46076.416666666599</v>
      </c>
      <c r="D143" s="6">
        <f ca="1">IFERROR(__xludf.DUMMYFUNCTION("""COMPUTED_VALUE"""),320.53)</f>
        <v>320.52999999999997</v>
      </c>
      <c r="E143" s="4" t="str">
        <f ca="1">IFERROR(__xludf.DUMMYFUNCTION("""COMPUTED_VALUE"""),"EUR")</f>
        <v>EUR</v>
      </c>
      <c r="F143" s="4" t="str">
        <f ca="1">IFERROR(__xludf.DUMMYFUNCTION("""COMPUTED_VALUE"""),"Rogelio Gamez")</f>
        <v>Rogelio Gamez</v>
      </c>
      <c r="G143" s="4" t="str">
        <f ca="1">IFERROR(__xludf.DUMMYFUNCTION("""COMPUTED_VALUE"""),"WEGLOT                 PARIS         FRA")</f>
        <v>WEGLOT                 PARIS         FRA</v>
      </c>
      <c r="H143" s="4" t="str">
        <f ca="1">IFERROR(__xludf.DUMMYFUNCTION("""COMPUTED_VALUE"""),"Weglot Paris Fra")</f>
        <v>Weglot Paris Fra</v>
      </c>
      <c r="I143" s="4" t="str">
        <f ca="1">IFERROR(__xludf.DUMMYFUNCTION("""COMPUTED_VALUE"""),"Tech&amp;Product")</f>
        <v>Tech&amp;Product</v>
      </c>
      <c r="J143" s="4"/>
      <c r="K143" s="4"/>
      <c r="S143" s="6">
        <v>250</v>
      </c>
      <c r="T143" s="4" t="str">
        <f t="shared" ca="1" si="0"/>
        <v>Karen Alexandra Ballesteros Contreras</v>
      </c>
    </row>
    <row r="144" spans="1:20" ht="12.5">
      <c r="A144" s="4" t="str">
        <f ca="1">IFERROR(__xludf.DUMMYFUNCTION("""COMPUTED_VALUE"""),"#N/A")</f>
        <v>#N/A</v>
      </c>
      <c r="B144" s="4"/>
      <c r="C144" s="4"/>
      <c r="D144" s="4" t="str">
        <f ca="1">IFERROR(__xludf.DUMMYFUNCTION("""COMPUTED_VALUE"""),"#N/A")</f>
        <v>#N/A</v>
      </c>
      <c r="E144" s="4" t="str">
        <f ca="1">IFERROR(__xludf.DUMMYFUNCTION("""COMPUTED_VALUE"""),"#N/A")</f>
        <v>#N/A</v>
      </c>
      <c r="F144" s="4" t="str">
        <f ca="1">IFERROR(__xludf.DUMMYFUNCTION("""COMPUTED_VALUE"""),"#N/A")</f>
        <v>#N/A</v>
      </c>
      <c r="G144" s="4" t="str">
        <f ca="1">IFERROR(__xludf.DUMMYFUNCTION("""COMPUTED_VALUE"""),"#N/A")</f>
        <v>#N/A</v>
      </c>
      <c r="H144" s="4"/>
      <c r="I144" s="4" t="str">
        <f ca="1">IFERROR(__xludf.DUMMYFUNCTION("""COMPUTED_VALUE"""),"G&amp;A expenses")</f>
        <v>G&amp;A expenses</v>
      </c>
      <c r="J144" s="4" t="str">
        <f ca="1">IFERROR(__xludf.DUMMYFUNCTION("""COMPUTED_VALUE"""),"RFQ HOTELERIA - Aeropuerto T1 (agua)")</f>
        <v>RFQ HOTELERIA - Aeropuerto T1 (agua)</v>
      </c>
      <c r="K144" s="4" t="str">
        <f ca="1">IFERROR(__xludf.DUMMYFUNCTION("""COMPUTED_VALUE"""),"Solicitada")</f>
        <v>Solicitada</v>
      </c>
      <c r="S144" s="6">
        <v>449</v>
      </c>
      <c r="T144" s="4" t="e">
        <f t="shared" ca="1" si="0"/>
        <v>#N/A</v>
      </c>
    </row>
    <row r="145" spans="1:20" ht="12.5">
      <c r="A145" s="4" t="str">
        <f ca="1">IFERROR(__xludf.DUMMYFUNCTION("""COMPUTED_VALUE"""),"TRX1259")</f>
        <v>TRX1259</v>
      </c>
      <c r="B145" s="4" t="str">
        <f ca="1">IFERROR(__xludf.DUMMYFUNCTION("""COMPUTED_VALUE"""),"#19")</f>
        <v>#19</v>
      </c>
      <c r="C145" s="5">
        <f ca="1">IFERROR(__xludf.DUMMYFUNCTION("""COMPUTED_VALUE"""),46058.4166666666)</f>
        <v>46058.416666666599</v>
      </c>
      <c r="D145" s="6">
        <f ca="1">IFERROR(__xludf.DUMMYFUNCTION("""COMPUTED_VALUE"""),99.96)</f>
        <v>99.96</v>
      </c>
      <c r="E145" s="4" t="str">
        <f ca="1">IFERROR(__xludf.DUMMYFUNCTION("""COMPUTED_VALUE"""),"MXN")</f>
        <v>MXN</v>
      </c>
      <c r="F145" s="4" t="str">
        <f ca="1">IFERROR(__xludf.DUMMYFUNCTION("""COMPUTED_VALUE"""),"Daniel Alejandro Castillo Rivera")</f>
        <v>Daniel Alejandro Castillo Rivera</v>
      </c>
      <c r="G145" s="4" t="str">
        <f ca="1">IFERROR(__xludf.DUMMYFUNCTION("""COMPUTED_VALUE"""),"UBER * PENDING         CMX           MEX")</f>
        <v>UBER * PENDING         CMX           MEX</v>
      </c>
      <c r="H145" s="4" t="str">
        <f ca="1">IFERROR(__xludf.DUMMYFUNCTION("""COMPUTED_VALUE"""),"Uber")</f>
        <v>Uber</v>
      </c>
      <c r="I145" s="4" t="str">
        <f ca="1">IFERROR(__xludf.DUMMYFUNCTION("""COMPUTED_VALUE"""),"Transaction cost")</f>
        <v>Transaction cost</v>
      </c>
      <c r="J145" s="4" t="str">
        <f ca="1">IFERROR(__xludf.DUMMYFUNCTION("""COMPUTED_VALUE"""),"PO2023 SIB 99 min")</f>
        <v>PO2023 SIB 99 min</v>
      </c>
      <c r="K145" s="4" t="str">
        <f ca="1">IFERROR(__xludf.DUMMYFUNCTION("""COMPUTED_VALUE"""),"-")</f>
        <v>-</v>
      </c>
      <c r="S145" s="6">
        <v>5997</v>
      </c>
      <c r="T145" s="4" t="e">
        <f t="shared" ca="1" si="0"/>
        <v>#N/A</v>
      </c>
    </row>
    <row r="146" spans="1:20" ht="12.5">
      <c r="A146" s="4" t="str">
        <f ca="1">IFERROR(__xludf.DUMMYFUNCTION("""COMPUTED_VALUE"""),"TRX1255")</f>
        <v>TRX1255</v>
      </c>
      <c r="B146" s="4" t="str">
        <f ca="1">IFERROR(__xludf.DUMMYFUNCTION("""COMPUTED_VALUE"""),"#19")</f>
        <v>#19</v>
      </c>
      <c r="C146" s="5">
        <f ca="1">IFERROR(__xludf.DUMMYFUNCTION("""COMPUTED_VALUE"""),46058.4166666666)</f>
        <v>46058.416666666599</v>
      </c>
      <c r="D146" s="6">
        <f ca="1">IFERROR(__xludf.DUMMYFUNCTION("""COMPUTED_VALUE"""),90.25)</f>
        <v>90.25</v>
      </c>
      <c r="E146" s="4" t="str">
        <f ca="1">IFERROR(__xludf.DUMMYFUNCTION("""COMPUTED_VALUE"""),"MXN")</f>
        <v>MXN</v>
      </c>
      <c r="F146" s="4" t="str">
        <f ca="1">IFERROR(__xludf.DUMMYFUNCTION("""COMPUTED_VALUE"""),"Daniel Alejandro Castillo Rivera")</f>
        <v>Daniel Alejandro Castillo Rivera</v>
      </c>
      <c r="G146" s="4" t="str">
        <f ca="1">IFERROR(__xludf.DUMMYFUNCTION("""COMPUTED_VALUE"""),"UBER *TRIP HELP.UBER.C CMX           MEX")</f>
        <v>UBER *TRIP HELP.UBER.C CMX           MEX</v>
      </c>
      <c r="H146" s="4" t="str">
        <f ca="1">IFERROR(__xludf.DUMMYFUNCTION("""COMPUTED_VALUE"""),"Uber")</f>
        <v>Uber</v>
      </c>
      <c r="I146" s="4" t="str">
        <f ca="1">IFERROR(__xludf.DUMMYFUNCTION("""COMPUTED_VALUE"""),"Transaction cost")</f>
        <v>Transaction cost</v>
      </c>
      <c r="J146" s="4" t="str">
        <f ca="1">IFERROR(__xludf.DUMMYFUNCTION("""COMPUTED_VALUE"""),"PO2023 SIB 99 min")</f>
        <v>PO2023 SIB 99 min</v>
      </c>
      <c r="K146" s="4" t="str">
        <f ca="1">IFERROR(__xludf.DUMMYFUNCTION("""COMPUTED_VALUE"""),"-")</f>
        <v>-</v>
      </c>
      <c r="S146" s="6">
        <v>379.97</v>
      </c>
      <c r="T146" s="4" t="e">
        <f t="shared" ca="1" si="0"/>
        <v>#N/A</v>
      </c>
    </row>
    <row r="147" spans="1:20" ht="12.5">
      <c r="A147" s="4" t="str">
        <f ca="1">IFERROR(__xludf.DUMMYFUNCTION("""COMPUTED_VALUE"""),"TRX1214")</f>
        <v>TRX1214</v>
      </c>
      <c r="B147" s="4" t="str">
        <f ca="1">IFERROR(__xludf.DUMMYFUNCTION("""COMPUTED_VALUE"""),"#19")</f>
        <v>#19</v>
      </c>
      <c r="C147" s="5">
        <f ca="1">IFERROR(__xludf.DUMMYFUNCTION("""COMPUTED_VALUE"""),46058.4173611111)</f>
        <v>46058.417361111096</v>
      </c>
      <c r="D147" s="6">
        <f ca="1">IFERROR(__xludf.DUMMYFUNCTION("""COMPUTED_VALUE"""),213)</f>
        <v>213</v>
      </c>
      <c r="E147" s="4" t="str">
        <f ca="1">IFERROR(__xludf.DUMMYFUNCTION("""COMPUTED_VALUE"""),"MXN")</f>
        <v>MXN</v>
      </c>
      <c r="F147" s="4" t="str">
        <f ca="1">IFERROR(__xludf.DUMMYFUNCTION("""COMPUTED_VALUE"""),"Daniel Alejandro Castillo Rivera")</f>
        <v>Daniel Alejandro Castillo Rivera</v>
      </c>
      <c r="G147" s="4" t="str">
        <f ca="1">IFERROR(__xludf.DUMMYFUNCTION("""COMPUTED_VALUE"""),"POPEYES EULER          CIUDAD DE MEX MEX")</f>
        <v>POPEYES EULER          CIUDAD DE MEX MEX</v>
      </c>
      <c r="H147" s="4" t="str">
        <f ca="1">IFERROR(__xludf.DUMMYFUNCTION("""COMPUTED_VALUE"""),"Popeyes")</f>
        <v>Popeyes</v>
      </c>
      <c r="I147" s="4" t="str">
        <f ca="1">IFERROR(__xludf.DUMMYFUNCTION("""COMPUTED_VALUE"""),"Transaction cost")</f>
        <v>Transaction cost</v>
      </c>
      <c r="J147" s="4" t="str">
        <f ca="1">IFERROR(__xludf.DUMMYFUNCTION("""COMPUTED_VALUE"""),"PO2023 SIB 99 min")</f>
        <v>PO2023 SIB 99 min</v>
      </c>
      <c r="K147" s="4" t="str">
        <f ca="1">IFERROR(__xludf.DUMMYFUNCTION("""COMPUTED_VALUE"""),"-")</f>
        <v>-</v>
      </c>
      <c r="S147" s="6">
        <v>300</v>
      </c>
      <c r="T147" s="4" t="str">
        <f t="shared" ca="1" si="0"/>
        <v>Rogelio Gamez</v>
      </c>
    </row>
    <row r="148" spans="1:20" ht="12.5">
      <c r="A148" s="4" t="str">
        <f ca="1">IFERROR(__xludf.DUMMYFUNCTION("""COMPUTED_VALUE"""),"TRX1248")</f>
        <v>TRX1248</v>
      </c>
      <c r="B148" s="4" t="str">
        <f ca="1">IFERROR(__xludf.DUMMYFUNCTION("""COMPUTED_VALUE"""),"#19")</f>
        <v>#19</v>
      </c>
      <c r="C148" s="5">
        <f ca="1">IFERROR(__xludf.DUMMYFUNCTION("""COMPUTED_VALUE"""),46064.4166666666)</f>
        <v>46064.416666666599</v>
      </c>
      <c r="D148" s="6">
        <f ca="1">IFERROR(__xludf.DUMMYFUNCTION("""COMPUTED_VALUE"""),329.97)</f>
        <v>329.97</v>
      </c>
      <c r="E148" s="4" t="str">
        <f ca="1">IFERROR(__xludf.DUMMYFUNCTION("""COMPUTED_VALUE"""),"MXN")</f>
        <v>MXN</v>
      </c>
      <c r="F148" s="4" t="str">
        <f ca="1">IFERROR(__xludf.DUMMYFUNCTION("""COMPUTED_VALUE"""),"Daniel Alejandro Castillo Rivera")</f>
        <v>Daniel Alejandro Castillo Rivera</v>
      </c>
      <c r="G148" s="4" t="str">
        <f ca="1">IFERROR(__xludf.DUMMYFUNCTION("""COMPUTED_VALUE"""),"UBER * PENDING         CMX           MEX")</f>
        <v>UBER * PENDING         CMX           MEX</v>
      </c>
      <c r="H148" s="4" t="str">
        <f ca="1">IFERROR(__xludf.DUMMYFUNCTION("""COMPUTED_VALUE"""),"Uber")</f>
        <v>Uber</v>
      </c>
      <c r="I148" s="4" t="str">
        <f ca="1">IFERROR(__xludf.DUMMYFUNCTION("""COMPUTED_VALUE"""),"Transaction cost")</f>
        <v>Transaction cost</v>
      </c>
      <c r="J148" s="4" t="str">
        <f ca="1">IFERROR(__xludf.DUMMYFUNCTION("""COMPUTED_VALUE"""),"PO1953  ARTEVALLEDEBRAVO")</f>
        <v>PO1953  ARTEVALLEDEBRAVO</v>
      </c>
      <c r="K148" s="4" t="str">
        <f ca="1">IFERROR(__xludf.DUMMYFUNCTION("""COMPUTED_VALUE"""),"-")</f>
        <v>-</v>
      </c>
      <c r="S148" s="6">
        <v>428.86</v>
      </c>
      <c r="T148" s="4" t="e">
        <f t="shared" ca="1" si="0"/>
        <v>#N/A</v>
      </c>
    </row>
    <row r="149" spans="1:20" ht="12.5">
      <c r="A149" s="4" t="str">
        <f ca="1">IFERROR(__xludf.DUMMYFUNCTION("""COMPUTED_VALUE"""),"TRX1279")</f>
        <v>TRX1279</v>
      </c>
      <c r="B149" s="4" t="str">
        <f ca="1">IFERROR(__xludf.DUMMYFUNCTION("""COMPUTED_VALUE"""),"#19")</f>
        <v>#19</v>
      </c>
      <c r="C149" s="5">
        <f ca="1">IFERROR(__xludf.DUMMYFUNCTION("""COMPUTED_VALUE"""),46065.4166666666)</f>
        <v>46065.416666666599</v>
      </c>
      <c r="D149" s="6">
        <f ca="1">IFERROR(__xludf.DUMMYFUNCTION("""COMPUTED_VALUE"""),259.94)</f>
        <v>259.94</v>
      </c>
      <c r="E149" s="4" t="str">
        <f ca="1">IFERROR(__xludf.DUMMYFUNCTION("""COMPUTED_VALUE"""),"MXN")</f>
        <v>MXN</v>
      </c>
      <c r="F149" s="4" t="str">
        <f ca="1">IFERROR(__xludf.DUMMYFUNCTION("""COMPUTED_VALUE"""),"Daniel Alejandro Castillo Rivera")</f>
        <v>Daniel Alejandro Castillo Rivera</v>
      </c>
      <c r="G149" s="4" t="str">
        <f ca="1">IFERROR(__xludf.DUMMYFUNCTION("""COMPUTED_VALUE"""),"UBER * PENDING         CMX           MEX")</f>
        <v>UBER * PENDING         CMX           MEX</v>
      </c>
      <c r="H149" s="4" t="str">
        <f ca="1">IFERROR(__xludf.DUMMYFUNCTION("""COMPUTED_VALUE"""),"Uber")</f>
        <v>Uber</v>
      </c>
      <c r="I149" s="4" t="str">
        <f ca="1">IFERROR(__xludf.DUMMYFUNCTION("""COMPUTED_VALUE"""),"Transaction cost")</f>
        <v>Transaction cost</v>
      </c>
      <c r="J149" s="4" t="str">
        <f ca="1">IFERROR(__xludf.DUMMYFUNCTION("""COMPUTED_VALUE"""),"PO1953  ARTEVALLEDEBRAVO")</f>
        <v>PO1953  ARTEVALLEDEBRAVO</v>
      </c>
      <c r="K149" s="4" t="str">
        <f ca="1">IFERROR(__xludf.DUMMYFUNCTION("""COMPUTED_VALUE"""),"-")</f>
        <v>-</v>
      </c>
      <c r="S149" s="6">
        <v>1999</v>
      </c>
      <c r="T149" s="4" t="e">
        <f t="shared" ca="1" si="0"/>
        <v>#N/A</v>
      </c>
    </row>
    <row r="150" spans="1:20" ht="12.5">
      <c r="A150" s="4" t="str">
        <f ca="1">IFERROR(__xludf.DUMMYFUNCTION("""COMPUTED_VALUE"""),"TRX1471")</f>
        <v>TRX1471</v>
      </c>
      <c r="B150" s="4" t="str">
        <f ca="1">IFERROR(__xludf.DUMMYFUNCTION("""COMPUTED_VALUE"""),"#19")</f>
        <v>#19</v>
      </c>
      <c r="C150" s="5">
        <f ca="1">IFERROR(__xludf.DUMMYFUNCTION("""COMPUTED_VALUE"""),46065.4166666666)</f>
        <v>46065.416666666599</v>
      </c>
      <c r="D150" s="6">
        <f ca="1">IFERROR(__xludf.DUMMYFUNCTION("""COMPUTED_VALUE"""),458.24)</f>
        <v>458.24</v>
      </c>
      <c r="E150" s="4" t="str">
        <f ca="1">IFERROR(__xludf.DUMMYFUNCTION("""COMPUTED_VALUE"""),"MXN")</f>
        <v>MXN</v>
      </c>
      <c r="F150" s="4" t="str">
        <f ca="1">IFERROR(__xludf.DUMMYFUNCTION("""COMPUTED_VALUE"""),"Daniel Alejandro Castillo Rivera")</f>
        <v>Daniel Alejandro Castillo Rivera</v>
      </c>
      <c r="G150" s="4" t="str">
        <f ca="1">IFERROR(__xludf.DUMMYFUNCTION("""COMPUTED_VALUE"""),"UBER * EATS PENDING    CMX           MEX")</f>
        <v>UBER * EATS PENDING    CMX           MEX</v>
      </c>
      <c r="H150" s="4" t="str">
        <f ca="1">IFERROR(__xludf.DUMMYFUNCTION("""COMPUTED_VALUE"""),"Uber Eats")</f>
        <v>Uber Eats</v>
      </c>
      <c r="I150" s="4" t="str">
        <f ca="1">IFERROR(__xludf.DUMMYFUNCTION("""COMPUTED_VALUE"""),"Transaction cost")</f>
        <v>Transaction cost</v>
      </c>
      <c r="J150" s="4" t="str">
        <f ca="1">IFERROR(__xludf.DUMMYFUNCTION("""COMPUTED_VALUE"""),"PO1953  ARTEVALLEDEBRAVO")</f>
        <v>PO1953  ARTEVALLEDEBRAVO</v>
      </c>
      <c r="K150" s="4" t="str">
        <f ca="1">IFERROR(__xludf.DUMMYFUNCTION("""COMPUTED_VALUE"""),"-")</f>
        <v>-</v>
      </c>
      <c r="S150" s="6">
        <v>937.06</v>
      </c>
      <c r="T150" s="4" t="e">
        <f t="shared" ca="1" si="0"/>
        <v>#N/A</v>
      </c>
    </row>
    <row r="151" spans="1:20" ht="12.5">
      <c r="A151" s="4" t="str">
        <f ca="1">IFERROR(__xludf.DUMMYFUNCTION("""COMPUTED_VALUE"""),"TRX1016")</f>
        <v>TRX1016</v>
      </c>
      <c r="B151" s="4" t="str">
        <f ca="1">IFERROR(__xludf.DUMMYFUNCTION("""COMPUTED_VALUE"""),"#19")</f>
        <v>#19</v>
      </c>
      <c r="C151" s="5">
        <f ca="1">IFERROR(__xludf.DUMMYFUNCTION("""COMPUTED_VALUE"""),46065.4173611111)</f>
        <v>46065.417361111096</v>
      </c>
      <c r="D151" s="6">
        <f ca="1">IFERROR(__xludf.DUMMYFUNCTION("""COMPUTED_VALUE"""),85)</f>
        <v>85</v>
      </c>
      <c r="E151" s="4" t="str">
        <f ca="1">IFERROR(__xludf.DUMMYFUNCTION("""COMPUTED_VALUE"""),"MXN")</f>
        <v>MXN</v>
      </c>
      <c r="F151" s="4" t="str">
        <f ca="1">IFERROR(__xludf.DUMMYFUNCTION("""COMPUTED_VALUE"""),"Daniel Alejandro Castillo Rivera")</f>
        <v>Daniel Alejandro Castillo Rivera</v>
      </c>
      <c r="G151" s="4" t="str">
        <f ca="1">IFERROR(__xludf.DUMMYFUNCTION("""COMPUTED_VALUE"""),"CLIP MX*REST TAQUITOS  GUSTAVO A MAD MEX")</f>
        <v>CLIP MX*REST TAQUITOS  GUSTAVO A MAD MEX</v>
      </c>
      <c r="H151" s="4" t="str">
        <f ca="1">IFERROR(__xludf.DUMMYFUNCTION("""COMPUTED_VALUE"""),"Clip Mx Rest Taquitos Gustavo A Mad Mex")</f>
        <v>Clip Mx Rest Taquitos Gustavo A Mad Mex</v>
      </c>
      <c r="I151" s="4" t="str">
        <f ca="1">IFERROR(__xludf.DUMMYFUNCTION("""COMPUTED_VALUE"""),"Transaction cost")</f>
        <v>Transaction cost</v>
      </c>
      <c r="J151" s="4" t="str">
        <f ca="1">IFERROR(__xludf.DUMMYFUNCTION("""COMPUTED_VALUE"""),"PO1953  ARTEVALLEDEBRAVO")</f>
        <v>PO1953  ARTEVALLEDEBRAVO</v>
      </c>
      <c r="K151" s="4" t="str">
        <f ca="1">IFERROR(__xludf.DUMMYFUNCTION("""COMPUTED_VALUE"""),"-")</f>
        <v>-</v>
      </c>
      <c r="S151" s="6">
        <v>1598.5</v>
      </c>
      <c r="T151" s="4" t="e">
        <f t="shared" ca="1" si="0"/>
        <v>#N/A</v>
      </c>
    </row>
    <row r="152" spans="1:20" ht="12.5">
      <c r="A152" s="4" t="str">
        <f ca="1">IFERROR(__xludf.DUMMYFUNCTION("""COMPUTED_VALUE"""),"TRX1354")</f>
        <v>TRX1354</v>
      </c>
      <c r="B152" s="4" t="str">
        <f ca="1">IFERROR(__xludf.DUMMYFUNCTION("""COMPUTED_VALUE"""),"#19")</f>
        <v>#19</v>
      </c>
      <c r="C152" s="5">
        <f ca="1">IFERROR(__xludf.DUMMYFUNCTION("""COMPUTED_VALUE"""),46071.4166666666)</f>
        <v>46071.416666666599</v>
      </c>
      <c r="D152" s="6">
        <f ca="1">IFERROR(__xludf.DUMMYFUNCTION("""COMPUTED_VALUE"""),209.64)</f>
        <v>209.64</v>
      </c>
      <c r="E152" s="4" t="str">
        <f ca="1">IFERROR(__xludf.DUMMYFUNCTION("""COMPUTED_VALUE"""),"MXN")</f>
        <v>MXN</v>
      </c>
      <c r="F152" s="4" t="str">
        <f ca="1">IFERROR(__xludf.DUMMYFUNCTION("""COMPUTED_VALUE"""),"Daniel Alejandro Castillo Rivera")</f>
        <v>Daniel Alejandro Castillo Rivera</v>
      </c>
      <c r="G152" s="4" t="str">
        <f ca="1">IFERROR(__xludf.DUMMYFUNCTION("""COMPUTED_VALUE"""),"UBER * PENDING         CMX           MEX")</f>
        <v>UBER * PENDING         CMX           MEX</v>
      </c>
      <c r="H152" s="4" t="str">
        <f ca="1">IFERROR(__xludf.DUMMYFUNCTION("""COMPUTED_VALUE"""),"Uber")</f>
        <v>Uber</v>
      </c>
      <c r="I152" s="4" t="str">
        <f ca="1">IFERROR(__xludf.DUMMYFUNCTION("""COMPUTED_VALUE"""),"Transaction cost")</f>
        <v>Transaction cost</v>
      </c>
      <c r="J152" s="4" t="str">
        <f ca="1">IFERROR(__xludf.DUMMYFUNCTION("""COMPUTED_VALUE"""),"PO1953  ARTEVALLEDEBRAVO")</f>
        <v>PO1953  ARTEVALLEDEBRAVO</v>
      </c>
      <c r="K152" s="4" t="str">
        <f ca="1">IFERROR(__xludf.DUMMYFUNCTION("""COMPUTED_VALUE"""),"-")</f>
        <v>-</v>
      </c>
      <c r="S152" s="6">
        <v>300</v>
      </c>
      <c r="T152" s="4" t="str">
        <f t="shared" ca="1" si="0"/>
        <v>Rogelio Gamez</v>
      </c>
    </row>
    <row r="153" spans="1:20" ht="12.5">
      <c r="A153" s="4" t="str">
        <f ca="1">IFERROR(__xludf.DUMMYFUNCTION("""COMPUTED_VALUE"""),"TRX1900")</f>
        <v>TRX1900</v>
      </c>
      <c r="B153" s="4" t="str">
        <f ca="1">IFERROR(__xludf.DUMMYFUNCTION("""COMPUTED_VALUE"""),"#19")</f>
        <v>#19</v>
      </c>
      <c r="C153" s="5">
        <f ca="1">IFERROR(__xludf.DUMMYFUNCTION("""COMPUTED_VALUE"""),46071.4166666666)</f>
        <v>46071.416666666599</v>
      </c>
      <c r="D153" s="6">
        <f ca="1">IFERROR(__xludf.DUMMYFUNCTION("""COMPUTED_VALUE"""),299.95)</f>
        <v>299.95</v>
      </c>
      <c r="E153" s="4" t="str">
        <f ca="1">IFERROR(__xludf.DUMMYFUNCTION("""COMPUTED_VALUE"""),"MXN")</f>
        <v>MXN</v>
      </c>
      <c r="F153" s="4" t="str">
        <f ca="1">IFERROR(__xludf.DUMMYFUNCTION("""COMPUTED_VALUE"""),"Daniel Alejandro Castillo Rivera")</f>
        <v>Daniel Alejandro Castillo Rivera</v>
      </c>
      <c r="G153" s="4" t="str">
        <f ca="1">IFERROR(__xludf.DUMMYFUNCTION("""COMPUTED_VALUE"""),"DLO*UBER RIDE          CIUDAD DE MEX MEX")</f>
        <v>DLO*UBER RIDE          CIUDAD DE MEX MEX</v>
      </c>
      <c r="H153" s="4" t="str">
        <f ca="1">IFERROR(__xludf.DUMMYFUNCTION("""COMPUTED_VALUE"""),"Uber")</f>
        <v>Uber</v>
      </c>
      <c r="I153" s="4" t="str">
        <f ca="1">IFERROR(__xludf.DUMMYFUNCTION("""COMPUTED_VALUE"""),"Transaction cost")</f>
        <v>Transaction cost</v>
      </c>
      <c r="J153" s="4" t="str">
        <f ca="1">IFERROR(__xludf.DUMMYFUNCTION("""COMPUTED_VALUE"""),"PO1953  ARTEVALLEDEBRAVO")</f>
        <v>PO1953  ARTEVALLEDEBRAVO</v>
      </c>
      <c r="K153" s="4" t="str">
        <f ca="1">IFERROR(__xludf.DUMMYFUNCTION("""COMPUTED_VALUE"""),"-")</f>
        <v>-</v>
      </c>
      <c r="S153" s="6">
        <v>237</v>
      </c>
      <c r="T153" s="4" t="e">
        <f t="shared" ca="1" si="0"/>
        <v>#N/A</v>
      </c>
    </row>
    <row r="154" spans="1:20" ht="12.5">
      <c r="A154" s="4" t="str">
        <f ca="1">IFERROR(__xludf.DUMMYFUNCTION("""COMPUTED_VALUE"""),"TRX1567")</f>
        <v>TRX1567</v>
      </c>
      <c r="B154" s="4" t="str">
        <f ca="1">IFERROR(__xludf.DUMMYFUNCTION("""COMPUTED_VALUE"""),"#19")</f>
        <v>#19</v>
      </c>
      <c r="C154" s="5">
        <f ca="1">IFERROR(__xludf.DUMMYFUNCTION("""COMPUTED_VALUE"""),46071.4166666666)</f>
        <v>46071.416666666599</v>
      </c>
      <c r="D154" s="6">
        <f ca="1">IFERROR(__xludf.DUMMYFUNCTION("""COMPUTED_VALUE"""),65.5)</f>
        <v>65.5</v>
      </c>
      <c r="E154" s="4" t="str">
        <f ca="1">IFERROR(__xludf.DUMMYFUNCTION("""COMPUTED_VALUE"""),"MXN")</f>
        <v>MXN</v>
      </c>
      <c r="F154" s="4" t="str">
        <f ca="1">IFERROR(__xludf.DUMMYFUNCTION("""COMPUTED_VALUE"""),"Daniel Alejandro Castillo Rivera")</f>
        <v>Daniel Alejandro Castillo Rivera</v>
      </c>
      <c r="G154" s="4" t="str">
        <f ca="1">IFERROR(__xludf.DUMMYFUNCTION("""COMPUTED_VALUE"""),"OXXO PONIENTE 116      MEXICO DF     MEX")</f>
        <v>OXXO PONIENTE 116      MEXICO DF     MEX</v>
      </c>
      <c r="H154" s="4" t="str">
        <f ca="1">IFERROR(__xludf.DUMMYFUNCTION("""COMPUTED_VALUE"""),"Oxxo")</f>
        <v>Oxxo</v>
      </c>
      <c r="I154" s="4" t="str">
        <f ca="1">IFERROR(__xludf.DUMMYFUNCTION("""COMPUTED_VALUE"""),"Transaction cost")</f>
        <v>Transaction cost</v>
      </c>
      <c r="J154" s="4" t="str">
        <f ca="1">IFERROR(__xludf.DUMMYFUNCTION("""COMPUTED_VALUE"""),"PO1953  ARTEVALLEDEBRAVO")</f>
        <v>PO1953  ARTEVALLEDEBRAVO</v>
      </c>
      <c r="K154" s="4" t="str">
        <f ca="1">IFERROR(__xludf.DUMMYFUNCTION("""COMPUTED_VALUE"""),"-")</f>
        <v>-</v>
      </c>
      <c r="S154" s="6">
        <v>8361</v>
      </c>
      <c r="T154" s="4" t="e">
        <f t="shared" ca="1" si="0"/>
        <v>#N/A</v>
      </c>
    </row>
    <row r="155" spans="1:20" ht="12.5">
      <c r="A155" s="4" t="str">
        <f ca="1">IFERROR(__xludf.DUMMYFUNCTION("""COMPUTED_VALUE"""),"TRX1784")</f>
        <v>TRX1784</v>
      </c>
      <c r="B155" s="4" t="str">
        <f ca="1">IFERROR(__xludf.DUMMYFUNCTION("""COMPUTED_VALUE"""),"#19")</f>
        <v>#19</v>
      </c>
      <c r="C155" s="5">
        <f ca="1">IFERROR(__xludf.DUMMYFUNCTION("""COMPUTED_VALUE"""),46071.4173611111)</f>
        <v>46071.417361111096</v>
      </c>
      <c r="D155" s="6">
        <f ca="1">IFERROR(__xludf.DUMMYFUNCTION("""COMPUTED_VALUE"""),258)</f>
        <v>258</v>
      </c>
      <c r="E155" s="4" t="str">
        <f ca="1">IFERROR(__xludf.DUMMYFUNCTION("""COMPUTED_VALUE"""),"MXN")</f>
        <v>MXN</v>
      </c>
      <c r="F155" s="4" t="str">
        <f ca="1">IFERROR(__xludf.DUMMYFUNCTION("""COMPUTED_VALUE"""),"Daniel Alejandro Castillo Rivera")</f>
        <v>Daniel Alejandro Castillo Rivera</v>
      </c>
      <c r="G155" s="4" t="str">
        <f ca="1">IFERROR(__xludf.DUMMYFUNCTION("""COMPUTED_VALUE"""),"KFC 577 TIZAYUCA CON S TIZAYUCA HGO  MEX")</f>
        <v>KFC 577 TIZAYUCA CON S TIZAYUCA HGO  MEX</v>
      </c>
      <c r="H155" s="4" t="str">
        <f ca="1">IFERROR(__xludf.DUMMYFUNCTION("""COMPUTED_VALUE"""),"Kentucky Fried Chicken")</f>
        <v>Kentucky Fried Chicken</v>
      </c>
      <c r="I155" s="4" t="str">
        <f ca="1">IFERROR(__xludf.DUMMYFUNCTION("""COMPUTED_VALUE"""),"Transaction cost")</f>
        <v>Transaction cost</v>
      </c>
      <c r="J155" s="4" t="str">
        <f ca="1">IFERROR(__xludf.DUMMYFUNCTION("""COMPUTED_VALUE"""),"PO1953  ARTEVALLEDEBRAVO")</f>
        <v>PO1953  ARTEVALLEDEBRAVO</v>
      </c>
      <c r="K155" s="4" t="str">
        <f ca="1">IFERROR(__xludf.DUMMYFUNCTION("""COMPUTED_VALUE"""),"-")</f>
        <v>-</v>
      </c>
      <c r="S155" s="6">
        <v>136.88</v>
      </c>
      <c r="T155" s="4" t="e">
        <f t="shared" ca="1" si="0"/>
        <v>#N/A</v>
      </c>
    </row>
    <row r="156" spans="1:20" ht="12.5">
      <c r="A156" s="4" t="str">
        <f ca="1">IFERROR(__xludf.DUMMYFUNCTION("""COMPUTED_VALUE"""),"TRX1966")</f>
        <v>TRX1966</v>
      </c>
      <c r="B156" s="4" t="str">
        <f ca="1">IFERROR(__xludf.DUMMYFUNCTION("""COMPUTED_VALUE"""),"#19")</f>
        <v>#19</v>
      </c>
      <c r="C156" s="5">
        <f ca="1">IFERROR(__xludf.DUMMYFUNCTION("""COMPUTED_VALUE"""),46072.4166666666)</f>
        <v>46072.416666666599</v>
      </c>
      <c r="D156" s="6">
        <f ca="1">IFERROR(__xludf.DUMMYFUNCTION("""COMPUTED_VALUE"""),629.97)</f>
        <v>629.97</v>
      </c>
      <c r="E156" s="4" t="str">
        <f ca="1">IFERROR(__xludf.DUMMYFUNCTION("""COMPUTED_VALUE"""),"MXN")</f>
        <v>MXN</v>
      </c>
      <c r="F156" s="4" t="str">
        <f ca="1">IFERROR(__xludf.DUMMYFUNCTION("""COMPUTED_VALUE"""),"Daniel Alejandro Castillo Rivera")</f>
        <v>Daniel Alejandro Castillo Rivera</v>
      </c>
      <c r="G156" s="4" t="str">
        <f ca="1">IFERROR(__xludf.DUMMYFUNCTION("""COMPUTED_VALUE"""),"UBER * PENDING         CMX           MEX")</f>
        <v>UBER * PENDING         CMX           MEX</v>
      </c>
      <c r="H156" s="4" t="str">
        <f ca="1">IFERROR(__xludf.DUMMYFUNCTION("""COMPUTED_VALUE"""),"Uber")</f>
        <v>Uber</v>
      </c>
      <c r="I156" s="4" t="str">
        <f ca="1">IFERROR(__xludf.DUMMYFUNCTION("""COMPUTED_VALUE"""),"Transaction cost")</f>
        <v>Transaction cost</v>
      </c>
      <c r="J156" s="4" t="str">
        <f ca="1">IFERROR(__xludf.DUMMYFUNCTION("""COMPUTED_VALUE"""),"PO2165 veolia UFCEB")</f>
        <v>PO2165 veolia UFCEB</v>
      </c>
      <c r="K156" s="4" t="str">
        <f ca="1">IFERROR(__xludf.DUMMYFUNCTION("""COMPUTED_VALUE"""),"-")</f>
        <v>-</v>
      </c>
      <c r="S156" s="6">
        <v>7475</v>
      </c>
      <c r="T156" s="4" t="e">
        <f t="shared" ca="1" si="0"/>
        <v>#N/A</v>
      </c>
    </row>
    <row r="157" spans="1:20" ht="12.5">
      <c r="A157" s="4" t="str">
        <f ca="1">IFERROR(__xludf.DUMMYFUNCTION("""COMPUTED_VALUE"""),"TRX1064")</f>
        <v>TRX1064</v>
      </c>
      <c r="B157" s="4" t="str">
        <f ca="1">IFERROR(__xludf.DUMMYFUNCTION("""COMPUTED_VALUE"""),"#19")</f>
        <v>#19</v>
      </c>
      <c r="C157" s="5">
        <f ca="1">IFERROR(__xludf.DUMMYFUNCTION("""COMPUTED_VALUE"""),46073.4166666666)</f>
        <v>46073.416666666599</v>
      </c>
      <c r="D157" s="6">
        <f ca="1">IFERROR(__xludf.DUMMYFUNCTION("""COMPUTED_VALUE"""),224.11)</f>
        <v>224.11</v>
      </c>
      <c r="E157" s="4" t="str">
        <f ca="1">IFERROR(__xludf.DUMMYFUNCTION("""COMPUTED_VALUE"""),"MXN")</f>
        <v>MXN</v>
      </c>
      <c r="F157" s="4" t="str">
        <f ca="1">IFERROR(__xludf.DUMMYFUNCTION("""COMPUTED_VALUE"""),"Daniel Alejandro Castillo Rivera")</f>
        <v>Daniel Alejandro Castillo Rivera</v>
      </c>
      <c r="G157" s="4" t="str">
        <f ca="1">IFERROR(__xludf.DUMMYFUNCTION("""COMPUTED_VALUE"""),"UBER * PENDING         CMX           MEX")</f>
        <v>UBER * PENDING         CMX           MEX</v>
      </c>
      <c r="H157" s="4" t="str">
        <f ca="1">IFERROR(__xludf.DUMMYFUNCTION("""COMPUTED_VALUE"""),"Uber")</f>
        <v>Uber</v>
      </c>
      <c r="I157" s="4" t="str">
        <f ca="1">IFERROR(__xludf.DUMMYFUNCTION("""COMPUTED_VALUE"""),"Transaction cost")</f>
        <v>Transaction cost</v>
      </c>
      <c r="J157" s="4" t="str">
        <f ca="1">IFERROR(__xludf.DUMMYFUNCTION("""COMPUTED_VALUE"""),"PO2165 veolia UFCEB")</f>
        <v>PO2165 veolia UFCEB</v>
      </c>
      <c r="K157" s="4" t="str">
        <f ca="1">IFERROR(__xludf.DUMMYFUNCTION("""COMPUTED_VALUE"""),"-")</f>
        <v>-</v>
      </c>
      <c r="S157" s="6">
        <v>233.17</v>
      </c>
      <c r="T157" s="4" t="e">
        <f t="shared" ca="1" si="0"/>
        <v>#N/A</v>
      </c>
    </row>
    <row r="158" spans="1:20" ht="12.5">
      <c r="A158" s="4" t="str">
        <f ca="1">IFERROR(__xludf.DUMMYFUNCTION("""COMPUTED_VALUE"""),"TRX1038")</f>
        <v>TRX1038</v>
      </c>
      <c r="B158" s="4" t="str">
        <f ca="1">IFERROR(__xludf.DUMMYFUNCTION("""COMPUTED_VALUE"""),"#19")</f>
        <v>#19</v>
      </c>
      <c r="C158" s="5">
        <f ca="1">IFERROR(__xludf.DUMMYFUNCTION("""COMPUTED_VALUE"""),46073.4166666666)</f>
        <v>46073.416666666599</v>
      </c>
      <c r="D158" s="6">
        <f ca="1">IFERROR(__xludf.DUMMYFUNCTION("""COMPUTED_VALUE"""),209)</f>
        <v>209</v>
      </c>
      <c r="E158" s="4" t="str">
        <f ca="1">IFERROR(__xludf.DUMMYFUNCTION("""COMPUTED_VALUE"""),"MXN")</f>
        <v>MXN</v>
      </c>
      <c r="F158" s="4" t="str">
        <f ca="1">IFERROR(__xludf.DUMMYFUNCTION("""COMPUTED_VALUE"""),"Daniel Alejandro Castillo Rivera")</f>
        <v>Daniel Alejandro Castillo Rivera</v>
      </c>
      <c r="G158" s="4" t="str">
        <f ca="1">IFERROR(__xludf.DUMMYFUNCTION("""COMPUTED_VALUE"""),"MERCADOPAGO *DOSGARDE  Tultitln      MEX")</f>
        <v>MERCADOPAGO *DOSGARDE  Tultitln      MEX</v>
      </c>
      <c r="H158" s="4" t="str">
        <f ca="1">IFERROR(__xludf.DUMMYFUNCTION("""COMPUTED_VALUE"""),"Mercadopago")</f>
        <v>Mercadopago</v>
      </c>
      <c r="I158" s="4" t="str">
        <f ca="1">IFERROR(__xludf.DUMMYFUNCTION("""COMPUTED_VALUE"""),"Transaction cost")</f>
        <v>Transaction cost</v>
      </c>
      <c r="J158" s="4" t="str">
        <f ca="1">IFERROR(__xludf.DUMMYFUNCTION("""COMPUTED_VALUE"""),"PO2165 veolia UFCEB")</f>
        <v>PO2165 veolia UFCEB</v>
      </c>
      <c r="K158" s="4" t="str">
        <f ca="1">IFERROR(__xludf.DUMMYFUNCTION("""COMPUTED_VALUE"""),"-")</f>
        <v>-</v>
      </c>
      <c r="S158" s="6">
        <v>234.98</v>
      </c>
      <c r="T158" s="4" t="e">
        <f t="shared" ca="1" si="0"/>
        <v>#N/A</v>
      </c>
    </row>
    <row r="159" spans="1:20" ht="12.5">
      <c r="A159" s="4" t="str">
        <f ca="1">IFERROR(__xludf.DUMMYFUNCTION("""COMPUTED_VALUE"""),"TRX1946")</f>
        <v>TRX1946</v>
      </c>
      <c r="B159" s="4" t="str">
        <f ca="1">IFERROR(__xludf.DUMMYFUNCTION("""COMPUTED_VALUE"""),"#19")</f>
        <v>#19</v>
      </c>
      <c r="C159" s="5">
        <f ca="1">IFERROR(__xludf.DUMMYFUNCTION("""COMPUTED_VALUE"""),46073.4173611111)</f>
        <v>46073.417361111096</v>
      </c>
      <c r="D159" s="6">
        <f ca="1">IFERROR(__xludf.DUMMYFUNCTION("""COMPUTED_VALUE"""),89)</f>
        <v>89</v>
      </c>
      <c r="E159" s="4" t="str">
        <f ca="1">IFERROR(__xludf.DUMMYFUNCTION("""COMPUTED_VALUE"""),"MXN")</f>
        <v>MXN</v>
      </c>
      <c r="F159" s="4" t="str">
        <f ca="1">IFERROR(__xludf.DUMMYFUNCTION("""COMPUTED_VALUE"""),"Daniel Alejandro Castillo Rivera")</f>
        <v>Daniel Alejandro Castillo Rivera</v>
      </c>
      <c r="G159" s="4" t="str">
        <f ca="1">IFERROR(__xludf.DUMMYFUNCTION("""COMPUTED_VALUE"""),"OXXOSAN ANTONIO 17 MEX CUAUTITLAN EM MEX")</f>
        <v>OXXOSAN ANTONIO 17 MEX CUAUTITLAN EM MEX</v>
      </c>
      <c r="H159" s="4" t="str">
        <f ca="1">IFERROR(__xludf.DUMMYFUNCTION("""COMPUTED_VALUE"""),"Oxxosan Antonio 17 Mex Cuautitlan Em Mex")</f>
        <v>Oxxosan Antonio 17 Mex Cuautitlan Em Mex</v>
      </c>
      <c r="I159" s="4" t="str">
        <f ca="1">IFERROR(__xludf.DUMMYFUNCTION("""COMPUTED_VALUE"""),"Transaction cost")</f>
        <v>Transaction cost</v>
      </c>
      <c r="J159" s="4" t="str">
        <f ca="1">IFERROR(__xludf.DUMMYFUNCTION("""COMPUTED_VALUE"""),"PO2165 veolia UFCEB")</f>
        <v>PO2165 veolia UFCEB</v>
      </c>
      <c r="K159" s="4" t="str">
        <f ca="1">IFERROR(__xludf.DUMMYFUNCTION("""COMPUTED_VALUE"""),"-")</f>
        <v>-</v>
      </c>
      <c r="S159" s="6">
        <v>568.70000000000005</v>
      </c>
      <c r="T159" s="4" t="e">
        <f t="shared" ca="1" si="0"/>
        <v>#N/A</v>
      </c>
    </row>
    <row r="160" spans="1:20" ht="12.5">
      <c r="A160" s="4" t="str">
        <f ca="1">IFERROR(__xludf.DUMMYFUNCTION("""COMPUTED_VALUE"""),"TRX1169")</f>
        <v>TRX1169</v>
      </c>
      <c r="B160" s="4" t="str">
        <f ca="1">IFERROR(__xludf.DUMMYFUNCTION("""COMPUTED_VALUE"""),"#19")</f>
        <v>#19</v>
      </c>
      <c r="C160" s="5">
        <f ca="1">IFERROR(__xludf.DUMMYFUNCTION("""COMPUTED_VALUE"""),46074.4166666666)</f>
        <v>46074.416666666599</v>
      </c>
      <c r="D160" s="6">
        <f ca="1">IFERROR(__xludf.DUMMYFUNCTION("""COMPUTED_VALUE"""),280.16)</f>
        <v>280.16000000000003</v>
      </c>
      <c r="E160" s="4" t="str">
        <f ca="1">IFERROR(__xludf.DUMMYFUNCTION("""COMPUTED_VALUE"""),"MXN")</f>
        <v>MXN</v>
      </c>
      <c r="F160" s="4" t="str">
        <f ca="1">IFERROR(__xludf.DUMMYFUNCTION("""COMPUTED_VALUE"""),"Daniel Alejandro Castillo Rivera")</f>
        <v>Daniel Alejandro Castillo Rivera</v>
      </c>
      <c r="G160" s="4" t="str">
        <f ca="1">IFERROR(__xludf.DUMMYFUNCTION("""COMPUTED_VALUE"""),"UBER *TRIP HELP.UBER.C CMX           MEX")</f>
        <v>UBER *TRIP HELP.UBER.C CMX           MEX</v>
      </c>
      <c r="H160" s="4" t="str">
        <f ca="1">IFERROR(__xludf.DUMMYFUNCTION("""COMPUTED_VALUE"""),"Uber")</f>
        <v>Uber</v>
      </c>
      <c r="I160" s="4" t="str">
        <f ca="1">IFERROR(__xludf.DUMMYFUNCTION("""COMPUTED_VALUE"""),"Transaction cost")</f>
        <v>Transaction cost</v>
      </c>
      <c r="J160" s="4" t="str">
        <f ca="1">IFERROR(__xludf.DUMMYFUNCTION("""COMPUTED_VALUE"""),"calibracion rugosimetro CC calidad")</f>
        <v>calibracion rugosimetro CC calidad</v>
      </c>
      <c r="K160" s="4" t="str">
        <f ca="1">IFERROR(__xludf.DUMMYFUNCTION("""COMPUTED_VALUE"""),"-")</f>
        <v>-</v>
      </c>
      <c r="S160" s="6">
        <v>5484.11</v>
      </c>
      <c r="T160" s="4" t="e">
        <f t="shared" ca="1" si="0"/>
        <v>#N/A</v>
      </c>
    </row>
    <row r="161" spans="1:20" ht="12.5">
      <c r="A161" s="4" t="str">
        <f ca="1">IFERROR(__xludf.DUMMYFUNCTION("""COMPUTED_VALUE"""),"TRX1227")</f>
        <v>TRX1227</v>
      </c>
      <c r="B161" s="4" t="str">
        <f ca="1">IFERROR(__xludf.DUMMYFUNCTION("""COMPUTED_VALUE"""),"#19")</f>
        <v>#19</v>
      </c>
      <c r="C161" s="5">
        <f ca="1">IFERROR(__xludf.DUMMYFUNCTION("""COMPUTED_VALUE"""),46074.4166666666)</f>
        <v>46074.416666666599</v>
      </c>
      <c r="D161" s="6">
        <f ca="1">IFERROR(__xludf.DUMMYFUNCTION("""COMPUTED_VALUE"""),280.53)</f>
        <v>280.52999999999997</v>
      </c>
      <c r="E161" s="4" t="str">
        <f ca="1">IFERROR(__xludf.DUMMYFUNCTION("""COMPUTED_VALUE"""),"MXN")</f>
        <v>MXN</v>
      </c>
      <c r="F161" s="4" t="str">
        <f ca="1">IFERROR(__xludf.DUMMYFUNCTION("""COMPUTED_VALUE"""),"Daniel Alejandro Castillo Rivera")</f>
        <v>Daniel Alejandro Castillo Rivera</v>
      </c>
      <c r="G161" s="4" t="str">
        <f ca="1">IFERROR(__xludf.DUMMYFUNCTION("""COMPUTED_VALUE"""),"UBER * PENDING         CMX           MEX")</f>
        <v>UBER * PENDING         CMX           MEX</v>
      </c>
      <c r="H161" s="4" t="str">
        <f ca="1">IFERROR(__xludf.DUMMYFUNCTION("""COMPUTED_VALUE"""),"Uber")</f>
        <v>Uber</v>
      </c>
      <c r="I161" s="4" t="str">
        <f ca="1">IFERROR(__xludf.DUMMYFUNCTION("""COMPUTED_VALUE"""),"Transaction cost")</f>
        <v>Transaction cost</v>
      </c>
      <c r="J161" s="4" t="str">
        <f ca="1">IFERROR(__xludf.DUMMYFUNCTION("""COMPUTED_VALUE"""),"calibracion rugosimetro CC calidad")</f>
        <v>calibracion rugosimetro CC calidad</v>
      </c>
      <c r="K161" s="4" t="str">
        <f ca="1">IFERROR(__xludf.DUMMYFUNCTION("""COMPUTED_VALUE"""),"-")</f>
        <v>-</v>
      </c>
      <c r="S161" s="6">
        <v>500</v>
      </c>
      <c r="T161" s="4" t="str">
        <f t="shared" ca="1" si="0"/>
        <v>Fernando Sanchez Toledano</v>
      </c>
    </row>
    <row r="162" spans="1:20" ht="12.5">
      <c r="A162" s="4" t="str">
        <f ca="1">IFERROR(__xludf.DUMMYFUNCTION("""COMPUTED_VALUE"""),"TRX1144")</f>
        <v>TRX1144</v>
      </c>
      <c r="B162" s="4" t="str">
        <f ca="1">IFERROR(__xludf.DUMMYFUNCTION("""COMPUTED_VALUE"""),"#19")</f>
        <v>#19</v>
      </c>
      <c r="C162" s="5">
        <f ca="1">IFERROR(__xludf.DUMMYFUNCTION("""COMPUTED_VALUE"""),46074.4166666666)</f>
        <v>46074.416666666599</v>
      </c>
      <c r="D162" s="6">
        <f ca="1">IFERROR(__xludf.DUMMYFUNCTION("""COMPUTED_VALUE"""),259.94)</f>
        <v>259.94</v>
      </c>
      <c r="E162" s="4" t="str">
        <f ca="1">IFERROR(__xludf.DUMMYFUNCTION("""COMPUTED_VALUE"""),"MXN")</f>
        <v>MXN</v>
      </c>
      <c r="F162" s="4" t="str">
        <f ca="1">IFERROR(__xludf.DUMMYFUNCTION("""COMPUTED_VALUE"""),"Daniel Alejandro Castillo Rivera")</f>
        <v>Daniel Alejandro Castillo Rivera</v>
      </c>
      <c r="G162" s="4" t="str">
        <f ca="1">IFERROR(__xludf.DUMMYFUNCTION("""COMPUTED_VALUE"""),"UBER * PENDING         CMX           MEX")</f>
        <v>UBER * PENDING         CMX           MEX</v>
      </c>
      <c r="H162" s="4" t="str">
        <f ca="1">IFERROR(__xludf.DUMMYFUNCTION("""COMPUTED_VALUE"""),"Uber")</f>
        <v>Uber</v>
      </c>
      <c r="I162" s="4" t="str">
        <f ca="1">IFERROR(__xludf.DUMMYFUNCTION("""COMPUTED_VALUE"""),"Transaction cost")</f>
        <v>Transaction cost</v>
      </c>
      <c r="J162" s="4" t="str">
        <f ca="1">IFERROR(__xludf.DUMMYFUNCTION("""COMPUTED_VALUE"""),"PO1953  ARTEVALLEDEBRAVO")</f>
        <v>PO1953  ARTEVALLEDEBRAVO</v>
      </c>
      <c r="K162" s="4" t="str">
        <f ca="1">IFERROR(__xludf.DUMMYFUNCTION("""COMPUTED_VALUE"""),"-")</f>
        <v>-</v>
      </c>
      <c r="S162" s="6">
        <v>48</v>
      </c>
      <c r="T162" s="4" t="e">
        <f t="shared" ca="1" si="0"/>
        <v>#N/A</v>
      </c>
    </row>
    <row r="163" spans="1:20" ht="12.5">
      <c r="A163" s="4" t="str">
        <f ca="1">IFERROR(__xludf.DUMMYFUNCTION("""COMPUTED_VALUE"""),"TRX1069")</f>
        <v>TRX1069</v>
      </c>
      <c r="B163" s="4" t="str">
        <f ca="1">IFERROR(__xludf.DUMMYFUNCTION("""COMPUTED_VALUE"""),"#19")</f>
        <v>#19</v>
      </c>
      <c r="C163" s="5">
        <f ca="1">IFERROR(__xludf.DUMMYFUNCTION("""COMPUTED_VALUE"""),46075.4166666666)</f>
        <v>46075.416666666599</v>
      </c>
      <c r="D163" s="6">
        <f ca="1">IFERROR(__xludf.DUMMYFUNCTION("""COMPUTED_VALUE"""),76.5)</f>
        <v>76.5</v>
      </c>
      <c r="E163" s="4" t="str">
        <f ca="1">IFERROR(__xludf.DUMMYFUNCTION("""COMPUTED_VALUE"""),"MXN")</f>
        <v>MXN</v>
      </c>
      <c r="F163" s="4" t="str">
        <f ca="1">IFERROR(__xludf.DUMMYFUNCTION("""COMPUTED_VALUE"""),"Daniel Alejandro Castillo Rivera")</f>
        <v>Daniel Alejandro Castillo Rivera</v>
      </c>
      <c r="G163" s="4" t="str">
        <f ca="1">IFERROR(__xludf.DUMMYFUNCTION("""COMPUTED_VALUE"""),"OXXO PONIENTE 116      MEXICO DF     MEX")</f>
        <v>OXXO PONIENTE 116      MEXICO DF     MEX</v>
      </c>
      <c r="H163" s="4" t="str">
        <f ca="1">IFERROR(__xludf.DUMMYFUNCTION("""COMPUTED_VALUE"""),"Oxxo")</f>
        <v>Oxxo</v>
      </c>
      <c r="I163" s="4" t="str">
        <f ca="1">IFERROR(__xludf.DUMMYFUNCTION("""COMPUTED_VALUE"""),"Transaction cost")</f>
        <v>Transaction cost</v>
      </c>
      <c r="J163" s="4" t="str">
        <f ca="1">IFERROR(__xludf.DUMMYFUNCTION("""COMPUTED_VALUE"""),"PO1953  ARTEVALLEDEBRAVO")</f>
        <v>PO1953  ARTEVALLEDEBRAVO</v>
      </c>
      <c r="K163" s="4" t="str">
        <f ca="1">IFERROR(__xludf.DUMMYFUNCTION("""COMPUTED_VALUE"""),"-")</f>
        <v>-</v>
      </c>
      <c r="S163" s="6">
        <v>614</v>
      </c>
      <c r="T163" s="4" t="e">
        <f t="shared" ca="1" si="0"/>
        <v>#N/A</v>
      </c>
    </row>
    <row r="164" spans="1:20" ht="12.5">
      <c r="A164" s="4" t="str">
        <f ca="1">IFERROR(__xludf.DUMMYFUNCTION("""COMPUTED_VALUE"""),"TRX1073")</f>
        <v>TRX1073</v>
      </c>
      <c r="B164" s="4" t="str">
        <f ca="1">IFERROR(__xludf.DUMMYFUNCTION("""COMPUTED_VALUE"""),"#19")</f>
        <v>#19</v>
      </c>
      <c r="C164" s="5">
        <f ca="1">IFERROR(__xludf.DUMMYFUNCTION("""COMPUTED_VALUE"""),46075.4173611111)</f>
        <v>46075.417361111096</v>
      </c>
      <c r="D164" s="6">
        <f ca="1">IFERROR(__xludf.DUMMYFUNCTION("""COMPUTED_VALUE"""),319.95)</f>
        <v>319.95</v>
      </c>
      <c r="E164" s="4" t="str">
        <f ca="1">IFERROR(__xludf.DUMMYFUNCTION("""COMPUTED_VALUE"""),"MXN")</f>
        <v>MXN</v>
      </c>
      <c r="F164" s="4" t="str">
        <f ca="1">IFERROR(__xludf.DUMMYFUNCTION("""COMPUTED_VALUE"""),"Daniel Alejandro Castillo Rivera")</f>
        <v>Daniel Alejandro Castillo Rivera</v>
      </c>
      <c r="G164" s="4" t="str">
        <f ca="1">IFERROR(__xludf.DUMMYFUNCTION("""COMPUTED_VALUE"""),"DLO*Uber               CDMX          MEX")</f>
        <v>DLO*Uber               CDMX          MEX</v>
      </c>
      <c r="H164" s="4" t="str">
        <f ca="1">IFERROR(__xludf.DUMMYFUNCTION("""COMPUTED_VALUE"""),"Uber")</f>
        <v>Uber</v>
      </c>
      <c r="I164" s="4" t="str">
        <f ca="1">IFERROR(__xludf.DUMMYFUNCTION("""COMPUTED_VALUE"""),"Transaction cost")</f>
        <v>Transaction cost</v>
      </c>
      <c r="J164" s="4" t="str">
        <f ca="1">IFERROR(__xludf.DUMMYFUNCTION("""COMPUTED_VALUE"""),"PO1953  ARTEVALLEDEBRAVO")</f>
        <v>PO1953  ARTEVALLEDEBRAVO</v>
      </c>
      <c r="K164" s="4" t="str">
        <f ca="1">IFERROR(__xludf.DUMMYFUNCTION("""COMPUTED_VALUE"""),"-")</f>
        <v>-</v>
      </c>
      <c r="S164" s="6">
        <v>1017</v>
      </c>
      <c r="T164" s="4" t="str">
        <f t="shared" ca="1" si="0"/>
        <v>Erik Castillo</v>
      </c>
    </row>
    <row r="165" spans="1:20" ht="12.5">
      <c r="A165" s="4" t="str">
        <f ca="1">IFERROR(__xludf.DUMMYFUNCTION("""COMPUTED_VALUE"""),"TRX1085")</f>
        <v>TRX1085</v>
      </c>
      <c r="B165" s="4" t="str">
        <f ca="1">IFERROR(__xludf.DUMMYFUNCTION("""COMPUTED_VALUE"""),"#19")</f>
        <v>#19</v>
      </c>
      <c r="C165" s="5">
        <f ca="1">IFERROR(__xludf.DUMMYFUNCTION("""COMPUTED_VALUE"""),46075.4173611111)</f>
        <v>46075.417361111096</v>
      </c>
      <c r="D165" s="6">
        <f ca="1">IFERROR(__xludf.DUMMYFUNCTION("""COMPUTED_VALUE"""),416.9)</f>
        <v>416.9</v>
      </c>
      <c r="E165" s="4" t="str">
        <f ca="1">IFERROR(__xludf.DUMMYFUNCTION("""COMPUTED_VALUE"""),"MXN")</f>
        <v>MXN</v>
      </c>
      <c r="F165" s="4" t="str">
        <f ca="1">IFERROR(__xludf.DUMMYFUNCTION("""COMPUTED_VALUE"""),"Daniel Alejandro Castillo Rivera")</f>
        <v>Daniel Alejandro Castillo Rivera</v>
      </c>
      <c r="G165" s="4" t="str">
        <f ca="1">IFERROR(__xludf.DUMMYFUNCTION("""COMPUTED_VALUE"""),"SUSHIROLL              HUIXQUILUCAN  MEX")</f>
        <v>SUSHIROLL              HUIXQUILUCAN  MEX</v>
      </c>
      <c r="H165" s="4" t="str">
        <f ca="1">IFERROR(__xludf.DUMMYFUNCTION("""COMPUTED_VALUE"""),"Sushiroll Huixquilucan Mex")</f>
        <v>Sushiroll Huixquilucan Mex</v>
      </c>
      <c r="I165" s="4" t="str">
        <f ca="1">IFERROR(__xludf.DUMMYFUNCTION("""COMPUTED_VALUE"""),"Transaction cost")</f>
        <v>Transaction cost</v>
      </c>
      <c r="J165" s="4" t="str">
        <f ca="1">IFERROR(__xludf.DUMMYFUNCTION("""COMPUTED_VALUE"""),"PO1953  ARTEVALLEDEBRAVO")</f>
        <v>PO1953  ARTEVALLEDEBRAVO</v>
      </c>
      <c r="K165" s="4" t="str">
        <f ca="1">IFERROR(__xludf.DUMMYFUNCTION("""COMPUTED_VALUE"""),"-")</f>
        <v>-</v>
      </c>
      <c r="S165" s="6">
        <v>35</v>
      </c>
      <c r="T165" s="4" t="str">
        <f t="shared" ca="1" si="0"/>
        <v>Rodrigo Perea</v>
      </c>
    </row>
    <row r="166" spans="1:20" ht="12.5">
      <c r="A166" s="4" t="str">
        <f ca="1">IFERROR(__xludf.DUMMYFUNCTION("""COMPUTED_VALUE"""),"TRX1152")</f>
        <v>TRX1152</v>
      </c>
      <c r="B166" s="4" t="str">
        <f ca="1">IFERROR(__xludf.DUMMYFUNCTION("""COMPUTED_VALUE"""),"#19")</f>
        <v>#19</v>
      </c>
      <c r="C166" s="5">
        <f ca="1">IFERROR(__xludf.DUMMYFUNCTION("""COMPUTED_VALUE"""),46078.4166666666)</f>
        <v>46078.416666666599</v>
      </c>
      <c r="D166" s="6">
        <f ca="1">IFERROR(__xludf.DUMMYFUNCTION("""COMPUTED_VALUE"""),266)</f>
        <v>266</v>
      </c>
      <c r="E166" s="4" t="str">
        <f ca="1">IFERROR(__xludf.DUMMYFUNCTION("""COMPUTED_VALUE"""),"MXN")</f>
        <v>MXN</v>
      </c>
      <c r="F166" s="4" t="str">
        <f ca="1">IFERROR(__xludf.DUMMYFUNCTION("""COMPUTED_VALUE"""),"Daniel Alejandro Castillo Rivera")</f>
        <v>Daniel Alejandro Castillo Rivera</v>
      </c>
      <c r="G166" s="4" t="str">
        <f ca="1">IFERROR(__xludf.DUMMYFUNCTION("""COMPUTED_VALUE"""),"DLO*UBER RIDE          CIUDAD DE MEX MEX")</f>
        <v>DLO*UBER RIDE          CIUDAD DE MEX MEX</v>
      </c>
      <c r="H166" s="4" t="str">
        <f ca="1">IFERROR(__xludf.DUMMYFUNCTION("""COMPUTED_VALUE"""),"Uber")</f>
        <v>Uber</v>
      </c>
      <c r="I166" s="4" t="str">
        <f ca="1">IFERROR(__xludf.DUMMYFUNCTION("""COMPUTED_VALUE"""),"Transaction cost")</f>
        <v>Transaction cost</v>
      </c>
      <c r="J166" s="4" t="str">
        <f ca="1">IFERROR(__xludf.DUMMYFUNCTION("""COMPUTED_VALUE"""),"PO2165 veolia UFCEB")</f>
        <v>PO2165 veolia UFCEB</v>
      </c>
      <c r="K166" s="4" t="str">
        <f ca="1">IFERROR(__xludf.DUMMYFUNCTION("""COMPUTED_VALUE"""),"-")</f>
        <v>-</v>
      </c>
      <c r="S166" s="6">
        <v>586.72</v>
      </c>
      <c r="T166" s="4" t="e">
        <f t="shared" ca="1" si="0"/>
        <v>#N/A</v>
      </c>
    </row>
    <row r="167" spans="1:20" ht="12.5">
      <c r="A167" s="4" t="str">
        <f ca="1">IFERROR(__xludf.DUMMYFUNCTION("""COMPUTED_VALUE"""),"TRX1190")</f>
        <v>TRX1190</v>
      </c>
      <c r="B167" s="4" t="str">
        <f ca="1">IFERROR(__xludf.DUMMYFUNCTION("""COMPUTED_VALUE"""),"#19")</f>
        <v>#19</v>
      </c>
      <c r="C167" s="5">
        <f ca="1">IFERROR(__xludf.DUMMYFUNCTION("""COMPUTED_VALUE"""),46079.4166666666)</f>
        <v>46079.416666666599</v>
      </c>
      <c r="D167" s="6">
        <f ca="1">IFERROR(__xludf.DUMMYFUNCTION("""COMPUTED_VALUE"""),852.17)</f>
        <v>852.17</v>
      </c>
      <c r="E167" s="4" t="str">
        <f ca="1">IFERROR(__xludf.DUMMYFUNCTION("""COMPUTED_VALUE"""),"MXN")</f>
        <v>MXN</v>
      </c>
      <c r="F167" s="4" t="str">
        <f ca="1">IFERROR(__xludf.DUMMYFUNCTION("""COMPUTED_VALUE"""),"Daniel Alejandro Castillo Rivera")</f>
        <v>Daniel Alejandro Castillo Rivera</v>
      </c>
      <c r="G167" s="4" t="str">
        <f ca="1">IFERROR(__xludf.DUMMYFUNCTION("""COMPUTED_VALUE"""),"DHL MONTE ATHOS        CIUDAD DE MEX MEX")</f>
        <v>DHL MONTE ATHOS        CIUDAD DE MEX MEX</v>
      </c>
      <c r="H167" s="4" t="str">
        <f ca="1">IFERROR(__xludf.DUMMYFUNCTION("""COMPUTED_VALUE"""),"DHL")</f>
        <v>DHL</v>
      </c>
      <c r="I167" s="4" t="str">
        <f ca="1">IFERROR(__xludf.DUMMYFUNCTION("""COMPUTED_VALUE"""),"Transaction cost")</f>
        <v>Transaction cost</v>
      </c>
      <c r="J167" s="4" t="str">
        <f ca="1">IFERROR(__xludf.DUMMYFUNCTION("""COMPUTED_VALUE"""),"PO4573 escaleras y barandales")</f>
        <v>PO4573 escaleras y barandales</v>
      </c>
      <c r="K167" s="4" t="str">
        <f ca="1">IFERROR(__xludf.DUMMYFUNCTION("""COMPUTED_VALUE"""),"F4445FC1-D14F-4669-BB6B-F5BD1EBC1D19")</f>
        <v>F4445FC1-D14F-4669-BB6B-F5BD1EBC1D19</v>
      </c>
      <c r="S167" s="6">
        <v>3335</v>
      </c>
      <c r="T167" s="4" t="e">
        <f t="shared" ca="1" si="0"/>
        <v>#N/A</v>
      </c>
    </row>
    <row r="168" spans="1:20" ht="12.5">
      <c r="A168" s="4" t="str">
        <f ca="1">IFERROR(__xludf.DUMMYFUNCTION("""COMPUTED_VALUE"""),"TRX1251")</f>
        <v>TRX1251</v>
      </c>
      <c r="B168" s="4" t="str">
        <f ca="1">IFERROR(__xludf.DUMMYFUNCTION("""COMPUTED_VALUE"""),"#19")</f>
        <v>#19</v>
      </c>
      <c r="C168" s="5">
        <f ca="1">IFERROR(__xludf.DUMMYFUNCTION("""COMPUTED_VALUE"""),46080.4173611111)</f>
        <v>46080.417361111096</v>
      </c>
      <c r="D168" s="6">
        <f ca="1">IFERROR(__xludf.DUMMYFUNCTION("""COMPUTED_VALUE"""),288.18)</f>
        <v>288.18</v>
      </c>
      <c r="E168" s="4" t="str">
        <f ca="1">IFERROR(__xludf.DUMMYFUNCTION("""COMPUTED_VALUE"""),"USD")</f>
        <v>USD</v>
      </c>
      <c r="F168" s="4" t="str">
        <f ca="1">IFERROR(__xludf.DUMMYFUNCTION("""COMPUTED_VALUE"""),"Daniel Alejandro Castillo Rivera")</f>
        <v>Daniel Alejandro Castillo Rivera</v>
      </c>
      <c r="G168" s="4" t="str">
        <f ca="1">IFERROR(__xludf.DUMMYFUNCTION("""COMPUTED_VALUE"""),"3DEXPERIENCE DASSAULT  WALTHAM       USA")</f>
        <v>3DEXPERIENCE DASSAULT  WALTHAM       USA</v>
      </c>
      <c r="H168" s="4" t="str">
        <f ca="1">IFERROR(__xludf.DUMMYFUNCTION("""COMPUTED_VALUE"""),"3dexperience Dassault Waltham USA")</f>
        <v>3dexperience Dassault Waltham USA</v>
      </c>
      <c r="I168" s="4" t="str">
        <f ca="1">IFERROR(__xludf.DUMMYFUNCTION("""COMPUTED_VALUE"""),"Tech&amp;Product")</f>
        <v>Tech&amp;Product</v>
      </c>
      <c r="J168" s="4" t="str">
        <f ca="1">IFERROR(__xludf.DUMMYFUNCTION("""COMPUTED_VALUE"""),"licencia solid works")</f>
        <v>licencia solid works</v>
      </c>
      <c r="K168" s="4" t="str">
        <f ca="1">IFERROR(__xludf.DUMMYFUNCTION("""COMPUTED_VALUE"""),"-")</f>
        <v>-</v>
      </c>
      <c r="S168" s="6">
        <v>4269</v>
      </c>
      <c r="T168" s="4" t="str">
        <f t="shared" ca="1" si="0"/>
        <v>Monserrat Benitez</v>
      </c>
    </row>
    <row r="169" spans="1:20" ht="12.5">
      <c r="A169" s="4" t="str">
        <f ca="1">IFERROR(__xludf.DUMMYFUNCTION("""COMPUTED_VALUE"""),"TRX1257")</f>
        <v>TRX1257</v>
      </c>
      <c r="B169" s="4" t="str">
        <f ca="1">IFERROR(__xludf.DUMMYFUNCTION("""COMPUTED_VALUE"""),"#19")</f>
        <v>#19</v>
      </c>
      <c r="C169" s="5">
        <f ca="1">IFERROR(__xludf.DUMMYFUNCTION("""COMPUTED_VALUE"""),46081.4166666666)</f>
        <v>46081.416666666599</v>
      </c>
      <c r="D169" s="6">
        <f ca="1">IFERROR(__xludf.DUMMYFUNCTION("""COMPUTED_VALUE"""),160)</f>
        <v>160</v>
      </c>
      <c r="E169" s="4" t="str">
        <f ca="1">IFERROR(__xludf.DUMMYFUNCTION("""COMPUTED_VALUE"""),"MXN")</f>
        <v>MXN</v>
      </c>
      <c r="F169" s="4" t="str">
        <f ca="1">IFERROR(__xludf.DUMMYFUNCTION("""COMPUTED_VALUE"""),"Daniel Alejandro Castillo Rivera")</f>
        <v>Daniel Alejandro Castillo Rivera</v>
      </c>
      <c r="G169" s="4" t="str">
        <f ca="1">IFERROR(__xludf.DUMMYFUNCTION("""COMPUTED_VALUE"""),"MERCADOPAGO *TAMALESY  Tizayuca      MEX")</f>
        <v>MERCADOPAGO *TAMALESY  Tizayuca      MEX</v>
      </c>
      <c r="H169" s="4" t="str">
        <f ca="1">IFERROR(__xludf.DUMMYFUNCTION("""COMPUTED_VALUE"""),"Mercadopago")</f>
        <v>Mercadopago</v>
      </c>
      <c r="I169" s="4" t="str">
        <f ca="1">IFERROR(__xludf.DUMMYFUNCTION("""COMPUTED_VALUE"""),"Transaction cost")</f>
        <v>Transaction cost</v>
      </c>
      <c r="J169" s="4" t="str">
        <f ca="1">IFERROR(__xludf.DUMMYFUNCTION("""COMPUTED_VALUE"""),"PO1953  ARTEVALLEDEBRAVO")</f>
        <v>PO1953  ARTEVALLEDEBRAVO</v>
      </c>
      <c r="K169" s="4" t="str">
        <f ca="1">IFERROR(__xludf.DUMMYFUNCTION("""COMPUTED_VALUE"""),"-")</f>
        <v>-</v>
      </c>
      <c r="S169" s="6">
        <v>1399.99</v>
      </c>
      <c r="T169" s="4" t="e">
        <f t="shared" ca="1" si="0"/>
        <v>#N/A</v>
      </c>
    </row>
    <row r="170" spans="1:20" ht="12.5">
      <c r="A170" s="4" t="str">
        <f ca="1">IFERROR(__xludf.DUMMYFUNCTION("""COMPUTED_VALUE"""),"TRX1258")</f>
        <v>TRX1258</v>
      </c>
      <c r="B170" s="4" t="str">
        <f ca="1">IFERROR(__xludf.DUMMYFUNCTION("""COMPUTED_VALUE"""),"#19")</f>
        <v>#19</v>
      </c>
      <c r="C170" s="5">
        <f ca="1">IFERROR(__xludf.DUMMYFUNCTION("""COMPUTED_VALUE"""),46081.4166666666)</f>
        <v>46081.416666666599</v>
      </c>
      <c r="D170" s="6">
        <f ca="1">IFERROR(__xludf.DUMMYFUNCTION("""COMPUTED_VALUE"""),279.95)</f>
        <v>279.95</v>
      </c>
      <c r="E170" s="4" t="str">
        <f ca="1">IFERROR(__xludf.DUMMYFUNCTION("""COMPUTED_VALUE"""),"MXN")</f>
        <v>MXN</v>
      </c>
      <c r="F170" s="4" t="str">
        <f ca="1">IFERROR(__xludf.DUMMYFUNCTION("""COMPUTED_VALUE"""),"Daniel Alejandro Castillo Rivera")</f>
        <v>Daniel Alejandro Castillo Rivera</v>
      </c>
      <c r="G170" s="4" t="str">
        <f ca="1">IFERROR(__xludf.DUMMYFUNCTION("""COMPUTED_VALUE"""),"DLO*UBER RIDES         CIUDAD DE MEX MEX")</f>
        <v>DLO*UBER RIDES         CIUDAD DE MEX MEX</v>
      </c>
      <c r="H170" s="4" t="str">
        <f ca="1">IFERROR(__xludf.DUMMYFUNCTION("""COMPUTED_VALUE"""),"Uber")</f>
        <v>Uber</v>
      </c>
      <c r="I170" s="4" t="str">
        <f ca="1">IFERROR(__xludf.DUMMYFUNCTION("""COMPUTED_VALUE"""),"Transaction cost")</f>
        <v>Transaction cost</v>
      </c>
      <c r="J170" s="4" t="str">
        <f ca="1">IFERROR(__xludf.DUMMYFUNCTION("""COMPUTED_VALUE"""),"PO1953  ARTEVALLEDEBRAVO")</f>
        <v>PO1953  ARTEVALLEDEBRAVO</v>
      </c>
      <c r="K170" s="4" t="str">
        <f ca="1">IFERROR(__xludf.DUMMYFUNCTION("""COMPUTED_VALUE"""),"-")</f>
        <v>-</v>
      </c>
      <c r="S170" s="6">
        <v>875.6</v>
      </c>
      <c r="T170" s="4" t="e">
        <f t="shared" ca="1" si="0"/>
        <v>#N/A</v>
      </c>
    </row>
    <row r="171" spans="1:20" ht="12.5">
      <c r="A171" s="4" t="str">
        <f ca="1">IFERROR(__xludf.DUMMYFUNCTION("""COMPUTED_VALUE"""),"TRX1271")</f>
        <v>TRX1271</v>
      </c>
      <c r="B171" s="4" t="str">
        <f ca="1">IFERROR(__xludf.DUMMYFUNCTION("""COMPUTED_VALUE"""),"#19")</f>
        <v>#19</v>
      </c>
      <c r="C171" s="5">
        <f ca="1">IFERROR(__xludf.DUMMYFUNCTION("""COMPUTED_VALUE"""),46081.4166666666)</f>
        <v>46081.416666666599</v>
      </c>
      <c r="D171" s="6">
        <f ca="1">IFERROR(__xludf.DUMMYFUNCTION("""COMPUTED_VALUE"""),299.95)</f>
        <v>299.95</v>
      </c>
      <c r="E171" s="4" t="str">
        <f ca="1">IFERROR(__xludf.DUMMYFUNCTION("""COMPUTED_VALUE"""),"MXN")</f>
        <v>MXN</v>
      </c>
      <c r="F171" s="4" t="str">
        <f ca="1">IFERROR(__xludf.DUMMYFUNCTION("""COMPUTED_VALUE"""),"Daniel Alejandro Castillo Rivera")</f>
        <v>Daniel Alejandro Castillo Rivera</v>
      </c>
      <c r="G171" s="4" t="str">
        <f ca="1">IFERROR(__xludf.DUMMYFUNCTION("""COMPUTED_VALUE"""),"DLO*Uber               CDMX          MEX")</f>
        <v>DLO*Uber               CDMX          MEX</v>
      </c>
      <c r="H171" s="4" t="str">
        <f ca="1">IFERROR(__xludf.DUMMYFUNCTION("""COMPUTED_VALUE"""),"Uber")</f>
        <v>Uber</v>
      </c>
      <c r="I171" s="4" t="str">
        <f ca="1">IFERROR(__xludf.DUMMYFUNCTION("""COMPUTED_VALUE"""),"Transaction cost")</f>
        <v>Transaction cost</v>
      </c>
      <c r="J171" s="4" t="str">
        <f ca="1">IFERROR(__xludf.DUMMYFUNCTION("""COMPUTED_VALUE"""),"PO1953  ARTEVALLEDEBRAVO")</f>
        <v>PO1953  ARTEVALLEDEBRAVO</v>
      </c>
      <c r="K171" s="4" t="str">
        <f ca="1">IFERROR(__xludf.DUMMYFUNCTION("""COMPUTED_VALUE"""),"-")</f>
        <v>-</v>
      </c>
      <c r="S171" s="6">
        <v>11514.39</v>
      </c>
      <c r="T171" s="4" t="e">
        <f t="shared" ca="1" si="0"/>
        <v>#N/A</v>
      </c>
    </row>
    <row r="172" spans="1:20" ht="12.5">
      <c r="A172" s="4" t="str">
        <f ca="1">IFERROR(__xludf.DUMMYFUNCTION("""COMPUTED_VALUE"""),"TRX1285")</f>
        <v>TRX1285</v>
      </c>
      <c r="B172" s="4" t="str">
        <f ca="1">IFERROR(__xludf.DUMMYFUNCTION("""COMPUTED_VALUE"""),"#19")</f>
        <v>#19</v>
      </c>
      <c r="C172" s="5">
        <f ca="1">IFERROR(__xludf.DUMMYFUNCTION("""COMPUTED_VALUE"""),46081.4173611111)</f>
        <v>46081.417361111096</v>
      </c>
      <c r="D172" s="6">
        <f ca="1">IFERROR(__xludf.DUMMYFUNCTION("""COMPUTED_VALUE"""),340)</f>
        <v>340</v>
      </c>
      <c r="E172" s="4" t="str">
        <f ca="1">IFERROR(__xludf.DUMMYFUNCTION("""COMPUTED_VALUE"""),"MXN")</f>
        <v>MXN</v>
      </c>
      <c r="F172" s="4" t="str">
        <f ca="1">IFERROR(__xludf.DUMMYFUNCTION("""COMPUTED_VALUE"""),"Daniel Alejandro Castillo Rivera")</f>
        <v>Daniel Alejandro Castillo Rivera</v>
      </c>
      <c r="G172" s="4" t="str">
        <f ca="1">IFERROR(__xludf.DUMMYFUNCTION("""COMPUTED_VALUE"""),"CARL S JR              CIUDAD DE MEX MEX")</f>
        <v>CARL S JR              CIUDAD DE MEX MEX</v>
      </c>
      <c r="H172" s="4" t="str">
        <f ca="1">IFERROR(__xludf.DUMMYFUNCTION("""COMPUTED_VALUE"""),"Carls Jr.")</f>
        <v>Carls Jr.</v>
      </c>
      <c r="I172" s="4" t="str">
        <f ca="1">IFERROR(__xludf.DUMMYFUNCTION("""COMPUTED_VALUE"""),"Transaction cost")</f>
        <v>Transaction cost</v>
      </c>
      <c r="J172" s="4" t="str">
        <f ca="1">IFERROR(__xludf.DUMMYFUNCTION("""COMPUTED_VALUE"""),"PO1953  ARTEVALLEDEBRAVO")</f>
        <v>PO1953  ARTEVALLEDEBRAVO</v>
      </c>
      <c r="K172" s="4" t="str">
        <f ca="1">IFERROR(__xludf.DUMMYFUNCTION("""COMPUTED_VALUE"""),"-")</f>
        <v>-</v>
      </c>
      <c r="S172" s="6">
        <v>129.96</v>
      </c>
      <c r="T172" s="4" t="e">
        <f t="shared" ca="1" si="0"/>
        <v>#N/A</v>
      </c>
    </row>
    <row r="173" spans="1:20" ht="12.5">
      <c r="A173" s="4" t="str">
        <f ca="1">IFERROR(__xludf.DUMMYFUNCTION("""COMPUTED_VALUE"""),"#N/A   ")</f>
        <v xml:space="preserve">#N/A   </v>
      </c>
      <c r="B173" s="4" t="str">
        <f ca="1">IFERROR(__xludf.DUMMYFUNCTION("""COMPUTED_VALUE"""),"   ")</f>
        <v xml:space="preserve">   </v>
      </c>
      <c r="C173" s="4" t="str">
        <f ca="1">IFERROR(__xludf.DUMMYFUNCTION("""COMPUTED_VALUE"""),"   ")</f>
        <v xml:space="preserve">   </v>
      </c>
      <c r="D173" s="4" t="str">
        <f ca="1">IFERROR(__xludf.DUMMYFUNCTION("""COMPUTED_VALUE"""),"#N/A   ")</f>
        <v xml:space="preserve">#N/A   </v>
      </c>
      <c r="E173" s="4" t="str">
        <f ca="1">IFERROR(__xludf.DUMMYFUNCTION("""COMPUTED_VALUE"""),"#N/A   ")</f>
        <v xml:space="preserve">#N/A   </v>
      </c>
      <c r="F173" s="4" t="str">
        <f ca="1">IFERROR(__xludf.DUMMYFUNCTION("""COMPUTED_VALUE"""),"#N/A   ")</f>
        <v xml:space="preserve">#N/A   </v>
      </c>
      <c r="G173" s="4" t="str">
        <f ca="1">IFERROR(__xludf.DUMMYFUNCTION("""COMPUTED_VALUE"""),"#N/A   ")</f>
        <v xml:space="preserve">#N/A   </v>
      </c>
      <c r="H173" s="4" t="str">
        <f ca="1">IFERROR(__xludf.DUMMYFUNCTION("""COMPUTED_VALUE"""),"   ")</f>
        <v xml:space="preserve">   </v>
      </c>
      <c r="I173" s="4" t="str">
        <f ca="1">IFERROR(__xludf.DUMMYFUNCTION("""COMPUTED_VALUE"""),"Transaction cost Sales Recruiting Sales")</f>
        <v>Transaction cost Sales Recruiting Sales</v>
      </c>
      <c r="J173" s="4" t="str">
        <f ca="1">IFERROR(__xludf.DUMMYFUNCTION("""COMPUTED_VALUE"""),"Gas Operaciones AGO 2025 Envío de Muestras Envío de Muestras Envío de Muestras")</f>
        <v>Gas Operaciones AGO 2025 Envío de Muestras Envío de Muestras Envío de Muestras</v>
      </c>
      <c r="K173" s="4" t="str">
        <f ca="1">IFERROR(__xludf.DUMMYFUNCTION("""COMPUTED_VALUE"""),"CLI53213103 ND ND ND")</f>
        <v>CLI53213103 ND ND ND</v>
      </c>
      <c r="S173" s="6">
        <v>201</v>
      </c>
      <c r="T173" s="4" t="e">
        <f t="shared" ca="1" si="0"/>
        <v>#N/A</v>
      </c>
    </row>
    <row r="174" spans="1:20" ht="12.5">
      <c r="A174" s="4" t="str">
        <f ca="1">IFERROR(__xludf.DUMMYFUNCTION("""COMPUTED_VALUE"""),"TRX1918")</f>
        <v>TRX1918</v>
      </c>
      <c r="B174" s="4" t="str">
        <f ca="1">IFERROR(__xludf.DUMMYFUNCTION("""COMPUTED_VALUE"""),"#21")</f>
        <v>#21</v>
      </c>
      <c r="C174" s="5">
        <f ca="1">IFERROR(__xludf.DUMMYFUNCTION("""COMPUTED_VALUE"""),46064.4166666666)</f>
        <v>46064.416666666599</v>
      </c>
      <c r="D174" s="6">
        <f ca="1">IFERROR(__xludf.DUMMYFUNCTION("""COMPUTED_VALUE"""),500)</f>
        <v>500</v>
      </c>
      <c r="E174" s="4" t="str">
        <f ca="1">IFERROR(__xludf.DUMMYFUNCTION("""COMPUTED_VALUE"""),"MXN")</f>
        <v>MXN</v>
      </c>
      <c r="F174" s="4" t="str">
        <f ca="1">IFERROR(__xludf.DUMMYFUNCTION("""COMPUTED_VALUE"""),"Jesus Gonzalez Grana")</f>
        <v>Jesus Gonzalez Grana</v>
      </c>
      <c r="G174" s="4" t="str">
        <f ca="1">IFERROR(__xludf.DUMMYFUNCTION("""COMPUTED_VALUE"""),"GPDC CONSULADO         CIUDAD DE MEX MEX")</f>
        <v>GPDC CONSULADO         CIUDAD DE MEX MEX</v>
      </c>
      <c r="H174" s="4" t="str">
        <f ca="1">IFERROR(__xludf.DUMMYFUNCTION("""COMPUTED_VALUE"""),"Gpdc Consulado Ciudad De Mex Mex")</f>
        <v>Gpdc Consulado Ciudad De Mex Mex</v>
      </c>
      <c r="I174" s="4" t="str">
        <f ca="1">IFERROR(__xludf.DUMMYFUNCTION("""COMPUTED_VALUE"""),"Transaction cost")</f>
        <v>Transaction cost</v>
      </c>
      <c r="J174" s="4" t="str">
        <f ca="1">IFERROR(__xludf.DUMMYFUNCTION("""COMPUTED_VALUE"""),"PO2165. Visita taller CAMI para reunión con cliente Veolia")</f>
        <v>PO2165. Visita taller CAMI para reunión con cliente Veolia</v>
      </c>
      <c r="K174" s="4" t="str">
        <f ca="1">IFERROR(__xludf.DUMMYFUNCTION("""COMPUTED_VALUE"""),"29410d37-4441-4fae-aab8-a4977cabda94")</f>
        <v>29410d37-4441-4fae-aab8-a4977cabda94</v>
      </c>
      <c r="S174" s="6">
        <v>350.12</v>
      </c>
      <c r="T174" s="4" t="e">
        <f t="shared" ca="1" si="0"/>
        <v>#N/A</v>
      </c>
    </row>
    <row r="175" spans="1:20" ht="12.5">
      <c r="A175" s="4" t="str">
        <f ca="1">IFERROR(__xludf.DUMMYFUNCTION("""COMPUTED_VALUE"""),"TRX1191")</f>
        <v>TRX1191</v>
      </c>
      <c r="B175" s="4" t="str">
        <f ca="1">IFERROR(__xludf.DUMMYFUNCTION("""COMPUTED_VALUE"""),"#21")</f>
        <v>#21</v>
      </c>
      <c r="C175" s="5">
        <f ca="1">IFERROR(__xludf.DUMMYFUNCTION("""COMPUTED_VALUE"""),46079.4166666666)</f>
        <v>46079.416666666599</v>
      </c>
      <c r="D175" s="6">
        <f ca="1">IFERROR(__xludf.DUMMYFUNCTION("""COMPUTED_VALUE"""),2635.2)</f>
        <v>2635.2</v>
      </c>
      <c r="E175" s="4" t="str">
        <f ca="1">IFERROR(__xludf.DUMMYFUNCTION("""COMPUTED_VALUE"""),"MXN")</f>
        <v>MXN</v>
      </c>
      <c r="F175" s="4" t="str">
        <f ca="1">IFERROR(__xludf.DUMMYFUNCTION("""COMPUTED_VALUE"""),"Jesus Gonzalez Grana")</f>
        <v>Jesus Gonzalez Grana</v>
      </c>
      <c r="G175" s="4" t="str">
        <f ca="1">IFERROR(__xludf.DUMMYFUNCTION("""COMPUTED_VALUE"""),"DHL EXPRESS CE         CIUDAD DE MEX MEX")</f>
        <v>DHL EXPRESS CE         CIUDAD DE MEX MEX</v>
      </c>
      <c r="H175" s="4" t="str">
        <f ca="1">IFERROR(__xludf.DUMMYFUNCTION("""COMPUTED_VALUE"""),"DHL")</f>
        <v>DHL</v>
      </c>
      <c r="I175" s="4" t="str">
        <f ca="1">IFERROR(__xludf.DUMMYFUNCTION("""COMPUTED_VALUE"""),"G&amp;A expenses")</f>
        <v>G&amp;A expenses</v>
      </c>
      <c r="J175" s="4" t="str">
        <f ca="1">IFERROR(__xludf.DUMMYFUNCTION("""COMPUTED_VALUE"""),"PO1777 Envío de equipo de seguridad")</f>
        <v>PO1777 Envío de equipo de seguridad</v>
      </c>
      <c r="K175" s="4" t="str">
        <f ca="1">IFERROR(__xludf.DUMMYFUNCTION("""COMPUTED_VALUE"""),"04448AE5-5603-4B71-8558-13ED476D9B9D")</f>
        <v>04448AE5-5603-4B71-8558-13ED476D9B9D</v>
      </c>
      <c r="S175" s="6">
        <v>380</v>
      </c>
      <c r="T175" s="4" t="str">
        <f t="shared" ca="1" si="0"/>
        <v>Jorge Rojas</v>
      </c>
    </row>
    <row r="176" spans="1:20" ht="12.5">
      <c r="A176" s="4" t="str">
        <f ca="1">IFERROR(__xludf.DUMMYFUNCTION("""COMPUTED_VALUE"""),"TRX1192")</f>
        <v>TRX1192</v>
      </c>
      <c r="B176" s="4" t="str">
        <f ca="1">IFERROR(__xludf.DUMMYFUNCTION("""COMPUTED_VALUE"""),"#21")</f>
        <v>#21</v>
      </c>
      <c r="C176" s="5">
        <f ca="1">IFERROR(__xludf.DUMMYFUNCTION("""COMPUTED_VALUE"""),46079.4166666666)</f>
        <v>46079.416666666599</v>
      </c>
      <c r="D176" s="6">
        <f ca="1">IFERROR(__xludf.DUMMYFUNCTION("""COMPUTED_VALUE"""),2640.43)</f>
        <v>2640.43</v>
      </c>
      <c r="E176" s="4" t="str">
        <f ca="1">IFERROR(__xludf.DUMMYFUNCTION("""COMPUTED_VALUE"""),"MXN")</f>
        <v>MXN</v>
      </c>
      <c r="F176" s="4" t="str">
        <f ca="1">IFERROR(__xludf.DUMMYFUNCTION("""COMPUTED_VALUE"""),"Jesus Gonzalez Grana")</f>
        <v>Jesus Gonzalez Grana</v>
      </c>
      <c r="G176" s="4" t="str">
        <f ca="1">IFERROR(__xludf.DUMMYFUNCTION("""COMPUTED_VALUE"""),"DHL EXPRESS CE         CIUDAD DE MEX MEX")</f>
        <v>DHL EXPRESS CE         CIUDAD DE MEX MEX</v>
      </c>
      <c r="H176" s="4" t="str">
        <f ca="1">IFERROR(__xludf.DUMMYFUNCTION("""COMPUTED_VALUE"""),"DHL")</f>
        <v>DHL</v>
      </c>
      <c r="I176" s="4" t="str">
        <f ca="1">IFERROR(__xludf.DUMMYFUNCTION("""COMPUTED_VALUE"""),"G&amp;A expenses")</f>
        <v>G&amp;A expenses</v>
      </c>
      <c r="J176" s="4" t="str">
        <f ca="1">IFERROR(__xludf.DUMMYFUNCTION("""COMPUTED_VALUE"""),"PO1865. Muestras IMESA")</f>
        <v>PO1865. Muestras IMESA</v>
      </c>
      <c r="K176" s="4" t="str">
        <f ca="1">IFERROR(__xludf.DUMMYFUNCTION("""COMPUTED_VALUE"""),"3DE869E6-DCD7-4ABC-AFD2-38BDA403C7EF")</f>
        <v>3DE869E6-DCD7-4ABC-AFD2-38BDA403C7EF</v>
      </c>
      <c r="S176" s="6">
        <v>6960</v>
      </c>
      <c r="T176" s="4" t="e">
        <f t="shared" ca="1" si="0"/>
        <v>#N/A</v>
      </c>
    </row>
    <row r="177" spans="1:20" ht="12.5">
      <c r="A177" s="4" t="str">
        <f ca="1">IFERROR(__xludf.DUMMYFUNCTION("""COMPUTED_VALUE"""),"TRX1193")</f>
        <v>TRX1193</v>
      </c>
      <c r="B177" s="4" t="str">
        <f ca="1">IFERROR(__xludf.DUMMYFUNCTION("""COMPUTED_VALUE"""),"#21")</f>
        <v>#21</v>
      </c>
      <c r="C177" s="5">
        <f ca="1">IFERROR(__xludf.DUMMYFUNCTION("""COMPUTED_VALUE"""),46079.4166666666)</f>
        <v>46079.416666666599</v>
      </c>
      <c r="D177" s="6">
        <f ca="1">IFERROR(__xludf.DUMMYFUNCTION("""COMPUTED_VALUE"""),22006.77)</f>
        <v>22006.77</v>
      </c>
      <c r="E177" s="4" t="str">
        <f ca="1">IFERROR(__xludf.DUMMYFUNCTION("""COMPUTED_VALUE"""),"MXN")</f>
        <v>MXN</v>
      </c>
      <c r="F177" s="4" t="str">
        <f ca="1">IFERROR(__xludf.DUMMYFUNCTION("""COMPUTED_VALUE"""),"Jesus Gonzalez Grana")</f>
        <v>Jesus Gonzalez Grana</v>
      </c>
      <c r="G177" s="4" t="str">
        <f ca="1">IFERROR(__xludf.DUMMYFUNCTION("""COMPUTED_VALUE"""),"DHL EXPRESS CE         CIUDAD DE MEX MEX")</f>
        <v>DHL EXPRESS CE         CIUDAD DE MEX MEX</v>
      </c>
      <c r="H177" s="4" t="str">
        <f ca="1">IFERROR(__xludf.DUMMYFUNCTION("""COMPUTED_VALUE"""),"DHL")</f>
        <v>DHL</v>
      </c>
      <c r="I177" s="4" t="str">
        <f ca="1">IFERROR(__xludf.DUMMYFUNCTION("""COMPUTED_VALUE"""),"G&amp;A expenses")</f>
        <v>G&amp;A expenses</v>
      </c>
      <c r="J177" s="4" t="str">
        <f ca="1">IFERROR(__xludf.DUMMYFUNCTION("""COMPUTED_VALUE"""),"PO950=$16171.76+IVA. PO1866=$4988.60+IVA")</f>
        <v>PO950=$16171.76+IVA. PO1866=$4988.60+IVA</v>
      </c>
      <c r="K177" s="4" t="str">
        <f ca="1">IFERROR(__xludf.DUMMYFUNCTION("""COMPUTED_VALUE"""),"1F7A25D2-961F-4068-9F9F-4BEB89155F08")</f>
        <v>1F7A25D2-961F-4068-9F9F-4BEB89155F08</v>
      </c>
      <c r="S177" s="6">
        <v>141</v>
      </c>
      <c r="T177" s="4" t="str">
        <f t="shared" ca="1" si="0"/>
        <v>Karen Alexandra Ballesteros Contreras</v>
      </c>
    </row>
    <row r="178" spans="1:20" ht="12.5">
      <c r="A178" s="4" t="str">
        <f ca="1">IFERROR(__xludf.DUMMYFUNCTION("""COMPUTED_VALUE"""),"TRX1273")</f>
        <v>TRX1273</v>
      </c>
      <c r="B178" s="4" t="str">
        <f ca="1">IFERROR(__xludf.DUMMYFUNCTION("""COMPUTED_VALUE"""),"#21")</f>
        <v>#21</v>
      </c>
      <c r="C178" s="5">
        <f ca="1">IFERROR(__xludf.DUMMYFUNCTION("""COMPUTED_VALUE"""),46081.4166666666)</f>
        <v>46081.416666666599</v>
      </c>
      <c r="D178" s="6">
        <f ca="1">IFERROR(__xludf.DUMMYFUNCTION("""COMPUTED_VALUE"""),9016.51)</f>
        <v>9016.51</v>
      </c>
      <c r="E178" s="4" t="str">
        <f ca="1">IFERROR(__xludf.DUMMYFUNCTION("""COMPUTED_VALUE"""),"MXN")</f>
        <v>MXN</v>
      </c>
      <c r="F178" s="4" t="str">
        <f ca="1">IFERROR(__xludf.DUMMYFUNCTION("""COMPUTED_VALUE"""),"Jesus Gonzalez Grana")</f>
        <v>Jesus Gonzalez Grana</v>
      </c>
      <c r="G178" s="4" t="str">
        <f ca="1">IFERROR(__xludf.DUMMYFUNCTION("""COMPUTED_VALUE"""),"DHL EXPRESS CIB        CIUDAD DE MEX MEX")</f>
        <v>DHL EXPRESS CIB        CIUDAD DE MEX MEX</v>
      </c>
      <c r="H178" s="4" t="str">
        <f ca="1">IFERROR(__xludf.DUMMYFUNCTION("""COMPUTED_VALUE"""),"DHL")</f>
        <v>DHL</v>
      </c>
      <c r="I178" s="4" t="str">
        <f ca="1">IFERROR(__xludf.DUMMYFUNCTION("""COMPUTED_VALUE"""),"G&amp;A expenses")</f>
        <v>G&amp;A expenses</v>
      </c>
      <c r="J178" s="4" t="str">
        <f ca="1">IFERROR(__xludf.DUMMYFUNCTION("""COMPUTED_VALUE"""),"PO1774. Importación material TORQ para IMESA")</f>
        <v>PO1774. Importación material TORQ para IMESA</v>
      </c>
      <c r="K178" s="8" t="str">
        <f ca="1">IFERROR(__xludf.DUMMYFUNCTION("""COMPUTED_VALUE"""),"https://drive.google.com/drive/folders/1tBRPEiGyYMUgsvzRDRDhDGIf_ZAKNFA1?usp=sharing")</f>
        <v>https://drive.google.com/drive/folders/1tBRPEiGyYMUgsvzRDRDhDGIf_ZAKNFA1?usp=sharing</v>
      </c>
      <c r="S178" s="6">
        <v>500</v>
      </c>
      <c r="T178" s="4" t="str">
        <f t="shared" ca="1" si="0"/>
        <v>Fernando Sanchez Toledano</v>
      </c>
    </row>
    <row r="179" spans="1:20" ht="12.5">
      <c r="A179" s="4" t="str">
        <f ca="1">IFERROR(__xludf.DUMMYFUNCTION("""COMPUTED_VALUE"""),"TRX1631")</f>
        <v>TRX1631</v>
      </c>
      <c r="B179" s="4" t="str">
        <f ca="1">IFERROR(__xludf.DUMMYFUNCTION("""COMPUTED_VALUE"""),"#24")</f>
        <v>#24</v>
      </c>
      <c r="C179" s="7">
        <f ca="1">IFERROR(__xludf.DUMMYFUNCTION("""COMPUTED_VALUE"""),46061)</f>
        <v>46061</v>
      </c>
      <c r="D179" s="6">
        <f ca="1">IFERROR(__xludf.DUMMYFUNCTION("""COMPUTED_VALUE"""),3579.95)</f>
        <v>3579.95</v>
      </c>
      <c r="E179" s="4" t="str">
        <f ca="1">IFERROR(__xludf.DUMMYFUNCTION("""COMPUTED_VALUE"""),"MXN")</f>
        <v>MXN</v>
      </c>
      <c r="F179" s="4" t="str">
        <f ca="1">IFERROR(__xludf.DUMMYFUNCTION("""COMPUTED_VALUE"""),"Andres Camacho Herrera")</f>
        <v>Andres Camacho Herrera</v>
      </c>
      <c r="G179" s="4" t="str">
        <f ca="1">IFERROR(__xludf.DUMMYFUNCTION("""COMPUTED_VALUE"""),"BPK*EQUIOPERREST       LEON DE LOS A MEX")</f>
        <v>BPK*EQUIOPERREST       LEON DE LOS A MEX</v>
      </c>
      <c r="H179" s="4" t="str">
        <f ca="1">IFERROR(__xludf.DUMMYFUNCTION("""COMPUTED_VALUE"""),"Bpk Equioperrest Leon De Los A Mex")</f>
        <v>Bpk Equioperrest Leon De Los A Mex</v>
      </c>
      <c r="I179" s="4" t="str">
        <f ca="1">IFERROR(__xludf.DUMMYFUNCTION("""COMPUTED_VALUE"""),"Sales")</f>
        <v>Sales</v>
      </c>
      <c r="J179" s="4" t="str">
        <f ca="1">IFERROR(__xludf.DUMMYFUNCTION("""COMPUTED_VALUE"""),"Comida con Textor - empresa de estructura metálica y construcción")</f>
        <v>Comida con Textor - empresa de estructura metálica y construcción</v>
      </c>
      <c r="K179" s="4" t="str">
        <f ca="1">IFERROR(__xludf.DUMMYFUNCTION("""COMPUTED_VALUE"""),"3da3fe42-5df5-4c62-9568-3b846ae33dc9")</f>
        <v>3da3fe42-5df5-4c62-9568-3b846ae33dc9</v>
      </c>
      <c r="S179" s="6">
        <v>1159.99</v>
      </c>
      <c r="T179" s="4" t="str">
        <f t="shared" ca="1" si="0"/>
        <v>Gabriela Zacarias Aguirre</v>
      </c>
    </row>
    <row r="180" spans="1:20" ht="12.5">
      <c r="A180" s="4" t="str">
        <f ca="1">IFERROR(__xludf.DUMMYFUNCTION("""COMPUTED_VALUE"""),"#N/A")</f>
        <v>#N/A</v>
      </c>
      <c r="B180" s="4"/>
      <c r="C180" s="4"/>
      <c r="D180" s="4" t="str">
        <f ca="1">IFERROR(__xludf.DUMMYFUNCTION("""COMPUTED_VALUE"""),"#N/A")</f>
        <v>#N/A</v>
      </c>
      <c r="E180" s="4" t="str">
        <f ca="1">IFERROR(__xludf.DUMMYFUNCTION("""COMPUTED_VALUE"""),"#N/A")</f>
        <v>#N/A</v>
      </c>
      <c r="F180" s="4" t="str">
        <f ca="1">IFERROR(__xludf.DUMMYFUNCTION("""COMPUTED_VALUE"""),"#N/A")</f>
        <v>#N/A</v>
      </c>
      <c r="G180" s="4" t="str">
        <f ca="1">IFERROR(__xludf.DUMMYFUNCTION("""COMPUTED_VALUE"""),"#N/A")</f>
        <v>#N/A</v>
      </c>
      <c r="H180" s="4"/>
      <c r="I180" s="4" t="str">
        <f ca="1">IFERROR(__xludf.DUMMYFUNCTION("""COMPUTED_VALUE"""),"Sales")</f>
        <v>Sales</v>
      </c>
      <c r="J180" s="4"/>
      <c r="K180" s="4" t="str">
        <f ca="1">IFERROR(__xludf.DUMMYFUNCTION("""COMPUTED_VALUE"""),".")</f>
        <v>.</v>
      </c>
      <c r="S180" s="6">
        <v>182</v>
      </c>
      <c r="T180" s="4" t="str">
        <f t="shared" ca="1" si="0"/>
        <v>Jose Ignacio Martinez Flemate</v>
      </c>
    </row>
    <row r="181" spans="1:20" ht="12.5">
      <c r="A181" s="4" t="str">
        <f ca="1">IFERROR(__xludf.DUMMYFUNCTION("""COMPUTED_VALUE"""),"TRX1298")</f>
        <v>TRX1298</v>
      </c>
      <c r="B181" s="4" t="str">
        <f ca="1">IFERROR(__xludf.DUMMYFUNCTION("""COMPUTED_VALUE"""),"#26")</f>
        <v>#26</v>
      </c>
      <c r="C181" s="5">
        <f ca="1">IFERROR(__xludf.DUMMYFUNCTION("""COMPUTED_VALUE"""),46055.4166666666)</f>
        <v>46055.416666666599</v>
      </c>
      <c r="D181" s="6">
        <f ca="1">IFERROR(__xludf.DUMMYFUNCTION("""COMPUTED_VALUE"""),796.6)</f>
        <v>796.6</v>
      </c>
      <c r="E181" s="4" t="str">
        <f ca="1">IFERROR(__xludf.DUMMYFUNCTION("""COMPUTED_VALUE"""),"MXN")</f>
        <v>MXN</v>
      </c>
      <c r="F181" s="4" t="str">
        <f ca="1">IFERROR(__xludf.DUMMYFUNCTION("""COMPUTED_VALUE"""),"Karen Alexandra Ballesteros Contreras")</f>
        <v>Karen Alexandra Ballesteros Contreras</v>
      </c>
      <c r="G181" s="4" t="str">
        <f ca="1">IFERROR(__xludf.DUMMYFUNCTION("""COMPUTED_VALUE"""),"MERPAGO*MERCADOLIBRE   Ciudad de Mex MEX")</f>
        <v>MERPAGO*MERCADOLIBRE   Ciudad de Mex MEX</v>
      </c>
      <c r="H181" s="4" t="str">
        <f ca="1">IFERROR(__xludf.DUMMYFUNCTION("""COMPUTED_VALUE"""),"Merpago Mercadolibre Ciudad De Mex Mex")</f>
        <v>Merpago Mercadolibre Ciudad De Mex Mex</v>
      </c>
      <c r="I181" s="4" t="str">
        <f ca="1">IFERROR(__xludf.DUMMYFUNCTION("""COMPUTED_VALUE"""),"Recruiting")</f>
        <v>Recruiting</v>
      </c>
      <c r="J181" s="4" t="str">
        <f ca="1">IFERROR(__xludf.DUMMYFUNCTION("""COMPUTED_VALUE"""),"PO1801 UBER HACIA GRAJALES PARA INSPECCION POR TEMBLOR")</f>
        <v>PO1801 UBER HACIA GRAJALES PARA INSPECCION POR TEMBLOR</v>
      </c>
      <c r="K181" s="4"/>
      <c r="S181" s="6">
        <v>422.3</v>
      </c>
      <c r="T181" s="4" t="e">
        <f t="shared" ca="1" si="0"/>
        <v>#N/A</v>
      </c>
    </row>
    <row r="182" spans="1:20" ht="12.5">
      <c r="A182" s="4" t="str">
        <f ca="1">IFERROR(__xludf.DUMMYFUNCTION("""COMPUTED_VALUE"""),"TRX1292")</f>
        <v>TRX1292</v>
      </c>
      <c r="B182" s="4" t="str">
        <f ca="1">IFERROR(__xludf.DUMMYFUNCTION("""COMPUTED_VALUE"""),"#26")</f>
        <v>#26</v>
      </c>
      <c r="C182" s="5">
        <f ca="1">IFERROR(__xludf.DUMMYFUNCTION("""COMPUTED_VALUE"""),46056.4166666666)</f>
        <v>46056.416666666599</v>
      </c>
      <c r="D182" s="6">
        <f ca="1">IFERROR(__xludf.DUMMYFUNCTION("""COMPUTED_VALUE"""),537.21)</f>
        <v>537.21</v>
      </c>
      <c r="E182" s="4" t="str">
        <f ca="1">IFERROR(__xludf.DUMMYFUNCTION("""COMPUTED_VALUE"""),"MXN")</f>
        <v>MXN</v>
      </c>
      <c r="F182" s="4" t="str">
        <f ca="1">IFERROR(__xludf.DUMMYFUNCTION("""COMPUTED_VALUE"""),"Karen Alexandra Ballesteros Contreras")</f>
        <v>Karen Alexandra Ballesteros Contreras</v>
      </c>
      <c r="G182" s="4" t="str">
        <f ca="1">IFERROR(__xludf.DUMMYFUNCTION("""COMPUTED_VALUE"""),"MERPAGO*MERCADOLIBRE   Ciudad de Mex MEX")</f>
        <v>MERPAGO*MERCADOLIBRE   Ciudad de Mex MEX</v>
      </c>
      <c r="H182" s="4" t="str">
        <f ca="1">IFERROR(__xludf.DUMMYFUNCTION("""COMPUTED_VALUE"""),"Merpago Mercadolibre Ciudad De Mex Mex")</f>
        <v>Merpago Mercadolibre Ciudad De Mex Mex</v>
      </c>
      <c r="I182" s="4" t="str">
        <f ca="1">IFERROR(__xludf.DUMMYFUNCTION("""COMPUTED_VALUE"""),"Recruiting")</f>
        <v>Recruiting</v>
      </c>
      <c r="J182" s="4" t="str">
        <f ca="1">IFERROR(__xludf.DUMMYFUNCTION("""COMPUTED_VALUE"""),"PO1801 UBER HACIA GRAJALES PARA INSPECCION POR TEMBLOR")</f>
        <v>PO1801 UBER HACIA GRAJALES PARA INSPECCION POR TEMBLOR</v>
      </c>
      <c r="K182" s="4" t="str">
        <f ca="1">IFERROR(__xludf.DUMMYFUNCTION("""COMPUTED_VALUE"""),"F15393AB-5CDF-535D-83AC-35BC3BCBA044")</f>
        <v>F15393AB-5CDF-535D-83AC-35BC3BCBA044</v>
      </c>
      <c r="S182" s="6">
        <v>196</v>
      </c>
      <c r="T182" s="4" t="str">
        <f t="shared" ca="1" si="0"/>
        <v>Fernando Sanchez Toledano</v>
      </c>
    </row>
    <row r="183" spans="1:20" ht="12.5">
      <c r="A183" s="4" t="str">
        <f ca="1">IFERROR(__xludf.DUMMYFUNCTION("""COMPUTED_VALUE"""),"TRX1262")</f>
        <v>TRX1262</v>
      </c>
      <c r="B183" s="4" t="str">
        <f ca="1">IFERROR(__xludf.DUMMYFUNCTION("""COMPUTED_VALUE"""),"#26")</f>
        <v>#26</v>
      </c>
      <c r="C183" s="5">
        <f ca="1">IFERROR(__xludf.DUMMYFUNCTION("""COMPUTED_VALUE"""),46057.4166666666)</f>
        <v>46057.416666666599</v>
      </c>
      <c r="D183" s="6">
        <f ca="1">IFERROR(__xludf.DUMMYFUNCTION("""COMPUTED_VALUE"""),126)</f>
        <v>126</v>
      </c>
      <c r="E183" s="4" t="str">
        <f ca="1">IFERROR(__xludf.DUMMYFUNCTION("""COMPUTED_VALUE"""),"MXN")</f>
        <v>MXN</v>
      </c>
      <c r="F183" s="4" t="str">
        <f ca="1">IFERROR(__xludf.DUMMYFUNCTION("""COMPUTED_VALUE"""),"Karen Alexandra Ballesteros Contreras")</f>
        <v>Karen Alexandra Ballesteros Contreras</v>
      </c>
      <c r="G183" s="4" t="str">
        <f ca="1">IFERROR(__xludf.DUMMYFUNCTION("""COMPUTED_VALUE"""),"Didi Mexico            CAUHTEMOC     MEX")</f>
        <v>Didi Mexico            CAUHTEMOC     MEX</v>
      </c>
      <c r="H183" s="4" t="str">
        <f ca="1">IFERROR(__xludf.DUMMYFUNCTION("""COMPUTED_VALUE"""),"Didi Mexico Cauhtemoc Mex")</f>
        <v>Didi Mexico Cauhtemoc Mex</v>
      </c>
      <c r="I183" s="4" t="str">
        <f ca="1">IFERROR(__xludf.DUMMYFUNCTION("""COMPUTED_VALUE"""),"Recruiting")</f>
        <v>Recruiting</v>
      </c>
      <c r="J183" s="4" t="str">
        <f ca="1">IFERROR(__xludf.DUMMYFUNCTION("""COMPUTED_VALUE"""),"PEAJE")</f>
        <v>PEAJE</v>
      </c>
      <c r="K183" s="4"/>
      <c r="S183" s="6">
        <v>38317.5</v>
      </c>
      <c r="T183" s="4" t="e">
        <f t="shared" ca="1" si="0"/>
        <v>#N/A</v>
      </c>
    </row>
    <row r="184" spans="1:20" ht="12.5">
      <c r="A184" s="4" t="str">
        <f ca="1">IFERROR(__xludf.DUMMYFUNCTION("""COMPUTED_VALUE"""),"TRX1258")</f>
        <v>TRX1258</v>
      </c>
      <c r="B184" s="4" t="str">
        <f ca="1">IFERROR(__xludf.DUMMYFUNCTION("""COMPUTED_VALUE"""),"#26")</f>
        <v>#26</v>
      </c>
      <c r="C184" s="5">
        <f ca="1">IFERROR(__xludf.DUMMYFUNCTION("""COMPUTED_VALUE"""),46058.4166666666)</f>
        <v>46058.416666666599</v>
      </c>
      <c r="D184" s="6">
        <f ca="1">IFERROR(__xludf.DUMMYFUNCTION("""COMPUTED_VALUE"""),61.21)</f>
        <v>61.21</v>
      </c>
      <c r="E184" s="4" t="str">
        <f ca="1">IFERROR(__xludf.DUMMYFUNCTION("""COMPUTED_VALUE"""),"MXN")</f>
        <v>MXN</v>
      </c>
      <c r="F184" s="4" t="str">
        <f ca="1">IFERROR(__xludf.DUMMYFUNCTION("""COMPUTED_VALUE"""),"Karen Alexandra Ballesteros Contreras")</f>
        <v>Karen Alexandra Ballesteros Contreras</v>
      </c>
      <c r="G184" s="4" t="str">
        <f ca="1">IFERROR(__xludf.DUMMYFUNCTION("""COMPUTED_VALUE"""),"Didi Mexico            CAUHTEMOC     MEX")</f>
        <v>Didi Mexico            CAUHTEMOC     MEX</v>
      </c>
      <c r="H184" s="4" t="str">
        <f ca="1">IFERROR(__xludf.DUMMYFUNCTION("""COMPUTED_VALUE"""),"Didi Mexico Cauhtemoc Mex")</f>
        <v>Didi Mexico Cauhtemoc Mex</v>
      </c>
      <c r="I184" s="4" t="str">
        <f ca="1">IFERROR(__xludf.DUMMYFUNCTION("""COMPUTED_VALUE"""),"Recruiting")</f>
        <v>Recruiting</v>
      </c>
      <c r="J184" s="4" t="str">
        <f ca="1">IFERROR(__xludf.DUMMYFUNCTION("""COMPUTED_VALUE"""),"PO1801 UBER HACIA GRAJALES PARA INSPECCION POR TEMBLOR")</f>
        <v>PO1801 UBER HACIA GRAJALES PARA INSPECCION POR TEMBLOR</v>
      </c>
      <c r="K184" s="4" t="str">
        <f ca="1">IFERROR(__xludf.DUMMYFUNCTION("""COMPUTED_VALUE"""),"B7387E20-D535-4882-8FFF-1F9024CD5AA0")</f>
        <v>B7387E20-D535-4882-8FFF-1F9024CD5AA0</v>
      </c>
      <c r="S184" s="6">
        <v>6346.7</v>
      </c>
      <c r="T184" s="4" t="e">
        <f t="shared" ca="1" si="0"/>
        <v>#N/A</v>
      </c>
    </row>
    <row r="185" spans="1:20" ht="12.5">
      <c r="A185" s="4" t="str">
        <f ca="1">IFERROR(__xludf.DUMMYFUNCTION("""COMPUTED_VALUE"""),"TRX1238")</f>
        <v>TRX1238</v>
      </c>
      <c r="B185" s="4" t="str">
        <f ca="1">IFERROR(__xludf.DUMMYFUNCTION("""COMPUTED_VALUE"""),"#26")</f>
        <v>#26</v>
      </c>
      <c r="C185" s="5">
        <f ca="1">IFERROR(__xludf.DUMMYFUNCTION("""COMPUTED_VALUE"""),46058.4166666666)</f>
        <v>46058.416666666599</v>
      </c>
      <c r="D185" s="6">
        <f ca="1">IFERROR(__xludf.DUMMYFUNCTION("""COMPUTED_VALUE"""),520)</f>
        <v>520</v>
      </c>
      <c r="E185" s="4" t="str">
        <f ca="1">IFERROR(__xludf.DUMMYFUNCTION("""COMPUTED_VALUE"""),"MXN")</f>
        <v>MXN</v>
      </c>
      <c r="F185" s="4" t="str">
        <f ca="1">IFERROR(__xludf.DUMMYFUNCTION("""COMPUTED_VALUE"""),"Karen Alexandra Ballesteros Contreras")</f>
        <v>Karen Alexandra Ballesteros Contreras</v>
      </c>
      <c r="G185" s="4" t="str">
        <f ca="1">IFERROR(__xludf.DUMMYFUNCTION("""COMPUTED_VALUE"""),"MERCADOPAGO *EBANOCAF  Benito jurez  MEX")</f>
        <v>MERCADOPAGO *EBANOCAF  Benito jurez  MEX</v>
      </c>
      <c r="H185" s="4" t="str">
        <f ca="1">IFERROR(__xludf.DUMMYFUNCTION("""COMPUTED_VALUE"""),"Mercadopago")</f>
        <v>Mercadopago</v>
      </c>
      <c r="I185" s="4" t="str">
        <f ca="1">IFERROR(__xludf.DUMMYFUNCTION("""COMPUTED_VALUE"""),"Recruiting")</f>
        <v>Recruiting</v>
      </c>
      <c r="J185" s="4" t="str">
        <f ca="1">IFERROR(__xludf.DUMMYFUNCTION("""COMPUTED_VALUE"""),"-")</f>
        <v>-</v>
      </c>
      <c r="K185" s="4" t="str">
        <f ca="1">IFERROR(__xludf.DUMMYFUNCTION("""COMPUTED_VALUE"""),"FB877E3E-8B4C-494F-B80E-13D623D7653A")</f>
        <v>FB877E3E-8B4C-494F-B80E-13D623D7653A</v>
      </c>
      <c r="S185" s="6">
        <v>1354.72</v>
      </c>
      <c r="T185" s="4" t="e">
        <f t="shared" ca="1" si="0"/>
        <v>#N/A</v>
      </c>
    </row>
    <row r="186" spans="1:20" ht="12.5">
      <c r="A186" s="4" t="str">
        <f ca="1">IFERROR(__xludf.DUMMYFUNCTION("""COMPUTED_VALUE"""),"TRX1231")</f>
        <v>TRX1231</v>
      </c>
      <c r="B186" s="4" t="str">
        <f ca="1">IFERROR(__xludf.DUMMYFUNCTION("""COMPUTED_VALUE"""),"#26")</f>
        <v>#26</v>
      </c>
      <c r="C186" s="5">
        <f ca="1">IFERROR(__xludf.DUMMYFUNCTION("""COMPUTED_VALUE"""),46058.4166666666)</f>
        <v>46058.416666666599</v>
      </c>
      <c r="D186" s="6">
        <f ca="1">IFERROR(__xludf.DUMMYFUNCTION("""COMPUTED_VALUE"""),385)</f>
        <v>385</v>
      </c>
      <c r="E186" s="4" t="str">
        <f ca="1">IFERROR(__xludf.DUMMYFUNCTION("""COMPUTED_VALUE"""),"MXN")</f>
        <v>MXN</v>
      </c>
      <c r="F186" s="4" t="str">
        <f ca="1">IFERROR(__xludf.DUMMYFUNCTION("""COMPUTED_VALUE"""),"Karen Alexandra Ballesteros Contreras")</f>
        <v>Karen Alexandra Ballesteros Contreras</v>
      </c>
      <c r="G186" s="4" t="str">
        <f ca="1">IFERROR(__xludf.DUMMYFUNCTION("""COMPUTED_VALUE"""),"D LOCAL*DIDI RIDES     CIUDAD DE MEX MEX")</f>
        <v>D LOCAL*DIDI RIDES     CIUDAD DE MEX MEX</v>
      </c>
      <c r="H186" s="4" t="str">
        <f ca="1">IFERROR(__xludf.DUMMYFUNCTION("""COMPUTED_VALUE"""),"Didi Chuxing")</f>
        <v>Didi Chuxing</v>
      </c>
      <c r="I186" s="4" t="str">
        <f ca="1">IFERROR(__xludf.DUMMYFUNCTION("""COMPUTED_VALUE"""),"Recruiting")</f>
        <v>Recruiting</v>
      </c>
      <c r="J186" s="4" t="str">
        <f ca="1">IFERROR(__xludf.DUMMYFUNCTION("""COMPUTED_VALUE"""),"-")</f>
        <v>-</v>
      </c>
      <c r="K186" s="4"/>
      <c r="S186" s="6">
        <v>81.06</v>
      </c>
      <c r="T186" s="4" t="e">
        <f t="shared" ca="1" si="0"/>
        <v>#N/A</v>
      </c>
    </row>
    <row r="187" spans="1:20" ht="12.5">
      <c r="A187" s="4" t="str">
        <f ca="1">IFERROR(__xludf.DUMMYFUNCTION("""COMPUTED_VALUE"""),"TRX1223")</f>
        <v>TRX1223</v>
      </c>
      <c r="B187" s="4" t="str">
        <f ca="1">IFERROR(__xludf.DUMMYFUNCTION("""COMPUTED_VALUE"""),"#26")</f>
        <v>#26</v>
      </c>
      <c r="C187" s="5">
        <f ca="1">IFERROR(__xludf.DUMMYFUNCTION("""COMPUTED_VALUE"""),46058.4173611111)</f>
        <v>46058.417361111096</v>
      </c>
      <c r="D187" s="6">
        <f ca="1">IFERROR(__xludf.DUMMYFUNCTION("""COMPUTED_VALUE"""),126)</f>
        <v>126</v>
      </c>
      <c r="E187" s="4" t="str">
        <f ca="1">IFERROR(__xludf.DUMMYFUNCTION("""COMPUTED_VALUE"""),"MXN")</f>
        <v>MXN</v>
      </c>
      <c r="F187" s="4" t="str">
        <f ca="1">IFERROR(__xludf.DUMMYFUNCTION("""COMPUTED_VALUE"""),"Karen Alexandra Ballesteros Contreras")</f>
        <v>Karen Alexandra Ballesteros Contreras</v>
      </c>
      <c r="G187" s="4" t="str">
        <f ca="1">IFERROR(__xludf.DUMMYFUNCTION("""COMPUTED_VALUE"""),"DLO*DIDI RIDES         MEXICO        MEX")</f>
        <v>DLO*DIDI RIDES         MEXICO        MEX</v>
      </c>
      <c r="H187" s="4" t="str">
        <f ca="1">IFERROR(__xludf.DUMMYFUNCTION("""COMPUTED_VALUE"""),"Didi Chuxing")</f>
        <v>Didi Chuxing</v>
      </c>
      <c r="I187" s="4" t="str">
        <f ca="1">IFERROR(__xludf.DUMMYFUNCTION("""COMPUTED_VALUE"""),"Recruiting")</f>
        <v>Recruiting</v>
      </c>
      <c r="J187" s="4" t="str">
        <f ca="1">IFERROR(__xludf.DUMMYFUNCTION("""COMPUTED_VALUE"""),"-")</f>
        <v>-</v>
      </c>
      <c r="K187" s="4"/>
      <c r="S187" s="6">
        <v>131</v>
      </c>
      <c r="T187" s="4" t="e">
        <f t="shared" ca="1" si="0"/>
        <v>#N/A</v>
      </c>
    </row>
    <row r="188" spans="1:20" ht="12.5">
      <c r="A188" s="4" t="str">
        <f ca="1">IFERROR(__xludf.DUMMYFUNCTION("""COMPUTED_VALUE"""),"TRX1221")</f>
        <v>TRX1221</v>
      </c>
      <c r="B188" s="4" t="str">
        <f ca="1">IFERROR(__xludf.DUMMYFUNCTION("""COMPUTED_VALUE"""),"#26")</f>
        <v>#26</v>
      </c>
      <c r="C188" s="5">
        <f ca="1">IFERROR(__xludf.DUMMYFUNCTION("""COMPUTED_VALUE"""),46058.4173611111)</f>
        <v>46058.417361111096</v>
      </c>
      <c r="D188" s="6">
        <f ca="1">IFERROR(__xludf.DUMMYFUNCTION("""COMPUTED_VALUE"""),410.08)</f>
        <v>410.08</v>
      </c>
      <c r="E188" s="4" t="str">
        <f ca="1">IFERROR(__xludf.DUMMYFUNCTION("""COMPUTED_VALUE"""),"MXN")</f>
        <v>MXN</v>
      </c>
      <c r="F188" s="4" t="str">
        <f ca="1">IFERROR(__xludf.DUMMYFUNCTION("""COMPUTED_VALUE"""),"Karen Alexandra Ballesteros Contreras")</f>
        <v>Karen Alexandra Ballesteros Contreras</v>
      </c>
      <c r="G188" s="4" t="str">
        <f ca="1">IFERROR(__xludf.DUMMYFUNCTION("""COMPUTED_VALUE"""),"VIVAAEROBUS MOBILE     APODACA NL    MEX")</f>
        <v>VIVAAEROBUS MOBILE     APODACA NL    MEX</v>
      </c>
      <c r="H188" s="4" t="str">
        <f ca="1">IFERROR(__xludf.DUMMYFUNCTION("""COMPUTED_VALUE"""),"Vivaaerobus")</f>
        <v>Vivaaerobus</v>
      </c>
      <c r="I188" s="4" t="str">
        <f ca="1">IFERROR(__xludf.DUMMYFUNCTION("""COMPUTED_VALUE"""),"Recruiting")</f>
        <v>Recruiting</v>
      </c>
      <c r="J188" s="4" t="str">
        <f ca="1">IFERROR(__xludf.DUMMYFUNCTION("""COMPUTED_VALUE"""),"-")</f>
        <v>-</v>
      </c>
      <c r="K188" s="4"/>
      <c r="S188" s="6">
        <v>481.3</v>
      </c>
      <c r="T188" s="4" t="e">
        <f t="shared" ca="1" si="0"/>
        <v>#N/A</v>
      </c>
    </row>
    <row r="189" spans="1:20" ht="12.5">
      <c r="A189" s="4" t="str">
        <f ca="1">IFERROR(__xludf.DUMMYFUNCTION("""COMPUTED_VALUE"""),"TRX1210")</f>
        <v>TRX1210</v>
      </c>
      <c r="B189" s="4" t="str">
        <f ca="1">IFERROR(__xludf.DUMMYFUNCTION("""COMPUTED_VALUE"""),"#26")</f>
        <v>#26</v>
      </c>
      <c r="C189" s="5">
        <f ca="1">IFERROR(__xludf.DUMMYFUNCTION("""COMPUTED_VALUE"""),46058.4173611111)</f>
        <v>46058.417361111096</v>
      </c>
      <c r="D189" s="6">
        <f ca="1">IFERROR(__xludf.DUMMYFUNCTION("""COMPUTED_VALUE"""),125)</f>
        <v>125</v>
      </c>
      <c r="E189" s="4" t="str">
        <f ca="1">IFERROR(__xludf.DUMMYFUNCTION("""COMPUTED_VALUE"""),"MXN")</f>
        <v>MXN</v>
      </c>
      <c r="F189" s="4" t="str">
        <f ca="1">IFERROR(__xludf.DUMMYFUNCTION("""COMPUTED_VALUE"""),"Karen Alexandra Ballesteros Contreras")</f>
        <v>Karen Alexandra Ballesteros Contreras</v>
      </c>
      <c r="G189" s="4" t="str">
        <f ca="1">IFERROR(__xludf.DUMMYFUNCTION("""COMPUTED_VALUE"""),"D LOCAL*DIDI RIDES     CIUDAD DE MEX MEX")</f>
        <v>D LOCAL*DIDI RIDES     CIUDAD DE MEX MEX</v>
      </c>
      <c r="H189" s="4" t="str">
        <f ca="1">IFERROR(__xludf.DUMMYFUNCTION("""COMPUTED_VALUE"""),"Didi Chuxing")</f>
        <v>Didi Chuxing</v>
      </c>
      <c r="I189" s="4" t="str">
        <f ca="1">IFERROR(__xludf.DUMMYFUNCTION("""COMPUTED_VALUE"""),"Recruiting")</f>
        <v>Recruiting</v>
      </c>
      <c r="J189" s="4" t="str">
        <f ca="1">IFERROR(__xludf.DUMMYFUNCTION("""COMPUTED_VALUE"""),"-")</f>
        <v>-</v>
      </c>
      <c r="K189" s="4" t="str">
        <f ca="1">IFERROR(__xludf.DUMMYFUNCTION("""COMPUTED_VALUE"""),"51C5561F-8FE5-4474-888F-031EE74BC08C")</f>
        <v>51C5561F-8FE5-4474-888F-031EE74BC08C</v>
      </c>
      <c r="S189" s="6">
        <v>87.2</v>
      </c>
      <c r="T189" s="4" t="e">
        <f t="shared" ca="1" si="0"/>
        <v>#N/A</v>
      </c>
    </row>
    <row r="190" spans="1:20" ht="12.5">
      <c r="A190" s="4" t="str">
        <f ca="1">IFERROR(__xludf.DUMMYFUNCTION("""COMPUTED_VALUE"""),"TRX1209")</f>
        <v>TRX1209</v>
      </c>
      <c r="B190" s="4" t="str">
        <f ca="1">IFERROR(__xludf.DUMMYFUNCTION("""COMPUTED_VALUE"""),"#26")</f>
        <v>#26</v>
      </c>
      <c r="C190" s="5">
        <f ca="1">IFERROR(__xludf.DUMMYFUNCTION("""COMPUTED_VALUE"""),46058.4173611111)</f>
        <v>46058.417361111096</v>
      </c>
      <c r="D190" s="6">
        <f ca="1">IFERROR(__xludf.DUMMYFUNCTION("""COMPUTED_VALUE"""),125)</f>
        <v>125</v>
      </c>
      <c r="E190" s="4" t="str">
        <f ca="1">IFERROR(__xludf.DUMMYFUNCTION("""COMPUTED_VALUE"""),"MXN")</f>
        <v>MXN</v>
      </c>
      <c r="F190" s="4" t="str">
        <f ca="1">IFERROR(__xludf.DUMMYFUNCTION("""COMPUTED_VALUE"""),"Karen Alexandra Ballesteros Contreras")</f>
        <v>Karen Alexandra Ballesteros Contreras</v>
      </c>
      <c r="G190" s="4" t="str">
        <f ca="1">IFERROR(__xludf.DUMMYFUNCTION("""COMPUTED_VALUE"""),"20260203T01:01:01/D LOCAL*DIDI RIDES\UNKNOWN\UNKNOWN\06500        MEX")</f>
        <v>20260203T01:01:01/D LOCAL*DIDI RIDES\UNKNOWN\UNKNOWN\06500        MEX</v>
      </c>
      <c r="H190" s="4" t="str">
        <f ca="1">IFERROR(__xludf.DUMMYFUNCTION("""COMPUTED_VALUE"""),"Didi Chuxing")</f>
        <v>Didi Chuxing</v>
      </c>
      <c r="I190" s="4" t="str">
        <f ca="1">IFERROR(__xludf.DUMMYFUNCTION("""COMPUTED_VALUE"""),"Recruiting")</f>
        <v>Recruiting</v>
      </c>
      <c r="J190" s="4" t="str">
        <f ca="1">IFERROR(__xludf.DUMMYFUNCTION("""COMPUTED_VALUE"""),"-")</f>
        <v>-</v>
      </c>
      <c r="K190" s="4" t="str">
        <f ca="1">IFERROR(__xludf.DUMMYFUNCTION("""COMPUTED_VALUE"""),"B9904633-F254-5E55-B0E0-ADBC03A829DB")</f>
        <v>B9904633-F254-5E55-B0E0-ADBC03A829DB</v>
      </c>
      <c r="S190" s="6">
        <v>56</v>
      </c>
      <c r="T190" s="4" t="e">
        <f t="shared" ca="1" si="0"/>
        <v>#N/A</v>
      </c>
    </row>
    <row r="191" spans="1:20" ht="12.5">
      <c r="A191" s="4" t="str">
        <f ca="1">IFERROR(__xludf.DUMMYFUNCTION("""COMPUTED_VALUE"""),"TRX1182")</f>
        <v>TRX1182</v>
      </c>
      <c r="B191" s="4" t="str">
        <f ca="1">IFERROR(__xludf.DUMMYFUNCTION("""COMPUTED_VALUE"""),"#26")</f>
        <v>#26</v>
      </c>
      <c r="C191" s="5">
        <f ca="1">IFERROR(__xludf.DUMMYFUNCTION("""COMPUTED_VALUE"""),46059.4166666666)</f>
        <v>46059.416666666599</v>
      </c>
      <c r="D191" s="6">
        <f ca="1">IFERROR(__xludf.DUMMYFUNCTION("""COMPUTED_VALUE"""),216.7)</f>
        <v>216.7</v>
      </c>
      <c r="E191" s="4" t="str">
        <f ca="1">IFERROR(__xludf.DUMMYFUNCTION("""COMPUTED_VALUE"""),"MXN")</f>
        <v>MXN</v>
      </c>
      <c r="F191" s="4" t="str">
        <f ca="1">IFERROR(__xludf.DUMMYFUNCTION("""COMPUTED_VALUE"""),"Karen Alexandra Ballesteros Contreras")</f>
        <v>Karen Alexandra Ballesteros Contreras</v>
      </c>
      <c r="G191" s="4" t="str">
        <f ca="1">IFERROR(__xludf.DUMMYFUNCTION("""COMPUTED_VALUE"""),"VTA A BORDO VAEROBUS   CIUDAD DE MEX MEX")</f>
        <v>VTA A BORDO VAEROBUS   CIUDAD DE MEX MEX</v>
      </c>
      <c r="H191" s="4" t="str">
        <f ca="1">IFERROR(__xludf.DUMMYFUNCTION("""COMPUTED_VALUE"""),"Vta A Bordo Vaerobus Ciudad De Mex Mex")</f>
        <v>Vta A Bordo Vaerobus Ciudad De Mex Mex</v>
      </c>
      <c r="I191" s="4" t="str">
        <f ca="1">IFERROR(__xludf.DUMMYFUNCTION("""COMPUTED_VALUE"""),"Recruiting")</f>
        <v>Recruiting</v>
      </c>
      <c r="J191" s="4" t="str">
        <f ca="1">IFERROR(__xludf.DUMMYFUNCTION("""COMPUTED_VALUE"""),"-")</f>
        <v>-</v>
      </c>
      <c r="K191" s="4"/>
      <c r="S191" s="6">
        <v>841.81</v>
      </c>
      <c r="T191" s="4" t="e">
        <f t="shared" ca="1" si="0"/>
        <v>#N/A</v>
      </c>
    </row>
    <row r="192" spans="1:20" ht="12.5">
      <c r="A192" s="4" t="str">
        <f ca="1">IFERROR(__xludf.DUMMYFUNCTION("""COMPUTED_VALUE"""),"TRX1178")</f>
        <v>TRX1178</v>
      </c>
      <c r="B192" s="4" t="str">
        <f ca="1">IFERROR(__xludf.DUMMYFUNCTION("""COMPUTED_VALUE"""),"#26")</f>
        <v>#26</v>
      </c>
      <c r="C192" s="5">
        <f ca="1">IFERROR(__xludf.DUMMYFUNCTION("""COMPUTED_VALUE"""),46059.4166666666)</f>
        <v>46059.416666666599</v>
      </c>
      <c r="D192" s="6">
        <f ca="1">IFERROR(__xludf.DUMMYFUNCTION("""COMPUTED_VALUE"""),86)</f>
        <v>86</v>
      </c>
      <c r="E192" s="4" t="str">
        <f ca="1">IFERROR(__xludf.DUMMYFUNCTION("""COMPUTED_VALUE"""),"MXN")</f>
        <v>MXN</v>
      </c>
      <c r="F192" s="4" t="str">
        <f ca="1">IFERROR(__xludf.DUMMYFUNCTION("""COMPUTED_VALUE"""),"Karen Alexandra Ballesteros Contreras")</f>
        <v>Karen Alexandra Ballesteros Contreras</v>
      </c>
      <c r="G192" s="4" t="str">
        <f ca="1">IFERROR(__xludf.DUMMYFUNCTION("""COMPUTED_VALUE"""),"Didi Mexico            CAUHTEMOC     MEX")</f>
        <v>Didi Mexico            CAUHTEMOC     MEX</v>
      </c>
      <c r="H192" s="4" t="str">
        <f ca="1">IFERROR(__xludf.DUMMYFUNCTION("""COMPUTED_VALUE"""),"Didi Mexico Cauhtemoc Mex")</f>
        <v>Didi Mexico Cauhtemoc Mex</v>
      </c>
      <c r="I192" s="4" t="str">
        <f ca="1">IFERROR(__xludf.DUMMYFUNCTION("""COMPUTED_VALUE"""),"Recruiting")</f>
        <v>Recruiting</v>
      </c>
      <c r="J192" s="4" t="str">
        <f ca="1">IFERROR(__xludf.DUMMYFUNCTION("""COMPUTED_VALUE"""),"-")</f>
        <v>-</v>
      </c>
      <c r="K192" s="4"/>
      <c r="S192" s="6">
        <v>1662.33</v>
      </c>
      <c r="T192" s="4" t="e">
        <f t="shared" ca="1" si="0"/>
        <v>#N/A</v>
      </c>
    </row>
    <row r="193" spans="1:20" ht="12.5">
      <c r="A193" s="4" t="str">
        <f ca="1">IFERROR(__xludf.DUMMYFUNCTION("""COMPUTED_VALUE"""),"TRX1169")</f>
        <v>TRX1169</v>
      </c>
      <c r="B193" s="4" t="str">
        <f ca="1">IFERROR(__xludf.DUMMYFUNCTION("""COMPUTED_VALUE"""),"#26")</f>
        <v>#26</v>
      </c>
      <c r="C193" s="5">
        <f ca="1">IFERROR(__xludf.DUMMYFUNCTION("""COMPUTED_VALUE"""),46059.4166666666)</f>
        <v>46059.416666666599</v>
      </c>
      <c r="D193" s="6">
        <f ca="1">IFERROR(__xludf.DUMMYFUNCTION("""COMPUTED_VALUE"""),309.93)</f>
        <v>309.93</v>
      </c>
      <c r="E193" s="4" t="str">
        <f ca="1">IFERROR(__xludf.DUMMYFUNCTION("""COMPUTED_VALUE"""),"MXN")</f>
        <v>MXN</v>
      </c>
      <c r="F193" s="4" t="str">
        <f ca="1">IFERROR(__xludf.DUMMYFUNCTION("""COMPUTED_VALUE"""),"Karen Alexandra Ballesteros Contreras")</f>
        <v>Karen Alexandra Ballesteros Contreras</v>
      </c>
      <c r="G193" s="4" t="str">
        <f ca="1">IFERROR(__xludf.DUMMYFUNCTION("""COMPUTED_VALUE"""),"DLO*Uber               CDMX          MEX")</f>
        <v>DLO*Uber               CDMX          MEX</v>
      </c>
      <c r="H193" s="4" t="str">
        <f ca="1">IFERROR(__xludf.DUMMYFUNCTION("""COMPUTED_VALUE"""),"Uber")</f>
        <v>Uber</v>
      </c>
      <c r="I193" s="4" t="str">
        <f ca="1">IFERROR(__xludf.DUMMYFUNCTION("""COMPUTED_VALUE"""),"Recruiting")</f>
        <v>Recruiting</v>
      </c>
      <c r="J193" s="4" t="str">
        <f ca="1">IFERROR(__xludf.DUMMYFUNCTION("""COMPUTED_VALUE"""),"-")</f>
        <v>-</v>
      </c>
      <c r="K193" s="4" t="str">
        <f ca="1">IFERROR(__xludf.DUMMYFUNCTION("""COMPUTED_VALUE"""),"C9493CE2-9520-4182-BB05-F48A697DC33D")</f>
        <v>C9493CE2-9520-4182-BB05-F48A697DC33D</v>
      </c>
      <c r="S193" s="6">
        <v>2031.39</v>
      </c>
      <c r="T193" s="4" t="e">
        <f t="shared" ca="1" si="0"/>
        <v>#N/A</v>
      </c>
    </row>
    <row r="194" spans="1:20" ht="12.5">
      <c r="A194" s="4" t="str">
        <f ca="1">IFERROR(__xludf.DUMMYFUNCTION("""COMPUTED_VALUE"""),"TRX1164")</f>
        <v>TRX1164</v>
      </c>
      <c r="B194" s="4" t="str">
        <f ca="1">IFERROR(__xludf.DUMMYFUNCTION("""COMPUTED_VALUE"""),"#26")</f>
        <v>#26</v>
      </c>
      <c r="C194" s="5">
        <f ca="1">IFERROR(__xludf.DUMMYFUNCTION("""COMPUTED_VALUE"""),46059.4166666666)</f>
        <v>46059.416666666599</v>
      </c>
      <c r="D194" s="6">
        <f ca="1">IFERROR(__xludf.DUMMYFUNCTION("""COMPUTED_VALUE"""),202)</f>
        <v>202</v>
      </c>
      <c r="E194" s="4" t="str">
        <f ca="1">IFERROR(__xludf.DUMMYFUNCTION("""COMPUTED_VALUE"""),"MXN")</f>
        <v>MXN</v>
      </c>
      <c r="F194" s="4" t="str">
        <f ca="1">IFERROR(__xludf.DUMMYFUNCTION("""COMPUTED_VALUE"""),"Karen Alexandra Ballesteros Contreras")</f>
        <v>Karen Alexandra Ballesteros Contreras</v>
      </c>
      <c r="G194" s="4" t="str">
        <f ca="1">IFERROR(__xludf.DUMMYFUNCTION("""COMPUTED_VALUE"""),"STARBUCKS PUERTO CANC  ROO           MEX")</f>
        <v>STARBUCKS PUERTO CANC  ROO           MEX</v>
      </c>
      <c r="H194" s="4" t="str">
        <f ca="1">IFERROR(__xludf.DUMMYFUNCTION("""COMPUTED_VALUE"""),"Starbucks")</f>
        <v>Starbucks</v>
      </c>
      <c r="I194" s="4" t="str">
        <f ca="1">IFERROR(__xludf.DUMMYFUNCTION("""COMPUTED_VALUE"""),"Recruiting")</f>
        <v>Recruiting</v>
      </c>
      <c r="J194" s="4" t="str">
        <f ca="1">IFERROR(__xludf.DUMMYFUNCTION("""COMPUTED_VALUE"""),"-")</f>
        <v>-</v>
      </c>
      <c r="K194" s="4"/>
      <c r="S194" s="6">
        <v>185.54</v>
      </c>
      <c r="T194" s="4" t="e">
        <f t="shared" ca="1" si="0"/>
        <v>#N/A</v>
      </c>
    </row>
    <row r="195" spans="1:20" ht="12.5">
      <c r="A195" s="4" t="str">
        <f ca="1">IFERROR(__xludf.DUMMYFUNCTION("""COMPUTED_VALUE"""),"TRX1160")</f>
        <v>TRX1160</v>
      </c>
      <c r="B195" s="4" t="str">
        <f ca="1">IFERROR(__xludf.DUMMYFUNCTION("""COMPUTED_VALUE"""),"#26")</f>
        <v>#26</v>
      </c>
      <c r="C195" s="5">
        <f ca="1">IFERROR(__xludf.DUMMYFUNCTION("""COMPUTED_VALUE"""),46059.4166666666)</f>
        <v>46059.416666666599</v>
      </c>
      <c r="D195" s="6">
        <f ca="1">IFERROR(__xludf.DUMMYFUNCTION("""COMPUTED_VALUE"""),57)</f>
        <v>57</v>
      </c>
      <c r="E195" s="4" t="str">
        <f ca="1">IFERROR(__xludf.DUMMYFUNCTION("""COMPUTED_VALUE"""),"MXN")</f>
        <v>MXN</v>
      </c>
      <c r="F195" s="4" t="str">
        <f ca="1">IFERROR(__xludf.DUMMYFUNCTION("""COMPUTED_VALUE"""),"Karen Alexandra Ballesteros Contreras")</f>
        <v>Karen Alexandra Ballesteros Contreras</v>
      </c>
      <c r="G195" s="4" t="str">
        <f ca="1">IFERROR(__xludf.DUMMYFUNCTION("""COMPUTED_VALUE"""),"D LOCAL*DIDI RIDES     CIUDAD DE MEX MEX")</f>
        <v>D LOCAL*DIDI RIDES     CIUDAD DE MEX MEX</v>
      </c>
      <c r="H195" s="4" t="str">
        <f ca="1">IFERROR(__xludf.DUMMYFUNCTION("""COMPUTED_VALUE"""),"Didi Chuxing")</f>
        <v>Didi Chuxing</v>
      </c>
      <c r="I195" s="4" t="str">
        <f ca="1">IFERROR(__xludf.DUMMYFUNCTION("""COMPUTED_VALUE"""),"Recruiting")</f>
        <v>Recruiting</v>
      </c>
      <c r="J195" s="4" t="str">
        <f ca="1">IFERROR(__xludf.DUMMYFUNCTION("""COMPUTED_VALUE"""),"-")</f>
        <v>-</v>
      </c>
      <c r="K195" s="4"/>
      <c r="S195" s="6">
        <v>734.39</v>
      </c>
      <c r="T195" s="4" t="e">
        <f t="shared" ca="1" si="0"/>
        <v>#N/A</v>
      </c>
    </row>
    <row r="196" spans="1:20" ht="12.5">
      <c r="A196" s="4" t="str">
        <f ca="1">IFERROR(__xludf.DUMMYFUNCTION("""COMPUTED_VALUE"""),"TRX1159")</f>
        <v>TRX1159</v>
      </c>
      <c r="B196" s="4" t="str">
        <f ca="1">IFERROR(__xludf.DUMMYFUNCTION("""COMPUTED_VALUE"""),"#26")</f>
        <v>#26</v>
      </c>
      <c r="C196" s="5">
        <f ca="1">IFERROR(__xludf.DUMMYFUNCTION("""COMPUTED_VALUE"""),46059.4173611111)</f>
        <v>46059.417361111096</v>
      </c>
      <c r="D196" s="6">
        <f ca="1">IFERROR(__xludf.DUMMYFUNCTION("""COMPUTED_VALUE"""),62)</f>
        <v>62</v>
      </c>
      <c r="E196" s="4" t="str">
        <f ca="1">IFERROR(__xludf.DUMMYFUNCTION("""COMPUTED_VALUE"""),"MXN")</f>
        <v>MXN</v>
      </c>
      <c r="F196" s="4" t="str">
        <f ca="1">IFERROR(__xludf.DUMMYFUNCTION("""COMPUTED_VALUE"""),"Karen Alexandra Ballesteros Contreras")</f>
        <v>Karen Alexandra Ballesteros Contreras</v>
      </c>
      <c r="G196" s="4" t="str">
        <f ca="1">IFERROR(__xludf.DUMMYFUNCTION("""COMPUTED_VALUE"""),"D LOCAL*DIDI RIDES     CIUDAD DE MEX MEX")</f>
        <v>D LOCAL*DIDI RIDES     CIUDAD DE MEX MEX</v>
      </c>
      <c r="H196" s="4" t="str">
        <f ca="1">IFERROR(__xludf.DUMMYFUNCTION("""COMPUTED_VALUE"""),"Didi Chuxing")</f>
        <v>Didi Chuxing</v>
      </c>
      <c r="I196" s="4" t="str">
        <f ca="1">IFERROR(__xludf.DUMMYFUNCTION("""COMPUTED_VALUE"""),"Recruiting")</f>
        <v>Recruiting</v>
      </c>
      <c r="J196" s="4" t="str">
        <f ca="1">IFERROR(__xludf.DUMMYFUNCTION("""COMPUTED_VALUE"""),"-")</f>
        <v>-</v>
      </c>
      <c r="K196" s="4" t="str">
        <f ca="1">IFERROR(__xludf.DUMMYFUNCTION("""COMPUTED_VALUE"""),"043AA9E6-E017-5FDA-8ED7-3F06EA6B2E14")</f>
        <v>043AA9E6-E017-5FDA-8ED7-3F06EA6B2E14</v>
      </c>
      <c r="S196" s="6">
        <v>99.94</v>
      </c>
      <c r="T196" s="4" t="str">
        <f t="shared" ca="1" si="0"/>
        <v>Fernanda Sanchez Ruiz</v>
      </c>
    </row>
    <row r="197" spans="1:20" ht="12.5">
      <c r="A197" s="4" t="str">
        <f ca="1">IFERROR(__xludf.DUMMYFUNCTION("""COMPUTED_VALUE"""),"TRX1152")</f>
        <v>TRX1152</v>
      </c>
      <c r="B197" s="4" t="str">
        <f ca="1">IFERROR(__xludf.DUMMYFUNCTION("""COMPUTED_VALUE"""),"#26")</f>
        <v>#26</v>
      </c>
      <c r="C197" s="5">
        <f ca="1">IFERROR(__xludf.DUMMYFUNCTION("""COMPUTED_VALUE"""),46059.4173611111)</f>
        <v>46059.417361111096</v>
      </c>
      <c r="D197" s="6">
        <f ca="1">IFERROR(__xludf.DUMMYFUNCTION("""COMPUTED_VALUE"""),328.9)</f>
        <v>328.9</v>
      </c>
      <c r="E197" s="4" t="str">
        <f ca="1">IFERROR(__xludf.DUMMYFUNCTION("""COMPUTED_VALUE"""),"MXN")</f>
        <v>MXN</v>
      </c>
      <c r="F197" s="4" t="str">
        <f ca="1">IFERROR(__xludf.DUMMYFUNCTION("""COMPUTED_VALUE"""),"Karen Alexandra Ballesteros Contreras")</f>
        <v>Karen Alexandra Ballesteros Contreras</v>
      </c>
      <c r="G197" s="4" t="str">
        <f ca="1">IFERROR(__xludf.DUMMYFUNCTION("""COMPUTED_VALUE"""),"REST LA PIZZARRA       CIUDAD DE MEX MEX")</f>
        <v>REST LA PIZZARRA       CIUDAD DE MEX MEX</v>
      </c>
      <c r="H197" s="4" t="str">
        <f ca="1">IFERROR(__xludf.DUMMYFUNCTION("""COMPUTED_VALUE"""),"Rest La Pizzarra Ciudad De Mex Mex")</f>
        <v>Rest La Pizzarra Ciudad De Mex Mex</v>
      </c>
      <c r="I197" s="4" t="str">
        <f ca="1">IFERROR(__xludf.DUMMYFUNCTION("""COMPUTED_VALUE"""),"Recruiting")</f>
        <v>Recruiting</v>
      </c>
      <c r="J197" s="4" t="str">
        <f ca="1">IFERROR(__xludf.DUMMYFUNCTION("""COMPUTED_VALUE"""),"-")</f>
        <v>-</v>
      </c>
      <c r="K197" s="4"/>
      <c r="S197" s="6">
        <v>49.41</v>
      </c>
      <c r="T197" s="4" t="e">
        <f t="shared" ca="1" si="0"/>
        <v>#N/A</v>
      </c>
    </row>
    <row r="198" spans="1:20" ht="12.5">
      <c r="A198" s="4" t="str">
        <f ca="1">IFERROR(__xludf.DUMMYFUNCTION("""COMPUTED_VALUE"""),"TRX1150")</f>
        <v>TRX1150</v>
      </c>
      <c r="B198" s="4" t="str">
        <f ca="1">IFERROR(__xludf.DUMMYFUNCTION("""COMPUTED_VALUE"""),"#26")</f>
        <v>#26</v>
      </c>
      <c r="C198" s="5">
        <f ca="1">IFERROR(__xludf.DUMMYFUNCTION("""COMPUTED_VALUE"""),46059.4173611111)</f>
        <v>46059.417361111096</v>
      </c>
      <c r="D198" s="6">
        <f ca="1">IFERROR(__xludf.DUMMYFUNCTION("""COMPUTED_VALUE"""),220)</f>
        <v>220</v>
      </c>
      <c r="E198" s="4" t="str">
        <f ca="1">IFERROR(__xludf.DUMMYFUNCTION("""COMPUTED_VALUE"""),"MXN")</f>
        <v>MXN</v>
      </c>
      <c r="F198" s="4" t="str">
        <f ca="1">IFERROR(__xludf.DUMMYFUNCTION("""COMPUTED_VALUE"""),"Karen Alexandra Ballesteros Contreras")</f>
        <v>Karen Alexandra Ballesteros Contreras</v>
      </c>
      <c r="G198" s="4" t="str">
        <f ca="1">IFERROR(__xludf.DUMMYFUNCTION("""COMPUTED_VALUE"""),"FARM ASESORIA 4        ECATEPEC DE M MEX")</f>
        <v>FARM ASESORIA 4        ECATEPEC DE M MEX</v>
      </c>
      <c r="H198" s="4" t="str">
        <f ca="1">IFERROR(__xludf.DUMMYFUNCTION("""COMPUTED_VALUE"""),"Farm Asesoria 4 Ecatepec De M Mex")</f>
        <v>Farm Asesoria 4 Ecatepec De M Mex</v>
      </c>
      <c r="I198" s="4" t="str">
        <f ca="1">IFERROR(__xludf.DUMMYFUNCTION("""COMPUTED_VALUE"""),"Recruiting")</f>
        <v>Recruiting</v>
      </c>
      <c r="J198" s="4" t="str">
        <f ca="1">IFERROR(__xludf.DUMMYFUNCTION("""COMPUTED_VALUE"""),"-")</f>
        <v>-</v>
      </c>
      <c r="K198" s="4" t="str">
        <f ca="1">IFERROR(__xludf.DUMMYFUNCTION("""COMPUTED_VALUE"""),"C04B34E7-CE1B-50D4-B116-FAC5A5772264")</f>
        <v>C04B34E7-CE1B-50D4-B116-FAC5A5772264</v>
      </c>
      <c r="S198" s="6">
        <v>207</v>
      </c>
      <c r="T198" s="4" t="e">
        <f t="shared" ca="1" si="0"/>
        <v>#N/A</v>
      </c>
    </row>
    <row r="199" spans="1:20" ht="12.5">
      <c r="A199" s="4" t="str">
        <f ca="1">IFERROR(__xludf.DUMMYFUNCTION("""COMPUTED_VALUE"""),"TRX1148")</f>
        <v>TRX1148</v>
      </c>
      <c r="B199" s="4" t="str">
        <f ca="1">IFERROR(__xludf.DUMMYFUNCTION("""COMPUTED_VALUE"""),"#26")</f>
        <v>#26</v>
      </c>
      <c r="C199" s="5">
        <f ca="1">IFERROR(__xludf.DUMMYFUNCTION("""COMPUTED_VALUE"""),46059.4173611111)</f>
        <v>46059.417361111096</v>
      </c>
      <c r="D199" s="6">
        <f ca="1">IFERROR(__xludf.DUMMYFUNCTION("""COMPUTED_VALUE"""),52.9)</f>
        <v>52.9</v>
      </c>
      <c r="E199" s="4" t="str">
        <f ca="1">IFERROR(__xludf.DUMMYFUNCTION("""COMPUTED_VALUE"""),"MXN")</f>
        <v>MXN</v>
      </c>
      <c r="F199" s="4" t="str">
        <f ca="1">IFERROR(__xludf.DUMMYFUNCTION("""COMPUTED_VALUE"""),"Karen Alexandra Ballesteros Contreras")</f>
        <v>Karen Alexandra Ballesteros Contreras</v>
      </c>
      <c r="G199" s="4" t="str">
        <f ca="1">IFERROR(__xludf.DUMMYFUNCTION("""COMPUTED_VALUE"""),"AIFA INTERNACIONAL PAC ZUMPANGO EM   MEX")</f>
        <v>AIFA INTERNACIONAL PAC ZUMPANGO EM   MEX</v>
      </c>
      <c r="H199" s="4" t="str">
        <f ca="1">IFERROR(__xludf.DUMMYFUNCTION("""COMPUTED_VALUE"""),"Aifa Internacional Pac Zumpango Em Mex")</f>
        <v>Aifa Internacional Pac Zumpango Em Mex</v>
      </c>
      <c r="I199" s="4" t="str">
        <f ca="1">IFERROR(__xludf.DUMMYFUNCTION("""COMPUTED_VALUE"""),"Recruiting")</f>
        <v>Recruiting</v>
      </c>
      <c r="J199" s="4" t="str">
        <f ca="1">IFERROR(__xludf.DUMMYFUNCTION("""COMPUTED_VALUE"""),"PO2009 IMPRESION DOCUMENTACION ENTREGABLE A NEXER")</f>
        <v>PO2009 IMPRESION DOCUMENTACION ENTREGABLE A NEXER</v>
      </c>
      <c r="K199" s="4"/>
      <c r="S199" s="6">
        <v>31.39</v>
      </c>
      <c r="T199" s="4" t="e">
        <f t="shared" ca="1" si="0"/>
        <v>#N/A</v>
      </c>
    </row>
    <row r="200" spans="1:20" ht="12.5">
      <c r="A200" s="4" t="str">
        <f ca="1">IFERROR(__xludf.DUMMYFUNCTION("""COMPUTED_VALUE"""),"TRX1036")</f>
        <v>TRX1036</v>
      </c>
      <c r="B200" s="4" t="str">
        <f ca="1">IFERROR(__xludf.DUMMYFUNCTION("""COMPUTED_VALUE"""),"#26")</f>
        <v>#26</v>
      </c>
      <c r="C200" s="5">
        <f ca="1">IFERROR(__xludf.DUMMYFUNCTION("""COMPUTED_VALUE"""),46059.4173611111)</f>
        <v>46059.417361111096</v>
      </c>
      <c r="D200" s="6">
        <f ca="1">IFERROR(__xludf.DUMMYFUNCTION("""COMPUTED_VALUE"""),264)</f>
        <v>264</v>
      </c>
      <c r="E200" s="4" t="str">
        <f ca="1">IFERROR(__xludf.DUMMYFUNCTION("""COMPUTED_VALUE"""),"MXN")</f>
        <v>MXN</v>
      </c>
      <c r="F200" s="4" t="str">
        <f ca="1">IFERROR(__xludf.DUMMYFUNCTION("""COMPUTED_VALUE"""),"Karen Alexandra Ballesteros Contreras")</f>
        <v>Karen Alexandra Ballesteros Contreras</v>
      </c>
      <c r="G200" s="4" t="str">
        <f ca="1">IFERROR(__xludf.DUMMYFUNCTION("""COMPUTED_VALUE"""),"D LOCAL*DIDI RIDES     CIUDAD DE MEX MEX")</f>
        <v>D LOCAL*DIDI RIDES     CIUDAD DE MEX MEX</v>
      </c>
      <c r="H200" s="4" t="str">
        <f ca="1">IFERROR(__xludf.DUMMYFUNCTION("""COMPUTED_VALUE"""),"Didi Chuxing")</f>
        <v>Didi Chuxing</v>
      </c>
      <c r="I200" s="4" t="str">
        <f ca="1">IFERROR(__xludf.DUMMYFUNCTION("""COMPUTED_VALUE"""),"Recruiting")</f>
        <v>Recruiting</v>
      </c>
      <c r="J200" s="4" t="str">
        <f ca="1">IFERROR(__xludf.DUMMYFUNCTION("""COMPUTED_VALUE"""),"PO2009 ANEMOMETRO")</f>
        <v>PO2009 ANEMOMETRO</v>
      </c>
      <c r="K200" s="4"/>
      <c r="S200" s="6">
        <v>309.98</v>
      </c>
      <c r="T200" s="4" t="str">
        <f t="shared" ca="1" si="0"/>
        <v>Jose Ignacio Martinez Flemate</v>
      </c>
    </row>
    <row r="201" spans="1:20" ht="12.5">
      <c r="A201" s="4" t="str">
        <f ca="1">IFERROR(__xludf.DUMMYFUNCTION("""COMPUTED_VALUE"""),"TRX1871")</f>
        <v>TRX1871</v>
      </c>
      <c r="B201" s="4" t="str">
        <f ca="1">IFERROR(__xludf.DUMMYFUNCTION("""COMPUTED_VALUE"""),"#26")</f>
        <v>#26</v>
      </c>
      <c r="C201" s="5">
        <f ca="1">IFERROR(__xludf.DUMMYFUNCTION("""COMPUTED_VALUE"""),46059.4173611111)</f>
        <v>46059.417361111096</v>
      </c>
      <c r="D201" s="6">
        <f ca="1">IFERROR(__xludf.DUMMYFUNCTION("""COMPUTED_VALUE"""),268.94)</f>
        <v>268.94</v>
      </c>
      <c r="E201" s="4" t="str">
        <f ca="1">IFERROR(__xludf.DUMMYFUNCTION("""COMPUTED_VALUE"""),"MXN")</f>
        <v>MXN</v>
      </c>
      <c r="F201" s="4" t="str">
        <f ca="1">IFERROR(__xludf.DUMMYFUNCTION("""COMPUTED_VALUE"""),"Karen Alexandra Ballesteros Contreras")</f>
        <v>Karen Alexandra Ballesteros Contreras</v>
      </c>
      <c r="G201" s="4" t="str">
        <f ca="1">IFERROR(__xludf.DUMMYFUNCTION("""COMPUTED_VALUE"""),"TDAS CHEDRAUI          CANCUN QROO   MEX")</f>
        <v>TDAS CHEDRAUI          CANCUN QROO   MEX</v>
      </c>
      <c r="H201" s="4" t="str">
        <f ca="1">IFERROR(__xludf.DUMMYFUNCTION("""COMPUTED_VALUE"""),"Tdas Chedraui Cancun Qroo Mex")</f>
        <v>Tdas Chedraui Cancun Qroo Mex</v>
      </c>
      <c r="I201" s="4" t="str">
        <f ca="1">IFERROR(__xludf.DUMMYFUNCTION("""COMPUTED_VALUE"""),"Recruiting")</f>
        <v>Recruiting</v>
      </c>
      <c r="J201" s="4" t="str">
        <f ca="1">IFERROR(__xludf.DUMMYFUNCTION("""COMPUTED_VALUE"""),"PO2009 COMIDA VARIOS")</f>
        <v>PO2009 COMIDA VARIOS</v>
      </c>
      <c r="K201" s="4"/>
      <c r="S201" s="6">
        <v>200</v>
      </c>
      <c r="T201" s="4" t="str">
        <f t="shared" ca="1" si="0"/>
        <v>Jorge Armando Ramirez Perez</v>
      </c>
    </row>
    <row r="202" spans="1:20" ht="12.5">
      <c r="A202" s="4" t="str">
        <f ca="1">IFERROR(__xludf.DUMMYFUNCTION("""COMPUTED_VALUE"""),"TRX1593")</f>
        <v>TRX1593</v>
      </c>
      <c r="B202" s="4" t="str">
        <f ca="1">IFERROR(__xludf.DUMMYFUNCTION("""COMPUTED_VALUE"""),"#26")</f>
        <v>#26</v>
      </c>
      <c r="C202" s="5">
        <f ca="1">IFERROR(__xludf.DUMMYFUNCTION("""COMPUTED_VALUE"""),46059.4173611111)</f>
        <v>46059.417361111096</v>
      </c>
      <c r="D202" s="6">
        <f ca="1">IFERROR(__xludf.DUMMYFUNCTION("""COMPUTED_VALUE"""),150)</f>
        <v>150</v>
      </c>
      <c r="E202" s="4" t="str">
        <f ca="1">IFERROR(__xludf.DUMMYFUNCTION("""COMPUTED_VALUE"""),"MXN")</f>
        <v>MXN</v>
      </c>
      <c r="F202" s="4" t="str">
        <f ca="1">IFERROR(__xludf.DUMMYFUNCTION("""COMPUTED_VALUE"""),"Karen Alexandra Ballesteros Contreras")</f>
        <v>Karen Alexandra Ballesteros Contreras</v>
      </c>
      <c r="G202" s="4" t="str">
        <f ca="1">IFERROR(__xludf.DUMMYFUNCTION("""COMPUTED_VALUE"""),"Google Report Run Pho  Mountain View USA")</f>
        <v>Google Report Run Pho  Mountain View USA</v>
      </c>
      <c r="H202" s="4" t="str">
        <f ca="1">IFERROR(__xludf.DUMMYFUNCTION("""COMPUTED_VALUE"""),"Google")</f>
        <v>Google</v>
      </c>
      <c r="I202" s="4" t="str">
        <f ca="1">IFERROR(__xludf.DUMMYFUNCTION("""COMPUTED_VALUE"""),"Recruiting")</f>
        <v>Recruiting</v>
      </c>
      <c r="J202" s="4" t="str">
        <f ca="1">IFERROR(__xludf.DUMMYFUNCTION("""COMPUTED_VALUE"""),"PO2009 TRASLADO DE VERACRUZ A CUAUTITLAN")</f>
        <v>PO2009 TRASLADO DE VERACRUZ A CUAUTITLAN</v>
      </c>
      <c r="K202" s="4" t="str">
        <f ca="1">IFERROR(__xludf.DUMMYFUNCTION("""COMPUTED_VALUE"""),"111B6066-6A0E-4331-880A-BFAD3C6D1AAD")</f>
        <v>111B6066-6A0E-4331-880A-BFAD3C6D1AAD</v>
      </c>
      <c r="S202" s="6">
        <v>29.68</v>
      </c>
      <c r="T202" s="4" t="e">
        <f t="shared" ca="1" si="0"/>
        <v>#N/A</v>
      </c>
    </row>
    <row r="203" spans="1:20" ht="12.5">
      <c r="A203" s="4" t="str">
        <f ca="1">IFERROR(__xludf.DUMMYFUNCTION("""COMPUTED_VALUE"""),"TRX1644")</f>
        <v>TRX1644</v>
      </c>
      <c r="B203" s="4" t="str">
        <f ca="1">IFERROR(__xludf.DUMMYFUNCTION("""COMPUTED_VALUE"""),"#26")</f>
        <v>#26</v>
      </c>
      <c r="C203" s="5">
        <f ca="1">IFERROR(__xludf.DUMMYFUNCTION("""COMPUTED_VALUE"""),46060.4166666666)</f>
        <v>46060.416666666599</v>
      </c>
      <c r="D203" s="6">
        <f ca="1">IFERROR(__xludf.DUMMYFUNCTION("""COMPUTED_VALUE"""),179.45)</f>
        <v>179.45</v>
      </c>
      <c r="E203" s="4" t="str">
        <f ca="1">IFERROR(__xludf.DUMMYFUNCTION("""COMPUTED_VALUE"""),"MXN")</f>
        <v>MXN</v>
      </c>
      <c r="F203" s="4" t="str">
        <f ca="1">IFERROR(__xludf.DUMMYFUNCTION("""COMPUTED_VALUE"""),"Karen Alexandra Ballesteros Contreras")</f>
        <v>Karen Alexandra Ballesteros Contreras</v>
      </c>
      <c r="G203" s="4" t="str">
        <f ca="1">IFERROR(__xludf.DUMMYFUNCTION("""COMPUTED_VALUE"""),"UBER * EATS PENDING    CMX           MEX")</f>
        <v>UBER * EATS PENDING    CMX           MEX</v>
      </c>
      <c r="H203" s="4" t="str">
        <f ca="1">IFERROR(__xludf.DUMMYFUNCTION("""COMPUTED_VALUE"""),"Uber Eats")</f>
        <v>Uber Eats</v>
      </c>
      <c r="I203" s="4" t="str">
        <f ca="1">IFERROR(__xludf.DUMMYFUNCTION("""COMPUTED_VALUE"""),"Recruiting")</f>
        <v>Recruiting</v>
      </c>
      <c r="J203" s="4" t="str">
        <f ca="1">IFERROR(__xludf.DUMMYFUNCTION("""COMPUTED_VALUE"""),"PO2009 TRASLADO DE VERACRUZ A CUAUTITLAN")</f>
        <v>PO2009 TRASLADO DE VERACRUZ A CUAUTITLAN</v>
      </c>
      <c r="K203" s="4"/>
      <c r="S203" s="6">
        <v>39.96</v>
      </c>
      <c r="T203" s="4" t="e">
        <f t="shared" ca="1" si="0"/>
        <v>#N/A</v>
      </c>
    </row>
    <row r="204" spans="1:20" ht="12.5">
      <c r="A204" s="4" t="str">
        <f ca="1">IFERROR(__xludf.DUMMYFUNCTION("""COMPUTED_VALUE"""),"TRX1195")</f>
        <v>TRX1195</v>
      </c>
      <c r="B204" s="4" t="str">
        <f ca="1">IFERROR(__xludf.DUMMYFUNCTION("""COMPUTED_VALUE"""),"#26")</f>
        <v>#26</v>
      </c>
      <c r="C204" s="5">
        <f ca="1">IFERROR(__xludf.DUMMYFUNCTION("""COMPUTED_VALUE"""),46060.4166666666)</f>
        <v>46060.416666666599</v>
      </c>
      <c r="D204" s="6">
        <f ca="1">IFERROR(__xludf.DUMMYFUNCTION("""COMPUTED_VALUE"""),109.06)</f>
        <v>109.06</v>
      </c>
      <c r="E204" s="4" t="str">
        <f ca="1">IFERROR(__xludf.DUMMYFUNCTION("""COMPUTED_VALUE"""),"MXN")</f>
        <v>MXN</v>
      </c>
      <c r="F204" s="4" t="str">
        <f ca="1">IFERROR(__xludf.DUMMYFUNCTION("""COMPUTED_VALUE"""),"Karen Alexandra Ballesteros Contreras")</f>
        <v>Karen Alexandra Ballesteros Contreras</v>
      </c>
      <c r="G204" s="4" t="str">
        <f ca="1">IFERROR(__xludf.DUMMYFUNCTION("""COMPUTED_VALUE"""),"UBER * PENDING         CMX           MEX")</f>
        <v>UBER * PENDING         CMX           MEX</v>
      </c>
      <c r="H204" s="4" t="str">
        <f ca="1">IFERROR(__xludf.DUMMYFUNCTION("""COMPUTED_VALUE"""),"Uber")</f>
        <v>Uber</v>
      </c>
      <c r="I204" s="4" t="str">
        <f ca="1">IFERROR(__xludf.DUMMYFUNCTION("""COMPUTED_VALUE"""),"Recruiting")</f>
        <v>Recruiting</v>
      </c>
      <c r="J204" s="4" t="str">
        <f ca="1">IFERROR(__xludf.DUMMYFUNCTION("""COMPUTED_VALUE"""),"PO2009 COMIDA VARIOS")</f>
        <v>PO2009 COMIDA VARIOS</v>
      </c>
      <c r="K204" s="4" t="str">
        <f ca="1">IFERROR(__xludf.DUMMYFUNCTION("""COMPUTED_VALUE"""),"C60980741-1A3F-584D-B8DB-1A1F2B58209D")</f>
        <v>C60980741-1A3F-584D-B8DB-1A1F2B58209D</v>
      </c>
      <c r="S204" s="6">
        <v>101</v>
      </c>
      <c r="T204" s="4" t="str">
        <f t="shared" ca="1" si="0"/>
        <v>Karen Alexandra Ballesteros Contreras</v>
      </c>
    </row>
    <row r="205" spans="1:20" ht="12.5">
      <c r="A205" s="4" t="str">
        <f ca="1">IFERROR(__xludf.DUMMYFUNCTION("""COMPUTED_VALUE"""),"TRX1527")</f>
        <v>TRX1527</v>
      </c>
      <c r="B205" s="4" t="str">
        <f ca="1">IFERROR(__xludf.DUMMYFUNCTION("""COMPUTED_VALUE"""),"#26")</f>
        <v>#26</v>
      </c>
      <c r="C205" s="5">
        <f ca="1">IFERROR(__xludf.DUMMYFUNCTION("""COMPUTED_VALUE"""),46060.4166666666)</f>
        <v>46060.416666666599</v>
      </c>
      <c r="D205" s="6">
        <f ca="1">IFERROR(__xludf.DUMMYFUNCTION("""COMPUTED_VALUE"""),78)</f>
        <v>78</v>
      </c>
      <c r="E205" s="4" t="str">
        <f ca="1">IFERROR(__xludf.DUMMYFUNCTION("""COMPUTED_VALUE"""),"MXN")</f>
        <v>MXN</v>
      </c>
      <c r="F205" s="4" t="str">
        <f ca="1">IFERROR(__xludf.DUMMYFUNCTION("""COMPUTED_VALUE"""),"Karen Alexandra Ballesteros Contreras")</f>
        <v>Karen Alexandra Ballesteros Contreras</v>
      </c>
      <c r="G205" s="4" t="str">
        <f ca="1">IFERROR(__xludf.DUMMYFUNCTION("""COMPUTED_VALUE"""),"D LOCAL*DIDI RIDES     CIUDAD DE MEX MEX")</f>
        <v>D LOCAL*DIDI RIDES     CIUDAD DE MEX MEX</v>
      </c>
      <c r="H205" s="4" t="str">
        <f ca="1">IFERROR(__xludf.DUMMYFUNCTION("""COMPUTED_VALUE"""),"Didi Chuxing")</f>
        <v>Didi Chuxing</v>
      </c>
      <c r="I205" s="4" t="str">
        <f ca="1">IFERROR(__xludf.DUMMYFUNCTION("""COMPUTED_VALUE"""),"Recruiting")</f>
        <v>Recruiting</v>
      </c>
      <c r="J205" s="4" t="str">
        <f ca="1">IFERROR(__xludf.DUMMYFUNCTION("""COMPUTED_VALUE"""),"PO2009 COMIDA VARIOS")</f>
        <v>PO2009 COMIDA VARIOS</v>
      </c>
      <c r="K205" s="4"/>
      <c r="S205" s="6">
        <v>114</v>
      </c>
      <c r="T205" s="4" t="str">
        <f t="shared" ca="1" si="0"/>
        <v>Jose Ignacio Martinez Flemate</v>
      </c>
    </row>
    <row r="206" spans="1:20" ht="12.5">
      <c r="A206" s="4" t="str">
        <f ca="1">IFERROR(__xludf.DUMMYFUNCTION("""COMPUTED_VALUE"""),"TRX1745")</f>
        <v>TRX1745</v>
      </c>
      <c r="B206" s="4" t="str">
        <f ca="1">IFERROR(__xludf.DUMMYFUNCTION("""COMPUTED_VALUE"""),"#26")</f>
        <v>#26</v>
      </c>
      <c r="C206" s="5">
        <f ca="1">IFERROR(__xludf.DUMMYFUNCTION("""COMPUTED_VALUE"""),46060.4173611111)</f>
        <v>46060.417361111096</v>
      </c>
      <c r="D206" s="6">
        <f ca="1">IFERROR(__xludf.DUMMYFUNCTION("""COMPUTED_VALUE"""),279)</f>
        <v>279</v>
      </c>
      <c r="E206" s="4" t="str">
        <f ca="1">IFERROR(__xludf.DUMMYFUNCTION("""COMPUTED_VALUE"""),"MXN")</f>
        <v>MXN</v>
      </c>
      <c r="F206" s="4" t="str">
        <f ca="1">IFERROR(__xludf.DUMMYFUNCTION("""COMPUTED_VALUE"""),"Karen Alexandra Ballesteros Contreras")</f>
        <v>Karen Alexandra Ballesteros Contreras</v>
      </c>
      <c r="G206" s="4" t="str">
        <f ca="1">IFERROR(__xludf.DUMMYFUNCTION("""COMPUTED_VALUE"""),"7 ELEVEN T2250         BENITO JUAREZ MEX")</f>
        <v>7 ELEVEN T2250         BENITO JUAREZ MEX</v>
      </c>
      <c r="H206" s="4" t="str">
        <f ca="1">IFERROR(__xludf.DUMMYFUNCTION("""COMPUTED_VALUE"""),"7 Eleven")</f>
        <v>7 Eleven</v>
      </c>
      <c r="I206" s="4" t="str">
        <f ca="1">IFERROR(__xludf.DUMMYFUNCTION("""COMPUTED_VALUE"""),"Recruiting")</f>
        <v>Recruiting</v>
      </c>
      <c r="J206" s="4" t="str">
        <f ca="1">IFERROR(__xludf.DUMMYFUNCTION("""COMPUTED_VALUE"""),"PO2009 DESAYUNO VARIOS")</f>
        <v>PO2009 DESAYUNO VARIOS</v>
      </c>
      <c r="K206" s="4" t="str">
        <f ca="1">IFERROR(__xludf.DUMMYFUNCTION("""COMPUTED_VALUE"""),"18BC0689-F327-4DA6-A1C4-BED8A607DD00")</f>
        <v>18BC0689-F327-4DA6-A1C4-BED8A607DD00</v>
      </c>
      <c r="S206" s="6">
        <v>101</v>
      </c>
      <c r="T206" s="4" t="str">
        <f t="shared" ca="1" si="0"/>
        <v>Karen Alexandra Ballesteros Contreras</v>
      </c>
    </row>
    <row r="207" spans="1:20" ht="12.5">
      <c r="A207" s="4" t="str">
        <f ca="1">IFERROR(__xludf.DUMMYFUNCTION("""COMPUTED_VALUE"""),"TRX1014")</f>
        <v>TRX1014</v>
      </c>
      <c r="B207" s="4" t="str">
        <f ca="1">IFERROR(__xludf.DUMMYFUNCTION("""COMPUTED_VALUE"""),"#26")</f>
        <v>#26</v>
      </c>
      <c r="C207" s="5">
        <f ca="1">IFERROR(__xludf.DUMMYFUNCTION("""COMPUTED_VALUE"""),46060.4173611111)</f>
        <v>46060.417361111096</v>
      </c>
      <c r="D207" s="6">
        <f ca="1">IFERROR(__xludf.DUMMYFUNCTION("""COMPUTED_VALUE"""),79)</f>
        <v>79</v>
      </c>
      <c r="E207" s="4" t="str">
        <f ca="1">IFERROR(__xludf.DUMMYFUNCTION("""COMPUTED_VALUE"""),"MXN")</f>
        <v>MXN</v>
      </c>
      <c r="F207" s="4" t="str">
        <f ca="1">IFERROR(__xludf.DUMMYFUNCTION("""COMPUTED_VALUE"""),"Karen Alexandra Ballesteros Contreras")</f>
        <v>Karen Alexandra Ballesteros Contreras</v>
      </c>
      <c r="G207" s="4" t="str">
        <f ca="1">IFERROR(__xludf.DUMMYFUNCTION("""COMPUTED_VALUE"""),"OXXO TULUM             CANCUN QROO   MEX")</f>
        <v>OXXO TULUM             CANCUN QROO   MEX</v>
      </c>
      <c r="H207" s="4" t="str">
        <f ca="1">IFERROR(__xludf.DUMMYFUNCTION("""COMPUTED_VALUE"""),"Oxxo")</f>
        <v>Oxxo</v>
      </c>
      <c r="I207" s="4" t="str">
        <f ca="1">IFERROR(__xludf.DUMMYFUNCTION("""COMPUTED_VALUE"""),"Recruiting")</f>
        <v>Recruiting</v>
      </c>
      <c r="J207" s="4" t="str">
        <f ca="1">IFERROR(__xludf.DUMMYFUNCTION("""COMPUTED_VALUE"""),"PO2009 DESAYUNO VARIOS")</f>
        <v>PO2009 DESAYUNO VARIOS</v>
      </c>
      <c r="K207" s="4" t="str">
        <f ca="1">IFERROR(__xludf.DUMMYFUNCTION("""COMPUTED_VALUE"""),"F303FFD1-1C73-5266-B01E-B075C21FFAC0")</f>
        <v>F303FFD1-1C73-5266-B01E-B075C21FFAC0</v>
      </c>
      <c r="S207" s="6">
        <v>489.96</v>
      </c>
      <c r="T207" s="4" t="e">
        <f t="shared" ca="1" si="0"/>
        <v>#N/A</v>
      </c>
    </row>
    <row r="208" spans="1:20" ht="12.5">
      <c r="A208" s="4" t="str">
        <f ca="1">IFERROR(__xludf.DUMMYFUNCTION("""COMPUTED_VALUE"""),"TRX1024")</f>
        <v>TRX1024</v>
      </c>
      <c r="B208" s="4" t="str">
        <f ca="1">IFERROR(__xludf.DUMMYFUNCTION("""COMPUTED_VALUE"""),"#26")</f>
        <v>#26</v>
      </c>
      <c r="C208" s="5">
        <f ca="1">IFERROR(__xludf.DUMMYFUNCTION("""COMPUTED_VALUE"""),46061.4166666666)</f>
        <v>46061.416666666599</v>
      </c>
      <c r="D208" s="6">
        <f ca="1">IFERROR(__xludf.DUMMYFUNCTION("""COMPUTED_VALUE"""),752)</f>
        <v>752</v>
      </c>
      <c r="E208" s="4" t="str">
        <f ca="1">IFERROR(__xludf.DUMMYFUNCTION("""COMPUTED_VALUE"""),"MXN")</f>
        <v>MXN</v>
      </c>
      <c r="F208" s="4" t="str">
        <f ca="1">IFERROR(__xludf.DUMMYFUNCTION("""COMPUTED_VALUE"""),"Karen Alexandra Ballesteros Contreras")</f>
        <v>Karen Alexandra Ballesteros Contreras</v>
      </c>
      <c r="G208" s="4" t="str">
        <f ca="1">IFERROR(__xludf.DUMMYFUNCTION("""COMPUTED_VALUE"""),"ABTS GC 63 KIKIMBE     BENITO JUAREZ MEX")</f>
        <v>ABTS GC 63 KIKIMBE     BENITO JUAREZ MEX</v>
      </c>
      <c r="H208" s="4" t="str">
        <f ca="1">IFERROR(__xludf.DUMMYFUNCTION("""COMPUTED_VALUE"""),"Abts Gc 63 Kikimbe Benito Juarez Mex")</f>
        <v>Abts Gc 63 Kikimbe Benito Juarez Mex</v>
      </c>
      <c r="I208" s="4" t="str">
        <f ca="1">IFERROR(__xludf.DUMMYFUNCTION("""COMPUTED_VALUE"""),"Recruiting")</f>
        <v>Recruiting</v>
      </c>
      <c r="J208" s="4" t="str">
        <f ca="1">IFERROR(__xludf.DUMMYFUNCTION("""COMPUTED_VALUE"""),"PO2009 PUNTO DE HIDRATACION PERSONAL OPERATIVO")</f>
        <v>PO2009 PUNTO DE HIDRATACION PERSONAL OPERATIVO</v>
      </c>
      <c r="K208" s="4"/>
      <c r="S208" s="6">
        <v>61</v>
      </c>
      <c r="T208" s="4" t="str">
        <f t="shared" ca="1" si="0"/>
        <v>Karen Alexandra Ballesteros Contreras</v>
      </c>
    </row>
    <row r="209" spans="1:20" ht="12.5">
      <c r="A209" s="4" t="str">
        <f ca="1">IFERROR(__xludf.DUMMYFUNCTION("""COMPUTED_VALUE"""),"TRX1198")</f>
        <v>TRX1198</v>
      </c>
      <c r="B209" s="4" t="str">
        <f ca="1">IFERROR(__xludf.DUMMYFUNCTION("""COMPUTED_VALUE"""),"#26")</f>
        <v>#26</v>
      </c>
      <c r="C209" s="5">
        <f ca="1">IFERROR(__xludf.DUMMYFUNCTION("""COMPUTED_VALUE"""),46061.4166666666)</f>
        <v>46061.416666666599</v>
      </c>
      <c r="D209" s="6">
        <f ca="1">IFERROR(__xludf.DUMMYFUNCTION("""COMPUTED_VALUE"""),58)</f>
        <v>58</v>
      </c>
      <c r="E209" s="4" t="str">
        <f ca="1">IFERROR(__xludf.DUMMYFUNCTION("""COMPUTED_VALUE"""),"MXN")</f>
        <v>MXN</v>
      </c>
      <c r="F209" s="4" t="str">
        <f ca="1">IFERROR(__xludf.DUMMYFUNCTION("""COMPUTED_VALUE"""),"Karen Alexandra Ballesteros Contreras")</f>
        <v>Karen Alexandra Ballesteros Contreras</v>
      </c>
      <c r="G209" s="4" t="str">
        <f ca="1">IFERROR(__xludf.DUMMYFUNCTION("""COMPUTED_VALUE"""),"D LOCAL*DIDI RIDES     CIUDAD DE MEX MEX")</f>
        <v>D LOCAL*DIDI RIDES     CIUDAD DE MEX MEX</v>
      </c>
      <c r="H209" s="4" t="str">
        <f ca="1">IFERROR(__xludf.DUMMYFUNCTION("""COMPUTED_VALUE"""),"Didi Chuxing")</f>
        <v>Didi Chuxing</v>
      </c>
      <c r="I209" s="4" t="str">
        <f ca="1">IFERROR(__xludf.DUMMYFUNCTION("""COMPUTED_VALUE"""),"Recruiting")</f>
        <v>Recruiting</v>
      </c>
      <c r="J209" s="4" t="str">
        <f ca="1">IFERROR(__xludf.DUMMYFUNCTION("""COMPUTED_VALUE"""),"PO2009 CENA")</f>
        <v>PO2009 CENA</v>
      </c>
      <c r="K209" s="4" t="str">
        <f ca="1">IFERROR(__xludf.DUMMYFUNCTION("""COMPUTED_VALUE"""),"E59849E4-E5F3-5861-B1E8-22ADB8265BF1")</f>
        <v>E59849E4-E5F3-5861-B1E8-22ADB8265BF1</v>
      </c>
      <c r="S209" s="6">
        <v>28</v>
      </c>
      <c r="T209" s="4" t="e">
        <f t="shared" ca="1" si="0"/>
        <v>#N/A</v>
      </c>
    </row>
    <row r="210" spans="1:20" ht="12.5">
      <c r="A210" s="4" t="str">
        <f ca="1">IFERROR(__xludf.DUMMYFUNCTION("""COMPUTED_VALUE"""),"TRX1831")</f>
        <v>TRX1831</v>
      </c>
      <c r="B210" s="4" t="str">
        <f ca="1">IFERROR(__xludf.DUMMYFUNCTION("""COMPUTED_VALUE"""),"#26")</f>
        <v>#26</v>
      </c>
      <c r="C210" s="5">
        <f ca="1">IFERROR(__xludf.DUMMYFUNCTION("""COMPUTED_VALUE"""),46061.4166666666)</f>
        <v>46061.416666666599</v>
      </c>
      <c r="D210" s="6">
        <f ca="1">IFERROR(__xludf.DUMMYFUNCTION("""COMPUTED_VALUE"""),3.6)</f>
        <v>3.6</v>
      </c>
      <c r="E210" s="4" t="str">
        <f ca="1">IFERROR(__xludf.DUMMYFUNCTION("""COMPUTED_VALUE"""),"MXN")</f>
        <v>MXN</v>
      </c>
      <c r="F210" s="4" t="str">
        <f ca="1">IFERROR(__xludf.DUMMYFUNCTION("""COMPUTED_VALUE"""),"Karen Alexandra Ballesteros Contreras")</f>
        <v>Karen Alexandra Ballesteros Contreras</v>
      </c>
      <c r="G210" s="4" t="str">
        <f ca="1">IFERROR(__xludf.DUMMYFUNCTION("""COMPUTED_VALUE"""),"DLO DIDI RIDES MX      CIUDAD DE MEX MEX")</f>
        <v>DLO DIDI RIDES MX      CIUDAD DE MEX MEX</v>
      </c>
      <c r="H210" s="4" t="str">
        <f ca="1">IFERROR(__xludf.DUMMYFUNCTION("""COMPUTED_VALUE"""),"Didi Chuxing")</f>
        <v>Didi Chuxing</v>
      </c>
      <c r="I210" s="4" t="str">
        <f ca="1">IFERROR(__xludf.DUMMYFUNCTION("""COMPUTED_VALUE"""),"Recruiting")</f>
        <v>Recruiting</v>
      </c>
      <c r="J210" s="4" t="str">
        <f ca="1">IFERROR(__xludf.DUMMYFUNCTION("""COMPUTED_VALUE"""),"PO2009 TAXI DEL AIFA A CUAUTITLAN")</f>
        <v>PO2009 TAXI DEL AIFA A CUAUTITLAN</v>
      </c>
      <c r="K210" s="4"/>
      <c r="S210" s="6">
        <v>47.8</v>
      </c>
      <c r="T210" s="4" t="e">
        <f t="shared" ca="1" si="0"/>
        <v>#N/A</v>
      </c>
    </row>
    <row r="211" spans="1:20" ht="12.5">
      <c r="A211" s="4" t="str">
        <f ca="1">IFERROR(__xludf.DUMMYFUNCTION("""COMPUTED_VALUE"""),"TRX1544")</f>
        <v>TRX1544</v>
      </c>
      <c r="B211" s="4" t="str">
        <f ca="1">IFERROR(__xludf.DUMMYFUNCTION("""COMPUTED_VALUE"""),"#26")</f>
        <v>#26</v>
      </c>
      <c r="C211" s="5">
        <f ca="1">IFERROR(__xludf.DUMMYFUNCTION("""COMPUTED_VALUE"""),46061.4166666666)</f>
        <v>46061.416666666599</v>
      </c>
      <c r="D211" s="6">
        <f ca="1">IFERROR(__xludf.DUMMYFUNCTION("""COMPUTED_VALUE"""),178)</f>
        <v>178</v>
      </c>
      <c r="E211" s="4" t="str">
        <f ca="1">IFERROR(__xludf.DUMMYFUNCTION("""COMPUTED_VALUE"""),"MXN")</f>
        <v>MXN</v>
      </c>
      <c r="F211" s="4" t="str">
        <f ca="1">IFERROR(__xludf.DUMMYFUNCTION("""COMPUTED_VALUE"""),"Karen Alexandra Ballesteros Contreras")</f>
        <v>Karen Alexandra Ballesteros Contreras</v>
      </c>
      <c r="G211" s="4" t="str">
        <f ca="1">IFERROR(__xludf.DUMMYFUNCTION("""COMPUTED_VALUE"""),"D LOCAL*DIDI RIDES     CIUDAD DE MEX MEX")</f>
        <v>D LOCAL*DIDI RIDES     CIUDAD DE MEX MEX</v>
      </c>
      <c r="H211" s="4" t="str">
        <f ca="1">IFERROR(__xludf.DUMMYFUNCTION("""COMPUTED_VALUE"""),"Didi Chuxing")</f>
        <v>Didi Chuxing</v>
      </c>
      <c r="I211" s="4" t="str">
        <f ca="1">IFERROR(__xludf.DUMMYFUNCTION("""COMPUTED_VALUE"""),"Recruiting")</f>
        <v>Recruiting</v>
      </c>
      <c r="J211" s="4"/>
      <c r="K211" s="4"/>
      <c r="S211" s="6">
        <v>119.99</v>
      </c>
      <c r="T211" s="4" t="e">
        <f t="shared" ca="1" si="0"/>
        <v>#N/A</v>
      </c>
    </row>
    <row r="212" spans="1:20" ht="12.5">
      <c r="A212" s="4" t="str">
        <f ca="1">IFERROR(__xludf.DUMMYFUNCTION("""COMPUTED_VALUE"""),"TRX1543")</f>
        <v>TRX1543</v>
      </c>
      <c r="B212" s="4" t="str">
        <f ca="1">IFERROR(__xludf.DUMMYFUNCTION("""COMPUTED_VALUE"""),"#26")</f>
        <v>#26</v>
      </c>
      <c r="C212" s="5">
        <f ca="1">IFERROR(__xludf.DUMMYFUNCTION("""COMPUTED_VALUE"""),46061.4166666666)</f>
        <v>46061.416666666599</v>
      </c>
      <c r="D212" s="6">
        <f ca="1">IFERROR(__xludf.DUMMYFUNCTION("""COMPUTED_VALUE"""),401.3)</f>
        <v>401.3</v>
      </c>
      <c r="E212" s="4" t="str">
        <f ca="1">IFERROR(__xludf.DUMMYFUNCTION("""COMPUTED_VALUE"""),"MXN")</f>
        <v>MXN</v>
      </c>
      <c r="F212" s="4" t="str">
        <f ca="1">IFERROR(__xludf.DUMMYFUNCTION("""COMPUTED_VALUE"""),"Karen Alexandra Ballesteros Contreras")</f>
        <v>Karen Alexandra Ballesteros Contreras</v>
      </c>
      <c r="G212" s="4" t="str">
        <f ca="1">IFERROR(__xludf.DUMMYFUNCTION("""COMPUTED_VALUE"""),"VIVAAEROBUS MOBILE     APODACA NL    MEX")</f>
        <v>VIVAAEROBUS MOBILE     APODACA NL    MEX</v>
      </c>
      <c r="H212" s="4" t="str">
        <f ca="1">IFERROR(__xludf.DUMMYFUNCTION("""COMPUTED_VALUE"""),"Vivaaerobus")</f>
        <v>Vivaaerobus</v>
      </c>
      <c r="I212" s="4" t="str">
        <f ca="1">IFERROR(__xludf.DUMMYFUNCTION("""COMPUTED_VALUE"""),"Recruiting")</f>
        <v>Recruiting</v>
      </c>
      <c r="J212" s="4"/>
      <c r="K212" s="4"/>
      <c r="S212" s="6">
        <v>941.3</v>
      </c>
      <c r="T212" s="4" t="e">
        <f t="shared" ca="1" si="0"/>
        <v>#N/A</v>
      </c>
    </row>
    <row r="213" spans="1:20" ht="12.5">
      <c r="A213" s="4" t="str">
        <f ca="1">IFERROR(__xludf.DUMMYFUNCTION("""COMPUTED_VALUE"""),"TRX1984")</f>
        <v>TRX1984</v>
      </c>
      <c r="B213" s="4" t="str">
        <f ca="1">IFERROR(__xludf.DUMMYFUNCTION("""COMPUTED_VALUE"""),"#26")</f>
        <v>#26</v>
      </c>
      <c r="C213" s="5">
        <f ca="1">IFERROR(__xludf.DUMMYFUNCTION("""COMPUTED_VALUE"""),46062.4166666666)</f>
        <v>46062.416666666599</v>
      </c>
      <c r="D213" s="6">
        <f ca="1">IFERROR(__xludf.DUMMYFUNCTION("""COMPUTED_VALUE"""),1060.5)</f>
        <v>1060.5</v>
      </c>
      <c r="E213" s="4" t="str">
        <f ca="1">IFERROR(__xludf.DUMMYFUNCTION("""COMPUTED_VALUE"""),"MXN")</f>
        <v>MXN</v>
      </c>
      <c r="F213" s="4" t="str">
        <f ca="1">IFERROR(__xludf.DUMMYFUNCTION("""COMPUTED_VALUE"""),"Karen Alexandra Ballesteros Contreras")</f>
        <v>Karen Alexandra Ballesteros Contreras</v>
      </c>
      <c r="G213" s="4" t="str">
        <f ca="1">IFERROR(__xludf.DUMMYFUNCTION("""COMPUTED_VALUE"""),"TRANS PARTY ON BOARD   CANCUN QROO   MEX")</f>
        <v>TRANS PARTY ON BOARD   CANCUN QROO   MEX</v>
      </c>
      <c r="H213" s="4" t="str">
        <f ca="1">IFERROR(__xludf.DUMMYFUNCTION("""COMPUTED_VALUE"""),"Trans Party On Board Cancun Qroo Mex")</f>
        <v>Trans Party On Board Cancun Qroo Mex</v>
      </c>
      <c r="I213" s="4" t="str">
        <f ca="1">IFERROR(__xludf.DUMMYFUNCTION("""COMPUTED_VALUE"""),"Recruiting")</f>
        <v>Recruiting</v>
      </c>
      <c r="J213" s="4" t="str">
        <f ca="1">IFERROR(__xludf.DUMMYFUNCTION("""COMPUTED_VALUE"""),"PO2009 TRASLADO DE VERACRUZ A CUAUTITLAN")</f>
        <v>PO2009 TRASLADO DE VERACRUZ A CUAUTITLAN</v>
      </c>
      <c r="K213" s="4"/>
      <c r="S213" s="6">
        <v>200</v>
      </c>
      <c r="T213" s="4" t="str">
        <f t="shared" ca="1" si="0"/>
        <v>Jorge Armando Ramirez Perez</v>
      </c>
    </row>
    <row r="214" spans="1:20" ht="12.5">
      <c r="A214" s="4" t="str">
        <f ca="1">IFERROR(__xludf.DUMMYFUNCTION("""COMPUTED_VALUE"""),"TRX1798")</f>
        <v>TRX1798</v>
      </c>
      <c r="B214" s="4" t="str">
        <f ca="1">IFERROR(__xludf.DUMMYFUNCTION("""COMPUTED_VALUE"""),"#26")</f>
        <v>#26</v>
      </c>
      <c r="C214" s="5">
        <f ca="1">IFERROR(__xludf.DUMMYFUNCTION("""COMPUTED_VALUE"""),46062.4166666666)</f>
        <v>46062.416666666599</v>
      </c>
      <c r="D214" s="6">
        <f ca="1">IFERROR(__xludf.DUMMYFUNCTION("""COMPUTED_VALUE"""),46)</f>
        <v>46</v>
      </c>
      <c r="E214" s="4" t="str">
        <f ca="1">IFERROR(__xludf.DUMMYFUNCTION("""COMPUTED_VALUE"""),"MXN")</f>
        <v>MXN</v>
      </c>
      <c r="F214" s="4" t="str">
        <f ca="1">IFERROR(__xludf.DUMMYFUNCTION("""COMPUTED_VALUE"""),"Karen Alexandra Ballesteros Contreras")</f>
        <v>Karen Alexandra Ballesteros Contreras</v>
      </c>
      <c r="G214" s="4" t="str">
        <f ca="1">IFERROR(__xludf.DUMMYFUNCTION("""COMPUTED_VALUE"""),"D LOCAL*DIDI RIDES     CIUDAD DE MEX MEX")</f>
        <v>D LOCAL*DIDI RIDES     CIUDAD DE MEX MEX</v>
      </c>
      <c r="H214" s="4" t="str">
        <f ca="1">IFERROR(__xludf.DUMMYFUNCTION("""COMPUTED_VALUE"""),"Didi Chuxing")</f>
        <v>Didi Chuxing</v>
      </c>
      <c r="I214" s="4" t="str">
        <f ca="1">IFERROR(__xludf.DUMMYFUNCTION("""COMPUTED_VALUE"""),"Recruiting")</f>
        <v>Recruiting</v>
      </c>
      <c r="J214" s="4" t="str">
        <f ca="1">IFERROR(__xludf.DUMMYFUNCTION("""COMPUTED_VALUE"""),"PO2009 TRASLADO DE VERACRUZ A CUAUTITLAN")</f>
        <v>PO2009 TRASLADO DE VERACRUZ A CUAUTITLAN</v>
      </c>
      <c r="K214" s="4"/>
      <c r="S214" s="6">
        <v>1152</v>
      </c>
      <c r="T214" s="4" t="e">
        <f t="shared" ca="1" si="0"/>
        <v>#N/A</v>
      </c>
    </row>
    <row r="215" spans="1:20" ht="12.5">
      <c r="A215" s="4" t="str">
        <f ca="1">IFERROR(__xludf.DUMMYFUNCTION("""COMPUTED_VALUE"""),"TRX1535")</f>
        <v>TRX1535</v>
      </c>
      <c r="B215" s="4" t="str">
        <f ca="1">IFERROR(__xludf.DUMMYFUNCTION("""COMPUTED_VALUE"""),"#26")</f>
        <v>#26</v>
      </c>
      <c r="C215" s="5">
        <f ca="1">IFERROR(__xludf.DUMMYFUNCTION("""COMPUTED_VALUE"""),46063.4166666666)</f>
        <v>46063.416666666599</v>
      </c>
      <c r="D215" s="6">
        <f ca="1">IFERROR(__xludf.DUMMYFUNCTION("""COMPUTED_VALUE"""),387)</f>
        <v>387</v>
      </c>
      <c r="E215" s="4" t="str">
        <f ca="1">IFERROR(__xludf.DUMMYFUNCTION("""COMPUTED_VALUE"""),"MXN")</f>
        <v>MXN</v>
      </c>
      <c r="F215" s="4" t="str">
        <f ca="1">IFERROR(__xludf.DUMMYFUNCTION("""COMPUTED_VALUE"""),"Karen Alexandra Ballesteros Contreras")</f>
        <v>Karen Alexandra Ballesteros Contreras</v>
      </c>
      <c r="G215" s="4" t="str">
        <f ca="1">IFERROR(__xludf.DUMMYFUNCTION("""COMPUTED_VALUE"""),"STARBUCKS AIFA N AMB   MEX           MEX")</f>
        <v>STARBUCKS AIFA N AMB   MEX           MEX</v>
      </c>
      <c r="H215" s="4" t="str">
        <f ca="1">IFERROR(__xludf.DUMMYFUNCTION("""COMPUTED_VALUE"""),"Starbucks")</f>
        <v>Starbucks</v>
      </c>
      <c r="I215" s="4" t="str">
        <f ca="1">IFERROR(__xludf.DUMMYFUNCTION("""COMPUTED_VALUE"""),"Recruiting")</f>
        <v>Recruiting</v>
      </c>
      <c r="J215" s="4" t="str">
        <f ca="1">IFERROR(__xludf.DUMMYFUNCTION("""COMPUTED_VALUE"""),"PEAJES")</f>
        <v>PEAJES</v>
      </c>
      <c r="K215" s="4"/>
      <c r="S215" s="6">
        <v>379</v>
      </c>
      <c r="T215" s="4" t="e">
        <f t="shared" ca="1" si="0"/>
        <v>#N/A</v>
      </c>
    </row>
    <row r="216" spans="1:20" ht="12.5">
      <c r="A216" s="4" t="str">
        <f ca="1">IFERROR(__xludf.DUMMYFUNCTION("""COMPUTED_VALUE"""),"TRX2026")</f>
        <v>TRX2026</v>
      </c>
      <c r="B216" s="4" t="str">
        <f ca="1">IFERROR(__xludf.DUMMYFUNCTION("""COMPUTED_VALUE"""),"#26")</f>
        <v>#26</v>
      </c>
      <c r="C216" s="5">
        <f ca="1">IFERROR(__xludf.DUMMYFUNCTION("""COMPUTED_VALUE"""),46063.4166666666)</f>
        <v>46063.416666666599</v>
      </c>
      <c r="D216" s="6">
        <f ca="1">IFERROR(__xludf.DUMMYFUNCTION("""COMPUTED_VALUE"""),250)</f>
        <v>250</v>
      </c>
      <c r="E216" s="4" t="str">
        <f ca="1">IFERROR(__xludf.DUMMYFUNCTION("""COMPUTED_VALUE"""),"MXN")</f>
        <v>MXN</v>
      </c>
      <c r="F216" s="4" t="str">
        <f ca="1">IFERROR(__xludf.DUMMYFUNCTION("""COMPUTED_VALUE"""),"Karen Alexandra Ballesteros Contreras")</f>
        <v>Karen Alexandra Ballesteros Contreras</v>
      </c>
      <c r="G216" s="4" t="str">
        <f ca="1">IFERROR(__xludf.DUMMYFUNCTION("""COMPUTED_VALUE"""),"D LOCAL*DIDI RIDES     CIUDAD DE MEX MEX")</f>
        <v>D LOCAL*DIDI RIDES     CIUDAD DE MEX MEX</v>
      </c>
      <c r="H216" s="4" t="str">
        <f ca="1">IFERROR(__xludf.DUMMYFUNCTION("""COMPUTED_VALUE"""),"Didi Chuxing")</f>
        <v>Didi Chuxing</v>
      </c>
      <c r="I216" s="4" t="str">
        <f ca="1">IFERROR(__xludf.DUMMYFUNCTION("""COMPUTED_VALUE"""),"Recruiting")</f>
        <v>Recruiting</v>
      </c>
      <c r="J216" s="4"/>
      <c r="K216" s="4"/>
      <c r="S216" s="6">
        <v>138</v>
      </c>
      <c r="T216" s="4" t="e">
        <f t="shared" ca="1" si="0"/>
        <v>#N/A</v>
      </c>
    </row>
    <row r="217" spans="1:20" ht="12.5">
      <c r="A217" s="4" t="str">
        <f ca="1">IFERROR(__xludf.DUMMYFUNCTION("""COMPUTED_VALUE"""),"TRX1423")</f>
        <v>TRX1423</v>
      </c>
      <c r="B217" s="4" t="str">
        <f ca="1">IFERROR(__xludf.DUMMYFUNCTION("""COMPUTED_VALUE"""),"#26")</f>
        <v>#26</v>
      </c>
      <c r="C217" s="5">
        <f ca="1">IFERROR(__xludf.DUMMYFUNCTION("""COMPUTED_VALUE"""),46063.4166666666)</f>
        <v>46063.416666666599</v>
      </c>
      <c r="D217" s="6">
        <f ca="1">IFERROR(__xludf.DUMMYFUNCTION("""COMPUTED_VALUE"""),255)</f>
        <v>255</v>
      </c>
      <c r="E217" s="4" t="str">
        <f ca="1">IFERROR(__xludf.DUMMYFUNCTION("""COMPUTED_VALUE"""),"MXN")</f>
        <v>MXN</v>
      </c>
      <c r="F217" s="4" t="str">
        <f ca="1">IFERROR(__xludf.DUMMYFUNCTION("""COMPUTED_VALUE"""),"Karen Alexandra Ballesteros Contreras")</f>
        <v>Karen Alexandra Ballesteros Contreras</v>
      </c>
      <c r="G217" s="4" t="str">
        <f ca="1">IFERROR(__xludf.DUMMYFUNCTION("""COMPUTED_VALUE"""),"D LOCAL*DIDI RIDES     CIUDAD DE MEX MEX")</f>
        <v>D LOCAL*DIDI RIDES     CIUDAD DE MEX MEX</v>
      </c>
      <c r="H217" s="4" t="str">
        <f ca="1">IFERROR(__xludf.DUMMYFUNCTION("""COMPUTED_VALUE"""),"Didi Chuxing")</f>
        <v>Didi Chuxing</v>
      </c>
      <c r="I217" s="4" t="str">
        <f ca="1">IFERROR(__xludf.DUMMYFUNCTION("""COMPUTED_VALUE"""),"Recruiting")</f>
        <v>Recruiting</v>
      </c>
      <c r="J217" s="4" t="str">
        <f ca="1">IFERROR(__xludf.DUMMYFUNCTION("""COMPUTED_VALUE"""),"PEAJES")</f>
        <v>PEAJES</v>
      </c>
      <c r="K217" s="4"/>
      <c r="S217" s="6">
        <v>5275.18</v>
      </c>
      <c r="T217" s="4" t="e">
        <f t="shared" ca="1" si="0"/>
        <v>#N/A</v>
      </c>
    </row>
    <row r="218" spans="1:20" ht="12.5">
      <c r="A218" s="4" t="str">
        <f ca="1">IFERROR(__xludf.DUMMYFUNCTION("""COMPUTED_VALUE"""),"TRX2010")</f>
        <v>TRX2010</v>
      </c>
      <c r="B218" s="4" t="str">
        <f ca="1">IFERROR(__xludf.DUMMYFUNCTION("""COMPUTED_VALUE"""),"#26")</f>
        <v>#26</v>
      </c>
      <c r="C218" s="5">
        <f ca="1">IFERROR(__xludf.DUMMYFUNCTION("""COMPUTED_VALUE"""),46063.4166666666)</f>
        <v>46063.416666666599</v>
      </c>
      <c r="D218" s="6">
        <f ca="1">IFERROR(__xludf.DUMMYFUNCTION("""COMPUTED_VALUE"""),277)</f>
        <v>277</v>
      </c>
      <c r="E218" s="4" t="str">
        <f ca="1">IFERROR(__xludf.DUMMYFUNCTION("""COMPUTED_VALUE"""),"MXN")</f>
        <v>MXN</v>
      </c>
      <c r="F218" s="4" t="str">
        <f ca="1">IFERROR(__xludf.DUMMYFUNCTION("""COMPUTED_VALUE"""),"Karen Alexandra Ballesteros Contreras")</f>
        <v>Karen Alexandra Ballesteros Contreras</v>
      </c>
      <c r="G218" s="4" t="str">
        <f ca="1">IFERROR(__xludf.DUMMYFUNCTION("""COMPUTED_VALUE"""),"D LOCAL*DIDI RIDES     CIUDAD DE MEX MEX")</f>
        <v>D LOCAL*DIDI RIDES     CIUDAD DE MEX MEX</v>
      </c>
      <c r="H218" s="4" t="str">
        <f ca="1">IFERROR(__xludf.DUMMYFUNCTION("""COMPUTED_VALUE"""),"Didi Chuxing")</f>
        <v>Didi Chuxing</v>
      </c>
      <c r="I218" s="4" t="str">
        <f ca="1">IFERROR(__xludf.DUMMYFUNCTION("""COMPUTED_VALUE"""),"Recruiting")</f>
        <v>Recruiting</v>
      </c>
      <c r="J218" s="4"/>
      <c r="K218" s="4"/>
      <c r="S218" s="6">
        <v>6384</v>
      </c>
      <c r="T218" s="4" t="e">
        <f t="shared" ca="1" si="0"/>
        <v>#N/A</v>
      </c>
    </row>
    <row r="219" spans="1:20" ht="12.5">
      <c r="A219" s="4" t="str">
        <f ca="1">IFERROR(__xludf.DUMMYFUNCTION("""COMPUTED_VALUE"""),"TRX1469")</f>
        <v>TRX1469</v>
      </c>
      <c r="B219" s="4" t="str">
        <f ca="1">IFERROR(__xludf.DUMMYFUNCTION("""COMPUTED_VALUE"""),"#26")</f>
        <v>#26</v>
      </c>
      <c r="C219" s="5">
        <f ca="1">IFERROR(__xludf.DUMMYFUNCTION("""COMPUTED_VALUE"""),46063.4166666666)</f>
        <v>46063.416666666599</v>
      </c>
      <c r="D219" s="6">
        <f ca="1">IFERROR(__xludf.DUMMYFUNCTION("""COMPUTED_VALUE"""),81.94)</f>
        <v>81.94</v>
      </c>
      <c r="E219" s="4" t="str">
        <f ca="1">IFERROR(__xludf.DUMMYFUNCTION("""COMPUTED_VALUE"""),"MXN")</f>
        <v>MXN</v>
      </c>
      <c r="F219" s="4" t="str">
        <f ca="1">IFERROR(__xludf.DUMMYFUNCTION("""COMPUTED_VALUE"""),"Karen Alexandra Ballesteros Contreras")</f>
        <v>Karen Alexandra Ballesteros Contreras</v>
      </c>
      <c r="G219" s="4" t="str">
        <f ca="1">IFERROR(__xludf.DUMMYFUNCTION("""COMPUTED_VALUE"""),"DLO*DIDI RIDES         MEXICO        MEX")</f>
        <v>DLO*DIDI RIDES         MEXICO        MEX</v>
      </c>
      <c r="H219" s="4" t="str">
        <f ca="1">IFERROR(__xludf.DUMMYFUNCTION("""COMPUTED_VALUE"""),"Didi Chuxing")</f>
        <v>Didi Chuxing</v>
      </c>
      <c r="I219" s="4" t="str">
        <f ca="1">IFERROR(__xludf.DUMMYFUNCTION("""COMPUTED_VALUE"""),"Recruiting")</f>
        <v>Recruiting</v>
      </c>
      <c r="J219" s="4" t="str">
        <f ca="1">IFERROR(__xludf.DUMMYFUNCTION("""COMPUTED_VALUE"""),"PO2009 HOSPEDAJE")</f>
        <v>PO2009 HOSPEDAJE</v>
      </c>
      <c r="K219" s="4"/>
      <c r="S219" s="6">
        <v>301</v>
      </c>
      <c r="T219" s="4" t="e">
        <f t="shared" ca="1" si="0"/>
        <v>#N/A</v>
      </c>
    </row>
    <row r="220" spans="1:20" ht="12.5">
      <c r="A220" s="4" t="str">
        <f ca="1">IFERROR(__xludf.DUMMYFUNCTION("""COMPUTED_VALUE"""),"TRX1081")</f>
        <v>TRX1081</v>
      </c>
      <c r="B220" s="4" t="str">
        <f ca="1">IFERROR(__xludf.DUMMYFUNCTION("""COMPUTED_VALUE"""),"#26")</f>
        <v>#26</v>
      </c>
      <c r="C220" s="5">
        <f ca="1">IFERROR(__xludf.DUMMYFUNCTION("""COMPUTED_VALUE"""),46063.4166666666)</f>
        <v>46063.416666666599</v>
      </c>
      <c r="D220" s="6">
        <f ca="1">IFERROR(__xludf.DUMMYFUNCTION("""COMPUTED_VALUE"""),218)</f>
        <v>218</v>
      </c>
      <c r="E220" s="4" t="str">
        <f ca="1">IFERROR(__xludf.DUMMYFUNCTION("""COMPUTED_VALUE"""),"MXN")</f>
        <v>MXN</v>
      </c>
      <c r="F220" s="4" t="str">
        <f ca="1">IFERROR(__xludf.DUMMYFUNCTION("""COMPUTED_VALUE"""),"Karen Alexandra Ballesteros Contreras")</f>
        <v>Karen Alexandra Ballesteros Contreras</v>
      </c>
      <c r="G220" s="4" t="str">
        <f ca="1">IFERROR(__xludf.DUMMYFUNCTION("""COMPUTED_VALUE"""),"D LOCAL*DIDI RIDES     CIUDAD DE MEX MEX")</f>
        <v>D LOCAL*DIDI RIDES     CIUDAD DE MEX MEX</v>
      </c>
      <c r="H220" s="4" t="str">
        <f ca="1">IFERROR(__xludf.DUMMYFUNCTION("""COMPUTED_VALUE"""),"Didi Chuxing")</f>
        <v>Didi Chuxing</v>
      </c>
      <c r="I220" s="4" t="str">
        <f ca="1">IFERROR(__xludf.DUMMYFUNCTION("""COMPUTED_VALUE"""),"Recruiting")</f>
        <v>Recruiting</v>
      </c>
      <c r="J220" s="4" t="str">
        <f ca="1">IFERROR(__xludf.DUMMYFUNCTION("""COMPUTED_VALUE"""),"PO2009 DESAYUNO CON IVAN")</f>
        <v>PO2009 DESAYUNO CON IVAN</v>
      </c>
      <c r="K220" s="4"/>
      <c r="S220" s="6">
        <v>4190.51</v>
      </c>
      <c r="T220" s="4" t="e">
        <f t="shared" ca="1" si="0"/>
        <v>#N/A</v>
      </c>
    </row>
    <row r="221" spans="1:20" ht="12.5">
      <c r="A221" s="4" t="str">
        <f ca="1">IFERROR(__xludf.DUMMYFUNCTION("""COMPUTED_VALUE"""),"TRX2011")</f>
        <v>TRX2011</v>
      </c>
      <c r="B221" s="4" t="str">
        <f ca="1">IFERROR(__xludf.DUMMYFUNCTION("""COMPUTED_VALUE"""),"#26")</f>
        <v>#26</v>
      </c>
      <c r="C221" s="5">
        <f ca="1">IFERROR(__xludf.DUMMYFUNCTION("""COMPUTED_VALUE"""),46063.4166666666)</f>
        <v>46063.416666666599</v>
      </c>
      <c r="D221" s="6">
        <f ca="1">IFERROR(__xludf.DUMMYFUNCTION("""COMPUTED_VALUE"""),277)</f>
        <v>277</v>
      </c>
      <c r="E221" s="4" t="str">
        <f ca="1">IFERROR(__xludf.DUMMYFUNCTION("""COMPUTED_VALUE"""),"MXN")</f>
        <v>MXN</v>
      </c>
      <c r="F221" s="4" t="str">
        <f ca="1">IFERROR(__xludf.DUMMYFUNCTION("""COMPUTED_VALUE"""),"Karen Alexandra Ballesteros Contreras")</f>
        <v>Karen Alexandra Ballesteros Contreras</v>
      </c>
      <c r="G221" s="4" t="str">
        <f ca="1">IFERROR(__xludf.DUMMYFUNCTION("""COMPUTED_VALUE"""),"20260208T01:01:01/D LOCAL*DIDI RIDES\UNKNOWN\UNKNOWN\06500        MEX")</f>
        <v>20260208T01:01:01/D LOCAL*DIDI RIDES\UNKNOWN\UNKNOWN\06500        MEX</v>
      </c>
      <c r="H221" s="4" t="str">
        <f ca="1">IFERROR(__xludf.DUMMYFUNCTION("""COMPUTED_VALUE"""),"Didi Chuxing")</f>
        <v>Didi Chuxing</v>
      </c>
      <c r="I221" s="4" t="str">
        <f ca="1">IFERROR(__xludf.DUMMYFUNCTION("""COMPUTED_VALUE"""),"Recruiting")</f>
        <v>Recruiting</v>
      </c>
      <c r="J221" s="4" t="str">
        <f ca="1">IFERROR(__xludf.DUMMYFUNCTION("""COMPUTED_VALUE"""),"PO2009 TRASLADOS A ASIPONA")</f>
        <v>PO2009 TRASLADOS A ASIPONA</v>
      </c>
      <c r="K221" s="4"/>
      <c r="S221" s="6">
        <v>7811</v>
      </c>
      <c r="T221" s="4" t="e">
        <f t="shared" ca="1" si="0"/>
        <v>#N/A</v>
      </c>
    </row>
    <row r="222" spans="1:20" ht="12.5">
      <c r="A222" s="4" t="str">
        <f ca="1">IFERROR(__xludf.DUMMYFUNCTION("""COMPUTED_VALUE"""),"TRX1330")</f>
        <v>TRX1330</v>
      </c>
      <c r="B222" s="4" t="str">
        <f ca="1">IFERROR(__xludf.DUMMYFUNCTION("""COMPUTED_VALUE"""),"#26")</f>
        <v>#26</v>
      </c>
      <c r="C222" s="5">
        <f ca="1">IFERROR(__xludf.DUMMYFUNCTION("""COMPUTED_VALUE"""),46063.4166666666)</f>
        <v>46063.416666666599</v>
      </c>
      <c r="D222" s="6">
        <f ca="1">IFERROR(__xludf.DUMMYFUNCTION("""COMPUTED_VALUE"""),218)</f>
        <v>218</v>
      </c>
      <c r="E222" s="4" t="str">
        <f ca="1">IFERROR(__xludf.DUMMYFUNCTION("""COMPUTED_VALUE"""),"MXN")</f>
        <v>MXN</v>
      </c>
      <c r="F222" s="4" t="str">
        <f ca="1">IFERROR(__xludf.DUMMYFUNCTION("""COMPUTED_VALUE"""),"Karen Alexandra Ballesteros Contreras")</f>
        <v>Karen Alexandra Ballesteros Contreras</v>
      </c>
      <c r="G222" s="4" t="str">
        <f ca="1">IFERROR(__xludf.DUMMYFUNCTION("""COMPUTED_VALUE"""),"20260208T01:01:01/D LOCAL*DIDI RIDES\UNKNOWN\UNKNOWN\06500        MEX")</f>
        <v>20260208T01:01:01/D LOCAL*DIDI RIDES\UNKNOWN\UNKNOWN\06500        MEX</v>
      </c>
      <c r="H222" s="4" t="str">
        <f ca="1">IFERROR(__xludf.DUMMYFUNCTION("""COMPUTED_VALUE"""),"Didi Chuxing")</f>
        <v>Didi Chuxing</v>
      </c>
      <c r="I222" s="4" t="str">
        <f ca="1">IFERROR(__xludf.DUMMYFUNCTION("""COMPUTED_VALUE"""),"Recruiting")</f>
        <v>Recruiting</v>
      </c>
      <c r="J222" s="4" t="str">
        <f ca="1">IFERROR(__xludf.DUMMYFUNCTION("""COMPUTED_VALUE"""),"PO2009 TRASLADOS A ASIPONA")</f>
        <v>PO2009 TRASLADOS A ASIPONA</v>
      </c>
      <c r="K222" s="4"/>
      <c r="S222" s="6">
        <v>1796.9</v>
      </c>
      <c r="T222" s="4" t="e">
        <f t="shared" ca="1" si="0"/>
        <v>#N/A</v>
      </c>
    </row>
    <row r="223" spans="1:20" ht="12.5">
      <c r="A223" s="4" t="str">
        <f ca="1">IFERROR(__xludf.DUMMYFUNCTION("""COMPUTED_VALUE"""),"TRX1781")</f>
        <v>TRX1781</v>
      </c>
      <c r="B223" s="4" t="str">
        <f ca="1">IFERROR(__xludf.DUMMYFUNCTION("""COMPUTED_VALUE"""),"#26")</f>
        <v>#26</v>
      </c>
      <c r="C223" s="5">
        <f ca="1">IFERROR(__xludf.DUMMYFUNCTION("""COMPUTED_VALUE"""),46064.4166666666)</f>
        <v>46064.416666666599</v>
      </c>
      <c r="D223" s="6">
        <f ca="1">IFERROR(__xludf.DUMMYFUNCTION("""COMPUTED_VALUE"""),370)</f>
        <v>370</v>
      </c>
      <c r="E223" s="4" t="str">
        <f ca="1">IFERROR(__xludf.DUMMYFUNCTION("""COMPUTED_VALUE"""),"MXN")</f>
        <v>MXN</v>
      </c>
      <c r="F223" s="4" t="str">
        <f ca="1">IFERROR(__xludf.DUMMYFUNCTION("""COMPUTED_VALUE"""),"Karen Alexandra Ballesteros Contreras")</f>
        <v>Karen Alexandra Ballesteros Contreras</v>
      </c>
      <c r="G223" s="4" t="str">
        <f ca="1">IFERROR(__xludf.DUMMYFUNCTION("""COMPUTED_VALUE"""),"D LOCAL*DIDI RIDES     CIUDAD DE MEX MEX")</f>
        <v>D LOCAL*DIDI RIDES     CIUDAD DE MEX MEX</v>
      </c>
      <c r="H223" s="4" t="str">
        <f ca="1">IFERROR(__xludf.DUMMYFUNCTION("""COMPUTED_VALUE"""),"Didi Chuxing")</f>
        <v>Didi Chuxing</v>
      </c>
      <c r="I223" s="4" t="str">
        <f ca="1">IFERROR(__xludf.DUMMYFUNCTION("""COMPUTED_VALUE"""),"Recruiting")</f>
        <v>Recruiting</v>
      </c>
      <c r="J223" s="4" t="str">
        <f ca="1">IFERROR(__xludf.DUMMYFUNCTION("""COMPUTED_VALUE"""),"PO2009 TRASLADOS A ASIPONA")</f>
        <v>PO2009 TRASLADOS A ASIPONA</v>
      </c>
      <c r="K223" s="4" t="str">
        <f ca="1">IFERROR(__xludf.DUMMYFUNCTION("""COMPUTED_VALUE"""),"24378126-5064-4591-863E-48B723B679EE")</f>
        <v>24378126-5064-4591-863E-48B723B679EE</v>
      </c>
      <c r="S223" s="6">
        <v>800</v>
      </c>
      <c r="T223" s="4" t="str">
        <f t="shared" ca="1" si="0"/>
        <v>Jose Rosas Ortiz</v>
      </c>
    </row>
    <row r="224" spans="1:20" ht="12.5">
      <c r="A224" s="4" t="str">
        <f ca="1">IFERROR(__xludf.DUMMYFUNCTION("""COMPUTED_VALUE"""),"TRX1790")</f>
        <v>TRX1790</v>
      </c>
      <c r="B224" s="4" t="str">
        <f ca="1">IFERROR(__xludf.DUMMYFUNCTION("""COMPUTED_VALUE"""),"#26")</f>
        <v>#26</v>
      </c>
      <c r="C224" s="5">
        <f ca="1">IFERROR(__xludf.DUMMYFUNCTION("""COMPUTED_VALUE"""),46064.4166666666)</f>
        <v>46064.416666666599</v>
      </c>
      <c r="D224" s="6">
        <f ca="1">IFERROR(__xludf.DUMMYFUNCTION("""COMPUTED_VALUE"""),254)</f>
        <v>254</v>
      </c>
      <c r="E224" s="4" t="str">
        <f ca="1">IFERROR(__xludf.DUMMYFUNCTION("""COMPUTED_VALUE"""),"MXN")</f>
        <v>MXN</v>
      </c>
      <c r="F224" s="4" t="str">
        <f ca="1">IFERROR(__xludf.DUMMYFUNCTION("""COMPUTED_VALUE"""),"Karen Alexandra Ballesteros Contreras")</f>
        <v>Karen Alexandra Ballesteros Contreras</v>
      </c>
      <c r="G224" s="4" t="str">
        <f ca="1">IFERROR(__xludf.DUMMYFUNCTION("""COMPUTED_VALUE"""),"D LOCAL*DIDI RIDES     CIUDAD DE MEX MEX")</f>
        <v>D LOCAL*DIDI RIDES     CIUDAD DE MEX MEX</v>
      </c>
      <c r="H224" s="4" t="str">
        <f ca="1">IFERROR(__xludf.DUMMYFUNCTION("""COMPUTED_VALUE"""),"Didi Chuxing")</f>
        <v>Didi Chuxing</v>
      </c>
      <c r="I224" s="4" t="str">
        <f ca="1">IFERROR(__xludf.DUMMYFUNCTION("""COMPUTED_VALUE"""),"Recruiting")</f>
        <v>Recruiting</v>
      </c>
      <c r="J224" s="4" t="str">
        <f ca="1">IFERROR(__xludf.DUMMYFUNCTION("""COMPUTED_VALUE"""),"PO2009 TRASLADOS A ASIPONA")</f>
        <v>PO2009 TRASLADOS A ASIPONA</v>
      </c>
      <c r="K224" s="4" t="str">
        <f ca="1">IFERROR(__xludf.DUMMYFUNCTION("""COMPUTED_VALUE"""),"53C20633-0781-")</f>
        <v>53C20633-0781-</v>
      </c>
      <c r="S224" s="6">
        <v>168</v>
      </c>
      <c r="T224" s="4" t="e">
        <f t="shared" ca="1" si="0"/>
        <v>#N/A</v>
      </c>
    </row>
    <row r="225" spans="1:20" ht="12.5">
      <c r="A225" s="4" t="str">
        <f ca="1">IFERROR(__xludf.DUMMYFUNCTION("""COMPUTED_VALUE"""),"TRX1386")</f>
        <v>TRX1386</v>
      </c>
      <c r="B225" s="4" t="str">
        <f ca="1">IFERROR(__xludf.DUMMYFUNCTION("""COMPUTED_VALUE"""),"#26")</f>
        <v>#26</v>
      </c>
      <c r="C225" s="5">
        <f ca="1">IFERROR(__xludf.DUMMYFUNCTION("""COMPUTED_VALUE"""),46064.4166666666)</f>
        <v>46064.416666666599</v>
      </c>
      <c r="D225" s="6">
        <f ca="1">IFERROR(__xludf.DUMMYFUNCTION("""COMPUTED_VALUE"""),300.82)</f>
        <v>300.82</v>
      </c>
      <c r="E225" s="4" t="str">
        <f ca="1">IFERROR(__xludf.DUMMYFUNCTION("""COMPUTED_VALUE"""),"MXN")</f>
        <v>MXN</v>
      </c>
      <c r="F225" s="4" t="str">
        <f ca="1">IFERROR(__xludf.DUMMYFUNCTION("""COMPUTED_VALUE"""),"Karen Alexandra Ballesteros Contreras")</f>
        <v>Karen Alexandra Ballesteros Contreras</v>
      </c>
      <c r="G225" s="4" t="str">
        <f ca="1">IFERROR(__xludf.DUMMYFUNCTION("""COMPUTED_VALUE"""),"D LOCAL*DIDI RIDES     CIUDAD DE MEX MEX")</f>
        <v>D LOCAL*DIDI RIDES     CIUDAD DE MEX MEX</v>
      </c>
      <c r="H225" s="4" t="str">
        <f ca="1">IFERROR(__xludf.DUMMYFUNCTION("""COMPUTED_VALUE"""),"Didi Chuxing")</f>
        <v>Didi Chuxing</v>
      </c>
      <c r="I225" s="4" t="str">
        <f ca="1">IFERROR(__xludf.DUMMYFUNCTION("""COMPUTED_VALUE"""),"Recruiting")</f>
        <v>Recruiting</v>
      </c>
      <c r="J225" s="4" t="str">
        <f ca="1">IFERROR(__xludf.DUMMYFUNCTION("""COMPUTED_VALUE"""),"PO2009 VERACRUZ A AIFA")</f>
        <v>PO2009 VERACRUZ A AIFA</v>
      </c>
      <c r="K225" s="4" t="str">
        <f ca="1">IFERROR(__xludf.DUMMYFUNCTION("""COMPUTED_VALUE"""),"92C6F08C-0605-596A-927A-739835AD638A")</f>
        <v>92C6F08C-0605-596A-927A-739835AD638A</v>
      </c>
      <c r="S225" s="6">
        <v>15443.13</v>
      </c>
      <c r="T225" s="4" t="e">
        <f t="shared" ca="1" si="0"/>
        <v>#N/A</v>
      </c>
    </row>
    <row r="226" spans="1:20" ht="12.5">
      <c r="A226" s="4" t="str">
        <f ca="1">IFERROR(__xludf.DUMMYFUNCTION("""COMPUTED_VALUE"""),"TRX1286")</f>
        <v>TRX1286</v>
      </c>
      <c r="B226" s="4" t="str">
        <f ca="1">IFERROR(__xludf.DUMMYFUNCTION("""COMPUTED_VALUE"""),"#26")</f>
        <v>#26</v>
      </c>
      <c r="C226" s="5">
        <f ca="1">IFERROR(__xludf.DUMMYFUNCTION("""COMPUTED_VALUE"""),46064.4173611111)</f>
        <v>46064.417361111096</v>
      </c>
      <c r="D226" s="6">
        <f ca="1">IFERROR(__xludf.DUMMYFUNCTION("""COMPUTED_VALUE"""),254)</f>
        <v>254</v>
      </c>
      <c r="E226" s="4" t="str">
        <f ca="1">IFERROR(__xludf.DUMMYFUNCTION("""COMPUTED_VALUE"""),"MXN")</f>
        <v>MXN</v>
      </c>
      <c r="F226" s="4" t="str">
        <f ca="1">IFERROR(__xludf.DUMMYFUNCTION("""COMPUTED_VALUE"""),"Karen Alexandra Ballesteros Contreras")</f>
        <v>Karen Alexandra Ballesteros Contreras</v>
      </c>
      <c r="G226" s="4" t="str">
        <f ca="1">IFERROR(__xludf.DUMMYFUNCTION("""COMPUTED_VALUE"""),"20260209T01:01:01/D LOCAL*DIDI RIDES\UNKNOWN\UNKNOWN\06500        MEX")</f>
        <v>20260209T01:01:01/D LOCAL*DIDI RIDES\UNKNOWN\UNKNOWN\06500        MEX</v>
      </c>
      <c r="H226" s="4" t="str">
        <f ca="1">IFERROR(__xludf.DUMMYFUNCTION("""COMPUTED_VALUE"""),"Didi Chuxing")</f>
        <v>Didi Chuxing</v>
      </c>
      <c r="I226" s="4" t="str">
        <f ca="1">IFERROR(__xludf.DUMMYFUNCTION("""COMPUTED_VALUE"""),"Recruiting")</f>
        <v>Recruiting</v>
      </c>
      <c r="J226" s="4" t="str">
        <f ca="1">IFERROR(__xludf.DUMMYFUNCTION("""COMPUTED_VALUE"""),"PO2009 TRASLADOS A ASIPONA")</f>
        <v>PO2009 TRASLADOS A ASIPONA</v>
      </c>
      <c r="K226" s="4"/>
      <c r="S226" s="6">
        <v>196.74</v>
      </c>
      <c r="T226" s="4" t="e">
        <f t="shared" ca="1" si="0"/>
        <v>#N/A</v>
      </c>
    </row>
    <row r="227" spans="1:20" ht="12.5">
      <c r="A227" s="4" t="str">
        <f ca="1">IFERROR(__xludf.DUMMYFUNCTION("""COMPUTED_VALUE"""),"TRX1562")</f>
        <v>TRX1562</v>
      </c>
      <c r="B227" s="4" t="str">
        <f ca="1">IFERROR(__xludf.DUMMYFUNCTION("""COMPUTED_VALUE"""),"#26")</f>
        <v>#26</v>
      </c>
      <c r="C227" s="5">
        <f ca="1">IFERROR(__xludf.DUMMYFUNCTION("""COMPUTED_VALUE"""),46064.4173611111)</f>
        <v>46064.417361111096</v>
      </c>
      <c r="D227" s="6">
        <f ca="1">IFERROR(__xludf.DUMMYFUNCTION("""COMPUTED_VALUE"""),187)</f>
        <v>187</v>
      </c>
      <c r="E227" s="4" t="str">
        <f ca="1">IFERROR(__xludf.DUMMYFUNCTION("""COMPUTED_VALUE"""),"MXN")</f>
        <v>MXN</v>
      </c>
      <c r="F227" s="4" t="str">
        <f ca="1">IFERROR(__xludf.DUMMYFUNCTION("""COMPUTED_VALUE"""),"Karen Alexandra Ballesteros Contreras")</f>
        <v>Karen Alexandra Ballesteros Contreras</v>
      </c>
      <c r="G227" s="4" t="str">
        <f ca="1">IFERROR(__xludf.DUMMYFUNCTION("""COMPUTED_VALUE"""),"OLI CAFE NT            CIUDAD DE MEX MEX")</f>
        <v>OLI CAFE NT            CIUDAD DE MEX MEX</v>
      </c>
      <c r="H227" s="4" t="str">
        <f ca="1">IFERROR(__xludf.DUMMYFUNCTION("""COMPUTED_VALUE"""),"Oli Cafe Nt Ciudad De Mex Mex")</f>
        <v>Oli Cafe Nt Ciudad De Mex Mex</v>
      </c>
      <c r="I227" s="4" t="str">
        <f ca="1">IFERROR(__xludf.DUMMYFUNCTION("""COMPUTED_VALUE"""),"Recruiting")</f>
        <v>Recruiting</v>
      </c>
      <c r="J227" s="4" t="str">
        <f ca="1">IFERROR(__xludf.DUMMYFUNCTION("""COMPUTED_VALUE"""),"PO2009 TRASLADOS A ASIPONA")</f>
        <v>PO2009 TRASLADOS A ASIPONA</v>
      </c>
      <c r="K227" s="4"/>
      <c r="S227" s="6">
        <v>3291.25</v>
      </c>
      <c r="T227" s="4" t="e">
        <f t="shared" ca="1" si="0"/>
        <v>#N/A</v>
      </c>
    </row>
    <row r="228" spans="1:20" ht="12.5">
      <c r="A228" s="4" t="str">
        <f ca="1">IFERROR(__xludf.DUMMYFUNCTION("""COMPUTED_VALUE"""),"TRX1197")</f>
        <v>TRX1197</v>
      </c>
      <c r="B228" s="4" t="str">
        <f ca="1">IFERROR(__xludf.DUMMYFUNCTION("""COMPUTED_VALUE"""),"#26")</f>
        <v>#26</v>
      </c>
      <c r="C228" s="5">
        <f ca="1">IFERROR(__xludf.DUMMYFUNCTION("""COMPUTED_VALUE"""),46064.4173611111)</f>
        <v>46064.417361111096</v>
      </c>
      <c r="D228" s="6">
        <f ca="1">IFERROR(__xludf.DUMMYFUNCTION("""COMPUTED_VALUE"""),210)</f>
        <v>210</v>
      </c>
      <c r="E228" s="4" t="str">
        <f ca="1">IFERROR(__xludf.DUMMYFUNCTION("""COMPUTED_VALUE"""),"MXN")</f>
        <v>MXN</v>
      </c>
      <c r="F228" s="4" t="str">
        <f ca="1">IFERROR(__xludf.DUMMYFUNCTION("""COMPUTED_VALUE"""),"Karen Alexandra Ballesteros Contreras")</f>
        <v>Karen Alexandra Ballesteros Contreras</v>
      </c>
      <c r="G228" s="4" t="str">
        <f ca="1">IFERROR(__xludf.DUMMYFUNCTION("""COMPUTED_VALUE"""),"CAMINANTE AEROPUERTO   CUAUTITLAN IZ MEX")</f>
        <v>CAMINANTE AEROPUERTO   CUAUTITLAN IZ MEX</v>
      </c>
      <c r="H228" s="4" t="str">
        <f ca="1">IFERROR(__xludf.DUMMYFUNCTION("""COMPUTED_VALUE"""),"Caminante Aeropuerto Cuautitlan Iz Mex")</f>
        <v>Caminante Aeropuerto Cuautitlan Iz Mex</v>
      </c>
      <c r="I228" s="4" t="str">
        <f ca="1">IFERROR(__xludf.DUMMYFUNCTION("""COMPUTED_VALUE"""),"Recruiting")</f>
        <v>Recruiting</v>
      </c>
      <c r="J228" s="4" t="str">
        <f ca="1">IFERROR(__xludf.DUMMYFUNCTION("""COMPUTED_VALUE"""),"PO2009 TRASLADOS A ASIPONA")</f>
        <v>PO2009 TRASLADOS A ASIPONA</v>
      </c>
      <c r="K228" s="4" t="str">
        <f ca="1">IFERROR(__xludf.DUMMYFUNCTION("""COMPUTED_VALUE"""),"18BBB523-DFB4-5737-B21F-2EEAA6E1E753")</f>
        <v>18BBB523-DFB4-5737-B21F-2EEAA6E1E753</v>
      </c>
      <c r="S228" s="6">
        <v>445.02</v>
      </c>
      <c r="T228" s="4" t="e">
        <f t="shared" ca="1" si="0"/>
        <v>#N/A</v>
      </c>
    </row>
    <row r="229" spans="1:20" ht="12.5">
      <c r="A229" s="4" t="str">
        <f ca="1">IFERROR(__xludf.DUMMYFUNCTION("""COMPUTED_VALUE"""),"TRX1819")</f>
        <v>TRX1819</v>
      </c>
      <c r="B229" s="4" t="str">
        <f ca="1">IFERROR(__xludf.DUMMYFUNCTION("""COMPUTED_VALUE"""),"#26")</f>
        <v>#26</v>
      </c>
      <c r="C229" s="5">
        <f ca="1">IFERROR(__xludf.DUMMYFUNCTION("""COMPUTED_VALUE"""),46065.4166666666)</f>
        <v>46065.416666666599</v>
      </c>
      <c r="D229" s="6">
        <f ca="1">IFERROR(__xludf.DUMMYFUNCTION("""COMPUTED_VALUE"""),141)</f>
        <v>141</v>
      </c>
      <c r="E229" s="4" t="str">
        <f ca="1">IFERROR(__xludf.DUMMYFUNCTION("""COMPUTED_VALUE"""),"MXN")</f>
        <v>MXN</v>
      </c>
      <c r="F229" s="4" t="str">
        <f ca="1">IFERROR(__xludf.DUMMYFUNCTION("""COMPUTED_VALUE"""),"Karen Alexandra Ballesteros Contreras")</f>
        <v>Karen Alexandra Ballesteros Contreras</v>
      </c>
      <c r="G229" s="4" t="str">
        <f ca="1">IFERROR(__xludf.DUMMYFUNCTION("""COMPUTED_VALUE"""),"D LOCAL*DIDI RIDES     CIUDAD DE MEX MEX")</f>
        <v>D LOCAL*DIDI RIDES     CIUDAD DE MEX MEX</v>
      </c>
      <c r="H229" s="4" t="str">
        <f ca="1">IFERROR(__xludf.DUMMYFUNCTION("""COMPUTED_VALUE"""),"Didi Chuxing")</f>
        <v>Didi Chuxing</v>
      </c>
      <c r="I229" s="4" t="str">
        <f ca="1">IFERROR(__xludf.DUMMYFUNCTION("""COMPUTED_VALUE"""),"Recruiting")</f>
        <v>Recruiting</v>
      </c>
      <c r="J229" s="4" t="str">
        <f ca="1">IFERROR(__xludf.DUMMYFUNCTION("""COMPUTED_VALUE"""),"PO2009 TRASLADOS A ASIPONA")</f>
        <v>PO2009 TRASLADOS A ASIPONA</v>
      </c>
      <c r="K229" s="4" t="str">
        <f ca="1">IFERROR(__xludf.DUMMYFUNCTION("""COMPUTED_VALUE"""),"570F6C1F-AFFD-461E-83C2-213401D128C7")</f>
        <v>570F6C1F-AFFD-461E-83C2-213401D128C7</v>
      </c>
      <c r="S229" s="6">
        <v>587.87</v>
      </c>
      <c r="T229" s="4" t="e">
        <f t="shared" ca="1" si="0"/>
        <v>#N/A</v>
      </c>
    </row>
    <row r="230" spans="1:20" ht="12.5">
      <c r="A230" s="4" t="str">
        <f ca="1">IFERROR(__xludf.DUMMYFUNCTION("""COMPUTED_VALUE"""),"TRX1654")</f>
        <v>TRX1654</v>
      </c>
      <c r="B230" s="4" t="str">
        <f ca="1">IFERROR(__xludf.DUMMYFUNCTION("""COMPUTED_VALUE"""),"#26")</f>
        <v>#26</v>
      </c>
      <c r="C230" s="5">
        <f ca="1">IFERROR(__xludf.DUMMYFUNCTION("""COMPUTED_VALUE"""),46065.4166666666)</f>
        <v>46065.416666666599</v>
      </c>
      <c r="D230" s="6">
        <f ca="1">IFERROR(__xludf.DUMMYFUNCTION("""COMPUTED_VALUE"""),335)</f>
        <v>335</v>
      </c>
      <c r="E230" s="4" t="str">
        <f ca="1">IFERROR(__xludf.DUMMYFUNCTION("""COMPUTED_VALUE"""),"MXN")</f>
        <v>MXN</v>
      </c>
      <c r="F230" s="4" t="str">
        <f ca="1">IFERROR(__xludf.DUMMYFUNCTION("""COMPUTED_VALUE"""),"Karen Alexandra Ballesteros Contreras")</f>
        <v>Karen Alexandra Ballesteros Contreras</v>
      </c>
      <c r="G230" s="4" t="str">
        <f ca="1">IFERROR(__xludf.DUMMYFUNCTION("""COMPUTED_VALUE"""),"MISC PITS TOL ZIT      ALMOLOYA DE J MEX")</f>
        <v>MISC PITS TOL ZIT      ALMOLOYA DE J MEX</v>
      </c>
      <c r="H230" s="4" t="str">
        <f ca="1">IFERROR(__xludf.DUMMYFUNCTION("""COMPUTED_VALUE"""),"Misc Pits Tol Zit Almoloya De J Mex")</f>
        <v>Misc Pits Tol Zit Almoloya De J Mex</v>
      </c>
      <c r="I230" s="4" t="str">
        <f ca="1">IFERROR(__xludf.DUMMYFUNCTION("""COMPUTED_VALUE"""),"Recruiting")</f>
        <v>Recruiting</v>
      </c>
      <c r="J230" s="4" t="str">
        <f ca="1">IFERROR(__xludf.DUMMYFUNCTION("""COMPUTED_VALUE"""),"PO2009 TRASLADOS A ASIPONA")</f>
        <v>PO2009 TRASLADOS A ASIPONA</v>
      </c>
      <c r="K230" s="4"/>
      <c r="S230" s="6">
        <v>1014</v>
      </c>
      <c r="T230" s="4" t="str">
        <f t="shared" ca="1" si="0"/>
        <v>Erik Castillo</v>
      </c>
    </row>
    <row r="231" spans="1:20" ht="12.5">
      <c r="A231" s="4" t="str">
        <f ca="1">IFERROR(__xludf.DUMMYFUNCTION("""COMPUTED_VALUE"""),"TRX1960")</f>
        <v>TRX1960</v>
      </c>
      <c r="B231" s="4" t="str">
        <f ca="1">IFERROR(__xludf.DUMMYFUNCTION("""COMPUTED_VALUE"""),"#26")</f>
        <v>#26</v>
      </c>
      <c r="C231" s="5">
        <f ca="1">IFERROR(__xludf.DUMMYFUNCTION("""COMPUTED_VALUE"""),46065.4173611111)</f>
        <v>46065.417361111096</v>
      </c>
      <c r="D231" s="6">
        <f ca="1">IFERROR(__xludf.DUMMYFUNCTION("""COMPUTED_VALUE"""),1149)</f>
        <v>1149</v>
      </c>
      <c r="E231" s="4" t="str">
        <f ca="1">IFERROR(__xludf.DUMMYFUNCTION("""COMPUTED_VALUE"""),"MXN")</f>
        <v>MXN</v>
      </c>
      <c r="F231" s="4" t="str">
        <f ca="1">IFERROR(__xludf.DUMMYFUNCTION("""COMPUTED_VALUE"""),"Karen Alexandra Ballesteros Contreras")</f>
        <v>Karen Alexandra Ballesteros Contreras</v>
      </c>
      <c r="G231" s="4" t="str">
        <f ca="1">IFERROR(__xludf.DUMMYFUNCTION("""COMPUTED_VALUE"""),"SUPERCENTER SANTIN     TOLUCA EM     MEX")</f>
        <v>SUPERCENTER SANTIN     TOLUCA EM     MEX</v>
      </c>
      <c r="H231" s="4" t="str">
        <f ca="1">IFERROR(__xludf.DUMMYFUNCTION("""COMPUTED_VALUE"""),"Supercenter Santin Toluca Em Mex")</f>
        <v>Supercenter Santin Toluca Em Mex</v>
      </c>
      <c r="I231" s="4" t="str">
        <f ca="1">IFERROR(__xludf.DUMMYFUNCTION("""COMPUTED_VALUE"""),"Recruiting")</f>
        <v>Recruiting</v>
      </c>
      <c r="J231" s="4" t="str">
        <f ca="1">IFERROR(__xludf.DUMMYFUNCTION("""COMPUTED_VALUE"""),"PO2009 CENAS")</f>
        <v>PO2009 CENAS</v>
      </c>
      <c r="K231" s="4"/>
      <c r="S231" s="6">
        <v>118</v>
      </c>
      <c r="T231" s="4" t="str">
        <f t="shared" ca="1" si="0"/>
        <v>Karen Alexandra Ballesteros Contreras</v>
      </c>
    </row>
    <row r="232" spans="1:20" ht="12.5">
      <c r="A232" s="4" t="str">
        <f ca="1">IFERROR(__xludf.DUMMYFUNCTION("""COMPUTED_VALUE"""),"TRX1699")</f>
        <v>TRX1699</v>
      </c>
      <c r="B232" s="4" t="str">
        <f ca="1">IFERROR(__xludf.DUMMYFUNCTION("""COMPUTED_VALUE"""),"#26")</f>
        <v>#26</v>
      </c>
      <c r="C232" s="5">
        <f ca="1">IFERROR(__xludf.DUMMYFUNCTION("""COMPUTED_VALUE"""),46066.4166666666)</f>
        <v>46066.416666666599</v>
      </c>
      <c r="D232" s="6">
        <f ca="1">IFERROR(__xludf.DUMMYFUNCTION("""COMPUTED_VALUE"""),171.28)</f>
        <v>171.28</v>
      </c>
      <c r="E232" s="4" t="str">
        <f ca="1">IFERROR(__xludf.DUMMYFUNCTION("""COMPUTED_VALUE"""),"MXN")</f>
        <v>MXN</v>
      </c>
      <c r="F232" s="4" t="str">
        <f ca="1">IFERROR(__xludf.DUMMYFUNCTION("""COMPUTED_VALUE"""),"Karen Alexandra Ballesteros Contreras")</f>
        <v>Karen Alexandra Ballesteros Contreras</v>
      </c>
      <c r="G232" s="4" t="str">
        <f ca="1">IFERROR(__xludf.DUMMYFUNCTION("""COMPUTED_VALUE"""),"UBER * EATS PENDING    CMX           MEX")</f>
        <v>UBER * EATS PENDING    CMX           MEX</v>
      </c>
      <c r="H232" s="4" t="str">
        <f ca="1">IFERROR(__xludf.DUMMYFUNCTION("""COMPUTED_VALUE"""),"Uber Eats")</f>
        <v>Uber Eats</v>
      </c>
      <c r="I232" s="4" t="str">
        <f ca="1">IFERROR(__xludf.DUMMYFUNCTION("""COMPUTED_VALUE"""),"Recruiting")</f>
        <v>Recruiting</v>
      </c>
      <c r="J232" s="4" t="str">
        <f ca="1">IFERROR(__xludf.DUMMYFUNCTION("""COMPUTED_VALUE"""),"PO2009 TRASLADO ASIPONA HACIA AEROPUERTO")</f>
        <v>PO2009 TRASLADO ASIPONA HACIA AEROPUERTO</v>
      </c>
      <c r="K232" s="4"/>
      <c r="S232" s="6">
        <v>3674.25</v>
      </c>
      <c r="T232" s="4" t="e">
        <f t="shared" ca="1" si="0"/>
        <v>#N/A</v>
      </c>
    </row>
    <row r="233" spans="1:20" ht="12.5">
      <c r="A233" s="4" t="str">
        <f ca="1">IFERROR(__xludf.DUMMYFUNCTION("""COMPUTED_VALUE"""),"TRX1158")</f>
        <v>TRX1158</v>
      </c>
      <c r="B233" s="4" t="str">
        <f ca="1">IFERROR(__xludf.DUMMYFUNCTION("""COMPUTED_VALUE"""),"#26")</f>
        <v>#26</v>
      </c>
      <c r="C233" s="5">
        <f ca="1">IFERROR(__xludf.DUMMYFUNCTION("""COMPUTED_VALUE"""),46066.4166666666)</f>
        <v>46066.416666666599</v>
      </c>
      <c r="D233" s="6">
        <f ca="1">IFERROR(__xludf.DUMMYFUNCTION("""COMPUTED_VALUE"""),112)</f>
        <v>112</v>
      </c>
      <c r="E233" s="4" t="str">
        <f ca="1">IFERROR(__xludf.DUMMYFUNCTION("""COMPUTED_VALUE"""),"MXN")</f>
        <v>MXN</v>
      </c>
      <c r="F233" s="4" t="str">
        <f ca="1">IFERROR(__xludf.DUMMYFUNCTION("""COMPUTED_VALUE"""),"Karen Alexandra Ballesteros Contreras")</f>
        <v>Karen Alexandra Ballesteros Contreras</v>
      </c>
      <c r="G233" s="4" t="str">
        <f ca="1">IFERROR(__xludf.DUMMYFUNCTION("""COMPUTED_VALUE"""),"MISC PITS TOL ZIT      ALMOLOYA DE J MEX")</f>
        <v>MISC PITS TOL ZIT      ALMOLOYA DE J MEX</v>
      </c>
      <c r="H233" s="4" t="str">
        <f ca="1">IFERROR(__xludf.DUMMYFUNCTION("""COMPUTED_VALUE"""),"Misc Pits Tol Zit Almoloya De J Mex")</f>
        <v>Misc Pits Tol Zit Almoloya De J Mex</v>
      </c>
      <c r="I233" s="4" t="str">
        <f ca="1">IFERROR(__xludf.DUMMYFUNCTION("""COMPUTED_VALUE"""),"Recruiting")</f>
        <v>Recruiting</v>
      </c>
      <c r="J233" s="4" t="str">
        <f ca="1">IFERROR(__xludf.DUMMYFUNCTION("""COMPUTED_VALUE"""),"PO2009 TRASLADO HACIA DOMICILIO DESDE AIFA")</f>
        <v>PO2009 TRASLADO HACIA DOMICILIO DESDE AIFA</v>
      </c>
      <c r="K233" s="4" t="str">
        <f ca="1">IFERROR(__xludf.DUMMYFUNCTION("""COMPUTED_VALUE"""),"E41C975E-2E60-4795-81C6-6737CF0D62D1")</f>
        <v>E41C975E-2E60-4795-81C6-6737CF0D62D1</v>
      </c>
      <c r="S233" s="6">
        <v>895.85</v>
      </c>
      <c r="T233" s="4" t="e">
        <f t="shared" ca="1" si="0"/>
        <v>#N/A</v>
      </c>
    </row>
    <row r="234" spans="1:20" ht="12.5">
      <c r="A234" s="4" t="str">
        <f ca="1">IFERROR(__xludf.DUMMYFUNCTION("""COMPUTED_VALUE"""),"TRX1540")</f>
        <v>TRX1540</v>
      </c>
      <c r="B234" s="4" t="str">
        <f ca="1">IFERROR(__xludf.DUMMYFUNCTION("""COMPUTED_VALUE"""),"#26")</f>
        <v>#26</v>
      </c>
      <c r="C234" s="5">
        <f ca="1">IFERROR(__xludf.DUMMYFUNCTION("""COMPUTED_VALUE"""),46066.4166666666)</f>
        <v>46066.416666666599</v>
      </c>
      <c r="D234" s="6">
        <f ca="1">IFERROR(__xludf.DUMMYFUNCTION("""COMPUTED_VALUE"""),310)</f>
        <v>310</v>
      </c>
      <c r="E234" s="4" t="str">
        <f ca="1">IFERROR(__xludf.DUMMYFUNCTION("""COMPUTED_VALUE"""),"MXN")</f>
        <v>MXN</v>
      </c>
      <c r="F234" s="4" t="str">
        <f ca="1">IFERROR(__xludf.DUMMYFUNCTION("""COMPUTED_VALUE"""),"Karen Alexandra Ballesteros Contreras")</f>
        <v>Karen Alexandra Ballesteros Contreras</v>
      </c>
      <c r="G234" s="4" t="str">
        <f ca="1">IFERROR(__xludf.DUMMYFUNCTION("""COMPUTED_VALUE"""),"PITS CORTADITO TOLUCA  ALMOLOYA DE J MEX")</f>
        <v>PITS CORTADITO TOLUCA  ALMOLOYA DE J MEX</v>
      </c>
      <c r="H234" s="4" t="str">
        <f ca="1">IFERROR(__xludf.DUMMYFUNCTION("""COMPUTED_VALUE"""),"Pits Cortadito Toluca Almoloya De J Mex")</f>
        <v>Pits Cortadito Toluca Almoloya De J Mex</v>
      </c>
      <c r="I234" s="4" t="str">
        <f ca="1">IFERROR(__xludf.DUMMYFUNCTION("""COMPUTED_VALUE"""),"Recruiting")</f>
        <v>Recruiting</v>
      </c>
      <c r="J234" s="4" t="str">
        <f ca="1">IFERROR(__xludf.DUMMYFUNCTION("""COMPUTED_VALUE"""),"PO2009 TRASLADO HACIA DOMICILIO DESDE AIFA")</f>
        <v>PO2009 TRASLADO HACIA DOMICILIO DESDE AIFA</v>
      </c>
      <c r="K234" s="4" t="str">
        <f ca="1">IFERROR(__xludf.DUMMYFUNCTION("""COMPUTED_VALUE"""),"6370444F-7AE3-4880-88A-F35E67F06C7E")</f>
        <v>6370444F-7AE3-4880-88A-F35E67F06C7E</v>
      </c>
      <c r="S234" s="6">
        <v>300</v>
      </c>
      <c r="T234" s="4" t="str">
        <f t="shared" ca="1" si="0"/>
        <v>Rogelio Gamez</v>
      </c>
    </row>
    <row r="235" spans="1:20" ht="12.5">
      <c r="A235" s="4" t="str">
        <f ca="1">IFERROR(__xludf.DUMMYFUNCTION("""COMPUTED_VALUE"""),"TRX1529")</f>
        <v>TRX1529</v>
      </c>
      <c r="B235" s="4" t="str">
        <f ca="1">IFERROR(__xludf.DUMMYFUNCTION("""COMPUTED_VALUE"""),"#26")</f>
        <v>#26</v>
      </c>
      <c r="C235" s="5">
        <f ca="1">IFERROR(__xludf.DUMMYFUNCTION("""COMPUTED_VALUE"""),46066.4166666666)</f>
        <v>46066.416666666599</v>
      </c>
      <c r="D235" s="6">
        <f ca="1">IFERROR(__xludf.DUMMYFUNCTION("""COMPUTED_VALUE"""),150)</f>
        <v>150</v>
      </c>
      <c r="E235" s="4" t="str">
        <f ca="1">IFERROR(__xludf.DUMMYFUNCTION("""COMPUTED_VALUE"""),"MXN")</f>
        <v>MXN</v>
      </c>
      <c r="F235" s="4" t="str">
        <f ca="1">IFERROR(__xludf.DUMMYFUNCTION("""COMPUTED_VALUE"""),"Karen Alexandra Ballesteros Contreras")</f>
        <v>Karen Alexandra Ballesteros Contreras</v>
      </c>
      <c r="G235" s="4" t="str">
        <f ca="1">IFERROR(__xludf.DUMMYFUNCTION("""COMPUTED_VALUE"""),"D LOCAL*DIDI RIDES     CIUDAD DE MEX MEX")</f>
        <v>D LOCAL*DIDI RIDES     CIUDAD DE MEX MEX</v>
      </c>
      <c r="H235" s="4" t="str">
        <f ca="1">IFERROR(__xludf.DUMMYFUNCTION("""COMPUTED_VALUE"""),"Didi Chuxing")</f>
        <v>Didi Chuxing</v>
      </c>
      <c r="I235" s="4" t="str">
        <f ca="1">IFERROR(__xludf.DUMMYFUNCTION("""COMPUTED_VALUE"""),"Recruiting")</f>
        <v>Recruiting</v>
      </c>
      <c r="J235" s="4" t="str">
        <f ca="1">IFERROR(__xludf.DUMMYFUNCTION("""COMPUTED_VALUE"""),"PO2009 TRASLADO HACIA DOMICILIO DESDE AIFA")</f>
        <v>PO2009 TRASLADO HACIA DOMICILIO DESDE AIFA</v>
      </c>
      <c r="K235" s="4" t="str">
        <f ca="1">IFERROR(__xludf.DUMMYFUNCTION("""COMPUTED_VALUE"""),"E3A0B0FD-670A-43A3-8884-94C5B27D3F68")</f>
        <v>E3A0B0FD-670A-43A3-8884-94C5B27D3F68</v>
      </c>
      <c r="S235" s="6">
        <v>675.26</v>
      </c>
      <c r="T235" s="4" t="e">
        <f t="shared" ca="1" si="0"/>
        <v>#N/A</v>
      </c>
    </row>
    <row r="236" spans="1:20" ht="12.5">
      <c r="A236" s="4" t="str">
        <f ca="1">IFERROR(__xludf.DUMMYFUNCTION("""COMPUTED_VALUE"""),"TRX1215")</f>
        <v>TRX1215</v>
      </c>
      <c r="B236" s="4" t="str">
        <f ca="1">IFERROR(__xludf.DUMMYFUNCTION("""COMPUTED_VALUE"""),"#26")</f>
        <v>#26</v>
      </c>
      <c r="C236" s="5">
        <f ca="1">IFERROR(__xludf.DUMMYFUNCTION("""COMPUTED_VALUE"""),46066.4173611111)</f>
        <v>46066.417361111096</v>
      </c>
      <c r="D236" s="6">
        <f ca="1">IFERROR(__xludf.DUMMYFUNCTION("""COMPUTED_VALUE"""),210)</f>
        <v>210</v>
      </c>
      <c r="E236" s="4" t="str">
        <f ca="1">IFERROR(__xludf.DUMMYFUNCTION("""COMPUTED_VALUE"""),"MXN")</f>
        <v>MXN</v>
      </c>
      <c r="F236" s="4" t="str">
        <f ca="1">IFERROR(__xludf.DUMMYFUNCTION("""COMPUTED_VALUE"""),"Karen Alexandra Ballesteros Contreras")</f>
        <v>Karen Alexandra Ballesteros Contreras</v>
      </c>
      <c r="G236" s="4" t="str">
        <f ca="1">IFERROR(__xludf.DUMMYFUNCTION("""COMPUTED_VALUE"""),"CAMINANTE AIT          TOLUCA EM     MEX")</f>
        <v>CAMINANTE AIT          TOLUCA EM     MEX</v>
      </c>
      <c r="H236" s="4" t="str">
        <f ca="1">IFERROR(__xludf.DUMMYFUNCTION("""COMPUTED_VALUE"""),"Caminante Ait Toluca Em Mex")</f>
        <v>Caminante Ait Toluca Em Mex</v>
      </c>
      <c r="I236" s="4" t="str">
        <f ca="1">IFERROR(__xludf.DUMMYFUNCTION("""COMPUTED_VALUE"""),"Recruiting")</f>
        <v>Recruiting</v>
      </c>
      <c r="J236" s="4" t="str">
        <f ca="1">IFERROR(__xludf.DUMMYFUNCTION("""COMPUTED_VALUE"""),"PO2009 CENA")</f>
        <v>PO2009 CENA</v>
      </c>
      <c r="K236" s="4"/>
      <c r="S236" s="6">
        <v>1288</v>
      </c>
      <c r="T236" s="4" t="e">
        <f t="shared" ca="1" si="0"/>
        <v>#N/A</v>
      </c>
    </row>
    <row r="237" spans="1:20" ht="12.5">
      <c r="A237" s="4" t="str">
        <f ca="1">IFERROR(__xludf.DUMMYFUNCTION("""COMPUTED_VALUE"""),"TRX1754")</f>
        <v>TRX1754</v>
      </c>
      <c r="B237" s="4" t="str">
        <f ca="1">IFERROR(__xludf.DUMMYFUNCTION("""COMPUTED_VALUE"""),"#26")</f>
        <v>#26</v>
      </c>
      <c r="C237" s="5">
        <f ca="1">IFERROR(__xludf.DUMMYFUNCTION("""COMPUTED_VALUE"""),46066.4173611111)</f>
        <v>46066.417361111096</v>
      </c>
      <c r="D237" s="6">
        <f ca="1">IFERROR(__xludf.DUMMYFUNCTION("""COMPUTED_VALUE"""),572)</f>
        <v>572</v>
      </c>
      <c r="E237" s="4" t="str">
        <f ca="1">IFERROR(__xludf.DUMMYFUNCTION("""COMPUTED_VALUE"""),"MXN")</f>
        <v>MXN</v>
      </c>
      <c r="F237" s="4" t="str">
        <f ca="1">IFERROR(__xludf.DUMMYFUNCTION("""COMPUTED_VALUE"""),"Karen Alexandra Ballesteros Contreras")</f>
        <v>Karen Alexandra Ballesteros Contreras</v>
      </c>
      <c r="G237" s="4" t="str">
        <f ca="1">IFERROR(__xludf.DUMMYFUNCTION("""COMPUTED_VALUE"""),"REST HERENCIA AVANDARO VALLE DE BRAV MEX")</f>
        <v>REST HERENCIA AVANDARO VALLE DE BRAV MEX</v>
      </c>
      <c r="H237" s="4" t="str">
        <f ca="1">IFERROR(__xludf.DUMMYFUNCTION("""COMPUTED_VALUE"""),"Rest Herencia Avandaro Valle De Brav Mex")</f>
        <v>Rest Herencia Avandaro Valle De Brav Mex</v>
      </c>
      <c r="I237" s="4" t="str">
        <f ca="1">IFERROR(__xludf.DUMMYFUNCTION("""COMPUTED_VALUE"""),"Recruiting")</f>
        <v>Recruiting</v>
      </c>
      <c r="J237" s="4" t="str">
        <f ca="1">IFERROR(__xludf.DUMMYFUNCTION("""COMPUTED_VALUE"""),"PO1801 UBER HACIA GRAJALES")</f>
        <v>PO1801 UBER HACIA GRAJALES</v>
      </c>
      <c r="K237" s="4" t="str">
        <f ca="1">IFERROR(__xludf.DUMMYFUNCTION("""COMPUTED_VALUE"""),".")</f>
        <v>.</v>
      </c>
      <c r="S237" s="6">
        <v>371</v>
      </c>
      <c r="T237" s="4" t="str">
        <f t="shared" ca="1" si="0"/>
        <v>Jorge Armando Ramirez Perez</v>
      </c>
    </row>
    <row r="238" spans="1:20" ht="12.5">
      <c r="A238" s="4" t="str">
        <f ca="1">IFERROR(__xludf.DUMMYFUNCTION("""COMPUTED_VALUE"""),"TRX1445")</f>
        <v>TRX1445</v>
      </c>
      <c r="B238" s="4" t="str">
        <f ca="1">IFERROR(__xludf.DUMMYFUNCTION("""COMPUTED_VALUE"""),"#26")</f>
        <v>#26</v>
      </c>
      <c r="C238" s="5">
        <f ca="1">IFERROR(__xludf.DUMMYFUNCTION("""COMPUTED_VALUE"""),46067.4166666666)</f>
        <v>46067.416666666599</v>
      </c>
      <c r="D238" s="6">
        <f ca="1">IFERROR(__xludf.DUMMYFUNCTION("""COMPUTED_VALUE"""),1.8)</f>
        <v>1.8</v>
      </c>
      <c r="E238" s="4" t="str">
        <f ca="1">IFERROR(__xludf.DUMMYFUNCTION("""COMPUTED_VALUE"""),"MXN")</f>
        <v>MXN</v>
      </c>
      <c r="F238" s="4" t="str">
        <f ca="1">IFERROR(__xludf.DUMMYFUNCTION("""COMPUTED_VALUE"""),"Karen Alexandra Ballesteros Contreras")</f>
        <v>Karen Alexandra Ballesteros Contreras</v>
      </c>
      <c r="G238" s="4" t="str">
        <f ca="1">IFERROR(__xludf.DUMMYFUNCTION("""COMPUTED_VALUE"""),"Didi Mexico            CAUHTEMOC     MEX")</f>
        <v>Didi Mexico            CAUHTEMOC     MEX</v>
      </c>
      <c r="H238" s="4" t="str">
        <f ca="1">IFERROR(__xludf.DUMMYFUNCTION("""COMPUTED_VALUE"""),"Didi Mexico Cauhtemoc Mex")</f>
        <v>Didi Mexico Cauhtemoc Mex</v>
      </c>
      <c r="I238" s="4" t="str">
        <f ca="1">IFERROR(__xludf.DUMMYFUNCTION("""COMPUTED_VALUE"""),"Recruiting")</f>
        <v>Recruiting</v>
      </c>
      <c r="J238" s="4" t="str">
        <f ca="1">IFERROR(__xludf.DUMMYFUNCTION("""COMPUTED_VALUE""")," EPP calzado")</f>
        <v xml:space="preserve"> EPP calzado</v>
      </c>
      <c r="K238" s="4" t="str">
        <f ca="1">IFERROR(__xludf.DUMMYFUNCTION("""COMPUTED_VALUE"""),".")</f>
        <v>.</v>
      </c>
      <c r="S238" s="6">
        <v>1796.9</v>
      </c>
      <c r="T238" s="4" t="e">
        <f t="shared" ca="1" si="0"/>
        <v>#N/A</v>
      </c>
    </row>
    <row r="239" spans="1:20" ht="12.5">
      <c r="A239" s="4" t="str">
        <f ca="1">IFERROR(__xludf.DUMMYFUNCTION("""COMPUTED_VALUE"""),"TRX1993")</f>
        <v>TRX1993</v>
      </c>
      <c r="B239" s="4" t="str">
        <f ca="1">IFERROR(__xludf.DUMMYFUNCTION("""COMPUTED_VALUE"""),"#26")</f>
        <v>#26</v>
      </c>
      <c r="C239" s="5">
        <f ca="1">IFERROR(__xludf.DUMMYFUNCTION("""COMPUTED_VALUE"""),46067.4166666666)</f>
        <v>46067.416666666599</v>
      </c>
      <c r="D239" s="6">
        <f ca="1">IFERROR(__xludf.DUMMYFUNCTION("""COMPUTED_VALUE"""),129.88)</f>
        <v>129.88</v>
      </c>
      <c r="E239" s="4" t="str">
        <f ca="1">IFERROR(__xludf.DUMMYFUNCTION("""COMPUTED_VALUE"""),"MXN")</f>
        <v>MXN</v>
      </c>
      <c r="F239" s="4" t="str">
        <f ca="1">IFERROR(__xludf.DUMMYFUNCTION("""COMPUTED_VALUE"""),"Karen Alexandra Ballesteros Contreras")</f>
        <v>Karen Alexandra Ballesteros Contreras</v>
      </c>
      <c r="G239" s="4" t="str">
        <f ca="1">IFERROR(__xludf.DUMMYFUNCTION("""COMPUTED_VALUE"""),"UBER *TRIP HELP.UBER.C CMX           MEX")</f>
        <v>UBER *TRIP HELP.UBER.C CMX           MEX</v>
      </c>
      <c r="H239" s="4" t="str">
        <f ca="1">IFERROR(__xludf.DUMMYFUNCTION("""COMPUTED_VALUE"""),"Uber")</f>
        <v>Uber</v>
      </c>
      <c r="I239" s="4" t="str">
        <f ca="1">IFERROR(__xludf.DUMMYFUNCTION("""COMPUTED_VALUE"""),"Recruiting")</f>
        <v>Recruiting</v>
      </c>
      <c r="J239" s="4" t="str">
        <f ca="1">IFERROR(__xludf.DUMMYFUNCTION("""COMPUTED_VALUE"""),"PO1801 UBER HACIA GRAJALES")</f>
        <v>PO1801 UBER HACIA GRAJALES</v>
      </c>
      <c r="K239" s="4" t="str">
        <f ca="1">IFERROR(__xludf.DUMMYFUNCTION("""COMPUTED_VALUE"""),"D58EFE30-0FD5-48E7-B113-44610D34E722")</f>
        <v>D58EFE30-0FD5-48E7-B113-44610D34E722</v>
      </c>
      <c r="S239" s="6">
        <v>1796.9</v>
      </c>
      <c r="T239" s="4" t="e">
        <f t="shared" ca="1" si="0"/>
        <v>#N/A</v>
      </c>
    </row>
    <row r="240" spans="1:20" ht="12.5">
      <c r="A240" s="4" t="str">
        <f ca="1">IFERROR(__xludf.DUMMYFUNCTION("""COMPUTED_VALUE"""),"TRX1210")</f>
        <v>TRX1210</v>
      </c>
      <c r="B240" s="4" t="str">
        <f ca="1">IFERROR(__xludf.DUMMYFUNCTION("""COMPUTED_VALUE"""),"#26")</f>
        <v>#26</v>
      </c>
      <c r="C240" s="5">
        <f ca="1">IFERROR(__xludf.DUMMYFUNCTION("""COMPUTED_VALUE"""),46067.4166666666)</f>
        <v>46067.416666666599</v>
      </c>
      <c r="D240" s="6">
        <f ca="1">IFERROR(__xludf.DUMMYFUNCTION("""COMPUTED_VALUE"""),484.43)</f>
        <v>484.43</v>
      </c>
      <c r="E240" s="4" t="str">
        <f ca="1">IFERROR(__xludf.DUMMYFUNCTION("""COMPUTED_VALUE"""),"MXN")</f>
        <v>MXN</v>
      </c>
      <c r="F240" s="4" t="str">
        <f ca="1">IFERROR(__xludf.DUMMYFUNCTION("""COMPUTED_VALUE"""),"Karen Alexandra Ballesteros Contreras")</f>
        <v>Karen Alexandra Ballesteros Contreras</v>
      </c>
      <c r="G240" s="4" t="str">
        <f ca="1">IFERROR(__xludf.DUMMYFUNCTION("""COMPUTED_VALUE"""),"UBER * PENDING         CMX           MEX")</f>
        <v>UBER * PENDING         CMX           MEX</v>
      </c>
      <c r="H240" s="4" t="str">
        <f ca="1">IFERROR(__xludf.DUMMYFUNCTION("""COMPUTED_VALUE"""),"Uber")</f>
        <v>Uber</v>
      </c>
      <c r="I240" s="4" t="str">
        <f ca="1">IFERROR(__xludf.DUMMYFUNCTION("""COMPUTED_VALUE"""),"Recruiting")</f>
        <v>Recruiting</v>
      </c>
      <c r="J240" s="4" t="str">
        <f ca="1">IFERROR(__xludf.DUMMYFUNCTION("""COMPUTED_VALUE"""),"peaje")</f>
        <v>peaje</v>
      </c>
      <c r="K240" s="4" t="str">
        <f ca="1">IFERROR(__xludf.DUMMYFUNCTION("""COMPUTED_VALUE"""),"BB1C9819-1CA0-4E66-824D-5C9CF4A81400")</f>
        <v>BB1C9819-1CA0-4E66-824D-5C9CF4A81400</v>
      </c>
      <c r="S240" s="6">
        <v>1796.9</v>
      </c>
      <c r="T240" s="4" t="e">
        <f t="shared" ca="1" si="0"/>
        <v>#N/A</v>
      </c>
    </row>
    <row r="241" spans="1:20" ht="12.5">
      <c r="A241" s="4" t="str">
        <f ca="1">IFERROR(__xludf.DUMMYFUNCTION("""COMPUTED_VALUE"""),"TRX1006")</f>
        <v>TRX1006</v>
      </c>
      <c r="B241" s="4" t="str">
        <f ca="1">IFERROR(__xludf.DUMMYFUNCTION("""COMPUTED_VALUE"""),"#26")</f>
        <v>#26</v>
      </c>
      <c r="C241" s="5">
        <f ca="1">IFERROR(__xludf.DUMMYFUNCTION("""COMPUTED_VALUE"""),46067.4166666666)</f>
        <v>46067.416666666599</v>
      </c>
      <c r="D241" s="6">
        <f ca="1">IFERROR(__xludf.DUMMYFUNCTION("""COMPUTED_VALUE"""),161.2)</f>
        <v>161.19999999999999</v>
      </c>
      <c r="E241" s="4" t="str">
        <f ca="1">IFERROR(__xludf.DUMMYFUNCTION("""COMPUTED_VALUE"""),"MXN")</f>
        <v>MXN</v>
      </c>
      <c r="F241" s="4" t="str">
        <f ca="1">IFERROR(__xludf.DUMMYFUNCTION("""COMPUTED_VALUE"""),"Karen Alexandra Ballesteros Contreras")</f>
        <v>Karen Alexandra Ballesteros Contreras</v>
      </c>
      <c r="G241" s="4" t="str">
        <f ca="1">IFERROR(__xludf.DUMMYFUNCTION("""COMPUTED_VALUE"""),"UBER * EATS PENDING    CMX           MEX")</f>
        <v>UBER * EATS PENDING    CMX           MEX</v>
      </c>
      <c r="H241" s="4" t="str">
        <f ca="1">IFERROR(__xludf.DUMMYFUNCTION("""COMPUTED_VALUE"""),"Uber Eats")</f>
        <v>Uber Eats</v>
      </c>
      <c r="I241" s="4" t="str">
        <f ca="1">IFERROR(__xludf.DUMMYFUNCTION("""COMPUTED_VALUE"""),"Recruiting")</f>
        <v>Recruiting</v>
      </c>
      <c r="J241" s="4" t="str">
        <f ca="1">IFERROR(__xludf.DUMMYFUNCTION("""COMPUTED_VALUE"""),"po1802 uber de grajales")</f>
        <v>po1802 uber de grajales</v>
      </c>
      <c r="K241" s="4" t="str">
        <f ca="1">IFERROR(__xludf.DUMMYFUNCTION("""COMPUTED_VALUE"""),".")</f>
        <v>.</v>
      </c>
      <c r="S241" s="6">
        <v>120.5</v>
      </c>
      <c r="T241" s="4" t="e">
        <f t="shared" ca="1" si="0"/>
        <v>#N/A</v>
      </c>
    </row>
    <row r="242" spans="1:20" ht="12.5">
      <c r="A242" s="4" t="str">
        <f ca="1">IFERROR(__xludf.DUMMYFUNCTION("""COMPUTED_VALUE"""),"TRX1787")</f>
        <v>TRX1787</v>
      </c>
      <c r="B242" s="4" t="str">
        <f ca="1">IFERROR(__xludf.DUMMYFUNCTION("""COMPUTED_VALUE"""),"#26")</f>
        <v>#26</v>
      </c>
      <c r="C242" s="5">
        <f ca="1">IFERROR(__xludf.DUMMYFUNCTION("""COMPUTED_VALUE"""),46067.4166666666)</f>
        <v>46067.416666666599</v>
      </c>
      <c r="D242" s="6">
        <f ca="1">IFERROR(__xludf.DUMMYFUNCTION("""COMPUTED_VALUE"""),510)</f>
        <v>510</v>
      </c>
      <c r="E242" s="4" t="str">
        <f ca="1">IFERROR(__xludf.DUMMYFUNCTION("""COMPUTED_VALUE"""),"MXN")</f>
        <v>MXN</v>
      </c>
      <c r="F242" s="4" t="str">
        <f ca="1">IFERROR(__xludf.DUMMYFUNCTION("""COMPUTED_VALUE"""),"Karen Alexandra Ballesteros Contreras")</f>
        <v>Karen Alexandra Ballesteros Contreras</v>
      </c>
      <c r="G242" s="4" t="str">
        <f ca="1">IFERROR(__xludf.DUMMYFUNCTION("""COMPUTED_VALUE"""),"MERCADOPAGO *PASE      MIGUEL HIDALG MEX")</f>
        <v>MERCADOPAGO *PASE      MIGUEL HIDALG MEX</v>
      </c>
      <c r="H242" s="4" t="str">
        <f ca="1">IFERROR(__xludf.DUMMYFUNCTION("""COMPUTED_VALUE"""),"Mercadopago")</f>
        <v>Mercadopago</v>
      </c>
      <c r="I242" s="4" t="str">
        <f ca="1">IFERROR(__xludf.DUMMYFUNCTION("""COMPUTED_VALUE"""),"Recruiting")</f>
        <v>Recruiting</v>
      </c>
      <c r="J242" s="4" t="str">
        <f ca="1">IFERROR(__xludf.DUMMYFUNCTION("""COMPUTED_VALUE"""),"PO1801 UBER HACIA GRAJALES")</f>
        <v>PO1801 UBER HACIA GRAJALES</v>
      </c>
      <c r="K242" s="4" t="str">
        <f ca="1">IFERROR(__xludf.DUMMYFUNCTION("""COMPUTED_VALUE"""),".")</f>
        <v>.</v>
      </c>
      <c r="S242" s="6">
        <v>427.66</v>
      </c>
      <c r="T242" s="4" t="e">
        <f t="shared" ca="1" si="0"/>
        <v>#N/A</v>
      </c>
    </row>
    <row r="243" spans="1:20" ht="12.5">
      <c r="A243" s="4" t="str">
        <f ca="1">IFERROR(__xludf.DUMMYFUNCTION("""COMPUTED_VALUE"""),"TRX1178")</f>
        <v>TRX1178</v>
      </c>
      <c r="B243" s="4" t="str">
        <f ca="1">IFERROR(__xludf.DUMMYFUNCTION("""COMPUTED_VALUE"""),"#26")</f>
        <v>#26</v>
      </c>
      <c r="C243" s="5">
        <f ca="1">IFERROR(__xludf.DUMMYFUNCTION("""COMPUTED_VALUE"""),46067.4166666666)</f>
        <v>46067.416666666599</v>
      </c>
      <c r="D243" s="6">
        <f ca="1">IFERROR(__xludf.DUMMYFUNCTION("""COMPUTED_VALUE"""),36)</f>
        <v>36</v>
      </c>
      <c r="E243" s="4" t="str">
        <f ca="1">IFERROR(__xludf.DUMMYFUNCTION("""COMPUTED_VALUE"""),"MXN")</f>
        <v>MXN</v>
      </c>
      <c r="F243" s="4" t="str">
        <f ca="1">IFERROR(__xludf.DUMMYFUNCTION("""COMPUTED_VALUE"""),"Karen Alexandra Ballesteros Contreras")</f>
        <v>Karen Alexandra Ballesteros Contreras</v>
      </c>
      <c r="G243" s="4" t="str">
        <f ca="1">IFERROR(__xludf.DUMMYFUNCTION("""COMPUTED_VALUE"""),"DLO DIDI RIDES MX      CIUDAD DE MEX MEX")</f>
        <v>DLO DIDI RIDES MX      CIUDAD DE MEX MEX</v>
      </c>
      <c r="H243" s="4" t="str">
        <f ca="1">IFERROR(__xludf.DUMMYFUNCTION("""COMPUTED_VALUE"""),"Didi Chuxing")</f>
        <v>Didi Chuxing</v>
      </c>
      <c r="I243" s="4" t="str">
        <f ca="1">IFERROR(__xludf.DUMMYFUNCTION("""COMPUTED_VALUE"""),"Recruiting")</f>
        <v>Recruiting</v>
      </c>
      <c r="J243" s="4" t="str">
        <f ca="1">IFERROR(__xludf.DUMMYFUNCTION("""COMPUTED_VALUE"""),"po1802 uber de grajales")</f>
        <v>po1802 uber de grajales</v>
      </c>
      <c r="K243" s="4" t="str">
        <f ca="1">IFERROR(__xludf.DUMMYFUNCTION("""COMPUTED_VALUE"""),".")</f>
        <v>.</v>
      </c>
      <c r="S243" s="6">
        <v>2116.9299999999998</v>
      </c>
      <c r="T243" s="4" t="e">
        <f t="shared" ca="1" si="0"/>
        <v>#N/A</v>
      </c>
    </row>
    <row r="244" spans="1:20" ht="12.5">
      <c r="A244" s="4" t="str">
        <f ca="1">IFERROR(__xludf.DUMMYFUNCTION("""COMPUTED_VALUE"""),"TRX1694")</f>
        <v>TRX1694</v>
      </c>
      <c r="B244" s="4" t="str">
        <f ca="1">IFERROR(__xludf.DUMMYFUNCTION("""COMPUTED_VALUE"""),"#26")</f>
        <v>#26</v>
      </c>
      <c r="C244" s="5">
        <f ca="1">IFERROR(__xludf.DUMMYFUNCTION("""COMPUTED_VALUE"""),46067.4166666666)</f>
        <v>46067.416666666599</v>
      </c>
      <c r="D244" s="6">
        <f ca="1">IFERROR(__xludf.DUMMYFUNCTION("""COMPUTED_VALUE"""),15)</f>
        <v>15</v>
      </c>
      <c r="E244" s="4" t="str">
        <f ca="1">IFERROR(__xludf.DUMMYFUNCTION("""COMPUTED_VALUE"""),"MXN")</f>
        <v>MXN</v>
      </c>
      <c r="F244" s="4" t="str">
        <f ca="1">IFERROR(__xludf.DUMMYFUNCTION("""COMPUTED_VALUE"""),"Karen Alexandra Ballesteros Contreras")</f>
        <v>Karen Alexandra Ballesteros Contreras</v>
      </c>
      <c r="G244" s="4" t="str">
        <f ca="1">IFERROR(__xludf.DUMMYFUNCTION("""COMPUTED_VALUE"""),"DLO DIDI RIDES MX      CIUDAD DE MEX MEX")</f>
        <v>DLO DIDI RIDES MX      CIUDAD DE MEX MEX</v>
      </c>
      <c r="H244" s="4" t="str">
        <f ca="1">IFERROR(__xludf.DUMMYFUNCTION("""COMPUTED_VALUE"""),"Didi Chuxing")</f>
        <v>Didi Chuxing</v>
      </c>
      <c r="I244" s="4" t="str">
        <f ca="1">IFERROR(__xludf.DUMMYFUNCTION("""COMPUTED_VALUE"""),"Recruiting")</f>
        <v>Recruiting</v>
      </c>
      <c r="J244" s="4" t="str">
        <f ca="1">IFERROR(__xludf.DUMMYFUNCTION("""COMPUTED_VALUE"""),"PO1947 DESAYUNO")</f>
        <v>PO1947 DESAYUNO</v>
      </c>
      <c r="K244" s="4" t="str">
        <f ca="1">IFERROR(__xludf.DUMMYFUNCTION("""COMPUTED_VALUE"""),".")</f>
        <v>.</v>
      </c>
      <c r="S244" s="6">
        <v>213.83</v>
      </c>
      <c r="T244" s="4" t="e">
        <f t="shared" ca="1" si="0"/>
        <v>#N/A</v>
      </c>
    </row>
    <row r="245" spans="1:20" ht="12.5">
      <c r="A245" s="4" t="str">
        <f ca="1">IFERROR(__xludf.DUMMYFUNCTION("""COMPUTED_VALUE"""),"TRX1978")</f>
        <v>TRX1978</v>
      </c>
      <c r="B245" s="4" t="str">
        <f ca="1">IFERROR(__xludf.DUMMYFUNCTION("""COMPUTED_VALUE"""),"#26")</f>
        <v>#26</v>
      </c>
      <c r="C245" s="5">
        <f ca="1">IFERROR(__xludf.DUMMYFUNCTION("""COMPUTED_VALUE"""),46067.4166666666)</f>
        <v>46067.416666666599</v>
      </c>
      <c r="D245" s="6">
        <f ca="1">IFERROR(__xludf.DUMMYFUNCTION("""COMPUTED_VALUE"""),27.2)</f>
        <v>27.2</v>
      </c>
      <c r="E245" s="4" t="str">
        <f ca="1">IFERROR(__xludf.DUMMYFUNCTION("""COMPUTED_VALUE"""),"MXN")</f>
        <v>MXN</v>
      </c>
      <c r="F245" s="4" t="str">
        <f ca="1">IFERROR(__xludf.DUMMYFUNCTION("""COMPUTED_VALUE"""),"Karen Alexandra Ballesteros Contreras")</f>
        <v>Karen Alexandra Ballesteros Contreras</v>
      </c>
      <c r="G245" s="4" t="str">
        <f ca="1">IFERROR(__xludf.DUMMYFUNCTION("""COMPUTED_VALUE"""),"DLO DIDI RIDES MX      CIUDAD DE MEX MEX")</f>
        <v>DLO DIDI RIDES MX      CIUDAD DE MEX MEX</v>
      </c>
      <c r="H245" s="4" t="str">
        <f ca="1">IFERROR(__xludf.DUMMYFUNCTION("""COMPUTED_VALUE"""),"Didi Chuxing")</f>
        <v>Didi Chuxing</v>
      </c>
      <c r="I245" s="4" t="str">
        <f ca="1">IFERROR(__xludf.DUMMYFUNCTION("""COMPUTED_VALUE"""),"Recruiting")</f>
        <v>Recruiting</v>
      </c>
      <c r="J245" s="4"/>
      <c r="K245" s="4" t="str">
        <f ca="1">IFERROR(__xludf.DUMMYFUNCTION("""COMPUTED_VALUE"""),".")</f>
        <v>.</v>
      </c>
      <c r="S245" s="6">
        <v>7357.3</v>
      </c>
      <c r="T245" s="4" t="e">
        <f t="shared" ca="1" si="0"/>
        <v>#N/A</v>
      </c>
    </row>
    <row r="246" spans="1:20" ht="12.5">
      <c r="A246" s="4" t="str">
        <f ca="1">IFERROR(__xludf.DUMMYFUNCTION("""COMPUTED_VALUE"""),"TRX1709")</f>
        <v>TRX1709</v>
      </c>
      <c r="B246" s="4" t="str">
        <f ca="1">IFERROR(__xludf.DUMMYFUNCTION("""COMPUTED_VALUE"""),"#26")</f>
        <v>#26</v>
      </c>
      <c r="C246" s="5">
        <f ca="1">IFERROR(__xludf.DUMMYFUNCTION("""COMPUTED_VALUE"""),46067.4166666666)</f>
        <v>46067.416666666599</v>
      </c>
      <c r="D246" s="6">
        <f ca="1">IFERROR(__xludf.DUMMYFUNCTION("""COMPUTED_VALUE"""),328)</f>
        <v>328</v>
      </c>
      <c r="E246" s="4" t="str">
        <f ca="1">IFERROR(__xludf.DUMMYFUNCTION("""COMPUTED_VALUE"""),"MXN")</f>
        <v>MXN</v>
      </c>
      <c r="F246" s="4" t="str">
        <f ca="1">IFERROR(__xludf.DUMMYFUNCTION("""COMPUTED_VALUE"""),"Karen Alexandra Ballesteros Contreras")</f>
        <v>Karen Alexandra Ballesteros Contreras</v>
      </c>
      <c r="G246" s="4" t="str">
        <f ca="1">IFERROR(__xludf.DUMMYFUNCTION("""COMPUTED_VALUE"""),"D LOCAL*DIDI RIDES     CIUDAD DE MEX MEX")</f>
        <v>D LOCAL*DIDI RIDES     CIUDAD DE MEX MEX</v>
      </c>
      <c r="H246" s="4" t="str">
        <f ca="1">IFERROR(__xludf.DUMMYFUNCTION("""COMPUTED_VALUE"""),"Didi Chuxing")</f>
        <v>Didi Chuxing</v>
      </c>
      <c r="I246" s="4" t="str">
        <f ca="1">IFERROR(__xludf.DUMMYFUNCTION("""COMPUTED_VALUE"""),"Recruiting")</f>
        <v>Recruiting</v>
      </c>
      <c r="J246" s="4" t="str">
        <f ca="1">IFERROR(__xludf.DUMMYFUNCTION("""COMPUTED_VALUE"""),"PO1947 UBER HACIA SYNERGO")</f>
        <v>PO1947 UBER HACIA SYNERGO</v>
      </c>
      <c r="K246" s="4" t="str">
        <f ca="1">IFERROR(__xludf.DUMMYFUNCTION("""COMPUTED_VALUE"""),".")</f>
        <v>.</v>
      </c>
      <c r="S246" s="6">
        <v>412.85</v>
      </c>
      <c r="T246" s="4" t="e">
        <f t="shared" ca="1" si="0"/>
        <v>#N/A</v>
      </c>
    </row>
    <row r="247" spans="1:20" ht="12.5">
      <c r="A247" s="4" t="str">
        <f ca="1">IFERROR(__xludf.DUMMYFUNCTION("""COMPUTED_VALUE"""),"TRX1557")</f>
        <v>TRX1557</v>
      </c>
      <c r="B247" s="4" t="str">
        <f ca="1">IFERROR(__xludf.DUMMYFUNCTION("""COMPUTED_VALUE"""),"#26")</f>
        <v>#26</v>
      </c>
      <c r="C247" s="5">
        <f ca="1">IFERROR(__xludf.DUMMYFUNCTION("""COMPUTED_VALUE"""),46067.4173611111)</f>
        <v>46067.417361111096</v>
      </c>
      <c r="D247" s="6">
        <f ca="1">IFERROR(__xludf.DUMMYFUNCTION("""COMPUTED_VALUE"""),118)</f>
        <v>118</v>
      </c>
      <c r="E247" s="4" t="str">
        <f ca="1">IFERROR(__xludf.DUMMYFUNCTION("""COMPUTED_VALUE"""),"MXN")</f>
        <v>MXN</v>
      </c>
      <c r="F247" s="4" t="str">
        <f ca="1">IFERROR(__xludf.DUMMYFUNCTION("""COMPUTED_VALUE"""),"Karen Alexandra Ballesteros Contreras")</f>
        <v>Karen Alexandra Ballesteros Contreras</v>
      </c>
      <c r="G247" s="4" t="str">
        <f ca="1">IFERROR(__xludf.DUMMYFUNCTION("""COMPUTED_VALUE"""),"D LOCAL*DIDI RIDES     CIUDAD DE MEX MEX")</f>
        <v>D LOCAL*DIDI RIDES     CIUDAD DE MEX MEX</v>
      </c>
      <c r="H247" s="4" t="str">
        <f ca="1">IFERROR(__xludf.DUMMYFUNCTION("""COMPUTED_VALUE"""),"Didi Chuxing")</f>
        <v>Didi Chuxing</v>
      </c>
      <c r="I247" s="4" t="str">
        <f ca="1">IFERROR(__xludf.DUMMYFUNCTION("""COMPUTED_VALUE"""),"Recruiting")</f>
        <v>Recruiting</v>
      </c>
      <c r="J247" s="4" t="str">
        <f ca="1">IFERROR(__xludf.DUMMYFUNCTION("""COMPUTED_VALUE"""),"PO1801 COMIDA")</f>
        <v>PO1801 COMIDA</v>
      </c>
      <c r="K247" s="4" t="str">
        <f ca="1">IFERROR(__xludf.DUMMYFUNCTION("""COMPUTED_VALUE"""),".")</f>
        <v>.</v>
      </c>
      <c r="S247" s="6">
        <v>1661.3</v>
      </c>
      <c r="T247" s="4" t="e">
        <f t="shared" ca="1" si="0"/>
        <v>#N/A</v>
      </c>
    </row>
    <row r="248" spans="1:20" ht="12.5">
      <c r="A248" s="4" t="str">
        <f ca="1">IFERROR(__xludf.DUMMYFUNCTION("""COMPUTED_VALUE"""),"TRX1049")</f>
        <v>TRX1049</v>
      </c>
      <c r="B248" s="4" t="str">
        <f ca="1">IFERROR(__xludf.DUMMYFUNCTION("""COMPUTED_VALUE"""),"#26")</f>
        <v>#26</v>
      </c>
      <c r="C248" s="5">
        <f ca="1">IFERROR(__xludf.DUMMYFUNCTION("""COMPUTED_VALUE"""),46067.4173611111)</f>
        <v>46067.417361111096</v>
      </c>
      <c r="D248" s="6">
        <f ca="1">IFERROR(__xludf.DUMMYFUNCTION("""COMPUTED_VALUE"""),328)</f>
        <v>328</v>
      </c>
      <c r="E248" s="4" t="str">
        <f ca="1">IFERROR(__xludf.DUMMYFUNCTION("""COMPUTED_VALUE"""),"MXN")</f>
        <v>MXN</v>
      </c>
      <c r="F248" s="4" t="str">
        <f ca="1">IFERROR(__xludf.DUMMYFUNCTION("""COMPUTED_VALUE"""),"Karen Alexandra Ballesteros Contreras")</f>
        <v>Karen Alexandra Ballesteros Contreras</v>
      </c>
      <c r="G248" s="4" t="str">
        <f ca="1">IFERROR(__xludf.DUMMYFUNCTION("""COMPUTED_VALUE"""),"20260212T01:01:01/D LOCAL*DIDI RIDES\UNKNOWN\UNKNOWN\06500        MEX")</f>
        <v>20260212T01:01:01/D LOCAL*DIDI RIDES\UNKNOWN\UNKNOWN\06500        MEX</v>
      </c>
      <c r="H248" s="4" t="str">
        <f ca="1">IFERROR(__xludf.DUMMYFUNCTION("""COMPUTED_VALUE"""),"Didi Chuxing")</f>
        <v>Didi Chuxing</v>
      </c>
      <c r="I248" s="4" t="str">
        <f ca="1">IFERROR(__xludf.DUMMYFUNCTION("""COMPUTED_VALUE"""),"Recruiting")</f>
        <v>Recruiting</v>
      </c>
      <c r="J248" s="4" t="str">
        <f ca="1">IFERROR(__xludf.DUMMYFUNCTION("""COMPUTED_VALUE"""),"PO1801 UBER HACIA GRAJALES")</f>
        <v>PO1801 UBER HACIA GRAJALES</v>
      </c>
      <c r="K248" s="4" t="str">
        <f ca="1">IFERROR(__xludf.DUMMYFUNCTION("""COMPUTED_VALUE"""),".")</f>
        <v>.</v>
      </c>
      <c r="S248" s="6">
        <v>179.94</v>
      </c>
      <c r="T248" s="4" t="e">
        <f t="shared" ca="1" si="0"/>
        <v>#N/A</v>
      </c>
    </row>
    <row r="249" spans="1:20" ht="12.5">
      <c r="A249" s="4" t="str">
        <f ca="1">IFERROR(__xludf.DUMMYFUNCTION("""COMPUTED_VALUE"""),"TRX2000")</f>
        <v>TRX2000</v>
      </c>
      <c r="B249" s="4" t="str">
        <f ca="1">IFERROR(__xludf.DUMMYFUNCTION("""COMPUTED_VALUE"""),"#26")</f>
        <v>#26</v>
      </c>
      <c r="C249" s="5">
        <f ca="1">IFERROR(__xludf.DUMMYFUNCTION("""COMPUTED_VALUE"""),46068.4166666666)</f>
        <v>46068.416666666599</v>
      </c>
      <c r="D249" s="6">
        <f ca="1">IFERROR(__xludf.DUMMYFUNCTION("""COMPUTED_VALUE"""),252)</f>
        <v>252</v>
      </c>
      <c r="E249" s="4" t="str">
        <f ca="1">IFERROR(__xludf.DUMMYFUNCTION("""COMPUTED_VALUE"""),"MXN")</f>
        <v>MXN</v>
      </c>
      <c r="F249" s="4" t="str">
        <f ca="1">IFERROR(__xludf.DUMMYFUNCTION("""COMPUTED_VALUE"""),"Karen Alexandra Ballesteros Contreras")</f>
        <v>Karen Alexandra Ballesteros Contreras</v>
      </c>
      <c r="G249" s="4" t="str">
        <f ca="1">IFERROR(__xludf.DUMMYFUNCTION("""COMPUTED_VALUE"""),"D LOCAL*DIDI RIDES     CIUDAD DE MEX MEX")</f>
        <v>D LOCAL*DIDI RIDES     CIUDAD DE MEX MEX</v>
      </c>
      <c r="H249" s="4" t="str">
        <f ca="1">IFERROR(__xludf.DUMMYFUNCTION("""COMPUTED_VALUE"""),"Didi Chuxing")</f>
        <v>Didi Chuxing</v>
      </c>
      <c r="I249" s="4" t="str">
        <f ca="1">IFERROR(__xludf.DUMMYFUNCTION("""COMPUTED_VALUE"""),"Recruiting")</f>
        <v>Recruiting</v>
      </c>
      <c r="J249" s="4" t="str">
        <f ca="1">IFERROR(__xludf.DUMMYFUNCTION("""COMPUTED_VALUE"""),"PEAJE")</f>
        <v>PEAJE</v>
      </c>
      <c r="K249" s="4" t="str">
        <f ca="1">IFERROR(__xludf.DUMMYFUNCTION("""COMPUTED_VALUE"""),".")</f>
        <v>.</v>
      </c>
      <c r="S249" s="6">
        <v>70.19</v>
      </c>
      <c r="T249" s="4" t="e">
        <f t="shared" ca="1" si="0"/>
        <v>#N/A</v>
      </c>
    </row>
    <row r="250" spans="1:20" ht="12.5">
      <c r="A250" s="4" t="str">
        <f ca="1">IFERROR(__xludf.DUMMYFUNCTION("""COMPUTED_VALUE"""),"TRX1490")</f>
        <v>TRX1490</v>
      </c>
      <c r="B250" s="4" t="str">
        <f ca="1">IFERROR(__xludf.DUMMYFUNCTION("""COMPUTED_VALUE"""),"#26")</f>
        <v>#26</v>
      </c>
      <c r="C250" s="5">
        <f ca="1">IFERROR(__xludf.DUMMYFUNCTION("""COMPUTED_VALUE"""),46068.4166666666)</f>
        <v>46068.416666666599</v>
      </c>
      <c r="D250" s="6">
        <f ca="1">IFERROR(__xludf.DUMMYFUNCTION("""COMPUTED_VALUE"""),25)</f>
        <v>25</v>
      </c>
      <c r="E250" s="4" t="str">
        <f ca="1">IFERROR(__xludf.DUMMYFUNCTION("""COMPUTED_VALUE"""),"MXN")</f>
        <v>MXN</v>
      </c>
      <c r="F250" s="4" t="str">
        <f ca="1">IFERROR(__xludf.DUMMYFUNCTION("""COMPUTED_VALUE"""),"Karen Alexandra Ballesteros Contreras")</f>
        <v>Karen Alexandra Ballesteros Contreras</v>
      </c>
      <c r="G250" s="4" t="str">
        <f ca="1">IFERROR(__xludf.DUMMYFUNCTION("""COMPUTED_VALUE"""),"DLO DIDI RIDES MX      CIUDAD DE MEX MEX")</f>
        <v>DLO DIDI RIDES MX      CIUDAD DE MEX MEX</v>
      </c>
      <c r="H250" s="4" t="str">
        <f ca="1">IFERROR(__xludf.DUMMYFUNCTION("""COMPUTED_VALUE"""),"Didi Chuxing")</f>
        <v>Didi Chuxing</v>
      </c>
      <c r="I250" s="4"/>
      <c r="J250" s="4"/>
      <c r="K250" s="4"/>
      <c r="S250" s="6">
        <v>569.92999999999995</v>
      </c>
      <c r="T250" s="4" t="e">
        <f t="shared" ca="1" si="0"/>
        <v>#N/A</v>
      </c>
    </row>
    <row r="251" spans="1:20" ht="12.5">
      <c r="A251" s="4" t="str">
        <f ca="1">IFERROR(__xludf.DUMMYFUNCTION("""COMPUTED_VALUE"""),"TRX1269")</f>
        <v>TRX1269</v>
      </c>
      <c r="B251" s="4" t="str">
        <f ca="1">IFERROR(__xludf.DUMMYFUNCTION("""COMPUTED_VALUE"""),"#26")</f>
        <v>#26</v>
      </c>
      <c r="C251" s="5">
        <f ca="1">IFERROR(__xludf.DUMMYFUNCTION("""COMPUTED_VALUE"""),46068.4173611111)</f>
        <v>46068.417361111096</v>
      </c>
      <c r="D251" s="6">
        <f ca="1">IFERROR(__xludf.DUMMYFUNCTION("""COMPUTED_VALUE"""),144)</f>
        <v>144</v>
      </c>
      <c r="E251" s="4" t="str">
        <f ca="1">IFERROR(__xludf.DUMMYFUNCTION("""COMPUTED_VALUE"""),"MXN")</f>
        <v>MXN</v>
      </c>
      <c r="F251" s="4" t="str">
        <f ca="1">IFERROR(__xludf.DUMMYFUNCTION("""COMPUTED_VALUE"""),"Karen Alexandra Ballesteros Contreras")</f>
        <v>Karen Alexandra Ballesteros Contreras</v>
      </c>
      <c r="G251" s="4" t="str">
        <f ca="1">IFERROR(__xludf.DUMMYFUNCTION("""COMPUTED_VALUE"""),"D LOCAL*DIDI RIDES     CIUDAD DE MEX MEX")</f>
        <v>D LOCAL*DIDI RIDES     CIUDAD DE MEX MEX</v>
      </c>
      <c r="H251" s="4" t="str">
        <f ca="1">IFERROR(__xludf.DUMMYFUNCTION("""COMPUTED_VALUE"""),"Didi Chuxing")</f>
        <v>Didi Chuxing</v>
      </c>
      <c r="I251" s="4"/>
      <c r="J251" s="4"/>
      <c r="K251" s="4"/>
      <c r="S251" s="6">
        <v>138</v>
      </c>
      <c r="T251" s="4" t="e">
        <f t="shared" ca="1" si="0"/>
        <v>#N/A</v>
      </c>
    </row>
    <row r="252" spans="1:20" ht="12.5">
      <c r="A252" s="4" t="str">
        <f ca="1">IFERROR(__xludf.DUMMYFUNCTION("""COMPUTED_VALUE"""),"TRX1789")</f>
        <v>TRX1789</v>
      </c>
      <c r="B252" s="4" t="str">
        <f ca="1">IFERROR(__xludf.DUMMYFUNCTION("""COMPUTED_VALUE"""),"#26")</f>
        <v>#26</v>
      </c>
      <c r="C252" s="5">
        <f ca="1">IFERROR(__xludf.DUMMYFUNCTION("""COMPUTED_VALUE"""),46069.4166666666)</f>
        <v>46069.416666666599</v>
      </c>
      <c r="D252" s="6">
        <f ca="1">IFERROR(__xludf.DUMMYFUNCTION("""COMPUTED_VALUE"""),233.68)</f>
        <v>233.68</v>
      </c>
      <c r="E252" s="4" t="str">
        <f ca="1">IFERROR(__xludf.DUMMYFUNCTION("""COMPUTED_VALUE"""),"MXN")</f>
        <v>MXN</v>
      </c>
      <c r="F252" s="4" t="str">
        <f ca="1">IFERROR(__xludf.DUMMYFUNCTION("""COMPUTED_VALUE"""),"Karen Alexandra Ballesteros Contreras")</f>
        <v>Karen Alexandra Ballesteros Contreras</v>
      </c>
      <c r="G252" s="4" t="str">
        <f ca="1">IFERROR(__xludf.DUMMYFUNCTION("""COMPUTED_VALUE"""),"UBER *TRIP HELP.UBER.C CMX           MEX")</f>
        <v>UBER *TRIP HELP.UBER.C CMX           MEX</v>
      </c>
      <c r="H252" s="4" t="str">
        <f ca="1">IFERROR(__xludf.DUMMYFUNCTION("""COMPUTED_VALUE"""),"Uber")</f>
        <v>Uber</v>
      </c>
      <c r="I252" s="4"/>
      <c r="J252" s="4"/>
      <c r="K252" s="4"/>
      <c r="S252" s="6">
        <v>250.69</v>
      </c>
      <c r="T252" s="4" t="e">
        <f t="shared" ca="1" si="0"/>
        <v>#N/A</v>
      </c>
    </row>
    <row r="253" spans="1:20" ht="12.5">
      <c r="A253" s="4" t="str">
        <f ca="1">IFERROR(__xludf.DUMMYFUNCTION("""COMPUTED_VALUE"""),"TRX1994")</f>
        <v>TRX1994</v>
      </c>
      <c r="B253" s="4" t="str">
        <f ca="1">IFERROR(__xludf.DUMMYFUNCTION("""COMPUTED_VALUE"""),"#26")</f>
        <v>#26</v>
      </c>
      <c r="C253" s="5">
        <f ca="1">IFERROR(__xludf.DUMMYFUNCTION("""COMPUTED_VALUE"""),46069.4166666666)</f>
        <v>46069.416666666599</v>
      </c>
      <c r="D253" s="6">
        <f ca="1">IFERROR(__xludf.DUMMYFUNCTION("""COMPUTED_VALUE"""),216)</f>
        <v>216</v>
      </c>
      <c r="E253" s="4" t="str">
        <f ca="1">IFERROR(__xludf.DUMMYFUNCTION("""COMPUTED_VALUE"""),"MXN")</f>
        <v>MXN</v>
      </c>
      <c r="F253" s="4" t="str">
        <f ca="1">IFERROR(__xludf.DUMMYFUNCTION("""COMPUTED_VALUE"""),"Karen Alexandra Ballesteros Contreras")</f>
        <v>Karen Alexandra Ballesteros Contreras</v>
      </c>
      <c r="G253" s="4" t="str">
        <f ca="1">IFERROR(__xludf.DUMMYFUNCTION("""COMPUTED_VALUE"""),"D LOCAL*DIDI RIDES     CIUDAD DE MEX MEX")</f>
        <v>D LOCAL*DIDI RIDES     CIUDAD DE MEX MEX</v>
      </c>
      <c r="H253" s="4" t="str">
        <f ca="1">IFERROR(__xludf.DUMMYFUNCTION("""COMPUTED_VALUE"""),"Didi Chuxing")</f>
        <v>Didi Chuxing</v>
      </c>
      <c r="I253" s="4"/>
      <c r="J253" s="4"/>
      <c r="K253" s="4"/>
      <c r="S253" s="6">
        <v>497.63</v>
      </c>
      <c r="T253" s="4" t="e">
        <f t="shared" ca="1" si="0"/>
        <v>#N/A</v>
      </c>
    </row>
    <row r="254" spans="1:20" ht="12.5">
      <c r="A254" s="4" t="str">
        <f ca="1">IFERROR(__xludf.DUMMYFUNCTION("""COMPUTED_VALUE"""),"TRX1138")</f>
        <v>TRX1138</v>
      </c>
      <c r="B254" s="4" t="str">
        <f ca="1">IFERROR(__xludf.DUMMYFUNCTION("""COMPUTED_VALUE"""),"#26")</f>
        <v>#26</v>
      </c>
      <c r="C254" s="5">
        <f ca="1">IFERROR(__xludf.DUMMYFUNCTION("""COMPUTED_VALUE"""),46069.4166666666)</f>
        <v>46069.416666666599</v>
      </c>
      <c r="D254" s="6">
        <f ca="1">IFERROR(__xludf.DUMMYFUNCTION("""COMPUTED_VALUE"""),216)</f>
        <v>216</v>
      </c>
      <c r="E254" s="4" t="str">
        <f ca="1">IFERROR(__xludf.DUMMYFUNCTION("""COMPUTED_VALUE"""),"MXN")</f>
        <v>MXN</v>
      </c>
      <c r="F254" s="4" t="str">
        <f ca="1">IFERROR(__xludf.DUMMYFUNCTION("""COMPUTED_VALUE"""),"Karen Alexandra Ballesteros Contreras")</f>
        <v>Karen Alexandra Ballesteros Contreras</v>
      </c>
      <c r="G254" s="4" t="str">
        <f ca="1">IFERROR(__xludf.DUMMYFUNCTION("""COMPUTED_VALUE"""),"20260214T01:01:01/D LOCAL*DIDI RIDES\UNKNOWN\UNKNOWN\06500        MEX")</f>
        <v>20260214T01:01:01/D LOCAL*DIDI RIDES\UNKNOWN\UNKNOWN\06500        MEX</v>
      </c>
      <c r="H254" s="4" t="str">
        <f ca="1">IFERROR(__xludf.DUMMYFUNCTION("""COMPUTED_VALUE"""),"Didi Chuxing")</f>
        <v>Didi Chuxing</v>
      </c>
      <c r="I254" s="4"/>
      <c r="J254" s="4"/>
      <c r="K254" s="4"/>
      <c r="S254" s="6">
        <v>189.91</v>
      </c>
      <c r="T254" s="4" t="e">
        <f t="shared" ca="1" si="0"/>
        <v>#N/A</v>
      </c>
    </row>
    <row r="255" spans="1:20" ht="12.5">
      <c r="A255" s="4" t="str">
        <f ca="1">IFERROR(__xludf.DUMMYFUNCTION("""COMPUTED_VALUE"""),"TRX2031")</f>
        <v>TRX2031</v>
      </c>
      <c r="B255" s="4" t="str">
        <f ca="1">IFERROR(__xludf.DUMMYFUNCTION("""COMPUTED_VALUE"""),"#26")</f>
        <v>#26</v>
      </c>
      <c r="C255" s="5">
        <f ca="1">IFERROR(__xludf.DUMMYFUNCTION("""COMPUTED_VALUE"""),46070.4166666666)</f>
        <v>46070.416666666599</v>
      </c>
      <c r="D255" s="6">
        <f ca="1">IFERROR(__xludf.DUMMYFUNCTION("""COMPUTED_VALUE"""),558)</f>
        <v>558</v>
      </c>
      <c r="E255" s="4" t="str">
        <f ca="1">IFERROR(__xludf.DUMMYFUNCTION("""COMPUTED_VALUE"""),"MXN")</f>
        <v>MXN</v>
      </c>
      <c r="F255" s="4" t="str">
        <f ca="1">IFERROR(__xludf.DUMMYFUNCTION("""COMPUTED_VALUE"""),"Karen Alexandra Ballesteros Contreras")</f>
        <v>Karen Alexandra Ballesteros Contreras</v>
      </c>
      <c r="G255" s="4" t="str">
        <f ca="1">IFERROR(__xludf.DUMMYFUNCTION("""COMPUTED_VALUE"""),"OFFICE DEPOT IZCALLI   CUAUTITLAN IZ MEX")</f>
        <v>OFFICE DEPOT IZCALLI   CUAUTITLAN IZ MEX</v>
      </c>
      <c r="H255" s="4" t="str">
        <f ca="1">IFERROR(__xludf.DUMMYFUNCTION("""COMPUTED_VALUE"""),"Office Depot")</f>
        <v>Office Depot</v>
      </c>
      <c r="I255" s="4"/>
      <c r="J255" s="4"/>
      <c r="K255" s="4"/>
      <c r="S255" s="6">
        <v>147</v>
      </c>
      <c r="T255" s="4" t="e">
        <f t="shared" ca="1" si="0"/>
        <v>#N/A</v>
      </c>
    </row>
    <row r="256" spans="1:20" ht="12.5">
      <c r="A256" s="4" t="str">
        <f ca="1">IFERROR(__xludf.DUMMYFUNCTION("""COMPUTED_VALUE"""),"TRX1914")</f>
        <v>TRX1914</v>
      </c>
      <c r="B256" s="4" t="str">
        <f ca="1">IFERROR(__xludf.DUMMYFUNCTION("""COMPUTED_VALUE"""),"#26")</f>
        <v>#26</v>
      </c>
      <c r="C256" s="5">
        <f ca="1">IFERROR(__xludf.DUMMYFUNCTION("""COMPUTED_VALUE"""),46071.4166666666)</f>
        <v>46071.416666666599</v>
      </c>
      <c r="D256" s="6">
        <f ca="1">IFERROR(__xludf.DUMMYFUNCTION("""COMPUTED_VALUE"""),9.43)</f>
        <v>9.43</v>
      </c>
      <c r="E256" s="4" t="str">
        <f ca="1">IFERROR(__xludf.DUMMYFUNCTION("""COMPUTED_VALUE"""),"MXN")</f>
        <v>MXN</v>
      </c>
      <c r="F256" s="4" t="str">
        <f ca="1">IFERROR(__xludf.DUMMYFUNCTION("""COMPUTED_VALUE"""),"Karen Alexandra Ballesteros Contreras")</f>
        <v>Karen Alexandra Ballesteros Contreras</v>
      </c>
      <c r="G256" s="4" t="str">
        <f ca="1">IFERROR(__xludf.DUMMYFUNCTION("""COMPUTED_VALUE"""),"UBER * PENDING         CMX           MEX")</f>
        <v>UBER * PENDING         CMX           MEX</v>
      </c>
      <c r="H256" s="4" t="str">
        <f ca="1">IFERROR(__xludf.DUMMYFUNCTION("""COMPUTED_VALUE"""),"Uber")</f>
        <v>Uber</v>
      </c>
      <c r="I256" s="4"/>
      <c r="J256" s="4"/>
      <c r="K256" s="4"/>
      <c r="S256" s="6">
        <v>395</v>
      </c>
      <c r="T256" s="4" t="e">
        <f t="shared" ca="1" si="0"/>
        <v>#N/A</v>
      </c>
    </row>
    <row r="257" spans="1:20" ht="12.5">
      <c r="A257" s="4" t="str">
        <f ca="1">IFERROR(__xludf.DUMMYFUNCTION("""COMPUTED_VALUE"""),"TRX1494")</f>
        <v>TRX1494</v>
      </c>
      <c r="B257" s="4" t="str">
        <f ca="1">IFERROR(__xludf.DUMMYFUNCTION("""COMPUTED_VALUE"""),"#26")</f>
        <v>#26</v>
      </c>
      <c r="C257" s="5">
        <f ca="1">IFERROR(__xludf.DUMMYFUNCTION("""COMPUTED_VALUE"""),46071.4166666666)</f>
        <v>46071.416666666599</v>
      </c>
      <c r="D257" s="6">
        <f ca="1">IFERROR(__xludf.DUMMYFUNCTION("""COMPUTED_VALUE"""),77.09)</f>
        <v>77.09</v>
      </c>
      <c r="E257" s="4" t="str">
        <f ca="1">IFERROR(__xludf.DUMMYFUNCTION("""COMPUTED_VALUE"""),"MXN")</f>
        <v>MXN</v>
      </c>
      <c r="F257" s="4" t="str">
        <f ca="1">IFERROR(__xludf.DUMMYFUNCTION("""COMPUTED_VALUE"""),"Karen Alexandra Ballesteros Contreras")</f>
        <v>Karen Alexandra Ballesteros Contreras</v>
      </c>
      <c r="G257" s="4" t="str">
        <f ca="1">IFERROR(__xludf.DUMMYFUNCTION("""COMPUTED_VALUE"""),"DLO DIDI RIDES MX      CIUDAD DE MEX MEX")</f>
        <v>DLO DIDI RIDES MX      CIUDAD DE MEX MEX</v>
      </c>
      <c r="H257" s="4" t="str">
        <f ca="1">IFERROR(__xludf.DUMMYFUNCTION("""COMPUTED_VALUE"""),"Didi Chuxing")</f>
        <v>Didi Chuxing</v>
      </c>
      <c r="I257" s="4"/>
      <c r="J257" s="4"/>
      <c r="K257" s="4"/>
      <c r="S257" s="6">
        <v>509.91</v>
      </c>
      <c r="T257" s="4" t="e">
        <f t="shared" ref="T257:T511" ca="1" si="2">VLOOKUP(S257,D:F,3,FALSE)</f>
        <v>#N/A</v>
      </c>
    </row>
    <row r="258" spans="1:20" ht="12.5">
      <c r="A258" s="4" t="str">
        <f ca="1">IFERROR(__xludf.DUMMYFUNCTION("""COMPUTED_VALUE"""),"TRX1099")</f>
        <v>TRX1099</v>
      </c>
      <c r="B258" s="4" t="str">
        <f ca="1">IFERROR(__xludf.DUMMYFUNCTION("""COMPUTED_VALUE"""),"#26")</f>
        <v>#26</v>
      </c>
      <c r="C258" s="5">
        <f ca="1">IFERROR(__xludf.DUMMYFUNCTION("""COMPUTED_VALUE"""),46071.4166666666)</f>
        <v>46071.416666666599</v>
      </c>
      <c r="D258" s="6">
        <f ca="1">IFERROR(__xludf.DUMMYFUNCTION("""COMPUTED_VALUE"""),250)</f>
        <v>250</v>
      </c>
      <c r="E258" s="4" t="str">
        <f ca="1">IFERROR(__xludf.DUMMYFUNCTION("""COMPUTED_VALUE"""),"MXN")</f>
        <v>MXN</v>
      </c>
      <c r="F258" s="4" t="str">
        <f ca="1">IFERROR(__xludf.DUMMYFUNCTION("""COMPUTED_VALUE"""),"Karen Alexandra Ballesteros Contreras")</f>
        <v>Karen Alexandra Ballesteros Contreras</v>
      </c>
      <c r="G258" s="4" t="str">
        <f ca="1">IFERROR(__xludf.DUMMYFUNCTION("""COMPUTED_VALUE"""),"D LOCAL*DIDI RIDES     CIUDAD DE MEX MEX")</f>
        <v>D LOCAL*DIDI RIDES     CIUDAD DE MEX MEX</v>
      </c>
      <c r="H258" s="4" t="str">
        <f ca="1">IFERROR(__xludf.DUMMYFUNCTION("""COMPUTED_VALUE"""),"Didi Chuxing")</f>
        <v>Didi Chuxing</v>
      </c>
      <c r="I258" s="4"/>
      <c r="J258" s="4"/>
      <c r="K258" s="4"/>
      <c r="S258" s="6">
        <v>99.93</v>
      </c>
      <c r="T258" s="4" t="str">
        <f t="shared" ca="1" si="2"/>
        <v>Miguel De Lascurain</v>
      </c>
    </row>
    <row r="259" spans="1:20" ht="12.5">
      <c r="A259" s="4" t="str">
        <f ca="1">IFERROR(__xludf.DUMMYFUNCTION("""COMPUTED_VALUE"""),"TRX1384")</f>
        <v>TRX1384</v>
      </c>
      <c r="B259" s="4" t="str">
        <f ca="1">IFERROR(__xludf.DUMMYFUNCTION("""COMPUTED_VALUE"""),"#26")</f>
        <v>#26</v>
      </c>
      <c r="C259" s="5">
        <f ca="1">IFERROR(__xludf.DUMMYFUNCTION("""COMPUTED_VALUE"""),46071.4173611111)</f>
        <v>46071.417361111096</v>
      </c>
      <c r="D259" s="6">
        <f ca="1">IFERROR(__xludf.DUMMYFUNCTION("""COMPUTED_VALUE"""),158.2)</f>
        <v>158.19999999999999</v>
      </c>
      <c r="E259" s="4" t="str">
        <f ca="1">IFERROR(__xludf.DUMMYFUNCTION("""COMPUTED_VALUE"""),"MXN")</f>
        <v>MXN</v>
      </c>
      <c r="F259" s="4" t="str">
        <f ca="1">IFERROR(__xludf.DUMMYFUNCTION("""COMPUTED_VALUE"""),"Karen Alexandra Ballesteros Contreras")</f>
        <v>Karen Alexandra Ballesteros Contreras</v>
      </c>
      <c r="G259" s="4" t="str">
        <f ca="1">IFERROR(__xludf.DUMMYFUNCTION("""COMPUTED_VALUE"""),"OXXONACIONAL AIFA      ZUMPANGO EM   MEX")</f>
        <v>OXXONACIONAL AIFA      ZUMPANGO EM   MEX</v>
      </c>
      <c r="H259" s="4" t="str">
        <f ca="1">IFERROR(__xludf.DUMMYFUNCTION("""COMPUTED_VALUE"""),"Oxxonacional Aifa Zumpango Em Mex")</f>
        <v>Oxxonacional Aifa Zumpango Em Mex</v>
      </c>
      <c r="I259" s="4"/>
      <c r="J259" s="4"/>
      <c r="K259" s="4"/>
      <c r="S259" s="6">
        <v>1000</v>
      </c>
      <c r="T259" s="4" t="str">
        <f t="shared" ca="1" si="2"/>
        <v>Fernando Sanchez Toledano</v>
      </c>
    </row>
    <row r="260" spans="1:20" ht="12.5">
      <c r="A260" s="4" t="str">
        <f ca="1">IFERROR(__xludf.DUMMYFUNCTION("""COMPUTED_VALUE"""),"TRX1823")</f>
        <v>TRX1823</v>
      </c>
      <c r="B260" s="4" t="str">
        <f ca="1">IFERROR(__xludf.DUMMYFUNCTION("""COMPUTED_VALUE"""),"#26")</f>
        <v>#26</v>
      </c>
      <c r="C260" s="5">
        <f ca="1">IFERROR(__xludf.DUMMYFUNCTION("""COMPUTED_VALUE"""),46072.4166666666)</f>
        <v>46072.416666666599</v>
      </c>
      <c r="D260" s="6">
        <f ca="1">IFERROR(__xludf.DUMMYFUNCTION("""COMPUTED_VALUE"""),564)</f>
        <v>564</v>
      </c>
      <c r="E260" s="4" t="str">
        <f ca="1">IFERROR(__xludf.DUMMYFUNCTION("""COMPUTED_VALUE"""),"MXN")</f>
        <v>MXN</v>
      </c>
      <c r="F260" s="4" t="str">
        <f ca="1">IFERROR(__xludf.DUMMYFUNCTION("""COMPUTED_VALUE"""),"Karen Alexandra Ballesteros Contreras")</f>
        <v>Karen Alexandra Ballesteros Contreras</v>
      </c>
      <c r="G260" s="4" t="str">
        <f ca="1">IFERROR(__xludf.DUMMYFUNCTION("""COMPUTED_VALUE"""),"CARLS JR CORALES       VERACRUZ VER  MEX")</f>
        <v>CARLS JR CORALES       VERACRUZ VER  MEX</v>
      </c>
      <c r="H260" s="4" t="str">
        <f ca="1">IFERROR(__xludf.DUMMYFUNCTION("""COMPUTED_VALUE"""),"Carls Jr.")</f>
        <v>Carls Jr.</v>
      </c>
      <c r="I260" s="4"/>
      <c r="J260" s="4"/>
      <c r="K260" s="4"/>
      <c r="S260" s="6">
        <v>249.94</v>
      </c>
      <c r="T260" s="4" t="e">
        <f t="shared" ca="1" si="2"/>
        <v>#N/A</v>
      </c>
    </row>
    <row r="261" spans="1:20" ht="12.5">
      <c r="A261" s="4" t="str">
        <f ca="1">IFERROR(__xludf.DUMMYFUNCTION("""COMPUTED_VALUE"""),"TRX1172")</f>
        <v>TRX1172</v>
      </c>
      <c r="B261" s="4" t="str">
        <f ca="1">IFERROR(__xludf.DUMMYFUNCTION("""COMPUTED_VALUE"""),"#26")</f>
        <v>#26</v>
      </c>
      <c r="C261" s="5">
        <f ca="1">IFERROR(__xludf.DUMMYFUNCTION("""COMPUTED_VALUE"""),46072.4166666666)</f>
        <v>46072.416666666599</v>
      </c>
      <c r="D261" s="6">
        <f ca="1">IFERROR(__xludf.DUMMYFUNCTION("""COMPUTED_VALUE"""),73.51)</f>
        <v>73.510000000000005</v>
      </c>
      <c r="E261" s="4" t="str">
        <f ca="1">IFERROR(__xludf.DUMMYFUNCTION("""COMPUTED_VALUE"""),"MXN")</f>
        <v>MXN</v>
      </c>
      <c r="F261" s="4" t="str">
        <f ca="1">IFERROR(__xludf.DUMMYFUNCTION("""COMPUTED_VALUE"""),"Karen Alexandra Ballesteros Contreras")</f>
        <v>Karen Alexandra Ballesteros Contreras</v>
      </c>
      <c r="G261" s="4" t="str">
        <f ca="1">IFERROR(__xludf.DUMMYFUNCTION("""COMPUTED_VALUE"""),"D LOCAL*DIDI RIDES     CIUDAD DE MEX MEX")</f>
        <v>D LOCAL*DIDI RIDES     CIUDAD DE MEX MEX</v>
      </c>
      <c r="H261" s="4" t="str">
        <f ca="1">IFERROR(__xludf.DUMMYFUNCTION("""COMPUTED_VALUE"""),"Didi Chuxing")</f>
        <v>Didi Chuxing</v>
      </c>
      <c r="I261" s="4"/>
      <c r="J261" s="4"/>
      <c r="K261" s="4"/>
      <c r="S261" s="6">
        <v>61.2</v>
      </c>
      <c r="T261" s="4" t="str">
        <f t="shared" ca="1" si="2"/>
        <v>Emiliano Cavazos</v>
      </c>
    </row>
    <row r="262" spans="1:20" ht="12.5">
      <c r="A262" s="4" t="str">
        <f ca="1">IFERROR(__xludf.DUMMYFUNCTION("""COMPUTED_VALUE"""),"TRX1794")</f>
        <v>TRX1794</v>
      </c>
      <c r="B262" s="4" t="str">
        <f ca="1">IFERROR(__xludf.DUMMYFUNCTION("""COMPUTED_VALUE"""),"#26")</f>
        <v>#26</v>
      </c>
      <c r="C262" s="5">
        <f ca="1">IFERROR(__xludf.DUMMYFUNCTION("""COMPUTED_VALUE"""),46072.4166666666)</f>
        <v>46072.416666666599</v>
      </c>
      <c r="D262" s="6">
        <f ca="1">IFERROR(__xludf.DUMMYFUNCTION("""COMPUTED_VALUE"""),1202)</f>
        <v>1202</v>
      </c>
      <c r="E262" s="4" t="str">
        <f ca="1">IFERROR(__xludf.DUMMYFUNCTION("""COMPUTED_VALUE"""),"MXN")</f>
        <v>MXN</v>
      </c>
      <c r="F262" s="4" t="str">
        <f ca="1">IFERROR(__xludf.DUMMYFUNCTION("""COMPUTED_VALUE"""),"Karen Alexandra Ballesteros Contreras")</f>
        <v>Karen Alexandra Ballesteros Contreras</v>
      </c>
      <c r="G262" s="4" t="str">
        <f ca="1">IFERROR(__xludf.DUMMYFUNCTION("""COMPUTED_VALUE"""),"OFFICE DEPOT VER II    VERACRUZ VER  MEX")</f>
        <v>OFFICE DEPOT VER II    VERACRUZ VER  MEX</v>
      </c>
      <c r="H262" s="4" t="str">
        <f ca="1">IFERROR(__xludf.DUMMYFUNCTION("""COMPUTED_VALUE"""),"Office Depot")</f>
        <v>Office Depot</v>
      </c>
      <c r="I262" s="4"/>
      <c r="J262" s="4"/>
      <c r="K262" s="4"/>
      <c r="S262" s="6">
        <v>70</v>
      </c>
      <c r="T262" s="4" t="str">
        <f t="shared" ca="1" si="2"/>
        <v>Fernanda Sanchez Ruiz</v>
      </c>
    </row>
    <row r="263" spans="1:20" ht="12.5">
      <c r="A263" s="4" t="str">
        <f ca="1">IFERROR(__xludf.DUMMYFUNCTION("""COMPUTED_VALUE"""),"TRX1565")</f>
        <v>TRX1565</v>
      </c>
      <c r="B263" s="4" t="str">
        <f ca="1">IFERROR(__xludf.DUMMYFUNCTION("""COMPUTED_VALUE"""),"#26")</f>
        <v>#26</v>
      </c>
      <c r="C263" s="5">
        <f ca="1">IFERROR(__xludf.DUMMYFUNCTION("""COMPUTED_VALUE"""),46072.4166666666)</f>
        <v>46072.416666666599</v>
      </c>
      <c r="D263" s="6">
        <f ca="1">IFERROR(__xludf.DUMMYFUNCTION("""COMPUTED_VALUE"""),43)</f>
        <v>43</v>
      </c>
      <c r="E263" s="4" t="str">
        <f ca="1">IFERROR(__xludf.DUMMYFUNCTION("""COMPUTED_VALUE"""),"MXN")</f>
        <v>MXN</v>
      </c>
      <c r="F263" s="4" t="str">
        <f ca="1">IFERROR(__xludf.DUMMYFUNCTION("""COMPUTED_VALUE"""),"Karen Alexandra Ballesteros Contreras")</f>
        <v>Karen Alexandra Ballesteros Contreras</v>
      </c>
      <c r="G263" s="4" t="str">
        <f ca="1">IFERROR(__xludf.DUMMYFUNCTION("""COMPUTED_VALUE"""),"F AHORRO VRC7 CALLE 7  BOCA DEL RIO  MEX")</f>
        <v>F AHORRO VRC7 CALLE 7  BOCA DEL RIO  MEX</v>
      </c>
      <c r="H263" s="4" t="str">
        <f ca="1">IFERROR(__xludf.DUMMYFUNCTION("""COMPUTED_VALUE"""),"F Ahorro Vrc7 Calle 7 Boca Del Rio Mex")</f>
        <v>F Ahorro Vrc7 Calle 7 Boca Del Rio Mex</v>
      </c>
      <c r="I263" s="4"/>
      <c r="J263" s="4"/>
      <c r="K263" s="4"/>
      <c r="S263" s="6">
        <v>800</v>
      </c>
      <c r="T263" s="4" t="str">
        <f t="shared" ca="1" si="2"/>
        <v>Jose Rosas Ortiz</v>
      </c>
    </row>
    <row r="264" spans="1:20" ht="12.5">
      <c r="A264" s="4" t="str">
        <f ca="1">IFERROR(__xludf.DUMMYFUNCTION("""COMPUTED_VALUE"""),"TRX1217")</f>
        <v>TRX1217</v>
      </c>
      <c r="B264" s="4" t="str">
        <f ca="1">IFERROR(__xludf.DUMMYFUNCTION("""COMPUTED_VALUE"""),"#26")</f>
        <v>#26</v>
      </c>
      <c r="C264" s="5">
        <f ca="1">IFERROR(__xludf.DUMMYFUNCTION("""COMPUTED_VALUE"""),46072.4166666666)</f>
        <v>46072.416666666599</v>
      </c>
      <c r="D264" s="6">
        <f ca="1">IFERROR(__xludf.DUMMYFUNCTION("""COMPUTED_VALUE"""),180)</f>
        <v>180</v>
      </c>
      <c r="E264" s="4" t="str">
        <f ca="1">IFERROR(__xludf.DUMMYFUNCTION("""COMPUTED_VALUE"""),"MXN")</f>
        <v>MXN</v>
      </c>
      <c r="F264" s="4" t="str">
        <f ca="1">IFERROR(__xludf.DUMMYFUNCTION("""COMPUTED_VALUE"""),"Karen Alexandra Ballesteros Contreras")</f>
        <v>Karen Alexandra Ballesteros Contreras</v>
      </c>
      <c r="G264" s="4" t="str">
        <f ca="1">IFERROR(__xludf.DUMMYFUNCTION("""COMPUTED_VALUE"""),"OXXOCOSTA AZUL VER     VERACRUZ VER  MEX")</f>
        <v>OXXOCOSTA AZUL VER     VERACRUZ VER  MEX</v>
      </c>
      <c r="H264" s="4" t="str">
        <f ca="1">IFERROR(__xludf.DUMMYFUNCTION("""COMPUTED_VALUE"""),"Oxxocosta Azul Ver Veracruz Ver Mex")</f>
        <v>Oxxocosta Azul Ver Veracruz Ver Mex</v>
      </c>
      <c r="I264" s="4"/>
      <c r="J264" s="4"/>
      <c r="K264" s="4"/>
      <c r="S264" s="6">
        <v>274.68</v>
      </c>
      <c r="T264" s="4" t="e">
        <f t="shared" ca="1" si="2"/>
        <v>#N/A</v>
      </c>
    </row>
    <row r="265" spans="1:20" ht="12.5">
      <c r="A265" s="4" t="str">
        <f ca="1">IFERROR(__xludf.DUMMYFUNCTION("""COMPUTED_VALUE"""),"TRX1219")</f>
        <v>TRX1219</v>
      </c>
      <c r="B265" s="4" t="str">
        <f ca="1">IFERROR(__xludf.DUMMYFUNCTION("""COMPUTED_VALUE"""),"#26")</f>
        <v>#26</v>
      </c>
      <c r="C265" s="5">
        <f ca="1">IFERROR(__xludf.DUMMYFUNCTION("""COMPUTED_VALUE"""),46072.4166666666)</f>
        <v>46072.416666666599</v>
      </c>
      <c r="D265" s="6">
        <f ca="1">IFERROR(__xludf.DUMMYFUNCTION("""COMPUTED_VALUE"""),184)</f>
        <v>184</v>
      </c>
      <c r="E265" s="4" t="str">
        <f ca="1">IFERROR(__xludf.DUMMYFUNCTION("""COMPUTED_VALUE"""),"MXN")</f>
        <v>MXN</v>
      </c>
      <c r="F265" s="4" t="str">
        <f ca="1">IFERROR(__xludf.DUMMYFUNCTION("""COMPUTED_VALUE"""),"Karen Alexandra Ballesteros Contreras")</f>
        <v>Karen Alexandra Ballesteros Contreras</v>
      </c>
      <c r="G265" s="4" t="str">
        <f ca="1">IFERROR(__xludf.DUMMYFUNCTION("""COMPUTED_VALUE"""),"FAR GUAD 2094          BOCA DEL RIO  MEX")</f>
        <v>FAR GUAD 2094          BOCA DEL RIO  MEX</v>
      </c>
      <c r="H265" s="4" t="str">
        <f ca="1">IFERROR(__xludf.DUMMYFUNCTION("""COMPUTED_VALUE"""),"Far Guad 2094 Boca Del Rio Mex")</f>
        <v>Far Guad 2094 Boca Del Rio Mex</v>
      </c>
      <c r="I265" s="4"/>
      <c r="J265" s="4"/>
      <c r="K265" s="4"/>
      <c r="S265" s="6">
        <v>320</v>
      </c>
      <c r="T265" s="4" t="str">
        <f t="shared" ca="1" si="2"/>
        <v>Jose Ignacio Martinez Flemate</v>
      </c>
    </row>
    <row r="266" spans="1:20" ht="12.5">
      <c r="A266" s="4" t="str">
        <f ca="1">IFERROR(__xludf.DUMMYFUNCTION("""COMPUTED_VALUE"""),"TRX1691")</f>
        <v>TRX1691</v>
      </c>
      <c r="B266" s="4" t="str">
        <f ca="1">IFERROR(__xludf.DUMMYFUNCTION("""COMPUTED_VALUE"""),"#26")</f>
        <v>#26</v>
      </c>
      <c r="C266" s="5">
        <f ca="1">IFERROR(__xludf.DUMMYFUNCTION("""COMPUTED_VALUE"""),46072.4166666666)</f>
        <v>46072.416666666599</v>
      </c>
      <c r="D266" s="6">
        <f ca="1">IFERROR(__xludf.DUMMYFUNCTION("""COMPUTED_VALUE"""),140)</f>
        <v>140</v>
      </c>
      <c r="E266" s="4" t="str">
        <f ca="1">IFERROR(__xludf.DUMMYFUNCTION("""COMPUTED_VALUE"""),"MXN")</f>
        <v>MXN</v>
      </c>
      <c r="F266" s="4" t="str">
        <f ca="1">IFERROR(__xludf.DUMMYFUNCTION("""COMPUTED_VALUE"""),"Karen Alexandra Ballesteros Contreras")</f>
        <v>Karen Alexandra Ballesteros Contreras</v>
      </c>
      <c r="G266" s="4" t="str">
        <f ca="1">IFERROR(__xludf.DUMMYFUNCTION("""COMPUTED_VALUE"""),"NETPAY *TERMINAL CAFFE BOCA DEL RIO  MEX")</f>
        <v>NETPAY *TERMINAL CAFFE BOCA DEL RIO  MEX</v>
      </c>
      <c r="H266" s="4" t="str">
        <f ca="1">IFERROR(__xludf.DUMMYFUNCTION("""COMPUTED_VALUE"""),"Netpay Terminal Caffe Boca Del Rio Mex")</f>
        <v>Netpay Terminal Caffe Boca Del Rio Mex</v>
      </c>
      <c r="I266" s="4"/>
      <c r="J266" s="4"/>
      <c r="K266" s="4"/>
      <c r="S266" s="6">
        <v>587.1</v>
      </c>
      <c r="T266" s="4" t="e">
        <f t="shared" ca="1" si="2"/>
        <v>#N/A</v>
      </c>
    </row>
    <row r="267" spans="1:20" ht="12.5">
      <c r="A267" s="4" t="str">
        <f ca="1">IFERROR(__xludf.DUMMYFUNCTION("""COMPUTED_VALUE"""),"TRX1011")</f>
        <v>TRX1011</v>
      </c>
      <c r="B267" s="4" t="str">
        <f ca="1">IFERROR(__xludf.DUMMYFUNCTION("""COMPUTED_VALUE"""),"#26")</f>
        <v>#26</v>
      </c>
      <c r="C267" s="5">
        <f ca="1">IFERROR(__xludf.DUMMYFUNCTION("""COMPUTED_VALUE"""),46073.4166666666)</f>
        <v>46073.416666666599</v>
      </c>
      <c r="D267" s="6">
        <f ca="1">IFERROR(__xludf.DUMMYFUNCTION("""COMPUTED_VALUE"""),30)</f>
        <v>30</v>
      </c>
      <c r="E267" s="4" t="str">
        <f ca="1">IFERROR(__xludf.DUMMYFUNCTION("""COMPUTED_VALUE"""),"MXN")</f>
        <v>MXN</v>
      </c>
      <c r="F267" s="4" t="str">
        <f ca="1">IFERROR(__xludf.DUMMYFUNCTION("""COMPUTED_VALUE"""),"Karen Alexandra Ballesteros Contreras")</f>
        <v>Karen Alexandra Ballesteros Contreras</v>
      </c>
      <c r="G267" s="4" t="str">
        <f ca="1">IFERROR(__xludf.DUMMYFUNCTION("""COMPUTED_VALUE"""),"DLO DIDI RIDES MX      CIUDAD DE MEX MEX")</f>
        <v>DLO DIDI RIDES MX      CIUDAD DE MEX MEX</v>
      </c>
      <c r="H267" s="4" t="str">
        <f ca="1">IFERROR(__xludf.DUMMYFUNCTION("""COMPUTED_VALUE"""),"Didi Chuxing")</f>
        <v>Didi Chuxing</v>
      </c>
      <c r="I267" s="4"/>
      <c r="J267" s="4"/>
      <c r="K267" s="4"/>
      <c r="S267" s="6">
        <v>200.1</v>
      </c>
      <c r="T267" s="4" t="e">
        <f t="shared" ca="1" si="2"/>
        <v>#N/A</v>
      </c>
    </row>
    <row r="268" spans="1:20" ht="12.5">
      <c r="A268" s="4" t="str">
        <f ca="1">IFERROR(__xludf.DUMMYFUNCTION("""COMPUTED_VALUE"""),"TRX1218")</f>
        <v>TRX1218</v>
      </c>
      <c r="B268" s="4" t="str">
        <f ca="1">IFERROR(__xludf.DUMMYFUNCTION("""COMPUTED_VALUE"""),"#26")</f>
        <v>#26</v>
      </c>
      <c r="C268" s="5">
        <f ca="1">IFERROR(__xludf.DUMMYFUNCTION("""COMPUTED_VALUE"""),46073.4166666666)</f>
        <v>46073.416666666599</v>
      </c>
      <c r="D268" s="6">
        <f ca="1">IFERROR(__xludf.DUMMYFUNCTION("""COMPUTED_VALUE"""),12.09)</f>
        <v>12.09</v>
      </c>
      <c r="E268" s="4" t="str">
        <f ca="1">IFERROR(__xludf.DUMMYFUNCTION("""COMPUTED_VALUE"""),"MXN")</f>
        <v>MXN</v>
      </c>
      <c r="F268" s="4" t="str">
        <f ca="1">IFERROR(__xludf.DUMMYFUNCTION("""COMPUTED_VALUE"""),"Karen Alexandra Ballesteros Contreras")</f>
        <v>Karen Alexandra Ballesteros Contreras</v>
      </c>
      <c r="G268" s="4" t="str">
        <f ca="1">IFERROR(__xludf.DUMMYFUNCTION("""COMPUTED_VALUE"""),"DLO DIDI RIDES MX      CIUDAD DE MEX MEX")</f>
        <v>DLO DIDI RIDES MX      CIUDAD DE MEX MEX</v>
      </c>
      <c r="H268" s="4" t="str">
        <f ca="1">IFERROR(__xludf.DUMMYFUNCTION("""COMPUTED_VALUE"""),"Didi Chuxing")</f>
        <v>Didi Chuxing</v>
      </c>
      <c r="I268" s="4"/>
      <c r="J268" s="4"/>
      <c r="K268" s="4"/>
      <c r="S268" s="6">
        <v>338.09</v>
      </c>
      <c r="T268" s="4" t="e">
        <f t="shared" ca="1" si="2"/>
        <v>#N/A</v>
      </c>
    </row>
    <row r="269" spans="1:20" ht="12.5">
      <c r="A269" s="4" t="str">
        <f ca="1">IFERROR(__xludf.DUMMYFUNCTION("""COMPUTED_VALUE"""),"TRX1162")</f>
        <v>TRX1162</v>
      </c>
      <c r="B269" s="4" t="str">
        <f ca="1">IFERROR(__xludf.DUMMYFUNCTION("""COMPUTED_VALUE"""),"#26")</f>
        <v>#26</v>
      </c>
      <c r="C269" s="5">
        <f ca="1">IFERROR(__xludf.DUMMYFUNCTION("""COMPUTED_VALUE"""),46073.4166666666)</f>
        <v>46073.416666666599</v>
      </c>
      <c r="D269" s="6">
        <f ca="1">IFERROR(__xludf.DUMMYFUNCTION("""COMPUTED_VALUE"""),101)</f>
        <v>101</v>
      </c>
      <c r="E269" s="4" t="str">
        <f ca="1">IFERROR(__xludf.DUMMYFUNCTION("""COMPUTED_VALUE"""),"MXN")</f>
        <v>MXN</v>
      </c>
      <c r="F269" s="4" t="str">
        <f ca="1">IFERROR(__xludf.DUMMYFUNCTION("""COMPUTED_VALUE"""),"Karen Alexandra Ballesteros Contreras")</f>
        <v>Karen Alexandra Ballesteros Contreras</v>
      </c>
      <c r="G269" s="4" t="str">
        <f ca="1">IFERROR(__xludf.DUMMYFUNCTION("""COMPUTED_VALUE"""),"DLO DIDI RIDES MX      CIUDAD DE MEX MEX")</f>
        <v>DLO DIDI RIDES MX      CIUDAD DE MEX MEX</v>
      </c>
      <c r="H269" s="4" t="str">
        <f ca="1">IFERROR(__xludf.DUMMYFUNCTION("""COMPUTED_VALUE"""),"Didi Chuxing")</f>
        <v>Didi Chuxing</v>
      </c>
      <c r="I269" s="4"/>
      <c r="J269" s="4"/>
      <c r="K269" s="4"/>
      <c r="S269" s="6">
        <v>452.4</v>
      </c>
      <c r="T269" s="4" t="e">
        <f t="shared" ca="1" si="2"/>
        <v>#N/A</v>
      </c>
    </row>
    <row r="270" spans="1:20" ht="12.5">
      <c r="A270" s="4" t="str">
        <f ca="1">IFERROR(__xludf.DUMMYFUNCTION("""COMPUTED_VALUE"""),"TRX1366")</f>
        <v>TRX1366</v>
      </c>
      <c r="B270" s="4" t="str">
        <f ca="1">IFERROR(__xludf.DUMMYFUNCTION("""COMPUTED_VALUE"""),"#26")</f>
        <v>#26</v>
      </c>
      <c r="C270" s="5">
        <f ca="1">IFERROR(__xludf.DUMMYFUNCTION("""COMPUTED_VALUE"""),46073.4166666666)</f>
        <v>46073.416666666599</v>
      </c>
      <c r="D270" s="6">
        <f ca="1">IFERROR(__xludf.DUMMYFUNCTION("""COMPUTED_VALUE"""),349)</f>
        <v>349</v>
      </c>
      <c r="E270" s="4" t="str">
        <f ca="1">IFERROR(__xludf.DUMMYFUNCTION("""COMPUTED_VALUE"""),"MXN")</f>
        <v>MXN</v>
      </c>
      <c r="F270" s="4" t="str">
        <f ca="1">IFERROR(__xludf.DUMMYFUNCTION("""COMPUTED_VALUE"""),"Karen Alexandra Ballesteros Contreras")</f>
        <v>Karen Alexandra Ballesteros Contreras</v>
      </c>
      <c r="G270" s="4" t="str">
        <f ca="1">IFERROR(__xludf.DUMMYFUNCTION("""COMPUTED_VALUE"""),"D LOCAL*DIDI RIDES     CIUDAD DE MEX MEX")</f>
        <v>D LOCAL*DIDI RIDES     CIUDAD DE MEX MEX</v>
      </c>
      <c r="H270" s="4" t="str">
        <f ca="1">IFERROR(__xludf.DUMMYFUNCTION("""COMPUTED_VALUE"""),"Didi Chuxing")</f>
        <v>Didi Chuxing</v>
      </c>
      <c r="I270" s="4"/>
      <c r="J270" s="4"/>
      <c r="K270" s="4"/>
      <c r="S270" s="6">
        <v>1169.06</v>
      </c>
      <c r="T270" s="4" t="e">
        <f t="shared" ca="1" si="2"/>
        <v>#N/A</v>
      </c>
    </row>
    <row r="271" spans="1:20" ht="12.5">
      <c r="A271" s="4" t="str">
        <f ca="1">IFERROR(__xludf.DUMMYFUNCTION("""COMPUTED_VALUE"""),"TRX1022")</f>
        <v>TRX1022</v>
      </c>
      <c r="B271" s="4" t="str">
        <f ca="1">IFERROR(__xludf.DUMMYFUNCTION("""COMPUTED_VALUE"""),"#26")</f>
        <v>#26</v>
      </c>
      <c r="C271" s="5">
        <f ca="1">IFERROR(__xludf.DUMMYFUNCTION("""COMPUTED_VALUE"""),46073.4166666666)</f>
        <v>46073.416666666599</v>
      </c>
      <c r="D271" s="6">
        <f ca="1">IFERROR(__xludf.DUMMYFUNCTION("""COMPUTED_VALUE"""),121.35)</f>
        <v>121.35</v>
      </c>
      <c r="E271" s="4" t="str">
        <f ca="1">IFERROR(__xludf.DUMMYFUNCTION("""COMPUTED_VALUE"""),"MXN")</f>
        <v>MXN</v>
      </c>
      <c r="F271" s="4" t="str">
        <f ca="1">IFERROR(__xludf.DUMMYFUNCTION("""COMPUTED_VALUE"""),"Karen Alexandra Ballesteros Contreras")</f>
        <v>Karen Alexandra Ballesteros Contreras</v>
      </c>
      <c r="G271" s="4" t="str">
        <f ca="1">IFERROR(__xludf.DUMMYFUNCTION("""COMPUTED_VALUE"""),"UBER * EATS PENDING    CMX           MEX")</f>
        <v>UBER * EATS PENDING    CMX           MEX</v>
      </c>
      <c r="H271" s="4" t="str">
        <f ca="1">IFERROR(__xludf.DUMMYFUNCTION("""COMPUTED_VALUE"""),"Uber Eats")</f>
        <v>Uber Eats</v>
      </c>
      <c r="I271" s="4"/>
      <c r="J271" s="4"/>
      <c r="K271" s="4"/>
      <c r="S271" s="6">
        <v>303.83999999999997</v>
      </c>
      <c r="T271" s="4" t="e">
        <f t="shared" ca="1" si="2"/>
        <v>#N/A</v>
      </c>
    </row>
    <row r="272" spans="1:20" ht="12.5">
      <c r="A272" s="4" t="str">
        <f ca="1">IFERROR(__xludf.DUMMYFUNCTION("""COMPUTED_VALUE"""),"TRX1743")</f>
        <v>TRX1743</v>
      </c>
      <c r="B272" s="4" t="str">
        <f ca="1">IFERROR(__xludf.DUMMYFUNCTION("""COMPUTED_VALUE"""),"#26")</f>
        <v>#26</v>
      </c>
      <c r="C272" s="5">
        <f ca="1">IFERROR(__xludf.DUMMYFUNCTION("""COMPUTED_VALUE"""),46073.4166666666)</f>
        <v>46073.416666666599</v>
      </c>
      <c r="D272" s="6">
        <f ca="1">IFERROR(__xludf.DUMMYFUNCTION("""COMPUTED_VALUE"""),250)</f>
        <v>250</v>
      </c>
      <c r="E272" s="4" t="str">
        <f ca="1">IFERROR(__xludf.DUMMYFUNCTION("""COMPUTED_VALUE"""),"MXN")</f>
        <v>MXN</v>
      </c>
      <c r="F272" s="4" t="str">
        <f ca="1">IFERROR(__xludf.DUMMYFUNCTION("""COMPUTED_VALUE"""),"Karen Alexandra Ballesteros Contreras")</f>
        <v>Karen Alexandra Ballesteros Contreras</v>
      </c>
      <c r="G272" s="4" t="str">
        <f ca="1">IFERROR(__xludf.DUMMYFUNCTION("""COMPUTED_VALUE"""),"D LOCAL*DIDI RIDES     CIUDAD DE MEX MEX")</f>
        <v>D LOCAL*DIDI RIDES     CIUDAD DE MEX MEX</v>
      </c>
      <c r="H272" s="4" t="str">
        <f ca="1">IFERROR(__xludf.DUMMYFUNCTION("""COMPUTED_VALUE"""),"Didi Chuxing")</f>
        <v>Didi Chuxing</v>
      </c>
      <c r="I272" s="4"/>
      <c r="J272" s="4"/>
      <c r="K272" s="4"/>
      <c r="S272" s="6">
        <v>2835.58</v>
      </c>
      <c r="T272" s="4" t="e">
        <f t="shared" ca="1" si="2"/>
        <v>#N/A</v>
      </c>
    </row>
    <row r="273" spans="1:20" ht="12.5">
      <c r="A273" s="4" t="str">
        <f ca="1">IFERROR(__xludf.DUMMYFUNCTION("""COMPUTED_VALUE"""),"TRX1061")</f>
        <v>TRX1061</v>
      </c>
      <c r="B273" s="4" t="str">
        <f ca="1">IFERROR(__xludf.DUMMYFUNCTION("""COMPUTED_VALUE"""),"#26")</f>
        <v>#26</v>
      </c>
      <c r="C273" s="5">
        <f ca="1">IFERROR(__xludf.DUMMYFUNCTION("""COMPUTED_VALUE"""),46073.4173611111)</f>
        <v>46073.417361111096</v>
      </c>
      <c r="D273" s="6">
        <f ca="1">IFERROR(__xludf.DUMMYFUNCTION("""COMPUTED_VALUE"""),188)</f>
        <v>188</v>
      </c>
      <c r="E273" s="4" t="str">
        <f ca="1">IFERROR(__xludf.DUMMYFUNCTION("""COMPUTED_VALUE"""),"MXN")</f>
        <v>MXN</v>
      </c>
      <c r="F273" s="4" t="str">
        <f ca="1">IFERROR(__xludf.DUMMYFUNCTION("""COMPUTED_VALUE"""),"Karen Alexandra Ballesteros Contreras")</f>
        <v>Karen Alexandra Ballesteros Contreras</v>
      </c>
      <c r="G273" s="4" t="str">
        <f ca="1">IFERROR(__xludf.DUMMYFUNCTION("""COMPUTED_VALUE"""),"REST JOHNNY ROCKETS    VERACRUZ VER  MEX")</f>
        <v>REST JOHNNY ROCKETS    VERACRUZ VER  MEX</v>
      </c>
      <c r="H273" s="4" t="str">
        <f ca="1">IFERROR(__xludf.DUMMYFUNCTION("""COMPUTED_VALUE"""),"Johnny Rockets")</f>
        <v>Johnny Rockets</v>
      </c>
      <c r="I273" s="4"/>
      <c r="J273" s="4"/>
      <c r="K273" s="4"/>
      <c r="S273" s="6">
        <v>94</v>
      </c>
      <c r="T273" s="4" t="e">
        <f t="shared" ca="1" si="2"/>
        <v>#N/A</v>
      </c>
    </row>
    <row r="274" spans="1:20" ht="12.5">
      <c r="A274" s="4" t="str">
        <f ca="1">IFERROR(__xludf.DUMMYFUNCTION("""COMPUTED_VALUE"""),"TRX1711")</f>
        <v>TRX1711</v>
      </c>
      <c r="B274" s="4" t="str">
        <f ca="1">IFERROR(__xludf.DUMMYFUNCTION("""COMPUTED_VALUE"""),"#26")</f>
        <v>#26</v>
      </c>
      <c r="C274" s="5">
        <f ca="1">IFERROR(__xludf.DUMMYFUNCTION("""COMPUTED_VALUE"""),46074.4166666666)</f>
        <v>46074.416666666599</v>
      </c>
      <c r="D274" s="6">
        <f ca="1">IFERROR(__xludf.DUMMYFUNCTION("""COMPUTED_VALUE"""),20)</f>
        <v>20</v>
      </c>
      <c r="E274" s="4" t="str">
        <f ca="1">IFERROR(__xludf.DUMMYFUNCTION("""COMPUTED_VALUE"""),"MXN")</f>
        <v>MXN</v>
      </c>
      <c r="F274" s="4" t="str">
        <f ca="1">IFERROR(__xludf.DUMMYFUNCTION("""COMPUTED_VALUE"""),"Karen Alexandra Ballesteros Contreras")</f>
        <v>Karen Alexandra Ballesteros Contreras</v>
      </c>
      <c r="G274" s="4" t="str">
        <f ca="1">IFERROR(__xludf.DUMMYFUNCTION("""COMPUTED_VALUE"""),"DLO DIDI RIDES MX      CIUDAD DE MEX MEX")</f>
        <v>DLO DIDI RIDES MX      CIUDAD DE MEX MEX</v>
      </c>
      <c r="H274" s="4" t="str">
        <f ca="1">IFERROR(__xludf.DUMMYFUNCTION("""COMPUTED_VALUE"""),"Didi Chuxing")</f>
        <v>Didi Chuxing</v>
      </c>
      <c r="I274" s="4"/>
      <c r="J274" s="4"/>
      <c r="K274" s="4"/>
      <c r="S274" s="6">
        <v>1429.83</v>
      </c>
      <c r="T274" s="4" t="e">
        <f t="shared" ca="1" si="2"/>
        <v>#N/A</v>
      </c>
    </row>
    <row r="275" spans="1:20" ht="12.5">
      <c r="A275" s="4" t="str">
        <f ca="1">IFERROR(__xludf.DUMMYFUNCTION("""COMPUTED_VALUE"""),"TRX1013")</f>
        <v>TRX1013</v>
      </c>
      <c r="B275" s="4" t="str">
        <f ca="1">IFERROR(__xludf.DUMMYFUNCTION("""COMPUTED_VALUE"""),"#26")</f>
        <v>#26</v>
      </c>
      <c r="C275" s="5">
        <f ca="1">IFERROR(__xludf.DUMMYFUNCTION("""COMPUTED_VALUE"""),46074.4166666666)</f>
        <v>46074.416666666599</v>
      </c>
      <c r="D275" s="6">
        <f ca="1">IFERROR(__xludf.DUMMYFUNCTION("""COMPUTED_VALUE"""),92)</f>
        <v>92</v>
      </c>
      <c r="E275" s="4" t="str">
        <f ca="1">IFERROR(__xludf.DUMMYFUNCTION("""COMPUTED_VALUE"""),"MXN")</f>
        <v>MXN</v>
      </c>
      <c r="F275" s="4" t="str">
        <f ca="1">IFERROR(__xludf.DUMMYFUNCTION("""COMPUTED_VALUE"""),"Karen Alexandra Ballesteros Contreras")</f>
        <v>Karen Alexandra Ballesteros Contreras</v>
      </c>
      <c r="G275" s="4" t="str">
        <f ca="1">IFERROR(__xludf.DUMMYFUNCTION("""COMPUTED_VALUE"""),"D LOCAL*DIDI RIDES     CIUDAD DE MEX MEX")</f>
        <v>D LOCAL*DIDI RIDES     CIUDAD DE MEX MEX</v>
      </c>
      <c r="H275" s="4" t="str">
        <f ca="1">IFERROR(__xludf.DUMMYFUNCTION("""COMPUTED_VALUE"""),"Didi Chuxing")</f>
        <v>Didi Chuxing</v>
      </c>
      <c r="I275" s="4"/>
      <c r="J275" s="4"/>
      <c r="K275" s="4"/>
      <c r="S275" s="6">
        <v>5449.36</v>
      </c>
      <c r="T275" s="4" t="e">
        <f t="shared" ca="1" si="2"/>
        <v>#N/A</v>
      </c>
    </row>
    <row r="276" spans="1:20" ht="12.5">
      <c r="A276" s="4" t="str">
        <f ca="1">IFERROR(__xludf.DUMMYFUNCTION("""COMPUTED_VALUE"""),"TRX1025")</f>
        <v>TRX1025</v>
      </c>
      <c r="B276" s="4" t="str">
        <f ca="1">IFERROR(__xludf.DUMMYFUNCTION("""COMPUTED_VALUE"""),"#26")</f>
        <v>#26</v>
      </c>
      <c r="C276" s="5">
        <f ca="1">IFERROR(__xludf.DUMMYFUNCTION("""COMPUTED_VALUE"""),46074.4173611111)</f>
        <v>46074.417361111096</v>
      </c>
      <c r="D276" s="6">
        <f ca="1">IFERROR(__xludf.DUMMYFUNCTION("""COMPUTED_VALUE"""),55)</f>
        <v>55</v>
      </c>
      <c r="E276" s="4" t="str">
        <f ca="1">IFERROR(__xludf.DUMMYFUNCTION("""COMPUTED_VALUE"""),"MXN")</f>
        <v>MXN</v>
      </c>
      <c r="F276" s="4" t="str">
        <f ca="1">IFERROR(__xludf.DUMMYFUNCTION("""COMPUTED_VALUE"""),"Karen Alexandra Ballesteros Contreras")</f>
        <v>Karen Alexandra Ballesteros Contreras</v>
      </c>
      <c r="G276" s="4" t="str">
        <f ca="1">IFERROR(__xludf.DUMMYFUNCTION("""COMPUTED_VALUE"""),"D LOCAL*DIDI RIDES     CIUDAD DE MEX MEX")</f>
        <v>D LOCAL*DIDI RIDES     CIUDAD DE MEX MEX</v>
      </c>
      <c r="H276" s="4" t="str">
        <f ca="1">IFERROR(__xludf.DUMMYFUNCTION("""COMPUTED_VALUE"""),"Didi Chuxing")</f>
        <v>Didi Chuxing</v>
      </c>
      <c r="I276" s="4"/>
      <c r="J276" s="4"/>
      <c r="K276" s="4"/>
      <c r="S276" s="6">
        <v>6348.82</v>
      </c>
      <c r="T276" s="4" t="e">
        <f t="shared" ca="1" si="2"/>
        <v>#N/A</v>
      </c>
    </row>
    <row r="277" spans="1:20" ht="12.5">
      <c r="A277" s="4" t="str">
        <f ca="1">IFERROR(__xludf.DUMMYFUNCTION("""COMPUTED_VALUE"""),"TRX1026")</f>
        <v>TRX1026</v>
      </c>
      <c r="B277" s="4" t="str">
        <f ca="1">IFERROR(__xludf.DUMMYFUNCTION("""COMPUTED_VALUE"""),"#26")</f>
        <v>#26</v>
      </c>
      <c r="C277" s="5">
        <f ca="1">IFERROR(__xludf.DUMMYFUNCTION("""COMPUTED_VALUE"""),46074.4173611111)</f>
        <v>46074.417361111096</v>
      </c>
      <c r="D277" s="6">
        <f ca="1">IFERROR(__xludf.DUMMYFUNCTION("""COMPUTED_VALUE"""),194)</f>
        <v>194</v>
      </c>
      <c r="E277" s="4" t="str">
        <f ca="1">IFERROR(__xludf.DUMMYFUNCTION("""COMPUTED_VALUE"""),"MXN")</f>
        <v>MXN</v>
      </c>
      <c r="F277" s="4" t="str">
        <f ca="1">IFERROR(__xludf.DUMMYFUNCTION("""COMPUTED_VALUE"""),"Karen Alexandra Ballesteros Contreras")</f>
        <v>Karen Alexandra Ballesteros Contreras</v>
      </c>
      <c r="G277" s="4" t="str">
        <f ca="1">IFERROR(__xludf.DUMMYFUNCTION("""COMPUTED_VALUE"""),"D LOCAL*DIDI RIDES     CIUDAD DE MEX MEX")</f>
        <v>D LOCAL*DIDI RIDES     CIUDAD DE MEX MEX</v>
      </c>
      <c r="H277" s="4" t="str">
        <f ca="1">IFERROR(__xludf.DUMMYFUNCTION("""COMPUTED_VALUE"""),"Didi Chuxing")</f>
        <v>Didi Chuxing</v>
      </c>
      <c r="I277" s="4"/>
      <c r="J277" s="4"/>
      <c r="K277" s="4"/>
      <c r="S277" s="6">
        <v>850</v>
      </c>
      <c r="T277" s="4" t="e">
        <f t="shared" ca="1" si="2"/>
        <v>#N/A</v>
      </c>
    </row>
    <row r="278" spans="1:20" ht="12.5">
      <c r="A278" s="4" t="str">
        <f ca="1">IFERROR(__xludf.DUMMYFUNCTION("""COMPUTED_VALUE"""),"TRX1027")</f>
        <v>TRX1027</v>
      </c>
      <c r="B278" s="4" t="str">
        <f ca="1">IFERROR(__xludf.DUMMYFUNCTION("""COMPUTED_VALUE"""),"#26")</f>
        <v>#26</v>
      </c>
      <c r="C278" s="5">
        <f ca="1">IFERROR(__xludf.DUMMYFUNCTION("""COMPUTED_VALUE"""),46074.4173611111)</f>
        <v>46074.417361111096</v>
      </c>
      <c r="D278" s="6">
        <f ca="1">IFERROR(__xludf.DUMMYFUNCTION("""COMPUTED_VALUE"""),113)</f>
        <v>113</v>
      </c>
      <c r="E278" s="4" t="str">
        <f ca="1">IFERROR(__xludf.DUMMYFUNCTION("""COMPUTED_VALUE"""),"MXN")</f>
        <v>MXN</v>
      </c>
      <c r="F278" s="4" t="str">
        <f ca="1">IFERROR(__xludf.DUMMYFUNCTION("""COMPUTED_VALUE"""),"Karen Alexandra Ballesteros Contreras")</f>
        <v>Karen Alexandra Ballesteros Contreras</v>
      </c>
      <c r="G278" s="4" t="str">
        <f ca="1">IFERROR(__xludf.DUMMYFUNCTION("""COMPUTED_VALUE"""),"OXXO CALACOAYA         TLALNEPANTLA  MEX")</f>
        <v>OXXO CALACOAYA         TLALNEPANTLA  MEX</v>
      </c>
      <c r="H278" s="4" t="str">
        <f ca="1">IFERROR(__xludf.DUMMYFUNCTION("""COMPUTED_VALUE"""),"Oxxo")</f>
        <v>Oxxo</v>
      </c>
      <c r="I278" s="4"/>
      <c r="J278" s="4"/>
      <c r="K278" s="4"/>
      <c r="S278" s="6">
        <v>550</v>
      </c>
      <c r="T278" s="4" t="e">
        <f t="shared" ca="1" si="2"/>
        <v>#N/A</v>
      </c>
    </row>
    <row r="279" spans="1:20" ht="12.5">
      <c r="A279" s="4" t="str">
        <f ca="1">IFERROR(__xludf.DUMMYFUNCTION("""COMPUTED_VALUE"""),"TRX1048")</f>
        <v>TRX1048</v>
      </c>
      <c r="B279" s="4" t="str">
        <f ca="1">IFERROR(__xludf.DUMMYFUNCTION("""COMPUTED_VALUE"""),"#26")</f>
        <v>#26</v>
      </c>
      <c r="C279" s="5">
        <f ca="1">IFERROR(__xludf.DUMMYFUNCTION("""COMPUTED_VALUE"""),46075.4166666666)</f>
        <v>46075.416666666599</v>
      </c>
      <c r="D279" s="6">
        <f ca="1">IFERROR(__xludf.DUMMYFUNCTION("""COMPUTED_VALUE"""),37.9)</f>
        <v>37.9</v>
      </c>
      <c r="E279" s="4" t="str">
        <f ca="1">IFERROR(__xludf.DUMMYFUNCTION("""COMPUTED_VALUE"""),"MXN")</f>
        <v>MXN</v>
      </c>
      <c r="F279" s="4" t="str">
        <f ca="1">IFERROR(__xludf.DUMMYFUNCTION("""COMPUTED_VALUE"""),"Karen Alexandra Ballesteros Contreras")</f>
        <v>Karen Alexandra Ballesteros Contreras</v>
      </c>
      <c r="G279" s="4" t="str">
        <f ca="1">IFERROR(__xludf.DUMMYFUNCTION("""COMPUTED_VALUE"""),"UBER *TRIP HELP.UBER.C CMX           MEX")</f>
        <v>UBER *TRIP HELP.UBER.C CMX           MEX</v>
      </c>
      <c r="H279" s="4" t="str">
        <f ca="1">IFERROR(__xludf.DUMMYFUNCTION("""COMPUTED_VALUE"""),"Uber")</f>
        <v>Uber</v>
      </c>
      <c r="I279" s="4"/>
      <c r="J279" s="4"/>
      <c r="K279" s="4"/>
      <c r="S279" s="6">
        <v>222.58</v>
      </c>
      <c r="T279" s="4" t="e">
        <f t="shared" ca="1" si="2"/>
        <v>#N/A</v>
      </c>
    </row>
    <row r="280" spans="1:20" ht="12.5">
      <c r="A280" s="4" t="str">
        <f ca="1">IFERROR(__xludf.DUMMYFUNCTION("""COMPUTED_VALUE"""),"TRX1054")</f>
        <v>TRX1054</v>
      </c>
      <c r="B280" s="4" t="str">
        <f ca="1">IFERROR(__xludf.DUMMYFUNCTION("""COMPUTED_VALUE"""),"#26")</f>
        <v>#26</v>
      </c>
      <c r="C280" s="5">
        <f ca="1">IFERROR(__xludf.DUMMYFUNCTION("""COMPUTED_VALUE"""),46075.4166666666)</f>
        <v>46075.416666666599</v>
      </c>
      <c r="D280" s="6">
        <f ca="1">IFERROR(__xludf.DUMMYFUNCTION("""COMPUTED_VALUE"""),134.62)</f>
        <v>134.62</v>
      </c>
      <c r="E280" s="4" t="str">
        <f ca="1">IFERROR(__xludf.DUMMYFUNCTION("""COMPUTED_VALUE"""),"MXN")</f>
        <v>MXN</v>
      </c>
      <c r="F280" s="4" t="str">
        <f ca="1">IFERROR(__xludf.DUMMYFUNCTION("""COMPUTED_VALUE"""),"Karen Alexandra Ballesteros Contreras")</f>
        <v>Karen Alexandra Ballesteros Contreras</v>
      </c>
      <c r="G280" s="4" t="str">
        <f ca="1">IFERROR(__xludf.DUMMYFUNCTION("""COMPUTED_VALUE"""),"UBER *TRIP HELP.UBER.C CMX           MEX")</f>
        <v>UBER *TRIP HELP.UBER.C CMX           MEX</v>
      </c>
      <c r="H280" s="4" t="str">
        <f ca="1">IFERROR(__xludf.DUMMYFUNCTION("""COMPUTED_VALUE"""),"Uber")</f>
        <v>Uber</v>
      </c>
      <c r="I280" s="4"/>
      <c r="J280" s="4"/>
      <c r="K280" s="4"/>
      <c r="S280" s="6">
        <v>472.34</v>
      </c>
      <c r="T280" s="4" t="e">
        <f t="shared" ca="1" si="2"/>
        <v>#N/A</v>
      </c>
    </row>
    <row r="281" spans="1:20" ht="12.5">
      <c r="A281" s="4" t="str">
        <f ca="1">IFERROR(__xludf.DUMMYFUNCTION("""COMPUTED_VALUE"""),"TRX1060")</f>
        <v>TRX1060</v>
      </c>
      <c r="B281" s="4" t="str">
        <f ca="1">IFERROR(__xludf.DUMMYFUNCTION("""COMPUTED_VALUE"""),"#26")</f>
        <v>#26</v>
      </c>
      <c r="C281" s="5">
        <f ca="1">IFERROR(__xludf.DUMMYFUNCTION("""COMPUTED_VALUE"""),46075.4166666666)</f>
        <v>46075.416666666599</v>
      </c>
      <c r="D281" s="6">
        <f ca="1">IFERROR(__xludf.DUMMYFUNCTION("""COMPUTED_VALUE"""),244)</f>
        <v>244</v>
      </c>
      <c r="E281" s="4" t="str">
        <f ca="1">IFERROR(__xludf.DUMMYFUNCTION("""COMPUTED_VALUE"""),"MXN")</f>
        <v>MXN</v>
      </c>
      <c r="F281" s="4" t="str">
        <f ca="1">IFERROR(__xludf.DUMMYFUNCTION("""COMPUTED_VALUE"""),"Karen Alexandra Ballesteros Contreras")</f>
        <v>Karen Alexandra Ballesteros Contreras</v>
      </c>
      <c r="G281" s="4" t="str">
        <f ca="1">IFERROR(__xludf.DUMMYFUNCTION("""COMPUTED_VALUE"""),"MISC PITS TOL ZIT      ALMOLOYA DE J MEX")</f>
        <v>MISC PITS TOL ZIT      ALMOLOYA DE J MEX</v>
      </c>
      <c r="H281" s="4" t="str">
        <f ca="1">IFERROR(__xludf.DUMMYFUNCTION("""COMPUTED_VALUE"""),"Misc Pits Tol Zit Almoloya De J Mex")</f>
        <v>Misc Pits Tol Zit Almoloya De J Mex</v>
      </c>
      <c r="I281" s="4"/>
      <c r="J281" s="4"/>
      <c r="K281" s="4"/>
      <c r="S281" s="6">
        <v>96.5</v>
      </c>
      <c r="T281" s="4" t="str">
        <f t="shared" ca="1" si="2"/>
        <v>Erik Castillo</v>
      </c>
    </row>
    <row r="282" spans="1:20" ht="12.5">
      <c r="A282" s="4" t="str">
        <f ca="1">IFERROR(__xludf.DUMMYFUNCTION("""COMPUTED_VALUE"""),"TRX1061")</f>
        <v>TRX1061</v>
      </c>
      <c r="B282" s="4" t="str">
        <f ca="1">IFERROR(__xludf.DUMMYFUNCTION("""COMPUTED_VALUE"""),"#26")</f>
        <v>#26</v>
      </c>
      <c r="C282" s="5">
        <f ca="1">IFERROR(__xludf.DUMMYFUNCTION("""COMPUTED_VALUE"""),46075.4166666666)</f>
        <v>46075.416666666599</v>
      </c>
      <c r="D282" s="6">
        <f ca="1">IFERROR(__xludf.DUMMYFUNCTION("""COMPUTED_VALUE"""),510)</f>
        <v>510</v>
      </c>
      <c r="E282" s="4" t="str">
        <f ca="1">IFERROR(__xludf.DUMMYFUNCTION("""COMPUTED_VALUE"""),"MXN")</f>
        <v>MXN</v>
      </c>
      <c r="F282" s="4" t="str">
        <f ca="1">IFERROR(__xludf.DUMMYFUNCTION("""COMPUTED_VALUE"""),"Karen Alexandra Ballesteros Contreras")</f>
        <v>Karen Alexandra Ballesteros Contreras</v>
      </c>
      <c r="G282" s="4" t="str">
        <f ca="1">IFERROR(__xludf.DUMMYFUNCTION("""COMPUTED_VALUE"""),"MERCADOPAGO *PASE      MIGUEL HIDALG MEX")</f>
        <v>MERCADOPAGO *PASE      MIGUEL HIDALG MEX</v>
      </c>
      <c r="H282" s="4" t="str">
        <f ca="1">IFERROR(__xludf.DUMMYFUNCTION("""COMPUTED_VALUE"""),"Mercadopago")</f>
        <v>Mercadopago</v>
      </c>
      <c r="I282" s="4"/>
      <c r="J282" s="4"/>
      <c r="K282" s="4"/>
      <c r="S282" s="6">
        <v>183.44</v>
      </c>
      <c r="T282" s="4" t="e">
        <f t="shared" ca="1" si="2"/>
        <v>#N/A</v>
      </c>
    </row>
    <row r="283" spans="1:20" ht="12.5">
      <c r="A283" s="4" t="str">
        <f ca="1">IFERROR(__xludf.DUMMYFUNCTION("""COMPUTED_VALUE"""),"TRX1063")</f>
        <v>TRX1063</v>
      </c>
      <c r="B283" s="4" t="str">
        <f ca="1">IFERROR(__xludf.DUMMYFUNCTION("""COMPUTED_VALUE"""),"#26")</f>
        <v>#26</v>
      </c>
      <c r="C283" s="5">
        <f ca="1">IFERROR(__xludf.DUMMYFUNCTION("""COMPUTED_VALUE"""),46075.4166666666)</f>
        <v>46075.416666666599</v>
      </c>
      <c r="D283" s="6">
        <f ca="1">IFERROR(__xludf.DUMMYFUNCTION("""COMPUTED_VALUE"""),440)</f>
        <v>440</v>
      </c>
      <c r="E283" s="4" t="str">
        <f ca="1">IFERROR(__xludf.DUMMYFUNCTION("""COMPUTED_VALUE"""),"MXN")</f>
        <v>MXN</v>
      </c>
      <c r="F283" s="4" t="str">
        <f ca="1">IFERROR(__xludf.DUMMYFUNCTION("""COMPUTED_VALUE"""),"Karen Alexandra Ballesteros Contreras")</f>
        <v>Karen Alexandra Ballesteros Contreras</v>
      </c>
      <c r="G283" s="4" t="str">
        <f ca="1">IFERROR(__xludf.DUMMYFUNCTION("""COMPUTED_VALUE"""),"MERCADOPAGO *ELCOCHIL  Naucalpan     MEX")</f>
        <v>MERCADOPAGO *ELCOCHIL  Naucalpan     MEX</v>
      </c>
      <c r="H283" s="4" t="str">
        <f ca="1">IFERROR(__xludf.DUMMYFUNCTION("""COMPUTED_VALUE"""),"Mercadopago")</f>
        <v>Mercadopago</v>
      </c>
      <c r="I283" s="4"/>
      <c r="J283" s="4"/>
      <c r="K283" s="4"/>
      <c r="S283" s="6">
        <v>605</v>
      </c>
      <c r="T283" s="4" t="e">
        <f t="shared" ca="1" si="2"/>
        <v>#N/A</v>
      </c>
    </row>
    <row r="284" spans="1:20" ht="12.5">
      <c r="A284" s="4" t="str">
        <f ca="1">IFERROR(__xludf.DUMMYFUNCTION("""COMPUTED_VALUE"""),"TRX1064")</f>
        <v>TRX1064</v>
      </c>
      <c r="B284" s="4" t="str">
        <f ca="1">IFERROR(__xludf.DUMMYFUNCTION("""COMPUTED_VALUE"""),"#26")</f>
        <v>#26</v>
      </c>
      <c r="C284" s="5">
        <f ca="1">IFERROR(__xludf.DUMMYFUNCTION("""COMPUTED_VALUE"""),46075.4166666666)</f>
        <v>46075.416666666599</v>
      </c>
      <c r="D284" s="6">
        <f ca="1">IFERROR(__xludf.DUMMYFUNCTION("""COMPUTED_VALUE"""),510)</f>
        <v>510</v>
      </c>
      <c r="E284" s="4" t="str">
        <f ca="1">IFERROR(__xludf.DUMMYFUNCTION("""COMPUTED_VALUE"""),"MXN")</f>
        <v>MXN</v>
      </c>
      <c r="F284" s="4" t="str">
        <f ca="1">IFERROR(__xludf.DUMMYFUNCTION("""COMPUTED_VALUE"""),"Karen Alexandra Ballesteros Contreras")</f>
        <v>Karen Alexandra Ballesteros Contreras</v>
      </c>
      <c r="G284" s="4" t="str">
        <f ca="1">IFERROR(__xludf.DUMMYFUNCTION("""COMPUTED_VALUE"""),"MERCADOPAGO *PASE      MIGUEL HIDALG MEX")</f>
        <v>MERCADOPAGO *PASE      MIGUEL HIDALG MEX</v>
      </c>
      <c r="H284" s="4" t="str">
        <f ca="1">IFERROR(__xludf.DUMMYFUNCTION("""COMPUTED_VALUE"""),"Mercadopago")</f>
        <v>Mercadopago</v>
      </c>
      <c r="I284" s="4"/>
      <c r="J284" s="4"/>
      <c r="K284" s="4"/>
      <c r="S284" s="6">
        <v>1985.6</v>
      </c>
      <c r="T284" s="4" t="e">
        <f t="shared" ca="1" si="2"/>
        <v>#N/A</v>
      </c>
    </row>
    <row r="285" spans="1:20" ht="12.5">
      <c r="A285" s="4" t="str">
        <f ca="1">IFERROR(__xludf.DUMMYFUNCTION("""COMPUTED_VALUE"""),"TRX1066")</f>
        <v>TRX1066</v>
      </c>
      <c r="B285" s="4" t="str">
        <f ca="1">IFERROR(__xludf.DUMMYFUNCTION("""COMPUTED_VALUE"""),"#26")</f>
        <v>#26</v>
      </c>
      <c r="C285" s="5">
        <f ca="1">IFERROR(__xludf.DUMMYFUNCTION("""COMPUTED_VALUE"""),46075.4166666666)</f>
        <v>46075.416666666599</v>
      </c>
      <c r="D285" s="6">
        <f ca="1">IFERROR(__xludf.DUMMYFUNCTION("""COMPUTED_VALUE"""),79)</f>
        <v>79</v>
      </c>
      <c r="E285" s="4" t="str">
        <f ca="1">IFERROR(__xludf.DUMMYFUNCTION("""COMPUTED_VALUE"""),"MXN")</f>
        <v>MXN</v>
      </c>
      <c r="F285" s="4" t="str">
        <f ca="1">IFERROR(__xludf.DUMMYFUNCTION("""COMPUTED_VALUE"""),"Karen Alexandra Ballesteros Contreras")</f>
        <v>Karen Alexandra Ballesteros Contreras</v>
      </c>
      <c r="G285" s="4" t="str">
        <f ca="1">IFERROR(__xludf.DUMMYFUNCTION("""COMPUTED_VALUE"""),"MISC PITS TOL ZIT      ALMOLOYA DE J MEX")</f>
        <v>MISC PITS TOL ZIT      ALMOLOYA DE J MEX</v>
      </c>
      <c r="H285" s="4" t="str">
        <f ca="1">IFERROR(__xludf.DUMMYFUNCTION("""COMPUTED_VALUE"""),"Misc Pits Tol Zit Almoloya De J Mex")</f>
        <v>Misc Pits Tol Zit Almoloya De J Mex</v>
      </c>
      <c r="I285" s="4"/>
      <c r="J285" s="4"/>
      <c r="K285" s="4"/>
      <c r="S285" s="6">
        <v>2783</v>
      </c>
      <c r="T285" s="4" t="e">
        <f t="shared" ca="1" si="2"/>
        <v>#N/A</v>
      </c>
    </row>
    <row r="286" spans="1:20" ht="12.5">
      <c r="A286" s="4" t="str">
        <f ca="1">IFERROR(__xludf.DUMMYFUNCTION("""COMPUTED_VALUE"""),"TRX1081")</f>
        <v>TRX1081</v>
      </c>
      <c r="B286" s="4" t="str">
        <f ca="1">IFERROR(__xludf.DUMMYFUNCTION("""COMPUTED_VALUE"""),"#26")</f>
        <v>#26</v>
      </c>
      <c r="C286" s="5">
        <f ca="1">IFERROR(__xludf.DUMMYFUNCTION("""COMPUTED_VALUE"""),46075.4173611111)</f>
        <v>46075.417361111096</v>
      </c>
      <c r="D286" s="6">
        <f ca="1">IFERROR(__xludf.DUMMYFUNCTION("""COMPUTED_VALUE"""),357)</f>
        <v>357</v>
      </c>
      <c r="E286" s="4" t="str">
        <f ca="1">IFERROR(__xludf.DUMMYFUNCTION("""COMPUTED_VALUE"""),"MXN")</f>
        <v>MXN</v>
      </c>
      <c r="F286" s="4" t="str">
        <f ca="1">IFERROR(__xludf.DUMMYFUNCTION("""COMPUTED_VALUE"""),"Karen Alexandra Ballesteros Contreras")</f>
        <v>Karen Alexandra Ballesteros Contreras</v>
      </c>
      <c r="G286" s="4" t="str">
        <f ca="1">IFERROR(__xludf.DUMMYFUNCTION("""COMPUTED_VALUE"""),"FARMA PLUS             VALLE DE BRAV MEX")</f>
        <v>FARMA PLUS             VALLE DE BRAV MEX</v>
      </c>
      <c r="H286" s="4" t="str">
        <f ca="1">IFERROR(__xludf.DUMMYFUNCTION("""COMPUTED_VALUE"""),"Farma Plus Valle De Brav Mex")</f>
        <v>Farma Plus Valle De Brav Mex</v>
      </c>
      <c r="I286" s="4"/>
      <c r="J286" s="4"/>
      <c r="K286" s="4"/>
      <c r="S286" s="6">
        <v>796.95</v>
      </c>
      <c r="T286" s="4" t="e">
        <f t="shared" ca="1" si="2"/>
        <v>#N/A</v>
      </c>
    </row>
    <row r="287" spans="1:20" ht="12.5">
      <c r="A287" s="4" t="str">
        <f ca="1">IFERROR(__xludf.DUMMYFUNCTION("""COMPUTED_VALUE"""),"TRX1084")</f>
        <v>TRX1084</v>
      </c>
      <c r="B287" s="4" t="str">
        <f ca="1">IFERROR(__xludf.DUMMYFUNCTION("""COMPUTED_VALUE"""),"#26")</f>
        <v>#26</v>
      </c>
      <c r="C287" s="5">
        <f ca="1">IFERROR(__xludf.DUMMYFUNCTION("""COMPUTED_VALUE"""),46075.4173611111)</f>
        <v>46075.417361111096</v>
      </c>
      <c r="D287" s="6">
        <f ca="1">IFERROR(__xludf.DUMMYFUNCTION("""COMPUTED_VALUE"""),61)</f>
        <v>61</v>
      </c>
      <c r="E287" s="4" t="str">
        <f ca="1">IFERROR(__xludf.DUMMYFUNCTION("""COMPUTED_VALUE"""),"MXN")</f>
        <v>MXN</v>
      </c>
      <c r="F287" s="4" t="str">
        <f ca="1">IFERROR(__xludf.DUMMYFUNCTION("""COMPUTED_VALUE"""),"Karen Alexandra Ballesteros Contreras")</f>
        <v>Karen Alexandra Ballesteros Contreras</v>
      </c>
      <c r="G287" s="4" t="str">
        <f ca="1">IFERROR(__xludf.DUMMYFUNCTION("""COMPUTED_VALUE"""),"OXXO BICENTENARIO TLC  TEMOAYA EM    MEX")</f>
        <v>OXXO BICENTENARIO TLC  TEMOAYA EM    MEX</v>
      </c>
      <c r="H287" s="4" t="str">
        <f ca="1">IFERROR(__xludf.DUMMYFUNCTION("""COMPUTED_VALUE"""),"Oxxo")</f>
        <v>Oxxo</v>
      </c>
      <c r="I287" s="4"/>
      <c r="J287" s="4"/>
      <c r="K287" s="4"/>
      <c r="S287" s="6">
        <v>1000</v>
      </c>
      <c r="T287" s="4" t="str">
        <f t="shared" ca="1" si="2"/>
        <v>Fernando Sanchez Toledano</v>
      </c>
    </row>
    <row r="288" spans="1:20" ht="12.5">
      <c r="A288" s="4" t="str">
        <f ca="1">IFERROR(__xludf.DUMMYFUNCTION("""COMPUTED_VALUE"""),"TRX1093")</f>
        <v>TRX1093</v>
      </c>
      <c r="B288" s="4" t="str">
        <f ca="1">IFERROR(__xludf.DUMMYFUNCTION("""COMPUTED_VALUE"""),"#26")</f>
        <v>#26</v>
      </c>
      <c r="C288" s="5">
        <f ca="1">IFERROR(__xludf.DUMMYFUNCTION("""COMPUTED_VALUE"""),46076.4166666666)</f>
        <v>46076.416666666599</v>
      </c>
      <c r="D288" s="6">
        <f ca="1">IFERROR(__xludf.DUMMYFUNCTION("""COMPUTED_VALUE"""),181.32)</f>
        <v>181.32</v>
      </c>
      <c r="E288" s="4" t="str">
        <f ca="1">IFERROR(__xludf.DUMMYFUNCTION("""COMPUTED_VALUE"""),"MXN")</f>
        <v>MXN</v>
      </c>
      <c r="F288" s="4" t="str">
        <f ca="1">IFERROR(__xludf.DUMMYFUNCTION("""COMPUTED_VALUE"""),"Karen Alexandra Ballesteros Contreras")</f>
        <v>Karen Alexandra Ballesteros Contreras</v>
      </c>
      <c r="G288" s="4" t="str">
        <f ca="1">IFERROR(__xludf.DUMMYFUNCTION("""COMPUTED_VALUE"""),"UBER *TRIP HELP.UBER.C CMX           MEX")</f>
        <v>UBER *TRIP HELP.UBER.C CMX           MEX</v>
      </c>
      <c r="H288" s="4" t="str">
        <f ca="1">IFERROR(__xludf.DUMMYFUNCTION("""COMPUTED_VALUE"""),"Uber")</f>
        <v>Uber</v>
      </c>
      <c r="I288" s="4"/>
      <c r="J288" s="4"/>
      <c r="K288" s="4"/>
      <c r="S288" s="6">
        <v>180</v>
      </c>
      <c r="T288" s="4" t="str">
        <f t="shared" ca="1" si="2"/>
        <v>Karen Alexandra Ballesteros Contreras</v>
      </c>
    </row>
    <row r="289" spans="1:20" ht="12.5">
      <c r="A289" s="4" t="str">
        <f ca="1">IFERROR(__xludf.DUMMYFUNCTION("""COMPUTED_VALUE"""),"TRX1094")</f>
        <v>TRX1094</v>
      </c>
      <c r="B289" s="4" t="str">
        <f ca="1">IFERROR(__xludf.DUMMYFUNCTION("""COMPUTED_VALUE"""),"#26")</f>
        <v>#26</v>
      </c>
      <c r="C289" s="5">
        <f ca="1">IFERROR(__xludf.DUMMYFUNCTION("""COMPUTED_VALUE"""),46076.4166666666)</f>
        <v>46076.416666666599</v>
      </c>
      <c r="D289" s="6">
        <f ca="1">IFERROR(__xludf.DUMMYFUNCTION("""COMPUTED_VALUE"""),110)</f>
        <v>110</v>
      </c>
      <c r="E289" s="4" t="str">
        <f ca="1">IFERROR(__xludf.DUMMYFUNCTION("""COMPUTED_VALUE"""),"MXN")</f>
        <v>MXN</v>
      </c>
      <c r="F289" s="4" t="str">
        <f ca="1">IFERROR(__xludf.DUMMYFUNCTION("""COMPUTED_VALUE"""),"Karen Alexandra Ballesteros Contreras")</f>
        <v>Karen Alexandra Ballesteros Contreras</v>
      </c>
      <c r="G289" s="4" t="str">
        <f ca="1">IFERROR(__xludf.DUMMYFUNCTION("""COMPUTED_VALUE"""),"KONFIO *MIBAIT         MEXICO        MEX")</f>
        <v>KONFIO *MIBAIT         MEXICO        MEX</v>
      </c>
      <c r="H289" s="4" t="str">
        <f ca="1">IFERROR(__xludf.DUMMYFUNCTION("""COMPUTED_VALUE"""),"Konfio Mibait Mexico Mex")</f>
        <v>Konfio Mibait Mexico Mex</v>
      </c>
      <c r="I289" s="4"/>
      <c r="J289" s="4"/>
      <c r="K289" s="4"/>
      <c r="S289" s="6">
        <v>23.5</v>
      </c>
      <c r="T289" s="4" t="str">
        <f t="shared" ca="1" si="2"/>
        <v>Jose Ignacio Martinez Flemate</v>
      </c>
    </row>
    <row r="290" spans="1:20" ht="12.5">
      <c r="A290" s="4" t="str">
        <f ca="1">IFERROR(__xludf.DUMMYFUNCTION("""COMPUTED_VALUE"""),"TRX1100")</f>
        <v>TRX1100</v>
      </c>
      <c r="B290" s="4" t="str">
        <f ca="1">IFERROR(__xludf.DUMMYFUNCTION("""COMPUTED_VALUE"""),"#26")</f>
        <v>#26</v>
      </c>
      <c r="C290" s="5">
        <f ca="1">IFERROR(__xludf.DUMMYFUNCTION("""COMPUTED_VALUE"""),46076.4166666666)</f>
        <v>46076.416666666599</v>
      </c>
      <c r="D290" s="6">
        <f ca="1">IFERROR(__xludf.DUMMYFUNCTION("""COMPUTED_VALUE"""),600)</f>
        <v>600</v>
      </c>
      <c r="E290" s="4" t="str">
        <f ca="1">IFERROR(__xludf.DUMMYFUNCTION("""COMPUTED_VALUE"""),"MXN")</f>
        <v>MXN</v>
      </c>
      <c r="F290" s="4" t="str">
        <f ca="1">IFERROR(__xludf.DUMMYFUNCTION("""COMPUTED_VALUE"""),"Karen Alexandra Ballesteros Contreras")</f>
        <v>Karen Alexandra Ballesteros Contreras</v>
      </c>
      <c r="G290" s="4" t="str">
        <f ca="1">IFERROR(__xludf.DUMMYFUNCTION("""COMPUTED_VALUE"""),"SERV EL DORADO         TEMOAYA EM    MEX")</f>
        <v>SERV EL DORADO         TEMOAYA EM    MEX</v>
      </c>
      <c r="H290" s="4" t="str">
        <f ca="1">IFERROR(__xludf.DUMMYFUNCTION("""COMPUTED_VALUE"""),"Serv El Dorado Temoaya Em Mex")</f>
        <v>Serv El Dorado Temoaya Em Mex</v>
      </c>
      <c r="I290" s="4"/>
      <c r="J290" s="4"/>
      <c r="K290" s="4"/>
      <c r="S290" s="6">
        <v>1829</v>
      </c>
      <c r="T290" s="4" t="e">
        <f t="shared" ca="1" si="2"/>
        <v>#N/A</v>
      </c>
    </row>
    <row r="291" spans="1:20" ht="12.5">
      <c r="A291" s="4" t="str">
        <f ca="1">IFERROR(__xludf.DUMMYFUNCTION("""COMPUTED_VALUE"""),"TRX1109")</f>
        <v>TRX1109</v>
      </c>
      <c r="B291" s="4" t="str">
        <f ca="1">IFERROR(__xludf.DUMMYFUNCTION("""COMPUTED_VALUE"""),"#26")</f>
        <v>#26</v>
      </c>
      <c r="C291" s="5">
        <f ca="1">IFERROR(__xludf.DUMMYFUNCTION("""COMPUTED_VALUE"""),46077.4166666666)</f>
        <v>46077.416666666599</v>
      </c>
      <c r="D291" s="6">
        <f ca="1">IFERROR(__xludf.DUMMYFUNCTION("""COMPUTED_VALUE"""),210)</f>
        <v>210</v>
      </c>
      <c r="E291" s="4" t="str">
        <f ca="1">IFERROR(__xludf.DUMMYFUNCTION("""COMPUTED_VALUE"""),"MXN")</f>
        <v>MXN</v>
      </c>
      <c r="F291" s="4" t="str">
        <f ca="1">IFERROR(__xludf.DUMMYFUNCTION("""COMPUTED_VALUE"""),"Karen Alexandra Ballesteros Contreras")</f>
        <v>Karen Alexandra Ballesteros Contreras</v>
      </c>
      <c r="G291" s="4" t="str">
        <f ca="1">IFERROR(__xludf.DUMMYFUNCTION("""COMPUTED_VALUE"""),"MERCADOPAGO *PASE      MIGUEL HIDALG MEX")</f>
        <v>MERCADOPAGO *PASE      MIGUEL HIDALG MEX</v>
      </c>
      <c r="H291" s="4" t="str">
        <f ca="1">IFERROR(__xludf.DUMMYFUNCTION("""COMPUTED_VALUE"""),"Mercadopago")</f>
        <v>Mercadopago</v>
      </c>
      <c r="I291" s="4"/>
      <c r="J291" s="4"/>
      <c r="K291" s="4"/>
      <c r="S291" s="6">
        <v>725</v>
      </c>
      <c r="T291" s="4" t="e">
        <f t="shared" ca="1" si="2"/>
        <v>#N/A</v>
      </c>
    </row>
    <row r="292" spans="1:20" ht="12.5">
      <c r="A292" s="4" t="str">
        <f ca="1">IFERROR(__xludf.DUMMYFUNCTION("""COMPUTED_VALUE"""),"TRX1110")</f>
        <v>TRX1110</v>
      </c>
      <c r="B292" s="4" t="str">
        <f ca="1">IFERROR(__xludf.DUMMYFUNCTION("""COMPUTED_VALUE"""),"#26")</f>
        <v>#26</v>
      </c>
      <c r="C292" s="5">
        <f ca="1">IFERROR(__xludf.DUMMYFUNCTION("""COMPUTED_VALUE"""),46077.4166666666)</f>
        <v>46077.416666666599</v>
      </c>
      <c r="D292" s="6">
        <f ca="1">IFERROR(__xludf.DUMMYFUNCTION("""COMPUTED_VALUE"""),410)</f>
        <v>410</v>
      </c>
      <c r="E292" s="4" t="str">
        <f ca="1">IFERROR(__xludf.DUMMYFUNCTION("""COMPUTED_VALUE"""),"MXN")</f>
        <v>MXN</v>
      </c>
      <c r="F292" s="4" t="str">
        <f ca="1">IFERROR(__xludf.DUMMYFUNCTION("""COMPUTED_VALUE"""),"Karen Alexandra Ballesteros Contreras")</f>
        <v>Karen Alexandra Ballesteros Contreras</v>
      </c>
      <c r="G292" s="4" t="str">
        <f ca="1">IFERROR(__xludf.DUMMYFUNCTION("""COMPUTED_VALUE"""),"MERCADOPAGO *PASE      MIGUEL HIDALG MEX")</f>
        <v>MERCADOPAGO *PASE      MIGUEL HIDALG MEX</v>
      </c>
      <c r="H292" s="4" t="str">
        <f ca="1">IFERROR(__xludf.DUMMYFUNCTION("""COMPUTED_VALUE"""),"Mercadopago")</f>
        <v>Mercadopago</v>
      </c>
      <c r="I292" s="4"/>
      <c r="J292" s="4"/>
      <c r="K292" s="4"/>
      <c r="S292" s="6">
        <v>1452.51</v>
      </c>
      <c r="T292" s="4" t="e">
        <f t="shared" ca="1" si="2"/>
        <v>#N/A</v>
      </c>
    </row>
    <row r="293" spans="1:20" ht="12.5">
      <c r="A293" s="4" t="str">
        <f ca="1">IFERROR(__xludf.DUMMYFUNCTION("""COMPUTED_VALUE"""),"TRX1112")</f>
        <v>TRX1112</v>
      </c>
      <c r="B293" s="4" t="str">
        <f ca="1">IFERROR(__xludf.DUMMYFUNCTION("""COMPUTED_VALUE"""),"#26")</f>
        <v>#26</v>
      </c>
      <c r="C293" s="5">
        <f ca="1">IFERROR(__xludf.DUMMYFUNCTION("""COMPUTED_VALUE"""),46077.4166666666)</f>
        <v>46077.416666666599</v>
      </c>
      <c r="D293" s="6">
        <f ca="1">IFERROR(__xludf.DUMMYFUNCTION("""COMPUTED_VALUE"""),500)</f>
        <v>500</v>
      </c>
      <c r="E293" s="4" t="str">
        <f ca="1">IFERROR(__xludf.DUMMYFUNCTION("""COMPUTED_VALUE"""),"MXN")</f>
        <v>MXN</v>
      </c>
      <c r="F293" s="4" t="str">
        <f ca="1">IFERROR(__xludf.DUMMYFUNCTION("""COMPUTED_VALUE"""),"Karen Alexandra Ballesteros Contreras")</f>
        <v>Karen Alexandra Ballesteros Contreras</v>
      </c>
      <c r="G293" s="4" t="str">
        <f ca="1">IFERROR(__xludf.DUMMYFUNCTION("""COMPUTED_VALUE"""),"EST 407 AEROPUERTO     CIUDAD DE MEX MEX")</f>
        <v>EST 407 AEROPUERTO     CIUDAD DE MEX MEX</v>
      </c>
      <c r="H293" s="4" t="str">
        <f ca="1">IFERROR(__xludf.DUMMYFUNCTION("""COMPUTED_VALUE"""),"Est 407 Aeropuerto Ciudad De Mex Mex")</f>
        <v>Est 407 Aeropuerto Ciudad De Mex Mex</v>
      </c>
      <c r="I293" s="4"/>
      <c r="J293" s="4"/>
      <c r="K293" s="4"/>
      <c r="S293" s="6">
        <v>253</v>
      </c>
      <c r="T293" s="4" t="e">
        <f t="shared" ca="1" si="2"/>
        <v>#N/A</v>
      </c>
    </row>
    <row r="294" spans="1:20" ht="12.5">
      <c r="A294" s="4" t="str">
        <f ca="1">IFERROR(__xludf.DUMMYFUNCTION("""COMPUTED_VALUE"""),"TRX1138")</f>
        <v>TRX1138</v>
      </c>
      <c r="B294" s="4" t="str">
        <f ca="1">IFERROR(__xludf.DUMMYFUNCTION("""COMPUTED_VALUE"""),"#26")</f>
        <v>#26</v>
      </c>
      <c r="C294" s="5">
        <f ca="1">IFERROR(__xludf.DUMMYFUNCTION("""COMPUTED_VALUE"""),46078.4166666666)</f>
        <v>46078.416666666599</v>
      </c>
      <c r="D294" s="6">
        <f ca="1">IFERROR(__xludf.DUMMYFUNCTION("""COMPUTED_VALUE"""),210)</f>
        <v>210</v>
      </c>
      <c r="E294" s="4" t="str">
        <f ca="1">IFERROR(__xludf.DUMMYFUNCTION("""COMPUTED_VALUE"""),"MXN")</f>
        <v>MXN</v>
      </c>
      <c r="F294" s="4" t="str">
        <f ca="1">IFERROR(__xludf.DUMMYFUNCTION("""COMPUTED_VALUE"""),"Karen Alexandra Ballesteros Contreras")</f>
        <v>Karen Alexandra Ballesteros Contreras</v>
      </c>
      <c r="G294" s="4" t="str">
        <f ca="1">IFERROR(__xludf.DUMMYFUNCTION("""COMPUTED_VALUE"""),"MERCADOPAGO *PASE      MIGUEL HIDALG MEX")</f>
        <v>MERCADOPAGO *PASE      MIGUEL HIDALG MEX</v>
      </c>
      <c r="H294" s="4" t="str">
        <f ca="1">IFERROR(__xludf.DUMMYFUNCTION("""COMPUTED_VALUE"""),"Mercadopago")</f>
        <v>Mercadopago</v>
      </c>
      <c r="I294" s="4"/>
      <c r="J294" s="4"/>
      <c r="K294" s="4"/>
      <c r="S294" s="6">
        <v>14.5</v>
      </c>
      <c r="T294" s="4" t="e">
        <f t="shared" ca="1" si="2"/>
        <v>#N/A</v>
      </c>
    </row>
    <row r="295" spans="1:20" ht="12.5">
      <c r="A295" s="4" t="str">
        <f ca="1">IFERROR(__xludf.DUMMYFUNCTION("""COMPUTED_VALUE"""),"TRX1139")</f>
        <v>TRX1139</v>
      </c>
      <c r="B295" s="4" t="str">
        <f ca="1">IFERROR(__xludf.DUMMYFUNCTION("""COMPUTED_VALUE"""),"#26")</f>
        <v>#26</v>
      </c>
      <c r="C295" s="5">
        <f ca="1">IFERROR(__xludf.DUMMYFUNCTION("""COMPUTED_VALUE"""),46078.4166666666)</f>
        <v>46078.416666666599</v>
      </c>
      <c r="D295" s="6">
        <f ca="1">IFERROR(__xludf.DUMMYFUNCTION("""COMPUTED_VALUE"""),310)</f>
        <v>310</v>
      </c>
      <c r="E295" s="4" t="str">
        <f ca="1">IFERROR(__xludf.DUMMYFUNCTION("""COMPUTED_VALUE"""),"MXN")</f>
        <v>MXN</v>
      </c>
      <c r="F295" s="4" t="str">
        <f ca="1">IFERROR(__xludf.DUMMYFUNCTION("""COMPUTED_VALUE"""),"Karen Alexandra Ballesteros Contreras")</f>
        <v>Karen Alexandra Ballesteros Contreras</v>
      </c>
      <c r="G295" s="4" t="str">
        <f ca="1">IFERROR(__xludf.DUMMYFUNCTION("""COMPUTED_VALUE"""),"MERCADOPAGO *PASE      MIGUEL HIDALG MEX")</f>
        <v>MERCADOPAGO *PASE      MIGUEL HIDALG MEX</v>
      </c>
      <c r="H295" s="4" t="str">
        <f ca="1">IFERROR(__xludf.DUMMYFUNCTION("""COMPUTED_VALUE"""),"Mercadopago")</f>
        <v>Mercadopago</v>
      </c>
      <c r="I295" s="4"/>
      <c r="J295" s="4"/>
      <c r="K295" s="4"/>
      <c r="S295" s="6">
        <v>165</v>
      </c>
      <c r="T295" s="4" t="str">
        <f t="shared" ca="1" si="2"/>
        <v>Carlos Ivan Gonzalez Merino</v>
      </c>
    </row>
    <row r="296" spans="1:20" ht="12.5">
      <c r="A296" s="4" t="str">
        <f ca="1">IFERROR(__xludf.DUMMYFUNCTION("""COMPUTED_VALUE"""),"TRX1149")</f>
        <v>TRX1149</v>
      </c>
      <c r="B296" s="4" t="str">
        <f ca="1">IFERROR(__xludf.DUMMYFUNCTION("""COMPUTED_VALUE"""),"#26")</f>
        <v>#26</v>
      </c>
      <c r="C296" s="5">
        <f ca="1">IFERROR(__xludf.DUMMYFUNCTION("""COMPUTED_VALUE"""),46078.4166666666)</f>
        <v>46078.416666666599</v>
      </c>
      <c r="D296" s="6">
        <f ca="1">IFERROR(__xludf.DUMMYFUNCTION("""COMPUTED_VALUE"""),31.5)</f>
        <v>31.5</v>
      </c>
      <c r="E296" s="4" t="str">
        <f ca="1">IFERROR(__xludf.DUMMYFUNCTION("""COMPUTED_VALUE"""),"MXN")</f>
        <v>MXN</v>
      </c>
      <c r="F296" s="4" t="str">
        <f ca="1">IFERROR(__xludf.DUMMYFUNCTION("""COMPUTED_VALUE"""),"Karen Alexandra Ballesteros Contreras")</f>
        <v>Karen Alexandra Ballesteros Contreras</v>
      </c>
      <c r="G296" s="4" t="str">
        <f ca="1">IFERROR(__xludf.DUMMYFUNCTION("""COMPUTED_VALUE"""),"UBER * PENDING         CMX           MEX")</f>
        <v>UBER * PENDING         CMX           MEX</v>
      </c>
      <c r="H296" s="4" t="str">
        <f ca="1">IFERROR(__xludf.DUMMYFUNCTION("""COMPUTED_VALUE"""),"Uber")</f>
        <v>Uber</v>
      </c>
      <c r="I296" s="4"/>
      <c r="J296" s="4"/>
      <c r="K296" s="4"/>
      <c r="S296" s="6">
        <v>100</v>
      </c>
      <c r="T296" s="4" t="str">
        <f t="shared" ca="1" si="2"/>
        <v>Daniel Autrique Echeveste</v>
      </c>
    </row>
    <row r="297" spans="1:20" ht="12.5">
      <c r="A297" s="4" t="str">
        <f ca="1">IFERROR(__xludf.DUMMYFUNCTION("""COMPUTED_VALUE"""),"TRX1151")</f>
        <v>TRX1151</v>
      </c>
      <c r="B297" s="4" t="str">
        <f ca="1">IFERROR(__xludf.DUMMYFUNCTION("""COMPUTED_VALUE"""),"#26")</f>
        <v>#26</v>
      </c>
      <c r="C297" s="5">
        <f ca="1">IFERROR(__xludf.DUMMYFUNCTION("""COMPUTED_VALUE"""),46078.4166666666)</f>
        <v>46078.416666666599</v>
      </c>
      <c r="D297" s="6">
        <f ca="1">IFERROR(__xludf.DUMMYFUNCTION("""COMPUTED_VALUE"""),17)</f>
        <v>17</v>
      </c>
      <c r="E297" s="4" t="str">
        <f ca="1">IFERROR(__xludf.DUMMYFUNCTION("""COMPUTED_VALUE"""),"MXN")</f>
        <v>MXN</v>
      </c>
      <c r="F297" s="4" t="str">
        <f ca="1">IFERROR(__xludf.DUMMYFUNCTION("""COMPUTED_VALUE"""),"Karen Alexandra Ballesteros Contreras")</f>
        <v>Karen Alexandra Ballesteros Contreras</v>
      </c>
      <c r="G297" s="4" t="str">
        <f ca="1">IFERROR(__xludf.DUMMYFUNCTION("""COMPUTED_VALUE"""),"Didi Mexico            CAUHTEMOC     MEX")</f>
        <v>Didi Mexico            CAUHTEMOC     MEX</v>
      </c>
      <c r="H297" s="4" t="str">
        <f ca="1">IFERROR(__xludf.DUMMYFUNCTION("""COMPUTED_VALUE"""),"Didi Mexico Cauhtemoc Mex")</f>
        <v>Didi Mexico Cauhtemoc Mex</v>
      </c>
      <c r="I297" s="4"/>
      <c r="J297" s="4"/>
      <c r="K297" s="4"/>
      <c r="S297" s="6">
        <v>851.51</v>
      </c>
      <c r="T297" s="4" t="e">
        <f t="shared" ca="1" si="2"/>
        <v>#N/A</v>
      </c>
    </row>
    <row r="298" spans="1:20" ht="12.5">
      <c r="A298" s="4" t="str">
        <f ca="1">IFERROR(__xludf.DUMMYFUNCTION("""COMPUTED_VALUE"""),"TRX1156")</f>
        <v>TRX1156</v>
      </c>
      <c r="B298" s="4" t="str">
        <f ca="1">IFERROR(__xludf.DUMMYFUNCTION("""COMPUTED_VALUE"""),"#26")</f>
        <v>#26</v>
      </c>
      <c r="C298" s="5">
        <f ca="1">IFERROR(__xludf.DUMMYFUNCTION("""COMPUTED_VALUE"""),46078.4166666666)</f>
        <v>46078.416666666599</v>
      </c>
      <c r="D298" s="6">
        <f ca="1">IFERROR(__xludf.DUMMYFUNCTION("""COMPUTED_VALUE"""),163)</f>
        <v>163</v>
      </c>
      <c r="E298" s="4" t="str">
        <f ca="1">IFERROR(__xludf.DUMMYFUNCTION("""COMPUTED_VALUE"""),"MXN")</f>
        <v>MXN</v>
      </c>
      <c r="F298" s="4" t="str">
        <f ca="1">IFERROR(__xludf.DUMMYFUNCTION("""COMPUTED_VALUE"""),"Karen Alexandra Ballesteros Contreras")</f>
        <v>Karen Alexandra Ballesteros Contreras</v>
      </c>
      <c r="G298" s="4" t="str">
        <f ca="1">IFERROR(__xludf.DUMMYFUNCTION("""COMPUTED_VALUE"""),"D LOCAL*DIDI RIDES     CIUDAD DE MEX MEX")</f>
        <v>D LOCAL*DIDI RIDES     CIUDAD DE MEX MEX</v>
      </c>
      <c r="H298" s="4" t="str">
        <f ca="1">IFERROR(__xludf.DUMMYFUNCTION("""COMPUTED_VALUE"""),"Didi Chuxing")</f>
        <v>Didi Chuxing</v>
      </c>
      <c r="I298" s="4"/>
      <c r="J298" s="4"/>
      <c r="K298" s="4"/>
      <c r="S298" s="6">
        <v>1117.8</v>
      </c>
      <c r="T298" s="4" t="e">
        <f t="shared" ca="1" si="2"/>
        <v>#N/A</v>
      </c>
    </row>
    <row r="299" spans="1:20" ht="12.5">
      <c r="A299" s="4" t="str">
        <f ca="1">IFERROR(__xludf.DUMMYFUNCTION("""COMPUTED_VALUE"""),"TRX1158")</f>
        <v>TRX1158</v>
      </c>
      <c r="B299" s="4" t="str">
        <f ca="1">IFERROR(__xludf.DUMMYFUNCTION("""COMPUTED_VALUE"""),"#26")</f>
        <v>#26</v>
      </c>
      <c r="C299" s="5">
        <f ca="1">IFERROR(__xludf.DUMMYFUNCTION("""COMPUTED_VALUE"""),46078.4173611111)</f>
        <v>46078.417361111096</v>
      </c>
      <c r="D299" s="6">
        <f ca="1">IFERROR(__xludf.DUMMYFUNCTION("""COMPUTED_VALUE"""),115.5)</f>
        <v>115.5</v>
      </c>
      <c r="E299" s="4" t="str">
        <f ca="1">IFERROR(__xludf.DUMMYFUNCTION("""COMPUTED_VALUE"""),"MXN")</f>
        <v>MXN</v>
      </c>
      <c r="F299" s="4" t="str">
        <f ca="1">IFERROR(__xludf.DUMMYFUNCTION("""COMPUTED_VALUE"""),"Karen Alexandra Ballesteros Contreras")</f>
        <v>Karen Alexandra Ballesteros Contreras</v>
      </c>
      <c r="G299" s="4" t="str">
        <f ca="1">IFERROR(__xludf.DUMMYFUNCTION("""COMPUTED_VALUE"""),"OLI CAFE NT            CIUDAD DE MEX MEX")</f>
        <v>OLI CAFE NT            CIUDAD DE MEX MEX</v>
      </c>
      <c r="H299" s="4" t="str">
        <f ca="1">IFERROR(__xludf.DUMMYFUNCTION("""COMPUTED_VALUE"""),"Oli Cafe Nt Ciudad De Mex Mex")</f>
        <v>Oli Cafe Nt Ciudad De Mex Mex</v>
      </c>
      <c r="I299" s="4"/>
      <c r="J299" s="4"/>
      <c r="K299" s="4"/>
      <c r="S299" s="6">
        <v>1005.2</v>
      </c>
      <c r="T299" s="4" t="e">
        <f t="shared" ca="1" si="2"/>
        <v>#N/A</v>
      </c>
    </row>
    <row r="300" spans="1:20" ht="12.5">
      <c r="A300" s="4" t="str">
        <f ca="1">IFERROR(__xludf.DUMMYFUNCTION("""COMPUTED_VALUE"""),"TRX1165")</f>
        <v>TRX1165</v>
      </c>
      <c r="B300" s="4" t="str">
        <f ca="1">IFERROR(__xludf.DUMMYFUNCTION("""COMPUTED_VALUE"""),"#26")</f>
        <v>#26</v>
      </c>
      <c r="C300" s="5">
        <f ca="1">IFERROR(__xludf.DUMMYFUNCTION("""COMPUTED_VALUE"""),46078.4173611111)</f>
        <v>46078.417361111096</v>
      </c>
      <c r="D300" s="6">
        <f ca="1">IFERROR(__xludf.DUMMYFUNCTION("""COMPUTED_VALUE"""),767.55)</f>
        <v>767.55</v>
      </c>
      <c r="E300" s="4" t="str">
        <f ca="1">IFERROR(__xludf.DUMMYFUNCTION("""COMPUTED_VALUE"""),"MXN")</f>
        <v>MXN</v>
      </c>
      <c r="F300" s="4" t="str">
        <f ca="1">IFERROR(__xludf.DUMMYFUNCTION("""COMPUTED_VALUE"""),"Karen Alexandra Ballesteros Contreras")</f>
        <v>Karen Alexandra Ballesteros Contreras</v>
      </c>
      <c r="G300" s="4" t="str">
        <f ca="1">IFERROR(__xludf.DUMMYFUNCTION("""COMPUTED_VALUE"""),"GASOL SERVICIO TLATIL  NAUCALPAN DE  MEX")</f>
        <v>GASOL SERVICIO TLATIL  NAUCALPAN DE  MEX</v>
      </c>
      <c r="H300" s="4" t="str">
        <f ca="1">IFERROR(__xludf.DUMMYFUNCTION("""COMPUTED_VALUE"""),"Gasol Servicio Tlatil Naucalpan De Mex")</f>
        <v>Gasol Servicio Tlatil Naucalpan De Mex</v>
      </c>
      <c r="I300" s="4"/>
      <c r="J300" s="4"/>
      <c r="K300" s="4"/>
      <c r="S300" s="6">
        <v>36.5</v>
      </c>
      <c r="T300" s="4" t="e">
        <f t="shared" ca="1" si="2"/>
        <v>#N/A</v>
      </c>
    </row>
    <row r="301" spans="1:20" ht="12.5">
      <c r="A301" s="4" t="str">
        <f ca="1">IFERROR(__xludf.DUMMYFUNCTION("""COMPUTED_VALUE"""),"TRX1181")</f>
        <v>TRX1181</v>
      </c>
      <c r="B301" s="4" t="str">
        <f ca="1">IFERROR(__xludf.DUMMYFUNCTION("""COMPUTED_VALUE"""),"#26")</f>
        <v>#26</v>
      </c>
      <c r="C301" s="5">
        <f ca="1">IFERROR(__xludf.DUMMYFUNCTION("""COMPUTED_VALUE"""),46079.4166666666)</f>
        <v>46079.416666666599</v>
      </c>
      <c r="D301" s="6">
        <f ca="1">IFERROR(__xludf.DUMMYFUNCTION("""COMPUTED_VALUE"""),210)</f>
        <v>210</v>
      </c>
      <c r="E301" s="4" t="str">
        <f ca="1">IFERROR(__xludf.DUMMYFUNCTION("""COMPUTED_VALUE"""),"MXN")</f>
        <v>MXN</v>
      </c>
      <c r="F301" s="4" t="str">
        <f ca="1">IFERROR(__xludf.DUMMYFUNCTION("""COMPUTED_VALUE"""),"Karen Alexandra Ballesteros Contreras")</f>
        <v>Karen Alexandra Ballesteros Contreras</v>
      </c>
      <c r="G301" s="4" t="str">
        <f ca="1">IFERROR(__xludf.DUMMYFUNCTION("""COMPUTED_VALUE"""),"MERCADOPAGO *PASE      MIGUEL HIDALG MEX")</f>
        <v>MERCADOPAGO *PASE      MIGUEL HIDALG MEX</v>
      </c>
      <c r="H301" s="4" t="str">
        <f ca="1">IFERROR(__xludf.DUMMYFUNCTION("""COMPUTED_VALUE"""),"Mercadopago")</f>
        <v>Mercadopago</v>
      </c>
      <c r="I301" s="4"/>
      <c r="J301" s="4"/>
      <c r="K301" s="4"/>
      <c r="S301" s="6">
        <v>761.47</v>
      </c>
      <c r="T301" s="4" t="e">
        <f t="shared" ca="1" si="2"/>
        <v>#N/A</v>
      </c>
    </row>
    <row r="302" spans="1:20" ht="12.5">
      <c r="A302" s="4" t="str">
        <f ca="1">IFERROR(__xludf.DUMMYFUNCTION("""COMPUTED_VALUE"""),"TRX1183")</f>
        <v>TRX1183</v>
      </c>
      <c r="B302" s="4" t="str">
        <f ca="1">IFERROR(__xludf.DUMMYFUNCTION("""COMPUTED_VALUE"""),"#26")</f>
        <v>#26</v>
      </c>
      <c r="C302" s="5">
        <f ca="1">IFERROR(__xludf.DUMMYFUNCTION("""COMPUTED_VALUE"""),46079.4166666666)</f>
        <v>46079.416666666599</v>
      </c>
      <c r="D302" s="6">
        <f ca="1">IFERROR(__xludf.DUMMYFUNCTION("""COMPUTED_VALUE"""),339)</f>
        <v>339</v>
      </c>
      <c r="E302" s="4" t="str">
        <f ca="1">IFERROR(__xludf.DUMMYFUNCTION("""COMPUTED_VALUE"""),"MXN")</f>
        <v>MXN</v>
      </c>
      <c r="F302" s="4" t="str">
        <f ca="1">IFERROR(__xludf.DUMMYFUNCTION("""COMPUTED_VALUE"""),"Karen Alexandra Ballesteros Contreras")</f>
        <v>Karen Alexandra Ballesteros Contreras</v>
      </c>
      <c r="G302" s="4" t="str">
        <f ca="1">IFERROR(__xludf.DUMMYFUNCTION("""COMPUTED_VALUE"""),"D LOCAL*DIDI RIDES     CIUDAD DE MEX MEX")</f>
        <v>D LOCAL*DIDI RIDES     CIUDAD DE MEX MEX</v>
      </c>
      <c r="H302" s="4" t="str">
        <f ca="1">IFERROR(__xludf.DUMMYFUNCTION("""COMPUTED_VALUE"""),"Didi Chuxing")</f>
        <v>Didi Chuxing</v>
      </c>
      <c r="I302" s="4"/>
      <c r="J302" s="4"/>
      <c r="K302" s="4"/>
      <c r="S302" s="6">
        <v>48</v>
      </c>
      <c r="T302" s="4" t="e">
        <f t="shared" ca="1" si="2"/>
        <v>#N/A</v>
      </c>
    </row>
    <row r="303" spans="1:20" ht="12.5">
      <c r="A303" s="4" t="str">
        <f ca="1">IFERROR(__xludf.DUMMYFUNCTION("""COMPUTED_VALUE"""),"TRX1195")</f>
        <v>TRX1195</v>
      </c>
      <c r="B303" s="4" t="str">
        <f ca="1">IFERROR(__xludf.DUMMYFUNCTION("""COMPUTED_VALUE"""),"#26")</f>
        <v>#26</v>
      </c>
      <c r="C303" s="5">
        <f ca="1">IFERROR(__xludf.DUMMYFUNCTION("""COMPUTED_VALUE"""),46079.4166666666)</f>
        <v>46079.416666666599</v>
      </c>
      <c r="D303" s="6">
        <f ca="1">IFERROR(__xludf.DUMMYFUNCTION("""COMPUTED_VALUE"""),232)</f>
        <v>232</v>
      </c>
      <c r="E303" s="4" t="str">
        <f ca="1">IFERROR(__xludf.DUMMYFUNCTION("""COMPUTED_VALUE"""),"MXN")</f>
        <v>MXN</v>
      </c>
      <c r="F303" s="4" t="str">
        <f ca="1">IFERROR(__xludf.DUMMYFUNCTION("""COMPUTED_VALUE"""),"Karen Alexandra Ballesteros Contreras")</f>
        <v>Karen Alexandra Ballesteros Contreras</v>
      </c>
      <c r="G303" s="4" t="str">
        <f ca="1">IFERROR(__xludf.DUMMYFUNCTION("""COMPUTED_VALUE"""),"D LOCAL*DIDI RIDES     CIUDAD DE MEX MEX")</f>
        <v>D LOCAL*DIDI RIDES     CIUDAD DE MEX MEX</v>
      </c>
      <c r="H303" s="4" t="str">
        <f ca="1">IFERROR(__xludf.DUMMYFUNCTION("""COMPUTED_VALUE"""),"Didi Chuxing")</f>
        <v>Didi Chuxing</v>
      </c>
      <c r="I303" s="4"/>
      <c r="J303" s="4"/>
      <c r="K303" s="4"/>
      <c r="S303" s="6">
        <v>2972.4</v>
      </c>
      <c r="T303" s="4" t="e">
        <f t="shared" ca="1" si="2"/>
        <v>#N/A</v>
      </c>
    </row>
    <row r="304" spans="1:20" ht="12.5">
      <c r="A304" s="4" t="str">
        <f ca="1">IFERROR(__xludf.DUMMYFUNCTION("""COMPUTED_VALUE"""),"TRX1202")</f>
        <v>TRX1202</v>
      </c>
      <c r="B304" s="4" t="str">
        <f ca="1">IFERROR(__xludf.DUMMYFUNCTION("""COMPUTED_VALUE"""),"#26")</f>
        <v>#26</v>
      </c>
      <c r="C304" s="5">
        <f ca="1">IFERROR(__xludf.DUMMYFUNCTION("""COMPUTED_VALUE"""),46079.4166666666)</f>
        <v>46079.416666666599</v>
      </c>
      <c r="D304" s="6">
        <f ca="1">IFERROR(__xludf.DUMMYFUNCTION("""COMPUTED_VALUE"""),95.83)</f>
        <v>95.83</v>
      </c>
      <c r="E304" s="4" t="str">
        <f ca="1">IFERROR(__xludf.DUMMYFUNCTION("""COMPUTED_VALUE"""),"MXN")</f>
        <v>MXN</v>
      </c>
      <c r="F304" s="4" t="str">
        <f ca="1">IFERROR(__xludf.DUMMYFUNCTION("""COMPUTED_VALUE"""),"Karen Alexandra Ballesteros Contreras")</f>
        <v>Karen Alexandra Ballesteros Contreras</v>
      </c>
      <c r="G304" s="4" t="str">
        <f ca="1">IFERROR(__xludf.DUMMYFUNCTION("""COMPUTED_VALUE"""),"DLO*UBER RIDE          CIUDAD DE MEX MEX")</f>
        <v>DLO*UBER RIDE          CIUDAD DE MEX MEX</v>
      </c>
      <c r="H304" s="4" t="str">
        <f ca="1">IFERROR(__xludf.DUMMYFUNCTION("""COMPUTED_VALUE"""),"Uber")</f>
        <v>Uber</v>
      </c>
      <c r="I304" s="4"/>
      <c r="J304" s="4"/>
      <c r="K304" s="4"/>
      <c r="S304" s="6">
        <v>1143.45</v>
      </c>
      <c r="T304" s="4" t="e">
        <f t="shared" ca="1" si="2"/>
        <v>#N/A</v>
      </c>
    </row>
    <row r="305" spans="1:20" ht="12.5">
      <c r="A305" s="4" t="str">
        <f ca="1">IFERROR(__xludf.DUMMYFUNCTION("""COMPUTED_VALUE"""),"TRX1204")</f>
        <v>TRX1204</v>
      </c>
      <c r="B305" s="4" t="str">
        <f ca="1">IFERROR(__xludf.DUMMYFUNCTION("""COMPUTED_VALUE"""),"#26")</f>
        <v>#26</v>
      </c>
      <c r="C305" s="5">
        <f ca="1">IFERROR(__xludf.DUMMYFUNCTION("""COMPUTED_VALUE"""),46079.4166666666)</f>
        <v>46079.416666666599</v>
      </c>
      <c r="D305" s="6">
        <f ca="1">IFERROR(__xludf.DUMMYFUNCTION("""COMPUTED_VALUE"""),199.96)</f>
        <v>199.96</v>
      </c>
      <c r="E305" s="4" t="str">
        <f ca="1">IFERROR(__xludf.DUMMYFUNCTION("""COMPUTED_VALUE"""),"MXN")</f>
        <v>MXN</v>
      </c>
      <c r="F305" s="4" t="str">
        <f ca="1">IFERROR(__xludf.DUMMYFUNCTION("""COMPUTED_VALUE"""),"Karen Alexandra Ballesteros Contreras")</f>
        <v>Karen Alexandra Ballesteros Contreras</v>
      </c>
      <c r="G305" s="4" t="str">
        <f ca="1">IFERROR(__xludf.DUMMYFUNCTION("""COMPUTED_VALUE"""),"DLO*Uber               CDMX          MEX")</f>
        <v>DLO*Uber               CDMX          MEX</v>
      </c>
      <c r="H305" s="4" t="str">
        <f ca="1">IFERROR(__xludf.DUMMYFUNCTION("""COMPUTED_VALUE"""),"Uber")</f>
        <v>Uber</v>
      </c>
      <c r="I305" s="4"/>
      <c r="J305" s="4"/>
      <c r="K305" s="4"/>
      <c r="S305" s="6">
        <v>172</v>
      </c>
      <c r="T305" s="4" t="e">
        <f t="shared" ca="1" si="2"/>
        <v>#N/A</v>
      </c>
    </row>
    <row r="306" spans="1:20" ht="12.5">
      <c r="A306" s="4" t="str">
        <f ca="1">IFERROR(__xludf.DUMMYFUNCTION("""COMPUTED_VALUE"""),"TRX1210")</f>
        <v>TRX1210</v>
      </c>
      <c r="B306" s="4" t="str">
        <f ca="1">IFERROR(__xludf.DUMMYFUNCTION("""COMPUTED_VALUE"""),"#26")</f>
        <v>#26</v>
      </c>
      <c r="C306" s="5">
        <f ca="1">IFERROR(__xludf.DUMMYFUNCTION("""COMPUTED_VALUE"""),46079.4173611111)</f>
        <v>46079.417361111096</v>
      </c>
      <c r="D306" s="6">
        <f ca="1">IFERROR(__xludf.DUMMYFUNCTION("""COMPUTED_VALUE"""),462)</f>
        <v>462</v>
      </c>
      <c r="E306" s="4" t="str">
        <f ca="1">IFERROR(__xludf.DUMMYFUNCTION("""COMPUTED_VALUE"""),"MXN")</f>
        <v>MXN</v>
      </c>
      <c r="F306" s="4" t="str">
        <f ca="1">IFERROR(__xludf.DUMMYFUNCTION("""COMPUTED_VALUE"""),"Karen Alexandra Ballesteros Contreras")</f>
        <v>Karen Alexandra Ballesteros Contreras</v>
      </c>
      <c r="G306" s="4" t="str">
        <f ca="1">IFERROR(__xludf.DUMMYFUNCTION("""COMPUTED_VALUE"""),"VIPS COFRADIAS         CUAUTITLAN IZ MEX")</f>
        <v>VIPS COFRADIAS         CUAUTITLAN IZ MEX</v>
      </c>
      <c r="H306" s="4" t="str">
        <f ca="1">IFERROR(__xludf.DUMMYFUNCTION("""COMPUTED_VALUE"""),"Vips Cofradias Cuautitlan Iz Mex")</f>
        <v>Vips Cofradias Cuautitlan Iz Mex</v>
      </c>
      <c r="I306" s="4"/>
      <c r="J306" s="4"/>
      <c r="K306" s="4"/>
      <c r="S306" s="6">
        <v>338.36</v>
      </c>
      <c r="T306" s="4" t="e">
        <f t="shared" ca="1" si="2"/>
        <v>#N/A</v>
      </c>
    </row>
    <row r="307" spans="1:20" ht="12.5">
      <c r="A307" s="4" t="str">
        <f ca="1">IFERROR(__xludf.DUMMYFUNCTION("""COMPUTED_VALUE"""),"TRX1226")</f>
        <v>TRX1226</v>
      </c>
      <c r="B307" s="4" t="str">
        <f ca="1">IFERROR(__xludf.DUMMYFUNCTION("""COMPUTED_VALUE"""),"#26")</f>
        <v>#26</v>
      </c>
      <c r="C307" s="5">
        <f ca="1">IFERROR(__xludf.DUMMYFUNCTION("""COMPUTED_VALUE"""),46080.4166666666)</f>
        <v>46080.416666666599</v>
      </c>
      <c r="D307" s="6">
        <f ca="1">IFERROR(__xludf.DUMMYFUNCTION("""COMPUTED_VALUE"""),210)</f>
        <v>210</v>
      </c>
      <c r="E307" s="4" t="str">
        <f ca="1">IFERROR(__xludf.DUMMYFUNCTION("""COMPUTED_VALUE"""),"MXN")</f>
        <v>MXN</v>
      </c>
      <c r="F307" s="4" t="str">
        <f ca="1">IFERROR(__xludf.DUMMYFUNCTION("""COMPUTED_VALUE"""),"Karen Alexandra Ballesteros Contreras")</f>
        <v>Karen Alexandra Ballesteros Contreras</v>
      </c>
      <c r="G307" s="4" t="str">
        <f ca="1">IFERROR(__xludf.DUMMYFUNCTION("""COMPUTED_VALUE"""),"MERCADOPAGO *PASE      MIGUEL HIDALG MEX")</f>
        <v>MERCADOPAGO *PASE      MIGUEL HIDALG MEX</v>
      </c>
      <c r="H307" s="4" t="str">
        <f ca="1">IFERROR(__xludf.DUMMYFUNCTION("""COMPUTED_VALUE"""),"Mercadopago")</f>
        <v>Mercadopago</v>
      </c>
      <c r="I307" s="4"/>
      <c r="J307" s="4"/>
      <c r="K307" s="4"/>
      <c r="S307" s="6">
        <v>119.19</v>
      </c>
      <c r="T307" s="4" t="e">
        <f t="shared" ca="1" si="2"/>
        <v>#N/A</v>
      </c>
    </row>
    <row r="308" spans="1:20" ht="12.5">
      <c r="A308" s="4" t="str">
        <f ca="1">IFERROR(__xludf.DUMMYFUNCTION("""COMPUTED_VALUE"""),"TRX1227")</f>
        <v>TRX1227</v>
      </c>
      <c r="B308" s="4" t="str">
        <f ca="1">IFERROR(__xludf.DUMMYFUNCTION("""COMPUTED_VALUE"""),"#26")</f>
        <v>#26</v>
      </c>
      <c r="C308" s="5">
        <f ca="1">IFERROR(__xludf.DUMMYFUNCTION("""COMPUTED_VALUE"""),46080.4166666666)</f>
        <v>46080.416666666599</v>
      </c>
      <c r="D308" s="6">
        <f ca="1">IFERROR(__xludf.DUMMYFUNCTION("""COMPUTED_VALUE"""),341.83)</f>
        <v>341.83</v>
      </c>
      <c r="E308" s="4" t="str">
        <f ca="1">IFERROR(__xludf.DUMMYFUNCTION("""COMPUTED_VALUE"""),"MXN")</f>
        <v>MXN</v>
      </c>
      <c r="F308" s="4" t="str">
        <f ca="1">IFERROR(__xludf.DUMMYFUNCTION("""COMPUTED_VALUE"""),"Karen Alexandra Ballesteros Contreras")</f>
        <v>Karen Alexandra Ballesteros Contreras</v>
      </c>
      <c r="G308" s="4" t="str">
        <f ca="1">IFERROR(__xludf.DUMMYFUNCTION("""COMPUTED_VALUE"""),"DLO*UBER RIDES         CIUDAD DE MEX MEX")</f>
        <v>DLO*UBER RIDES         CIUDAD DE MEX MEX</v>
      </c>
      <c r="H308" s="4" t="str">
        <f ca="1">IFERROR(__xludf.DUMMYFUNCTION("""COMPUTED_VALUE"""),"Uber")</f>
        <v>Uber</v>
      </c>
      <c r="I308" s="4"/>
      <c r="J308" s="4"/>
      <c r="K308" s="4"/>
      <c r="S308" s="6">
        <v>58</v>
      </c>
      <c r="T308" s="4" t="str">
        <f t="shared" ca="1" si="2"/>
        <v>Karen Alexandra Ballesteros Contreras</v>
      </c>
    </row>
    <row r="309" spans="1:20" ht="12.5">
      <c r="A309" s="4" t="str">
        <f ca="1">IFERROR(__xludf.DUMMYFUNCTION("""COMPUTED_VALUE"""),"TRX1228")</f>
        <v>TRX1228</v>
      </c>
      <c r="B309" s="4" t="str">
        <f ca="1">IFERROR(__xludf.DUMMYFUNCTION("""COMPUTED_VALUE"""),"#26")</f>
        <v>#26</v>
      </c>
      <c r="C309" s="5">
        <f ca="1">IFERROR(__xludf.DUMMYFUNCTION("""COMPUTED_VALUE"""),46080.4166666666)</f>
        <v>46080.416666666599</v>
      </c>
      <c r="D309" s="6">
        <f ca="1">IFERROR(__xludf.DUMMYFUNCTION("""COMPUTED_VALUE"""),62.25)</f>
        <v>62.25</v>
      </c>
      <c r="E309" s="4" t="str">
        <f ca="1">IFERROR(__xludf.DUMMYFUNCTION("""COMPUTED_VALUE"""),"MXN")</f>
        <v>MXN</v>
      </c>
      <c r="F309" s="4" t="str">
        <f ca="1">IFERROR(__xludf.DUMMYFUNCTION("""COMPUTED_VALUE"""),"Karen Alexandra Ballesteros Contreras")</f>
        <v>Karen Alexandra Ballesteros Contreras</v>
      </c>
      <c r="G309" s="4" t="str">
        <f ca="1">IFERROR(__xludf.DUMMYFUNCTION("""COMPUTED_VALUE"""),"DLO DIDI RIDES MX      CIUDAD DE MEX MEX")</f>
        <v>DLO DIDI RIDES MX      CIUDAD DE MEX MEX</v>
      </c>
      <c r="H309" s="4" t="str">
        <f ca="1">IFERROR(__xludf.DUMMYFUNCTION("""COMPUTED_VALUE"""),"Didi Chuxing")</f>
        <v>Didi Chuxing</v>
      </c>
      <c r="I309" s="4"/>
      <c r="J309" s="4"/>
      <c r="K309" s="4"/>
      <c r="S309" s="6">
        <v>330.03</v>
      </c>
      <c r="T309" s="4" t="e">
        <f t="shared" ca="1" si="2"/>
        <v>#N/A</v>
      </c>
    </row>
    <row r="310" spans="1:20" ht="12.5">
      <c r="A310" s="4" t="str">
        <f ca="1">IFERROR(__xludf.DUMMYFUNCTION("""COMPUTED_VALUE"""),"TRX1229")</f>
        <v>TRX1229</v>
      </c>
      <c r="B310" s="4" t="str">
        <f ca="1">IFERROR(__xludf.DUMMYFUNCTION("""COMPUTED_VALUE"""),"#26")</f>
        <v>#26</v>
      </c>
      <c r="C310" s="5">
        <f ca="1">IFERROR(__xludf.DUMMYFUNCTION("""COMPUTED_VALUE"""),46080.4166666666)</f>
        <v>46080.416666666599</v>
      </c>
      <c r="D310" s="6">
        <f ca="1">IFERROR(__xludf.DUMMYFUNCTION("""COMPUTED_VALUE"""),99.74)</f>
        <v>99.74</v>
      </c>
      <c r="E310" s="4" t="str">
        <f ca="1">IFERROR(__xludf.DUMMYFUNCTION("""COMPUTED_VALUE"""),"MXN")</f>
        <v>MXN</v>
      </c>
      <c r="F310" s="4" t="str">
        <f ca="1">IFERROR(__xludf.DUMMYFUNCTION("""COMPUTED_VALUE"""),"Karen Alexandra Ballesteros Contreras")</f>
        <v>Karen Alexandra Ballesteros Contreras</v>
      </c>
      <c r="G310" s="4" t="str">
        <f ca="1">IFERROR(__xludf.DUMMYFUNCTION("""COMPUTED_VALUE"""),"DLO DIDI RIDES MX      CIUDAD DE MEX MEX")</f>
        <v>DLO DIDI RIDES MX      CIUDAD DE MEX MEX</v>
      </c>
      <c r="H310" s="4" t="str">
        <f ca="1">IFERROR(__xludf.DUMMYFUNCTION("""COMPUTED_VALUE"""),"Didi Chuxing")</f>
        <v>Didi Chuxing</v>
      </c>
      <c r="I310" s="4"/>
      <c r="J310" s="4"/>
      <c r="K310" s="4"/>
      <c r="S310" s="6">
        <v>181</v>
      </c>
      <c r="T310" s="4" t="str">
        <f t="shared" ca="1" si="2"/>
        <v>Carlos Ivan Gonzalez Merino</v>
      </c>
    </row>
    <row r="311" spans="1:20" ht="12.5">
      <c r="A311" s="4" t="str">
        <f ca="1">IFERROR(__xludf.DUMMYFUNCTION("""COMPUTED_VALUE"""),"TRX1230")</f>
        <v>TRX1230</v>
      </c>
      <c r="B311" s="4" t="str">
        <f ca="1">IFERROR(__xludf.DUMMYFUNCTION("""COMPUTED_VALUE"""),"#26")</f>
        <v>#26</v>
      </c>
      <c r="C311" s="5">
        <f ca="1">IFERROR(__xludf.DUMMYFUNCTION("""COMPUTED_VALUE"""),46080.4166666666)</f>
        <v>46080.416666666599</v>
      </c>
      <c r="D311" s="6">
        <f ca="1">IFERROR(__xludf.DUMMYFUNCTION("""COMPUTED_VALUE"""),56.09)</f>
        <v>56.09</v>
      </c>
      <c r="E311" s="4" t="str">
        <f ca="1">IFERROR(__xludf.DUMMYFUNCTION("""COMPUTED_VALUE"""),"MXN")</f>
        <v>MXN</v>
      </c>
      <c r="F311" s="4" t="str">
        <f ca="1">IFERROR(__xludf.DUMMYFUNCTION("""COMPUTED_VALUE"""),"Karen Alexandra Ballesteros Contreras")</f>
        <v>Karen Alexandra Ballesteros Contreras</v>
      </c>
      <c r="G311" s="4" t="str">
        <f ca="1">IFERROR(__xludf.DUMMYFUNCTION("""COMPUTED_VALUE"""),"DLO DIDI RIDES MX      CIUDAD DE MEX MEX")</f>
        <v>DLO DIDI RIDES MX      CIUDAD DE MEX MEX</v>
      </c>
      <c r="H311" s="4" t="str">
        <f ca="1">IFERROR(__xludf.DUMMYFUNCTION("""COMPUTED_VALUE"""),"Didi Chuxing")</f>
        <v>Didi Chuxing</v>
      </c>
      <c r="I311" s="4"/>
      <c r="J311" s="4"/>
      <c r="K311" s="4"/>
      <c r="S311" s="6">
        <v>106.22</v>
      </c>
      <c r="T311" s="4" t="e">
        <f t="shared" ca="1" si="2"/>
        <v>#N/A</v>
      </c>
    </row>
    <row r="312" spans="1:20" ht="12.5">
      <c r="A312" s="4" t="str">
        <f ca="1">IFERROR(__xludf.DUMMYFUNCTION("""COMPUTED_VALUE"""),"TRX1231")</f>
        <v>TRX1231</v>
      </c>
      <c r="B312" s="4" t="str">
        <f ca="1">IFERROR(__xludf.DUMMYFUNCTION("""COMPUTED_VALUE"""),"#26")</f>
        <v>#26</v>
      </c>
      <c r="C312" s="5">
        <f ca="1">IFERROR(__xludf.DUMMYFUNCTION("""COMPUTED_VALUE"""),46080.4166666666)</f>
        <v>46080.416666666599</v>
      </c>
      <c r="D312" s="6">
        <f ca="1">IFERROR(__xludf.DUMMYFUNCTION("""COMPUTED_VALUE"""),318)</f>
        <v>318</v>
      </c>
      <c r="E312" s="4" t="str">
        <f ca="1">IFERROR(__xludf.DUMMYFUNCTION("""COMPUTED_VALUE"""),"MXN")</f>
        <v>MXN</v>
      </c>
      <c r="F312" s="4" t="str">
        <f ca="1">IFERROR(__xludf.DUMMYFUNCTION("""COMPUTED_VALUE"""),"Karen Alexandra Ballesteros Contreras")</f>
        <v>Karen Alexandra Ballesteros Contreras</v>
      </c>
      <c r="G312" s="4" t="str">
        <f ca="1">IFERROR(__xludf.DUMMYFUNCTION("""COMPUTED_VALUE"""),"KFC 230 XOLA           CIUDAD DE MEX MEX")</f>
        <v>KFC 230 XOLA           CIUDAD DE MEX MEX</v>
      </c>
      <c r="H312" s="4" t="str">
        <f ca="1">IFERROR(__xludf.DUMMYFUNCTION("""COMPUTED_VALUE"""),"Kentucky Fried Chicken")</f>
        <v>Kentucky Fried Chicken</v>
      </c>
      <c r="I312" s="4"/>
      <c r="J312" s="4"/>
      <c r="K312" s="4"/>
      <c r="S312" s="6">
        <v>1661.76</v>
      </c>
      <c r="T312" s="4" t="e">
        <f t="shared" ca="1" si="2"/>
        <v>#N/A</v>
      </c>
    </row>
    <row r="313" spans="1:20" ht="12.5">
      <c r="A313" s="4" t="str">
        <f ca="1">IFERROR(__xludf.DUMMYFUNCTION("""COMPUTED_VALUE"""),"TRX1235")</f>
        <v>TRX1235</v>
      </c>
      <c r="B313" s="4" t="str">
        <f ca="1">IFERROR(__xludf.DUMMYFUNCTION("""COMPUTED_VALUE"""),"#26")</f>
        <v>#26</v>
      </c>
      <c r="C313" s="5">
        <f ca="1">IFERROR(__xludf.DUMMYFUNCTION("""COMPUTED_VALUE"""),46080.4166666666)</f>
        <v>46080.416666666599</v>
      </c>
      <c r="D313" s="6">
        <f ca="1">IFERROR(__xludf.DUMMYFUNCTION("""COMPUTED_VALUE"""),193)</f>
        <v>193</v>
      </c>
      <c r="E313" s="4" t="str">
        <f ca="1">IFERROR(__xludf.DUMMYFUNCTION("""COMPUTED_VALUE"""),"MXN")</f>
        <v>MXN</v>
      </c>
      <c r="F313" s="4" t="str">
        <f ca="1">IFERROR(__xludf.DUMMYFUNCTION("""COMPUTED_VALUE"""),"Karen Alexandra Ballesteros Contreras")</f>
        <v>Karen Alexandra Ballesteros Contreras</v>
      </c>
      <c r="G313" s="4" t="str">
        <f ca="1">IFERROR(__xludf.DUMMYFUNCTION("""COMPUTED_VALUE"""),"D LOCAL*DIDI RIDES     CIUDAD DE MEX MEX")</f>
        <v>D LOCAL*DIDI RIDES     CIUDAD DE MEX MEX</v>
      </c>
      <c r="H313" s="4" t="str">
        <f ca="1">IFERROR(__xludf.DUMMYFUNCTION("""COMPUTED_VALUE"""),"Didi Chuxing")</f>
        <v>Didi Chuxing</v>
      </c>
      <c r="I313" s="4"/>
      <c r="J313" s="4"/>
      <c r="K313" s="4"/>
      <c r="S313" s="6">
        <v>725.65</v>
      </c>
      <c r="T313" s="4" t="e">
        <f t="shared" ca="1" si="2"/>
        <v>#N/A</v>
      </c>
    </row>
    <row r="314" spans="1:20" ht="12.5">
      <c r="A314" s="4" t="str">
        <f ca="1">IFERROR(__xludf.DUMMYFUNCTION("""COMPUTED_VALUE"""),"TRX1247")</f>
        <v>TRX1247</v>
      </c>
      <c r="B314" s="4" t="str">
        <f ca="1">IFERROR(__xludf.DUMMYFUNCTION("""COMPUTED_VALUE"""),"#26")</f>
        <v>#26</v>
      </c>
      <c r="C314" s="5">
        <f ca="1">IFERROR(__xludf.DUMMYFUNCTION("""COMPUTED_VALUE"""),46080.4173611111)</f>
        <v>46080.417361111096</v>
      </c>
      <c r="D314" s="6">
        <f ca="1">IFERROR(__xludf.DUMMYFUNCTION("""COMPUTED_VALUE"""),228)</f>
        <v>228</v>
      </c>
      <c r="E314" s="4" t="str">
        <f ca="1">IFERROR(__xludf.DUMMYFUNCTION("""COMPUTED_VALUE"""),"MXN")</f>
        <v>MXN</v>
      </c>
      <c r="F314" s="4" t="str">
        <f ca="1">IFERROR(__xludf.DUMMYFUNCTION("""COMPUTED_VALUE"""),"Karen Alexandra Ballesteros Contreras")</f>
        <v>Karen Alexandra Ballesteros Contreras</v>
      </c>
      <c r="G314" s="4" t="str">
        <f ca="1">IFERROR(__xludf.DUMMYFUNCTION("""COMPUTED_VALUE"""),"WM EXPRESS DLVALL NORT CIUDAD DE MEX MEX")</f>
        <v>WM EXPRESS DLVALL NORT CIUDAD DE MEX MEX</v>
      </c>
      <c r="H314" s="4" t="str">
        <f ca="1">IFERROR(__xludf.DUMMYFUNCTION("""COMPUTED_VALUE"""),"Wm Express Dlvall Nort Ciudad De Mex Mex")</f>
        <v>Wm Express Dlvall Nort Ciudad De Mex Mex</v>
      </c>
      <c r="I314" s="4"/>
      <c r="J314" s="4"/>
      <c r="K314" s="4"/>
      <c r="S314" s="6">
        <v>498.62</v>
      </c>
      <c r="T314" s="4" t="e">
        <f t="shared" ca="1" si="2"/>
        <v>#N/A</v>
      </c>
    </row>
    <row r="315" spans="1:20" ht="12.5">
      <c r="A315" s="4" t="str">
        <f ca="1">IFERROR(__xludf.DUMMYFUNCTION("""COMPUTED_VALUE"""),"TRX1261")</f>
        <v>TRX1261</v>
      </c>
      <c r="B315" s="4" t="str">
        <f ca="1">IFERROR(__xludf.DUMMYFUNCTION("""COMPUTED_VALUE"""),"#26")</f>
        <v>#26</v>
      </c>
      <c r="C315" s="5">
        <f ca="1">IFERROR(__xludf.DUMMYFUNCTION("""COMPUTED_VALUE"""),46081.4166666666)</f>
        <v>46081.416666666599</v>
      </c>
      <c r="D315" s="6">
        <f ca="1">IFERROR(__xludf.DUMMYFUNCTION("""COMPUTED_VALUE"""),910)</f>
        <v>910</v>
      </c>
      <c r="E315" s="4" t="str">
        <f ca="1">IFERROR(__xludf.DUMMYFUNCTION("""COMPUTED_VALUE"""),"MXN")</f>
        <v>MXN</v>
      </c>
      <c r="F315" s="4" t="str">
        <f ca="1">IFERROR(__xludf.DUMMYFUNCTION("""COMPUTED_VALUE"""),"Karen Alexandra Ballesteros Contreras")</f>
        <v>Karen Alexandra Ballesteros Contreras</v>
      </c>
      <c r="G315" s="4" t="str">
        <f ca="1">IFERROR(__xludf.DUMMYFUNCTION("""COMPUTED_VALUE"""),"MERCADOPAGO *PASE      MIGUEL HIDALG MEX")</f>
        <v>MERCADOPAGO *PASE      MIGUEL HIDALG MEX</v>
      </c>
      <c r="H315" s="4" t="str">
        <f ca="1">IFERROR(__xludf.DUMMYFUNCTION("""COMPUTED_VALUE"""),"Mercadopago")</f>
        <v>Mercadopago</v>
      </c>
      <c r="I315" s="4"/>
      <c r="J315" s="4"/>
      <c r="K315" s="4"/>
      <c r="S315" s="6">
        <v>680.86</v>
      </c>
      <c r="T315" s="4" t="e">
        <f t="shared" ca="1" si="2"/>
        <v>#N/A</v>
      </c>
    </row>
    <row r="316" spans="1:20" ht="12.5">
      <c r="A316" s="4" t="str">
        <f ca="1">IFERROR(__xludf.DUMMYFUNCTION("""COMPUTED_VALUE"""),"TRX1263")</f>
        <v>TRX1263</v>
      </c>
      <c r="B316" s="4" t="str">
        <f ca="1">IFERROR(__xludf.DUMMYFUNCTION("""COMPUTED_VALUE"""),"#26")</f>
        <v>#26</v>
      </c>
      <c r="C316" s="5">
        <f ca="1">IFERROR(__xludf.DUMMYFUNCTION("""COMPUTED_VALUE"""),46081.4166666666)</f>
        <v>46081.416666666599</v>
      </c>
      <c r="D316" s="6">
        <f ca="1">IFERROR(__xludf.DUMMYFUNCTION("""COMPUTED_VALUE"""),1010)</f>
        <v>1010</v>
      </c>
      <c r="E316" s="4" t="str">
        <f ca="1">IFERROR(__xludf.DUMMYFUNCTION("""COMPUTED_VALUE"""),"MXN")</f>
        <v>MXN</v>
      </c>
      <c r="F316" s="4" t="str">
        <f ca="1">IFERROR(__xludf.DUMMYFUNCTION("""COMPUTED_VALUE"""),"Karen Alexandra Ballesteros Contreras")</f>
        <v>Karen Alexandra Ballesteros Contreras</v>
      </c>
      <c r="G316" s="4" t="str">
        <f ca="1">IFERROR(__xludf.DUMMYFUNCTION("""COMPUTED_VALUE"""),"MERCADOPAGO *PASE      MIGUEL HIDALG MEX")</f>
        <v>MERCADOPAGO *PASE      MIGUEL HIDALG MEX</v>
      </c>
      <c r="H316" s="4" t="str">
        <f ca="1">IFERROR(__xludf.DUMMYFUNCTION("""COMPUTED_VALUE"""),"Mercadopago")</f>
        <v>Mercadopago</v>
      </c>
      <c r="I316" s="4"/>
      <c r="J316" s="4"/>
      <c r="K316" s="4"/>
      <c r="S316" s="6">
        <v>185.4</v>
      </c>
      <c r="T316" s="4" t="e">
        <f t="shared" ca="1" si="2"/>
        <v>#N/A</v>
      </c>
    </row>
    <row r="317" spans="1:20" ht="12.5">
      <c r="A317" s="4" t="str">
        <f ca="1">IFERROR(__xludf.DUMMYFUNCTION("""COMPUTED_VALUE"""),"TRX1264")</f>
        <v>TRX1264</v>
      </c>
      <c r="B317" s="4" t="str">
        <f ca="1">IFERROR(__xludf.DUMMYFUNCTION("""COMPUTED_VALUE"""),"#26")</f>
        <v>#26</v>
      </c>
      <c r="C317" s="5">
        <f ca="1">IFERROR(__xludf.DUMMYFUNCTION("""COMPUTED_VALUE"""),46081.4166666666)</f>
        <v>46081.416666666599</v>
      </c>
      <c r="D317" s="6">
        <f ca="1">IFERROR(__xludf.DUMMYFUNCTION("""COMPUTED_VALUE"""),456)</f>
        <v>456</v>
      </c>
      <c r="E317" s="4" t="str">
        <f ca="1">IFERROR(__xludf.DUMMYFUNCTION("""COMPUTED_VALUE"""),"MXN")</f>
        <v>MXN</v>
      </c>
      <c r="F317" s="4" t="str">
        <f ca="1">IFERROR(__xludf.DUMMYFUNCTION("""COMPUTED_VALUE"""),"Karen Alexandra Ballesteros Contreras")</f>
        <v>Karen Alexandra Ballesteros Contreras</v>
      </c>
      <c r="G317" s="4" t="str">
        <f ca="1">IFERROR(__xludf.DUMMYFUNCTION("""COMPUTED_VALUE"""),"MERCADOPAGO *FARMACIA  Cuautitlan Iz MEX")</f>
        <v>MERCADOPAGO *FARMACIA  Cuautitlan Iz MEX</v>
      </c>
      <c r="H317" s="4" t="str">
        <f ca="1">IFERROR(__xludf.DUMMYFUNCTION("""COMPUTED_VALUE"""),"Mercadopago")</f>
        <v>Mercadopago</v>
      </c>
      <c r="I317" s="4"/>
      <c r="J317" s="4"/>
      <c r="K317" s="4"/>
      <c r="S317" s="6">
        <v>77.44</v>
      </c>
      <c r="T317" s="4" t="e">
        <f t="shared" ca="1" si="2"/>
        <v>#N/A</v>
      </c>
    </row>
    <row r="318" spans="1:20" ht="12.5">
      <c r="A318" s="4" t="str">
        <f ca="1">IFERROR(__xludf.DUMMYFUNCTION("""COMPUTED_VALUE"""),"TRX1265")</f>
        <v>TRX1265</v>
      </c>
      <c r="B318" s="4" t="str">
        <f ca="1">IFERROR(__xludf.DUMMYFUNCTION("""COMPUTED_VALUE"""),"#26")</f>
        <v>#26</v>
      </c>
      <c r="C318" s="5">
        <f ca="1">IFERROR(__xludf.DUMMYFUNCTION("""COMPUTED_VALUE"""),46081.4166666666)</f>
        <v>46081.416666666599</v>
      </c>
      <c r="D318" s="6">
        <f ca="1">IFERROR(__xludf.DUMMYFUNCTION("""COMPUTED_VALUE"""),507)</f>
        <v>507</v>
      </c>
      <c r="E318" s="4" t="str">
        <f ca="1">IFERROR(__xludf.DUMMYFUNCTION("""COMPUTED_VALUE"""),"MXN")</f>
        <v>MXN</v>
      </c>
      <c r="F318" s="4" t="str">
        <f ca="1">IFERROR(__xludf.DUMMYFUNCTION("""COMPUTED_VALUE"""),"Karen Alexandra Ballesteros Contreras")</f>
        <v>Karen Alexandra Ballesteros Contreras</v>
      </c>
      <c r="G318" s="4" t="str">
        <f ca="1">IFERROR(__xludf.DUMMYFUNCTION("""COMPUTED_VALUE"""),"MISC PITS TOL ZIT      ALMOLOYA DE J MEX")</f>
        <v>MISC PITS TOL ZIT      ALMOLOYA DE J MEX</v>
      </c>
      <c r="H318" s="4" t="str">
        <f ca="1">IFERROR(__xludf.DUMMYFUNCTION("""COMPUTED_VALUE"""),"Misc Pits Tol Zit Almoloya De J Mex")</f>
        <v>Misc Pits Tol Zit Almoloya De J Mex</v>
      </c>
      <c r="I318" s="4"/>
      <c r="J318" s="4"/>
      <c r="K318" s="4"/>
      <c r="S318" s="6">
        <v>227.87</v>
      </c>
      <c r="T318" s="4" t="e">
        <f t="shared" ca="1" si="2"/>
        <v>#N/A</v>
      </c>
    </row>
    <row r="319" spans="1:20" ht="12.5">
      <c r="A319" s="4" t="str">
        <f ca="1">IFERROR(__xludf.DUMMYFUNCTION("""COMPUTED_VALUE"""),"TRX1266")</f>
        <v>TRX1266</v>
      </c>
      <c r="B319" s="4" t="str">
        <f ca="1">IFERROR(__xludf.DUMMYFUNCTION("""COMPUTED_VALUE"""),"#26")</f>
        <v>#26</v>
      </c>
      <c r="C319" s="5">
        <f ca="1">IFERROR(__xludf.DUMMYFUNCTION("""COMPUTED_VALUE"""),46081.4166666666)</f>
        <v>46081.416666666599</v>
      </c>
      <c r="D319" s="6">
        <f ca="1">IFERROR(__xludf.DUMMYFUNCTION("""COMPUTED_VALUE"""),13299.4)</f>
        <v>13299.4</v>
      </c>
      <c r="E319" s="4" t="str">
        <f ca="1">IFERROR(__xludf.DUMMYFUNCTION("""COMPUTED_VALUE"""),"MXN")</f>
        <v>MXN</v>
      </c>
      <c r="F319" s="4" t="str">
        <f ca="1">IFERROR(__xludf.DUMMYFUNCTION("""COMPUTED_VALUE"""),"Karen Alexandra Ballesteros Contreras")</f>
        <v>Karen Alexandra Ballesteros Contreras</v>
      </c>
      <c r="G319" s="4" t="str">
        <f ca="1">IFERROR(__xludf.DUMMYFUNCTION("""COMPUTED_VALUE"""),"CLIP MX*MED CLEAN DIAG APODACA       MEX")</f>
        <v>CLIP MX*MED CLEAN DIAG APODACA       MEX</v>
      </c>
      <c r="H319" s="4" t="str">
        <f ca="1">IFERROR(__xludf.DUMMYFUNCTION("""COMPUTED_VALUE"""),"Clip Mx Med Clean Diag Apodaca Mex")</f>
        <v>Clip Mx Med Clean Diag Apodaca Mex</v>
      </c>
      <c r="I319" s="4"/>
      <c r="J319" s="4"/>
      <c r="K319" s="4"/>
      <c r="S319" s="6">
        <v>1010</v>
      </c>
      <c r="T319" s="4" t="str">
        <f t="shared" ca="1" si="2"/>
        <v>Karen Alexandra Ballesteros Contreras</v>
      </c>
    </row>
    <row r="320" spans="1:20" ht="12.5">
      <c r="A320" s="4" t="str">
        <f ca="1">IFERROR(__xludf.DUMMYFUNCTION("""COMPUTED_VALUE"""),"TRX1276")</f>
        <v>TRX1276</v>
      </c>
      <c r="B320" s="4" t="str">
        <f ca="1">IFERROR(__xludf.DUMMYFUNCTION("""COMPUTED_VALUE"""),"#26")</f>
        <v>#26</v>
      </c>
      <c r="C320" s="5">
        <f ca="1">IFERROR(__xludf.DUMMYFUNCTION("""COMPUTED_VALUE"""),46081.4166666666)</f>
        <v>46081.416666666599</v>
      </c>
      <c r="D320" s="6">
        <f ca="1">IFERROR(__xludf.DUMMYFUNCTION("""COMPUTED_VALUE"""),726)</f>
        <v>726</v>
      </c>
      <c r="E320" s="4" t="str">
        <f ca="1">IFERROR(__xludf.DUMMYFUNCTION("""COMPUTED_VALUE"""),"MXN")</f>
        <v>MXN</v>
      </c>
      <c r="F320" s="4" t="str">
        <f ca="1">IFERROR(__xludf.DUMMYFUNCTION("""COMPUTED_VALUE"""),"Karen Alexandra Ballesteros Contreras")</f>
        <v>Karen Alexandra Ballesteros Contreras</v>
      </c>
      <c r="G320" s="4" t="str">
        <f ca="1">IFERROR(__xludf.DUMMYFUNCTION("""COMPUTED_VALUE"""),"SUSHI ROLL VALLE DE BR VALLE DE BRAV MEX")</f>
        <v>SUSHI ROLL VALLE DE BR VALLE DE BRAV MEX</v>
      </c>
      <c r="H320" s="4" t="str">
        <f ca="1">IFERROR(__xludf.DUMMYFUNCTION("""COMPUTED_VALUE"""),"Sushi Roll Valle De Br Valle De Brav Mex")</f>
        <v>Sushi Roll Valle De Br Valle De Brav Mex</v>
      </c>
      <c r="I320" s="4"/>
      <c r="J320" s="4"/>
      <c r="K320" s="4"/>
      <c r="S320" s="6">
        <v>49.95</v>
      </c>
      <c r="T320" s="4" t="e">
        <f t="shared" ca="1" si="2"/>
        <v>#N/A</v>
      </c>
    </row>
    <row r="321" spans="1:20" ht="12.5">
      <c r="A321" s="4" t="str">
        <f ca="1">IFERROR(__xludf.DUMMYFUNCTION("""COMPUTED_VALUE"""),"TRX1252")</f>
        <v>TRX1252</v>
      </c>
      <c r="B321" s="4" t="str">
        <f ca="1">IFERROR(__xludf.DUMMYFUNCTION("""COMPUTED_VALUE"""),"#28")</f>
        <v>#28</v>
      </c>
      <c r="C321" s="5">
        <f ca="1">IFERROR(__xludf.DUMMYFUNCTION("""COMPUTED_VALUE"""),46058.4166666666)</f>
        <v>46058.416666666599</v>
      </c>
      <c r="D321" s="6">
        <f ca="1">IFERROR(__xludf.DUMMYFUNCTION("""COMPUTED_VALUE"""),79.96)</f>
        <v>79.959999999999994</v>
      </c>
      <c r="E321" s="4" t="str">
        <f ca="1">IFERROR(__xludf.DUMMYFUNCTION("""COMPUTED_VALUE"""),"MXN")</f>
        <v>MXN</v>
      </c>
      <c r="F321" s="4" t="str">
        <f ca="1">IFERROR(__xludf.DUMMYFUNCTION("""COMPUTED_VALUE"""),"Fernando Villalobos Lara")</f>
        <v>Fernando Villalobos Lara</v>
      </c>
      <c r="G321" s="4" t="str">
        <f ca="1">IFERROR(__xludf.DUMMYFUNCTION("""COMPUTED_VALUE"""),"UBER * PENDING         CMX           MEX")</f>
        <v>UBER * PENDING         CMX           MEX</v>
      </c>
      <c r="H321" s="4" t="str">
        <f ca="1">IFERROR(__xludf.DUMMYFUNCTION("""COMPUTED_VALUE"""),"Uber")</f>
        <v>Uber</v>
      </c>
      <c r="I321" s="4" t="str">
        <f ca="1">IFERROR(__xludf.DUMMYFUNCTION("""COMPUTED_VALUE"""),"Transaction cost")</f>
        <v>Transaction cost</v>
      </c>
      <c r="J321" s="4" t="str">
        <f ca="1">IFERROR(__xludf.DUMMYFUNCTION("""COMPUTED_VALUE"""),"PO 1505 - Uber oficinas Arha")</f>
        <v>PO 1505 - Uber oficinas Arha</v>
      </c>
      <c r="K321" s="4"/>
      <c r="S321" s="6">
        <v>258.17</v>
      </c>
      <c r="T321" s="4" t="e">
        <f t="shared" ca="1" si="2"/>
        <v>#N/A</v>
      </c>
    </row>
    <row r="322" spans="1:20" ht="12.5">
      <c r="A322" s="4" t="str">
        <f ca="1">IFERROR(__xludf.DUMMYFUNCTION("""COMPUTED_VALUE"""),"TRX1432")</f>
        <v>TRX1432</v>
      </c>
      <c r="B322" s="4" t="str">
        <f ca="1">IFERROR(__xludf.DUMMYFUNCTION("""COMPUTED_VALUE"""),"#28")</f>
        <v>#28</v>
      </c>
      <c r="C322" s="5">
        <f ca="1">IFERROR(__xludf.DUMMYFUNCTION("""COMPUTED_VALUE"""),46060.4173611111)</f>
        <v>46060.417361111096</v>
      </c>
      <c r="D322" s="6">
        <f ca="1">IFERROR(__xludf.DUMMYFUNCTION("""COMPUTED_VALUE"""),361.14)</f>
        <v>361.14</v>
      </c>
      <c r="E322" s="4" t="str">
        <f ca="1">IFERROR(__xludf.DUMMYFUNCTION("""COMPUTED_VALUE"""),"USD")</f>
        <v>USD</v>
      </c>
      <c r="F322" s="4" t="str">
        <f ca="1">IFERROR(__xludf.DUMMYFUNCTION("""COMPUTED_VALUE"""),"Fernando Villalobos Lara")</f>
        <v>Fernando Villalobos Lara</v>
      </c>
      <c r="G322" s="4" t="str">
        <f ca="1">IFERROR(__xludf.DUMMYFUNCTION("""COMPUTED_VALUE"""),"OPENAI *CHATGPT SUBSCR SAN FRANCISCO USA")</f>
        <v>OPENAI *CHATGPT SUBSCR SAN FRANCISCO USA</v>
      </c>
      <c r="H322" s="4" t="str">
        <f ca="1">IFERROR(__xludf.DUMMYFUNCTION("""COMPUTED_VALUE"""),"Openai")</f>
        <v>Openai</v>
      </c>
      <c r="I322" s="4" t="str">
        <f ca="1">IFERROR(__xludf.DUMMYFUNCTION("""COMPUTED_VALUE"""),"Tech&amp;Product")</f>
        <v>Tech&amp;Product</v>
      </c>
      <c r="J322" s="4" t="str">
        <f ca="1">IFERROR(__xludf.DUMMYFUNCTION("""COMPUTED_VALUE"""),"Subcripción ChatGPT")</f>
        <v>Subcripción ChatGPT</v>
      </c>
      <c r="K322" s="4"/>
      <c r="S322" s="6">
        <v>205</v>
      </c>
      <c r="T322" s="4" t="e">
        <f t="shared" ca="1" si="2"/>
        <v>#N/A</v>
      </c>
    </row>
    <row r="323" spans="1:20" ht="12.5">
      <c r="A323" s="4" t="str">
        <f ca="1">IFERROR(__xludf.DUMMYFUNCTION("""COMPUTED_VALUE"""),"TRX1230")</f>
        <v>TRX1230</v>
      </c>
      <c r="B323" s="4" t="str">
        <f ca="1">IFERROR(__xludf.DUMMYFUNCTION("""COMPUTED_VALUE"""),"#28")</f>
        <v>#28</v>
      </c>
      <c r="C323" s="5">
        <f ca="1">IFERROR(__xludf.DUMMYFUNCTION("""COMPUTED_VALUE"""),46060.4173611111)</f>
        <v>46060.417361111096</v>
      </c>
      <c r="D323" s="6">
        <f ca="1">IFERROR(__xludf.DUMMYFUNCTION("""COMPUTED_VALUE"""),495)</f>
        <v>495</v>
      </c>
      <c r="E323" s="4" t="str">
        <f ca="1">IFERROR(__xludf.DUMMYFUNCTION("""COMPUTED_VALUE"""),"MXN")</f>
        <v>MXN</v>
      </c>
      <c r="F323" s="4" t="str">
        <f ca="1">IFERROR(__xludf.DUMMYFUNCTION("""COMPUTED_VALUE"""),"Fernando Villalobos Lara")</f>
        <v>Fernando Villalobos Lara</v>
      </c>
      <c r="G323" s="4" t="str">
        <f ca="1">IFERROR(__xludf.DUMMYFUNCTION("""COMPUTED_VALUE"""),"PASTELERIA LOS TULIPAN CIUDAD DE MEX MEX")</f>
        <v>PASTELERIA LOS TULIPAN CIUDAD DE MEX MEX</v>
      </c>
      <c r="H323" s="4" t="str">
        <f ca="1">IFERROR(__xludf.DUMMYFUNCTION("""COMPUTED_VALUE"""),"Pasteleria Los Tulipan Ciudad De Mex Mex")</f>
        <v>Pasteleria Los Tulipan Ciudad De Mex Mex</v>
      </c>
      <c r="I323" s="4" t="str">
        <f ca="1">IFERROR(__xludf.DUMMYFUNCTION("""COMPUTED_VALUE"""),"Office expenses")</f>
        <v>Office expenses</v>
      </c>
      <c r="J323" s="4" t="str">
        <f ca="1">IFERROR(__xludf.DUMMYFUNCTION("""COMPUTED_VALUE"""),"Pastel 4 años Prima")</f>
        <v>Pastel 4 años Prima</v>
      </c>
      <c r="K323" s="4"/>
      <c r="S323" s="6">
        <v>108.09</v>
      </c>
      <c r="T323" s="4" t="e">
        <f t="shared" ca="1" si="2"/>
        <v>#N/A</v>
      </c>
    </row>
    <row r="324" spans="1:20" ht="12.5">
      <c r="A324" s="4" t="str">
        <f ca="1">IFERROR(__xludf.DUMMYFUNCTION("""COMPUTED_VALUE"""),"TRX1065")</f>
        <v>TRX1065</v>
      </c>
      <c r="B324" s="4" t="str">
        <f ca="1">IFERROR(__xludf.DUMMYFUNCTION("""COMPUTED_VALUE"""),"#28")</f>
        <v>#28</v>
      </c>
      <c r="C324" s="5">
        <f ca="1">IFERROR(__xludf.DUMMYFUNCTION("""COMPUTED_VALUE"""),46075.4166666666)</f>
        <v>46075.416666666599</v>
      </c>
      <c r="D324" s="6">
        <f ca="1">IFERROR(__xludf.DUMMYFUNCTION("""COMPUTED_VALUE"""),600)</f>
        <v>600</v>
      </c>
      <c r="E324" s="4" t="str">
        <f ca="1">IFERROR(__xludf.DUMMYFUNCTION("""COMPUTED_VALUE"""),"MXN")</f>
        <v>MXN</v>
      </c>
      <c r="F324" s="4" t="str">
        <f ca="1">IFERROR(__xludf.DUMMYFUNCTION("""COMPUTED_VALUE"""),"Fernando Villalobos Lara")</f>
        <v>Fernando Villalobos Lara</v>
      </c>
      <c r="G324" s="4" t="str">
        <f ca="1">IFERROR(__xludf.DUMMYFUNCTION("""COMPUTED_VALUE"""),"RECARGA PASE TUTAG     CIUDAD DE MEX MEX")</f>
        <v>RECARGA PASE TUTAG     CIUDAD DE MEX MEX</v>
      </c>
      <c r="H324" s="4" t="str">
        <f ca="1">IFERROR(__xludf.DUMMYFUNCTION("""COMPUTED_VALUE"""),"Recarga Pase Tutag Ciudad De Mex Mex")</f>
        <v>Recarga Pase Tutag Ciudad De Mex Mex</v>
      </c>
      <c r="I324" s="4" t="str">
        <f ca="1">IFERROR(__xludf.DUMMYFUNCTION("""COMPUTED_VALUE"""),"Transaction cost")</f>
        <v>Transaction cost</v>
      </c>
      <c r="J324" s="4" t="str">
        <f ca="1">IFERROR(__xludf.DUMMYFUNCTION("""COMPUTED_VALUE"""),"PO 1777 - Visita Proveedor")</f>
        <v>PO 1777 - Visita Proveedor</v>
      </c>
      <c r="K324" s="4" t="str">
        <f ca="1">IFERROR(__xludf.DUMMYFUNCTION("""COMPUTED_VALUE"""),"B57D0045-67CE-48A3-AA50-FE746732BB12")</f>
        <v>B57D0045-67CE-48A3-AA50-FE746732BB12</v>
      </c>
      <c r="S324" s="6">
        <v>442.47</v>
      </c>
      <c r="T324" s="4" t="e">
        <f t="shared" ca="1" si="2"/>
        <v>#N/A</v>
      </c>
    </row>
    <row r="325" spans="1:20" ht="12.5">
      <c r="A325" s="4" t="str">
        <f ca="1">IFERROR(__xludf.DUMMYFUNCTION("""COMPUTED_VALUE"""),"TRX1284")</f>
        <v>TRX1284</v>
      </c>
      <c r="B325" s="4" t="str">
        <f ca="1">IFERROR(__xludf.DUMMYFUNCTION("""COMPUTED_VALUE"""),"#28")</f>
        <v>#28</v>
      </c>
      <c r="C325" s="5">
        <f ca="1">IFERROR(__xludf.DUMMYFUNCTION("""COMPUTED_VALUE"""),46081.4173611111)</f>
        <v>46081.417361111096</v>
      </c>
      <c r="D325" s="6">
        <f ca="1">IFERROR(__xludf.DUMMYFUNCTION("""COMPUTED_VALUE"""),359.78)</f>
        <v>359.78</v>
      </c>
      <c r="E325" s="4" t="str">
        <f ca="1">IFERROR(__xludf.DUMMYFUNCTION("""COMPUTED_VALUE"""),"USD")</f>
        <v>USD</v>
      </c>
      <c r="F325" s="4" t="str">
        <f ca="1">IFERROR(__xludf.DUMMYFUNCTION("""COMPUTED_VALUE"""),"Fernando Villalobos Lara")</f>
        <v>Fernando Villalobos Lara</v>
      </c>
      <c r="G325" s="4" t="str">
        <f ca="1">IFERROR(__xludf.DUMMYFUNCTION("""COMPUTED_VALUE"""),"CLAUDE.AI SUBSCRIPTION SAN FRANCISCO USA")</f>
        <v>CLAUDE.AI SUBSCRIPTION SAN FRANCISCO USA</v>
      </c>
      <c r="H325" s="8" t="str">
        <f ca="1">IFERROR(__xludf.DUMMYFUNCTION("""COMPUTED_VALUE"""),"Claude.ai")</f>
        <v>Claude.ai</v>
      </c>
      <c r="I325" s="4" t="str">
        <f ca="1">IFERROR(__xludf.DUMMYFUNCTION("""COMPUTED_VALUE"""),"Tech&amp;Product")</f>
        <v>Tech&amp;Product</v>
      </c>
      <c r="J325" s="4" t="str">
        <f ca="1">IFERROR(__xludf.DUMMYFUNCTION("""COMPUTED_VALUE"""),"Pruba CLAUDE")</f>
        <v>Pruba CLAUDE</v>
      </c>
      <c r="K325" s="4"/>
      <c r="S325" s="6">
        <v>192.5</v>
      </c>
      <c r="T325" s="4" t="str">
        <f t="shared" ca="1" si="2"/>
        <v>Jose Rosas Ortiz</v>
      </c>
    </row>
    <row r="326" spans="1:20" ht="12.5">
      <c r="A326" s="4" t="str">
        <f ca="1">IFERROR(__xludf.DUMMYFUNCTION("""COMPUTED_VALUE"""),"TRX1270")</f>
        <v>TRX1270</v>
      </c>
      <c r="B326" s="4" t="str">
        <f ca="1">IFERROR(__xludf.DUMMYFUNCTION("""COMPUTED_VALUE"""),"#30")</f>
        <v>#30</v>
      </c>
      <c r="C326" s="5">
        <f ca="1">IFERROR(__xludf.DUMMYFUNCTION("""COMPUTED_VALUE"""),46057.4166666666)</f>
        <v>46057.416666666599</v>
      </c>
      <c r="D326" s="6">
        <f ca="1">IFERROR(__xludf.DUMMYFUNCTION("""COMPUTED_VALUE"""),907.88)</f>
        <v>907.88</v>
      </c>
      <c r="E326" s="4" t="str">
        <f ca="1">IFERROR(__xludf.DUMMYFUNCTION("""COMPUTED_VALUE"""),"USD")</f>
        <v>USD</v>
      </c>
      <c r="F326" s="4" t="str">
        <f ca="1">IFERROR(__xludf.DUMMYFUNCTION("""COMPUTED_VALUE"""),"Manuel Ibarra Cebreros")</f>
        <v>Manuel Ibarra Cebreros</v>
      </c>
      <c r="G326" s="4" t="str">
        <f ca="1">IFERROR(__xludf.DUMMYFUNCTION("""COMPUTED_VALUE"""),"SONESTA SIMPLY SUITES  LAS VEGAS     USA")</f>
        <v>SONESTA SIMPLY SUITES  LAS VEGAS     USA</v>
      </c>
      <c r="H326" s="4" t="str">
        <f ca="1">IFERROR(__xludf.DUMMYFUNCTION("""COMPUTED_VALUE"""),"Simply Vegas Real Estate")</f>
        <v>Simply Vegas Real Estate</v>
      </c>
      <c r="I326" s="4" t="str">
        <f ca="1">IFERROR(__xludf.DUMMYFUNCTION("""COMPUTED_VALUE"""),"Sales")</f>
        <v>Sales</v>
      </c>
      <c r="J326" s="4" t="str">
        <f ca="1">IFERROR(__xludf.DUMMYFUNCTION("""COMPUTED_VALUE"""),"Expo AHR Las Vegas")</f>
        <v>Expo AHR Las Vegas</v>
      </c>
      <c r="K326" s="4"/>
      <c r="S326" s="6">
        <v>10000</v>
      </c>
      <c r="T326" s="4" t="str">
        <f t="shared" ca="1" si="2"/>
        <v>Rogelio Gamez</v>
      </c>
    </row>
    <row r="327" spans="1:20" ht="12.5">
      <c r="A327" s="4" t="str">
        <f ca="1">IFERROR(__xludf.DUMMYFUNCTION("""COMPUTED_VALUE"""),"TRX1723")</f>
        <v>TRX1723</v>
      </c>
      <c r="B327" s="4" t="str">
        <f ca="1">IFERROR(__xludf.DUMMYFUNCTION("""COMPUTED_VALUE"""),"#30")</f>
        <v>#30</v>
      </c>
      <c r="C327" s="5">
        <f ca="1">IFERROR(__xludf.DUMMYFUNCTION("""COMPUTED_VALUE"""),46059.4173611111)</f>
        <v>46059.417361111096</v>
      </c>
      <c r="D327" s="6">
        <f ca="1">IFERROR(__xludf.DUMMYFUNCTION("""COMPUTED_VALUE"""),187.02)</f>
        <v>187.02</v>
      </c>
      <c r="E327" s="4" t="str">
        <f ca="1">IFERROR(__xludf.DUMMYFUNCTION("""COMPUTED_VALUE"""),"USD")</f>
        <v>USD</v>
      </c>
      <c r="F327" s="4" t="str">
        <f ca="1">IFERROR(__xludf.DUMMYFUNCTION("""COMPUTED_VALUE"""),"Manuel Ibarra Cebreros")</f>
        <v>Manuel Ibarra Cebreros</v>
      </c>
      <c r="G327" s="4" t="str">
        <f ca="1">IFERROR(__xludf.DUMMYFUNCTION("""COMPUTED_VALUE"""),"LAS VEGAS CONVENTION C LAS VEGAS     USA")</f>
        <v>LAS VEGAS CONVENTION C LAS VEGAS     USA</v>
      </c>
      <c r="H327" s="4" t="str">
        <f ca="1">IFERROR(__xludf.DUMMYFUNCTION("""COMPUTED_VALUE"""),"Las Vegas Convention C Las Vegas USA")</f>
        <v>Las Vegas Convention C Las Vegas USA</v>
      </c>
      <c r="I327" s="4" t="str">
        <f ca="1">IFERROR(__xludf.DUMMYFUNCTION("""COMPUTED_VALUE"""),"Sales")</f>
        <v>Sales</v>
      </c>
      <c r="J327" s="4" t="str">
        <f ca="1">IFERROR(__xludf.DUMMYFUNCTION("""COMPUTED_VALUE"""),"Expo AHR Las Vegas")</f>
        <v>Expo AHR Las Vegas</v>
      </c>
      <c r="K327" s="4"/>
      <c r="S327" s="6">
        <v>109.92</v>
      </c>
      <c r="T327" s="4" t="e">
        <f t="shared" ca="1" si="2"/>
        <v>#N/A</v>
      </c>
    </row>
    <row r="328" spans="1:20" ht="12.5">
      <c r="A328" s="4" t="str">
        <f ca="1">IFERROR(__xludf.DUMMYFUNCTION("""COMPUTED_VALUE"""),"TRX1719")</f>
        <v>TRX1719</v>
      </c>
      <c r="B328" s="4" t="str">
        <f ca="1">IFERROR(__xludf.DUMMYFUNCTION("""COMPUTED_VALUE"""),"#30")</f>
        <v>#30</v>
      </c>
      <c r="C328" s="5">
        <f ca="1">IFERROR(__xludf.DUMMYFUNCTION("""COMPUTED_VALUE"""),46060.4173611111)</f>
        <v>46060.417361111096</v>
      </c>
      <c r="D328" s="6">
        <f ca="1">IFERROR(__xludf.DUMMYFUNCTION("""COMPUTED_VALUE"""),1255.06)</f>
        <v>1255.06</v>
      </c>
      <c r="E328" s="4" t="str">
        <f ca="1">IFERROR(__xludf.DUMMYFUNCTION("""COMPUTED_VALUE"""),"USD")</f>
        <v>USD</v>
      </c>
      <c r="F328" s="4" t="str">
        <f ca="1">IFERROR(__xludf.DUMMYFUNCTION("""COMPUTED_VALUE"""),"Manuel Ibarra Cebreros")</f>
        <v>Manuel Ibarra Cebreros</v>
      </c>
      <c r="G328" s="4" t="str">
        <f ca="1">IFERROR(__xludf.DUMMYFUNCTION("""COMPUTED_VALUE"""),"DENNY'S #9686          Las Vegas     USA")</f>
        <v>DENNY'S #9686          Las Vegas     USA</v>
      </c>
      <c r="H328" s="4" t="str">
        <f ca="1">IFERROR(__xludf.DUMMYFUNCTION("""COMPUTED_VALUE"""),"Dennys")</f>
        <v>Dennys</v>
      </c>
      <c r="I328" s="4" t="str">
        <f ca="1">IFERROR(__xludf.DUMMYFUNCTION("""COMPUTED_VALUE"""),"Sales")</f>
        <v>Sales</v>
      </c>
      <c r="J328" s="4" t="str">
        <f ca="1">IFERROR(__xludf.DUMMYFUNCTION("""COMPUTED_VALUE"""),"Expo AHR Las Vegas")</f>
        <v>Expo AHR Las Vegas</v>
      </c>
      <c r="K328" s="4"/>
      <c r="S328" s="6">
        <v>1000</v>
      </c>
      <c r="T328" s="4" t="str">
        <f t="shared" ca="1" si="2"/>
        <v>Fernando Sanchez Toledano</v>
      </c>
    </row>
    <row r="329" spans="1:20" ht="12.5">
      <c r="A329" s="4" t="str">
        <f ca="1">IFERROR(__xludf.DUMMYFUNCTION("""COMPUTED_VALUE"""),"TRX1568")</f>
        <v>TRX1568</v>
      </c>
      <c r="B329" s="4" t="str">
        <f ca="1">IFERROR(__xludf.DUMMYFUNCTION("""COMPUTED_VALUE"""),"#30")</f>
        <v>#30</v>
      </c>
      <c r="C329" s="5">
        <f ca="1">IFERROR(__xludf.DUMMYFUNCTION("""COMPUTED_VALUE"""),46060.4173611111)</f>
        <v>46060.417361111096</v>
      </c>
      <c r="D329" s="6">
        <f ca="1">IFERROR(__xludf.DUMMYFUNCTION("""COMPUTED_VALUE"""),866.55)</f>
        <v>866.55</v>
      </c>
      <c r="E329" s="4" t="str">
        <f ca="1">IFERROR(__xludf.DUMMYFUNCTION("""COMPUTED_VALUE"""),"USD")</f>
        <v>USD</v>
      </c>
      <c r="F329" s="4" t="str">
        <f ca="1">IFERROR(__xludf.DUMMYFUNCTION("""COMPUTED_VALUE"""),"Manuel Ibarra Cebreros")</f>
        <v>Manuel Ibarra Cebreros</v>
      </c>
      <c r="G329" s="4" t="str">
        <f ca="1">IFERROR(__xludf.DUMMYFUNCTION("""COMPUTED_VALUE"""),"20260204T00:00:00/SONESTA SIMPLY SUITES\4034 PARADISE RD\LAS VEGAS    \89169     NV USA")</f>
        <v>20260204T00:00:00/SONESTA SIMPLY SUITES\4034 PARADISE RD\LAS VEGAS    \89169     NV USA</v>
      </c>
      <c r="H329" s="4" t="str">
        <f ca="1">IFERROR(__xludf.DUMMYFUNCTION("""COMPUTED_VALUE"""),"Simply Vegas Real Estate")</f>
        <v>Simply Vegas Real Estate</v>
      </c>
      <c r="I329" s="4" t="str">
        <f ca="1">IFERROR(__xludf.DUMMYFUNCTION("""COMPUTED_VALUE"""),"Sales")</f>
        <v>Sales</v>
      </c>
      <c r="J329" s="4" t="str">
        <f ca="1">IFERROR(__xludf.DUMMYFUNCTION("""COMPUTED_VALUE"""),"Expo AHR Las Vegas")</f>
        <v>Expo AHR Las Vegas</v>
      </c>
      <c r="K329" s="4"/>
      <c r="S329" s="6">
        <v>5</v>
      </c>
      <c r="T329" s="4" t="e">
        <f t="shared" ca="1" si="2"/>
        <v>#N/A</v>
      </c>
    </row>
    <row r="330" spans="1:20" ht="12.5">
      <c r="A330" s="4" t="str">
        <f ca="1">IFERROR(__xludf.DUMMYFUNCTION("""COMPUTED_VALUE"""),"TRX1077")</f>
        <v>TRX1077</v>
      </c>
      <c r="B330" s="4" t="str">
        <f ca="1">IFERROR(__xludf.DUMMYFUNCTION("""COMPUTED_VALUE"""),"#30")</f>
        <v>#30</v>
      </c>
      <c r="C330" s="5">
        <f ca="1">IFERROR(__xludf.DUMMYFUNCTION("""COMPUTED_VALUE"""),46065.4166666666)</f>
        <v>46065.416666666599</v>
      </c>
      <c r="D330" s="6">
        <f ca="1">IFERROR(__xludf.DUMMYFUNCTION("""COMPUTED_VALUE"""),300)</f>
        <v>300</v>
      </c>
      <c r="E330" s="4" t="str">
        <f ca="1">IFERROR(__xludf.DUMMYFUNCTION("""COMPUTED_VALUE"""),"MXN")</f>
        <v>MXN</v>
      </c>
      <c r="F330" s="4" t="str">
        <f ca="1">IFERROR(__xludf.DUMMYFUNCTION("""COMPUTED_VALUE"""),"Manuel Ibarra Cebreros")</f>
        <v>Manuel Ibarra Cebreros</v>
      </c>
      <c r="G330" s="4" t="str">
        <f ca="1">IFERROR(__xludf.DUMMYFUNCTION("""COMPUTED_VALUE"""),"RECARGA PASE TUTAG     CIUDAD DE MEX MEX")</f>
        <v>RECARGA PASE TUTAG     CIUDAD DE MEX MEX</v>
      </c>
      <c r="H330" s="4" t="str">
        <f ca="1">IFERROR(__xludf.DUMMYFUNCTION("""COMPUTED_VALUE"""),"Recarga Pase Tutag Ciudad De Mex Mex")</f>
        <v>Recarga Pase Tutag Ciudad De Mex Mex</v>
      </c>
      <c r="I330" s="4" t="str">
        <f ca="1">IFERROR(__xludf.DUMMYFUNCTION("""COMPUTED_VALUE"""),"Transaction cost")</f>
        <v>Transaction cost</v>
      </c>
      <c r="J330" s="4" t="str">
        <f ca="1">IFERROR(__xludf.DUMMYFUNCTION("""COMPUTED_VALUE"""),"PO 2230 - Visita IMESA")</f>
        <v>PO 2230 - Visita IMESA</v>
      </c>
      <c r="K330" s="4"/>
      <c r="S330" s="6">
        <v>333.73</v>
      </c>
      <c r="T330" s="4" t="e">
        <f t="shared" ca="1" si="2"/>
        <v>#N/A</v>
      </c>
    </row>
    <row r="331" spans="1:20" ht="12.5">
      <c r="A331" s="4" t="str">
        <f ca="1">IFERROR(__xludf.DUMMYFUNCTION("""COMPUTED_VALUE"""),"TRX1659")</f>
        <v>TRX1659</v>
      </c>
      <c r="B331" s="4" t="str">
        <f ca="1">IFERROR(__xludf.DUMMYFUNCTION("""COMPUTED_VALUE"""),"#30")</f>
        <v>#30</v>
      </c>
      <c r="C331" s="5">
        <f ca="1">IFERROR(__xludf.DUMMYFUNCTION("""COMPUTED_VALUE"""),46065.4173611111)</f>
        <v>46065.417361111096</v>
      </c>
      <c r="D331" s="6">
        <f ca="1">IFERROR(__xludf.DUMMYFUNCTION("""COMPUTED_VALUE"""),500)</f>
        <v>500</v>
      </c>
      <c r="E331" s="4" t="str">
        <f ca="1">IFERROR(__xludf.DUMMYFUNCTION("""COMPUTED_VALUE"""),"MXN")</f>
        <v>MXN</v>
      </c>
      <c r="F331" s="4" t="str">
        <f ca="1">IFERROR(__xludf.DUMMYFUNCTION("""COMPUTED_VALUE"""),"Manuel Ibarra Cebreros")</f>
        <v>Manuel Ibarra Cebreros</v>
      </c>
      <c r="G331" s="4" t="str">
        <f ca="1">IFERROR(__xludf.DUMMYFUNCTION("""COMPUTED_VALUE"""),"PMX*GAS PALACIO ATIZPN ATIZAPAN DE Z MEX")</f>
        <v>PMX*GAS PALACIO ATIZPN ATIZAPAN DE Z MEX</v>
      </c>
      <c r="H331" s="4" t="str">
        <f ca="1">IFERROR(__xludf.DUMMYFUNCTION("""COMPUTED_VALUE"""),"Pmx Gas Palacio Atizpn Atizapan De Z Mex")</f>
        <v>Pmx Gas Palacio Atizpn Atizapan De Z Mex</v>
      </c>
      <c r="I331" s="4" t="str">
        <f ca="1">IFERROR(__xludf.DUMMYFUNCTION("""COMPUTED_VALUE"""),"Transaction cost")</f>
        <v>Transaction cost</v>
      </c>
      <c r="J331" s="4" t="str">
        <f ca="1">IFERROR(__xludf.DUMMYFUNCTION("""COMPUTED_VALUE"""),"PO 2230 - Visita IMESA")</f>
        <v>PO 2230 - Visita IMESA</v>
      </c>
      <c r="K331" s="4"/>
      <c r="S331" s="6">
        <v>151.5</v>
      </c>
      <c r="T331" s="4" t="e">
        <f t="shared" ca="1" si="2"/>
        <v>#N/A</v>
      </c>
    </row>
    <row r="332" spans="1:20" ht="12.5">
      <c r="A332" s="4" t="str">
        <f ca="1">IFERROR(__xludf.DUMMYFUNCTION("""COMPUTED_VALUE"""),"TRX1713")</f>
        <v>TRX1713</v>
      </c>
      <c r="B332" s="4" t="str">
        <f ca="1">IFERROR(__xludf.DUMMYFUNCTION("""COMPUTED_VALUE"""),"#30")</f>
        <v>#30</v>
      </c>
      <c r="C332" s="5">
        <f ca="1">IFERROR(__xludf.DUMMYFUNCTION("""COMPUTED_VALUE"""),46066.4166666666)</f>
        <v>46066.416666666599</v>
      </c>
      <c r="D332" s="6">
        <f ca="1">IFERROR(__xludf.DUMMYFUNCTION("""COMPUTED_VALUE"""),165.6)</f>
        <v>165.6</v>
      </c>
      <c r="E332" s="4" t="str">
        <f ca="1">IFERROR(__xludf.DUMMYFUNCTION("""COMPUTED_VALUE"""),"MXN")</f>
        <v>MXN</v>
      </c>
      <c r="F332" s="4" t="str">
        <f ca="1">IFERROR(__xludf.DUMMYFUNCTION("""COMPUTED_VALUE"""),"Manuel Ibarra Cebreros")</f>
        <v>Manuel Ibarra Cebreros</v>
      </c>
      <c r="G332" s="4" t="str">
        <f ca="1">IFERROR(__xludf.DUMMYFUNCTION("""COMPUTED_VALUE"""),"OFFICE DEPOT PATRIOTIS CIUDAD DE MEX MEX")</f>
        <v>OFFICE DEPOT PATRIOTIS CIUDAD DE MEX MEX</v>
      </c>
      <c r="H332" s="4" t="str">
        <f ca="1">IFERROR(__xludf.DUMMYFUNCTION("""COMPUTED_VALUE"""),"Office Depot")</f>
        <v>Office Depot</v>
      </c>
      <c r="I332" s="4" t="str">
        <f ca="1">IFERROR(__xludf.DUMMYFUNCTION("""COMPUTED_VALUE"""),"Sales")</f>
        <v>Sales</v>
      </c>
      <c r="J332" s="4" t="str">
        <f ca="1">IFERROR(__xludf.DUMMYFUNCTION("""COMPUTED_VALUE"""),"Visita posible cliente Wilo QRO")</f>
        <v>Visita posible cliente Wilo QRO</v>
      </c>
      <c r="K332" s="4"/>
      <c r="S332" s="6">
        <v>242.91</v>
      </c>
      <c r="T332" s="4" t="e">
        <f t="shared" ca="1" si="2"/>
        <v>#N/A</v>
      </c>
    </row>
    <row r="333" spans="1:20" ht="12.5">
      <c r="A333" s="4" t="str">
        <f ca="1">IFERROR(__xludf.DUMMYFUNCTION("""COMPUTED_VALUE"""),"TRX1182")</f>
        <v>TRX1182</v>
      </c>
      <c r="B333" s="4" t="str">
        <f ca="1">IFERROR(__xludf.DUMMYFUNCTION("""COMPUTED_VALUE"""),"#30")</f>
        <v>#30</v>
      </c>
      <c r="C333" s="5">
        <f ca="1">IFERROR(__xludf.DUMMYFUNCTION("""COMPUTED_VALUE"""),46079.4166666666)</f>
        <v>46079.416666666599</v>
      </c>
      <c r="D333" s="6">
        <f ca="1">IFERROR(__xludf.DUMMYFUNCTION("""COMPUTED_VALUE"""),300)</f>
        <v>300</v>
      </c>
      <c r="E333" s="4" t="str">
        <f ca="1">IFERROR(__xludf.DUMMYFUNCTION("""COMPUTED_VALUE"""),"MXN")</f>
        <v>MXN</v>
      </c>
      <c r="F333" s="4" t="str">
        <f ca="1">IFERROR(__xludf.DUMMYFUNCTION("""COMPUTED_VALUE"""),"Manuel Ibarra Cebreros")</f>
        <v>Manuel Ibarra Cebreros</v>
      </c>
      <c r="G333" s="4" t="str">
        <f ca="1">IFERROR(__xludf.DUMMYFUNCTION("""COMPUTED_VALUE"""),"RECARGA PASE TUTAG     CIUDAD DE MEX MEX")</f>
        <v>RECARGA PASE TUTAG     CIUDAD DE MEX MEX</v>
      </c>
      <c r="H333" s="4" t="str">
        <f ca="1">IFERROR(__xludf.DUMMYFUNCTION("""COMPUTED_VALUE"""),"Recarga Pase Tutag Ciudad De Mex Mex")</f>
        <v>Recarga Pase Tutag Ciudad De Mex Mex</v>
      </c>
      <c r="I333" s="4" t="str">
        <f ca="1">IFERROR(__xludf.DUMMYFUNCTION("""COMPUTED_VALUE"""),"Transaction cost")</f>
        <v>Transaction cost</v>
      </c>
      <c r="J333" s="4" t="str">
        <f ca="1">IFERROR(__xludf.DUMMYFUNCTION("""COMPUTED_VALUE"""),"PO 2041 - Visita IMESA")</f>
        <v>PO 2041 - Visita IMESA</v>
      </c>
      <c r="K333" s="4"/>
      <c r="S333" s="6">
        <v>239.97</v>
      </c>
      <c r="T333" s="4" t="e">
        <f t="shared" ca="1" si="2"/>
        <v>#N/A</v>
      </c>
    </row>
    <row r="334" spans="1:20" ht="12.5">
      <c r="A334" s="4" t="str">
        <f ca="1">IFERROR(__xludf.DUMMYFUNCTION("""COMPUTED_VALUE"""),"TRX1171")</f>
        <v>TRX1171</v>
      </c>
      <c r="B334" s="4" t="str">
        <f ca="1">IFERROR(__xludf.DUMMYFUNCTION("""COMPUTED_VALUE"""),"#31")</f>
        <v>#31</v>
      </c>
      <c r="C334" s="5">
        <f ca="1">IFERROR(__xludf.DUMMYFUNCTION("""COMPUTED_VALUE"""),46059.4166666666)</f>
        <v>46059.416666666599</v>
      </c>
      <c r="D334" s="6">
        <f ca="1">IFERROR(__xludf.DUMMYFUNCTION("""COMPUTED_VALUE"""),61.2)</f>
        <v>61.2</v>
      </c>
      <c r="E334" s="4" t="str">
        <f ca="1">IFERROR(__xludf.DUMMYFUNCTION("""COMPUTED_VALUE"""),"MXN")</f>
        <v>MXN</v>
      </c>
      <c r="F334" s="4" t="str">
        <f ca="1">IFERROR(__xludf.DUMMYFUNCTION("""COMPUTED_VALUE"""),"Emiliano Cavazos")</f>
        <v>Emiliano Cavazos</v>
      </c>
      <c r="G334" s="4" t="str">
        <f ca="1">IFERROR(__xludf.DUMMYFUNCTION("""COMPUTED_VALUE"""),"REA AUTOPISTA GPE      CADEREYTA JIM MEX")</f>
        <v>REA AUTOPISTA GPE      CADEREYTA JIM MEX</v>
      </c>
      <c r="H334" s="4" t="str">
        <f ca="1">IFERROR(__xludf.DUMMYFUNCTION("""COMPUTED_VALUE"""),"Rea Autopista Gpe Cadereyta Jim Mex")</f>
        <v>Rea Autopista Gpe Cadereyta Jim Mex</v>
      </c>
      <c r="I334" s="4" t="str">
        <f ca="1">IFERROR(__xludf.DUMMYFUNCTION("""COMPUTED_VALUE"""),"Office expenses")</f>
        <v>Office expenses</v>
      </c>
      <c r="J334" s="4" t="str">
        <f ca="1">IFERROR(__xludf.DUMMYFUNCTION("""COMPUTED_VALUE"""),"All Hands Enero - Pizzas y Cocas")</f>
        <v>All Hands Enero - Pizzas y Cocas</v>
      </c>
      <c r="K334" s="4"/>
      <c r="S334" s="6">
        <v>299</v>
      </c>
      <c r="T334" s="4" t="str">
        <f t="shared" ca="1" si="2"/>
        <v>Jorge Rojas</v>
      </c>
    </row>
    <row r="335" spans="1:20" ht="12.5">
      <c r="A335" s="4" t="str">
        <f ca="1">IFERROR(__xludf.DUMMYFUNCTION("""COMPUTED_VALUE"""),"TRX1972")</f>
        <v>TRX1972</v>
      </c>
      <c r="B335" s="4" t="str">
        <f ca="1">IFERROR(__xludf.DUMMYFUNCTION("""COMPUTED_VALUE"""),"#31")</f>
        <v>#31</v>
      </c>
      <c r="C335" s="5">
        <f ca="1">IFERROR(__xludf.DUMMYFUNCTION("""COMPUTED_VALUE"""),46059.4173611111)</f>
        <v>46059.417361111096</v>
      </c>
      <c r="D335" s="6">
        <f ca="1">IFERROR(__xludf.DUMMYFUNCTION("""COMPUTED_VALUE"""),61.2)</f>
        <v>61.2</v>
      </c>
      <c r="E335" s="4" t="str">
        <f ca="1">IFERROR(__xludf.DUMMYFUNCTION("""COMPUTED_VALUE"""),"MXN")</f>
        <v>MXN</v>
      </c>
      <c r="F335" s="4" t="str">
        <f ca="1">IFERROR(__xludf.DUMMYFUNCTION("""COMPUTED_VALUE"""),"Emiliano Cavazos")</f>
        <v>Emiliano Cavazos</v>
      </c>
      <c r="G335" s="4" t="str">
        <f ca="1">IFERROR(__xludf.DUMMYFUNCTION("""COMPUTED_VALUE"""),"REA AUTOPISTA GPE      CADEREYTA JIM MEX")</f>
        <v>REA AUTOPISTA GPE      CADEREYTA JIM MEX</v>
      </c>
      <c r="H335" s="4" t="str">
        <f ca="1">IFERROR(__xludf.DUMMYFUNCTION("""COMPUTED_VALUE"""),"Rea Autopista Gpe Cadereyta Jim Mex")</f>
        <v>Rea Autopista Gpe Cadereyta Jim Mex</v>
      </c>
      <c r="I335" s="4" t="str">
        <f ca="1">IFERROR(__xludf.DUMMYFUNCTION("""COMPUTED_VALUE"""),"Transaction cost")</f>
        <v>Transaction cost</v>
      </c>
      <c r="J335" s="4" t="str">
        <f ca="1">IFERROR(__xludf.DUMMYFUNCTION("""COMPUTED_VALUE"""),"PO: 1242 - Gas visita a MP")</f>
        <v>PO: 1242 - Gas visita a MP</v>
      </c>
      <c r="K335" s="4"/>
      <c r="S335" s="6">
        <v>149.4</v>
      </c>
      <c r="T335" s="4" t="e">
        <f t="shared" ca="1" si="2"/>
        <v>#N/A</v>
      </c>
    </row>
    <row r="336" spans="1:20" ht="12.5">
      <c r="A336" s="4" t="str">
        <f ca="1">IFERROR(__xludf.DUMMYFUNCTION("""COMPUTED_VALUE"""),"TRX1923")</f>
        <v>TRX1923</v>
      </c>
      <c r="B336" s="4" t="str">
        <f ca="1">IFERROR(__xludf.DUMMYFUNCTION("""COMPUTED_VALUE"""),"#31")</f>
        <v>#31</v>
      </c>
      <c r="C336" s="5">
        <f ca="1">IFERROR(__xludf.DUMMYFUNCTION("""COMPUTED_VALUE"""),46060.4173611111)</f>
        <v>46060.417361111096</v>
      </c>
      <c r="D336" s="6">
        <f ca="1">IFERROR(__xludf.DUMMYFUNCTION("""COMPUTED_VALUE"""),358.67)</f>
        <v>358.67</v>
      </c>
      <c r="E336" s="4" t="str">
        <f ca="1">IFERROR(__xludf.DUMMYFUNCTION("""COMPUTED_VALUE"""),"MXN")</f>
        <v>MXN</v>
      </c>
      <c r="F336" s="4" t="str">
        <f ca="1">IFERROR(__xludf.DUMMYFUNCTION("""COMPUTED_VALUE"""),"Emiliano Cavazos")</f>
        <v>Emiliano Cavazos</v>
      </c>
      <c r="G336" s="4" t="str">
        <f ca="1">IFERROR(__xludf.DUMMYFUNCTION("""COMPUTED_VALUE"""),"PETRO7 GAS CORTIJO DEL MONTERREY NL  MEX")</f>
        <v>PETRO7 GAS CORTIJO DEL MONTERREY NL  MEX</v>
      </c>
      <c r="H336" s="4" t="str">
        <f ca="1">IFERROR(__xludf.DUMMYFUNCTION("""COMPUTED_VALUE"""),"Petro7 Gas Cortijo Del Monterrey Nl Mex")</f>
        <v>Petro7 Gas Cortijo Del Monterrey Nl Mex</v>
      </c>
      <c r="I336" s="4" t="str">
        <f ca="1">IFERROR(__xludf.DUMMYFUNCTION("""COMPUTED_VALUE"""),"Transaction cost")</f>
        <v>Transaction cost</v>
      </c>
      <c r="J336" s="4" t="str">
        <f ca="1">IFERROR(__xludf.DUMMYFUNCTION("""COMPUTED_VALUE"""),"RFQ 3416 : Visita a Cliente Viva Aerobus")</f>
        <v>RFQ 3416 : Visita a Cliente Viva Aerobus</v>
      </c>
      <c r="K336" s="4"/>
      <c r="S336" s="6">
        <v>72</v>
      </c>
      <c r="T336" s="4" t="e">
        <f t="shared" ca="1" si="2"/>
        <v>#N/A</v>
      </c>
    </row>
    <row r="337" spans="1:20" ht="12.5">
      <c r="A337" s="4" t="str">
        <f ca="1">IFERROR(__xludf.DUMMYFUNCTION("""COMPUTED_VALUE"""),"TRX1736")</f>
        <v>TRX1736</v>
      </c>
      <c r="B337" s="4" t="str">
        <f ca="1">IFERROR(__xludf.DUMMYFUNCTION("""COMPUTED_VALUE"""),"#31")</f>
        <v>#31</v>
      </c>
      <c r="C337" s="5">
        <f ca="1">IFERROR(__xludf.DUMMYFUNCTION("""COMPUTED_VALUE"""),46064.4166666666)</f>
        <v>46064.416666666599</v>
      </c>
      <c r="D337" s="6">
        <f ca="1">IFERROR(__xludf.DUMMYFUNCTION("""COMPUTED_VALUE"""),249.95)</f>
        <v>249.95</v>
      </c>
      <c r="E337" s="4" t="str">
        <f ca="1">IFERROR(__xludf.DUMMYFUNCTION("""COMPUTED_VALUE"""),"MXN")</f>
        <v>MXN</v>
      </c>
      <c r="F337" s="4" t="str">
        <f ca="1">IFERROR(__xludf.DUMMYFUNCTION("""COMPUTED_VALUE"""),"Emiliano Cavazos")</f>
        <v>Emiliano Cavazos</v>
      </c>
      <c r="G337" s="4" t="str">
        <f ca="1">IFERROR(__xludf.DUMMYFUNCTION("""COMPUTED_VALUE"""),"UBER * PENDING         CMX           MEX")</f>
        <v>UBER * PENDING         CMX           MEX</v>
      </c>
      <c r="H337" s="4" t="str">
        <f ca="1">IFERROR(__xludf.DUMMYFUNCTION("""COMPUTED_VALUE"""),"Uber")</f>
        <v>Uber</v>
      </c>
      <c r="I337" s="4" t="str">
        <f ca="1">IFERROR(__xludf.DUMMYFUNCTION("""COMPUTED_VALUE"""),"Transaction cost")</f>
        <v>Transaction cost</v>
      </c>
      <c r="J337" s="4" t="str">
        <f ca="1">IFERROR(__xludf.DUMMYFUNCTION("""COMPUTED_VALUE"""),"RFQ 3416 : Visita a Cliente Viva Aerobus")</f>
        <v>RFQ 3416 : Visita a Cliente Viva Aerobus</v>
      </c>
      <c r="K337" s="4"/>
      <c r="S337" s="6">
        <v>14.5</v>
      </c>
      <c r="T337" s="4" t="e">
        <f t="shared" ca="1" si="2"/>
        <v>#N/A</v>
      </c>
    </row>
    <row r="338" spans="1:20" ht="12.5">
      <c r="A338" s="4" t="str">
        <f ca="1">IFERROR(__xludf.DUMMYFUNCTION("""COMPUTED_VALUE"""),"TRX1212")</f>
        <v>TRX1212</v>
      </c>
      <c r="B338" s="4" t="str">
        <f ca="1">IFERROR(__xludf.DUMMYFUNCTION("""COMPUTED_VALUE"""),"#34")</f>
        <v>#34</v>
      </c>
      <c r="C338" s="5">
        <f ca="1">IFERROR(__xludf.DUMMYFUNCTION("""COMPUTED_VALUE"""),46058.4173611111)</f>
        <v>46058.417361111096</v>
      </c>
      <c r="D338" s="6">
        <f ca="1">IFERROR(__xludf.DUMMYFUNCTION("""COMPUTED_VALUE"""),661.25)</f>
        <v>661.25</v>
      </c>
      <c r="E338" s="4" t="str">
        <f ca="1">IFERROR(__xludf.DUMMYFUNCTION("""COMPUTED_VALUE"""),"MXN")</f>
        <v>MXN</v>
      </c>
      <c r="F338" s="4" t="str">
        <f ca="1">IFERROR(__xludf.DUMMYFUNCTION("""COMPUTED_VALUE"""),"Juan Pablo Ramos Aranda")</f>
        <v>Juan Pablo Ramos Aranda</v>
      </c>
      <c r="G338" s="4" t="str">
        <f ca="1">IFERROR(__xludf.DUMMYFUNCTION("""COMPUTED_VALUE"""),"COME REST              MEXICO DF     MEX")</f>
        <v>COME REST              MEXICO DF     MEX</v>
      </c>
      <c r="H338" s="4" t="str">
        <f ca="1">IFERROR(__xludf.DUMMYFUNCTION("""COMPUTED_VALUE"""),"Come Rest Mexico Df Mex")</f>
        <v>Come Rest Mexico Df Mex</v>
      </c>
      <c r="I338" s="4"/>
      <c r="J338" s="4"/>
      <c r="K338" s="4" t="str">
        <f ca="1">IFERROR(__xludf.DUMMYFUNCTION("""COMPUTED_VALUE"""),".")</f>
        <v>.</v>
      </c>
      <c r="S338" s="6">
        <v>2662.2</v>
      </c>
      <c r="T338" s="4" t="e">
        <f t="shared" ca="1" si="2"/>
        <v>#N/A</v>
      </c>
    </row>
    <row r="339" spans="1:20" ht="12.5">
      <c r="A339" s="4" t="str">
        <f ca="1">IFERROR(__xludf.DUMMYFUNCTION("""COMPUTED_VALUE"""),"TRX1937")</f>
        <v>TRX1937</v>
      </c>
      <c r="B339" s="4" t="str">
        <f ca="1">IFERROR(__xludf.DUMMYFUNCTION("""COMPUTED_VALUE"""),"#34")</f>
        <v>#34</v>
      </c>
      <c r="C339" s="5">
        <f ca="1">IFERROR(__xludf.DUMMYFUNCTION("""COMPUTED_VALUE"""),46060.4166666666)</f>
        <v>46060.416666666599</v>
      </c>
      <c r="D339" s="6">
        <f ca="1">IFERROR(__xludf.DUMMYFUNCTION("""COMPUTED_VALUE"""),466.07)</f>
        <v>466.07</v>
      </c>
      <c r="E339" s="4" t="str">
        <f ca="1">IFERROR(__xludf.DUMMYFUNCTION("""COMPUTED_VALUE"""),"MXN")</f>
        <v>MXN</v>
      </c>
      <c r="F339" s="4" t="str">
        <f ca="1">IFERROR(__xludf.DUMMYFUNCTION("""COMPUTED_VALUE"""),"Juan Pablo Ramos Aranda")</f>
        <v>Juan Pablo Ramos Aranda</v>
      </c>
      <c r="G339" s="4" t="str">
        <f ca="1">IFERROR(__xludf.DUMMYFUNCTION("""COMPUTED_VALUE"""),"UBER * EATS PENDING    CMX           MEX")</f>
        <v>UBER * EATS PENDING    CMX           MEX</v>
      </c>
      <c r="H339" s="4" t="str">
        <f ca="1">IFERROR(__xludf.DUMMYFUNCTION("""COMPUTED_VALUE"""),"Uber Eats")</f>
        <v>Uber Eats</v>
      </c>
      <c r="I339" s="4"/>
      <c r="J339" s="4"/>
      <c r="K339" s="4" t="str">
        <f ca="1">IFERROR(__xludf.DUMMYFUNCTION("""COMPUTED_VALUE"""),".")</f>
        <v>.</v>
      </c>
      <c r="S339" s="6">
        <v>246.28</v>
      </c>
      <c r="T339" s="4" t="e">
        <f t="shared" ca="1" si="2"/>
        <v>#N/A</v>
      </c>
    </row>
    <row r="340" spans="1:20" ht="12.5">
      <c r="A340" s="4" t="str">
        <f ca="1">IFERROR(__xludf.DUMMYFUNCTION("""COMPUTED_VALUE"""),"TRX1455")</f>
        <v>TRX1455</v>
      </c>
      <c r="B340" s="4" t="str">
        <f ca="1">IFERROR(__xludf.DUMMYFUNCTION("""COMPUTED_VALUE"""),"#34")</f>
        <v>#34</v>
      </c>
      <c r="C340" s="5">
        <f ca="1">IFERROR(__xludf.DUMMYFUNCTION("""COMPUTED_VALUE"""),46064.4166666666)</f>
        <v>46064.416666666599</v>
      </c>
      <c r="D340" s="6">
        <f ca="1">IFERROR(__xludf.DUMMYFUNCTION("""COMPUTED_VALUE"""),519.8)</f>
        <v>519.79999999999995</v>
      </c>
      <c r="E340" s="4" t="str">
        <f ca="1">IFERROR(__xludf.DUMMYFUNCTION("""COMPUTED_VALUE"""),"MXN")</f>
        <v>MXN</v>
      </c>
      <c r="F340" s="4" t="str">
        <f ca="1">IFERROR(__xludf.DUMMYFUNCTION("""COMPUTED_VALUE"""),"Juan Pablo Ramos Aranda")</f>
        <v>Juan Pablo Ramos Aranda</v>
      </c>
      <c r="G340" s="4" t="str">
        <f ca="1">IFERROR(__xludf.DUMMYFUNCTION("""COMPUTED_VALUE"""),"PARIS 16 BISTRO        CIUDAD DE MEX MEX")</f>
        <v>PARIS 16 BISTRO        CIUDAD DE MEX MEX</v>
      </c>
      <c r="H340" s="4" t="str">
        <f ca="1">IFERROR(__xludf.DUMMYFUNCTION("""COMPUTED_VALUE"""),"Paris Bistro")</f>
        <v>Paris Bistro</v>
      </c>
      <c r="I340" s="4"/>
      <c r="J340" s="4"/>
      <c r="K340" s="4" t="str">
        <f ca="1">IFERROR(__xludf.DUMMYFUNCTION("""COMPUTED_VALUE"""),".")</f>
        <v>.</v>
      </c>
      <c r="S340" s="6">
        <v>6682.3</v>
      </c>
      <c r="T340" s="4" t="e">
        <f t="shared" ca="1" si="2"/>
        <v>#N/A</v>
      </c>
    </row>
    <row r="341" spans="1:20" ht="12.5">
      <c r="A341" s="4" t="str">
        <f ca="1">IFERROR(__xludf.DUMMYFUNCTION("""COMPUTED_VALUE"""),"TRX1653")</f>
        <v>TRX1653</v>
      </c>
      <c r="B341" s="4" t="str">
        <f ca="1">IFERROR(__xludf.DUMMYFUNCTION("""COMPUTED_VALUE"""),"#34")</f>
        <v>#34</v>
      </c>
      <c r="C341" s="5">
        <f ca="1">IFERROR(__xludf.DUMMYFUNCTION("""COMPUTED_VALUE"""),46072.4166666666)</f>
        <v>46072.416666666599</v>
      </c>
      <c r="D341" s="6">
        <f ca="1">IFERROR(__xludf.DUMMYFUNCTION("""COMPUTED_VALUE"""),1020)</f>
        <v>1020</v>
      </c>
      <c r="E341" s="4" t="str">
        <f ca="1">IFERROR(__xludf.DUMMYFUNCTION("""COMPUTED_VALUE"""),"MXN")</f>
        <v>MXN</v>
      </c>
      <c r="F341" s="4" t="str">
        <f ca="1">IFERROR(__xludf.DUMMYFUNCTION("""COMPUTED_VALUE"""),"Juan Pablo Ramos Aranda")</f>
        <v>Juan Pablo Ramos Aranda</v>
      </c>
      <c r="G341" s="4" t="str">
        <f ca="1">IFERROR(__xludf.DUMMYFUNCTION("""COMPUTED_VALUE"""),"REST LA ONDA           CIUDAD DE MEX MEX")</f>
        <v>REST LA ONDA           CIUDAD DE MEX MEX</v>
      </c>
      <c r="H341" s="4" t="str">
        <f ca="1">IFERROR(__xludf.DUMMYFUNCTION("""COMPUTED_VALUE"""),"Rest La Onda Ciudad De Mex Mex")</f>
        <v>Rest La Onda Ciudad De Mex Mex</v>
      </c>
      <c r="I341" s="4"/>
      <c r="J341" s="4"/>
      <c r="K341" s="4" t="str">
        <f ca="1">IFERROR(__xludf.DUMMYFUNCTION("""COMPUTED_VALUE"""),".")</f>
        <v>.</v>
      </c>
      <c r="S341" s="6">
        <v>471.2</v>
      </c>
      <c r="T341" s="4" t="e">
        <f t="shared" ca="1" si="2"/>
        <v>#N/A</v>
      </c>
    </row>
    <row r="342" spans="1:20" ht="12.5">
      <c r="A342" s="4" t="str">
        <f ca="1">IFERROR(__xludf.DUMMYFUNCTION("""COMPUTED_VALUE"""),"TRX1026")</f>
        <v>TRX1026</v>
      </c>
      <c r="B342" s="4" t="str">
        <f ca="1">IFERROR(__xludf.DUMMYFUNCTION("""COMPUTED_VALUE"""),"#34")</f>
        <v>#34</v>
      </c>
      <c r="C342" s="5">
        <f ca="1">IFERROR(__xludf.DUMMYFUNCTION("""COMPUTED_VALUE"""),46074.4173611111)</f>
        <v>46074.417361111096</v>
      </c>
      <c r="D342" s="6">
        <f ca="1">IFERROR(__xludf.DUMMYFUNCTION("""COMPUTED_VALUE"""),309.98)</f>
        <v>309.98</v>
      </c>
      <c r="E342" s="4" t="str">
        <f ca="1">IFERROR(__xludf.DUMMYFUNCTION("""COMPUTED_VALUE"""),"MXN")</f>
        <v>MXN</v>
      </c>
      <c r="F342" s="4" t="str">
        <f ca="1">IFERROR(__xludf.DUMMYFUNCTION("""COMPUTED_VALUE"""),"Juan Pablo Ramos Aranda")</f>
        <v>Juan Pablo Ramos Aranda</v>
      </c>
      <c r="G342" s="4" t="str">
        <f ca="1">IFERROR(__xludf.DUMMYFUNCTION("""COMPUTED_VALUE"""),"UBER * PENDING         CMX           MEX")</f>
        <v>UBER * PENDING         CMX           MEX</v>
      </c>
      <c r="H342" s="4" t="str">
        <f ca="1">IFERROR(__xludf.DUMMYFUNCTION("""COMPUTED_VALUE"""),"Uber")</f>
        <v>Uber</v>
      </c>
      <c r="I342" s="4"/>
      <c r="J342" s="4"/>
      <c r="K342" s="4" t="str">
        <f ca="1">IFERROR(__xludf.DUMMYFUNCTION("""COMPUTED_VALUE"""),".")</f>
        <v>.</v>
      </c>
      <c r="S342" s="6">
        <v>209</v>
      </c>
      <c r="T342" s="4" t="str">
        <f t="shared" ca="1" si="2"/>
        <v>Daniel Alejandro Castillo Rivera</v>
      </c>
    </row>
    <row r="343" spans="1:20" ht="12.5">
      <c r="A343" s="4" t="str">
        <f ca="1">IFERROR(__xludf.DUMMYFUNCTION("""COMPUTED_VALUE"""),"TRX1105")</f>
        <v>TRX1105</v>
      </c>
      <c r="B343" s="4" t="str">
        <f ca="1">IFERROR(__xludf.DUMMYFUNCTION("""COMPUTED_VALUE"""),"#34")</f>
        <v>#34</v>
      </c>
      <c r="C343" s="5">
        <f ca="1">IFERROR(__xludf.DUMMYFUNCTION("""COMPUTED_VALUE"""),46076.4166666666)</f>
        <v>46076.416666666599</v>
      </c>
      <c r="D343" s="6">
        <f ca="1">IFERROR(__xludf.DUMMYFUNCTION("""COMPUTED_VALUE"""),777.13)</f>
        <v>777.13</v>
      </c>
      <c r="E343" s="4" t="str">
        <f ca="1">IFERROR(__xludf.DUMMYFUNCTION("""COMPUTED_VALUE"""),"USD")</f>
        <v>USD</v>
      </c>
      <c r="F343" s="4" t="str">
        <f ca="1">IFERROR(__xludf.DUMMYFUNCTION("""COMPUTED_VALUE"""),"Juan Pablo Ramos Aranda")</f>
        <v>Juan Pablo Ramos Aranda</v>
      </c>
      <c r="G343" s="4" t="str">
        <f ca="1">IFERROR(__xludf.DUMMYFUNCTION("""COMPUTED_VALUE"""),"UBER   * PENDING       SAN FRANCISCO USA")</f>
        <v>UBER   * PENDING       SAN FRANCISCO USA</v>
      </c>
      <c r="H343" s="4" t="str">
        <f ca="1">IFERROR(__xludf.DUMMYFUNCTION("""COMPUTED_VALUE"""),"Uber")</f>
        <v>Uber</v>
      </c>
      <c r="I343" s="4"/>
      <c r="J343" s="4"/>
      <c r="K343" s="4" t="str">
        <f ca="1">IFERROR(__xludf.DUMMYFUNCTION("""COMPUTED_VALUE"""),".")</f>
        <v>.</v>
      </c>
      <c r="S343" s="6">
        <v>1767.81</v>
      </c>
      <c r="T343" s="4" t="e">
        <f t="shared" ca="1" si="2"/>
        <v>#N/A</v>
      </c>
    </row>
    <row r="344" spans="1:20" ht="12.5">
      <c r="A344" s="4" t="str">
        <f ca="1">IFERROR(__xludf.DUMMYFUNCTION("""COMPUTED_VALUE"""),"TRX1283")</f>
        <v>TRX1283</v>
      </c>
      <c r="B344" s="4" t="str">
        <f ca="1">IFERROR(__xludf.DUMMYFUNCTION("""COMPUTED_VALUE"""),"#35")</f>
        <v>#35</v>
      </c>
      <c r="C344" s="5">
        <f ca="1">IFERROR(__xludf.DUMMYFUNCTION("""COMPUTED_VALUE"""),46056.4166666666)</f>
        <v>46056.416666666599</v>
      </c>
      <c r="D344" s="6">
        <f ca="1">IFERROR(__xludf.DUMMYFUNCTION("""COMPUTED_VALUE"""),137.81)</f>
        <v>137.81</v>
      </c>
      <c r="E344" s="4" t="str">
        <f ca="1">IFERROR(__xludf.DUMMYFUNCTION("""COMPUTED_VALUE"""),"USD")</f>
        <v>USD</v>
      </c>
      <c r="F344" s="4" t="str">
        <f ca="1">IFERROR(__xludf.DUMMYFUNCTION("""COMPUTED_VALUE"""),"Termis")</f>
        <v>Termis</v>
      </c>
      <c r="G344" s="4" t="str">
        <f ca="1">IFERROR(__xludf.DUMMYFUNCTION("""COMPUTED_VALUE"""),"FACEBK *Y8ZJ8FVSH2     DUBLIN 2      IRL")</f>
        <v>FACEBK *Y8ZJ8FVSH2     DUBLIN 2      IRL</v>
      </c>
      <c r="H344" s="4" t="str">
        <f ca="1">IFERROR(__xludf.DUMMYFUNCTION("""COMPUTED_VALUE"""),"Meta")</f>
        <v>Meta</v>
      </c>
      <c r="I344" s="4" t="str">
        <f ca="1">IFERROR(__xludf.DUMMYFUNCTION("""COMPUTED_VALUE"""),"Tech&amp;Product")</f>
        <v>Tech&amp;Product</v>
      </c>
      <c r="J344" s="4" t="str">
        <f ca="1">IFERROR(__xludf.DUMMYFUNCTION("""COMPUTED_VALUE"""),"API whatsapp")</f>
        <v>API whatsapp</v>
      </c>
      <c r="K344" s="4"/>
      <c r="S344" s="6">
        <v>35</v>
      </c>
      <c r="T344" s="4" t="str">
        <f t="shared" ca="1" si="2"/>
        <v>Rodrigo Perea</v>
      </c>
    </row>
    <row r="345" spans="1:20" ht="12.5">
      <c r="A345" s="4" t="str">
        <f ca="1">IFERROR(__xludf.DUMMYFUNCTION("""COMPUTED_VALUE"""),"TRX1282")</f>
        <v>TRX1282</v>
      </c>
      <c r="B345" s="4" t="str">
        <f ca="1">IFERROR(__xludf.DUMMYFUNCTION("""COMPUTED_VALUE"""),"#35")</f>
        <v>#35</v>
      </c>
      <c r="C345" s="5">
        <f ca="1">IFERROR(__xludf.DUMMYFUNCTION("""COMPUTED_VALUE"""),46056.4166666666)</f>
        <v>46056.416666666599</v>
      </c>
      <c r="D345" s="6">
        <f ca="1">IFERROR(__xludf.DUMMYFUNCTION("""COMPUTED_VALUE"""),790)</f>
        <v>790</v>
      </c>
      <c r="E345" s="4" t="str">
        <f ca="1">IFERROR(__xludf.DUMMYFUNCTION("""COMPUTED_VALUE"""),"MXN")</f>
        <v>MXN</v>
      </c>
      <c r="F345" s="4" t="str">
        <f ca="1">IFERROR(__xludf.DUMMYFUNCTION("""COMPUTED_VALUE"""),"Termis")</f>
        <v>Termis</v>
      </c>
      <c r="G345" s="4" t="str">
        <f ca="1">IFERROR(__xludf.DUMMYFUNCTION("""COMPUTED_VALUE"""),"CBA*AUTODESK           COLOGNE       DEU")</f>
        <v>CBA*AUTODESK           COLOGNE       DEU</v>
      </c>
      <c r="H345" s="4" t="str">
        <f ca="1">IFERROR(__xludf.DUMMYFUNCTION("""COMPUTED_VALUE"""),"Autodesk")</f>
        <v>Autodesk</v>
      </c>
      <c r="I345" s="4" t="str">
        <f ca="1">IFERROR(__xludf.DUMMYFUNCTION("""COMPUTED_VALUE"""),"Tech&amp;Product")</f>
        <v>Tech&amp;Product</v>
      </c>
      <c r="J345" s="4" t="str">
        <f ca="1">IFERROR(__xludf.DUMMYFUNCTION("""COMPUTED_VALUE"""),"Software de Whatsapp para Raw Materials")</f>
        <v>Software de Whatsapp para Raw Materials</v>
      </c>
      <c r="K345" s="4"/>
      <c r="S345" s="6">
        <v>600</v>
      </c>
      <c r="T345" s="4" t="str">
        <f t="shared" ca="1" si="2"/>
        <v>Karen Alexandra Ballesteros Contreras</v>
      </c>
    </row>
    <row r="346" spans="1:20" ht="12.5">
      <c r="A346" s="4" t="str">
        <f ca="1">IFERROR(__xludf.DUMMYFUNCTION("""COMPUTED_VALUE"""),"TRX1268")</f>
        <v>TRX1268</v>
      </c>
      <c r="B346" s="4" t="str">
        <f ca="1">IFERROR(__xludf.DUMMYFUNCTION("""COMPUTED_VALUE"""),"#35")</f>
        <v>#35</v>
      </c>
      <c r="C346" s="5">
        <f ca="1">IFERROR(__xludf.DUMMYFUNCTION("""COMPUTED_VALUE"""),46057.4166666666)</f>
        <v>46057.416666666599</v>
      </c>
      <c r="D346" s="6">
        <f ca="1">IFERROR(__xludf.DUMMYFUNCTION("""COMPUTED_VALUE"""),635.34)</f>
        <v>635.34</v>
      </c>
      <c r="E346" s="4" t="str">
        <f ca="1">IFERROR(__xludf.DUMMYFUNCTION("""COMPUTED_VALUE"""),"USD")</f>
        <v>USD</v>
      </c>
      <c r="F346" s="4" t="str">
        <f ca="1">IFERROR(__xludf.DUMMYFUNCTION("""COMPUTED_VALUE"""),"Termis")</f>
        <v>Termis</v>
      </c>
      <c r="G346" s="4" t="str">
        <f ca="1">IFERROR(__xludf.DUMMYFUNCTION("""COMPUTED_VALUE"""),"BLOOMBERG* B38899628   NEW YORK      USA")</f>
        <v>BLOOMBERG* B38899628   NEW YORK      USA</v>
      </c>
      <c r="H346" s="4" t="str">
        <f ca="1">IFERROR(__xludf.DUMMYFUNCTION("""COMPUTED_VALUE"""),"Bloomberg")</f>
        <v>Bloomberg</v>
      </c>
      <c r="I346" s="4" t="str">
        <f ca="1">IFERROR(__xludf.DUMMYFUNCTION("""COMPUTED_VALUE"""),"Tech&amp;Product")</f>
        <v>Tech&amp;Product</v>
      </c>
      <c r="J346" s="4" t="str">
        <f ca="1">IFERROR(__xludf.DUMMYFUNCTION("""COMPUTED_VALUE"""),"FX rate para loan tape lendable")</f>
        <v>FX rate para loan tape lendable</v>
      </c>
      <c r="K346" s="4"/>
      <c r="S346" s="6">
        <v>478</v>
      </c>
      <c r="T346" s="4" t="e">
        <f t="shared" ca="1" si="2"/>
        <v>#N/A</v>
      </c>
    </row>
    <row r="347" spans="1:20" ht="12.5">
      <c r="A347" s="4" t="str">
        <f ca="1">IFERROR(__xludf.DUMMYFUNCTION("""COMPUTED_VALUE"""),"TRX1241")</f>
        <v>TRX1241</v>
      </c>
      <c r="B347" s="4" t="str">
        <f ca="1">IFERROR(__xludf.DUMMYFUNCTION("""COMPUTED_VALUE"""),"#35")</f>
        <v>#35</v>
      </c>
      <c r="C347" s="5">
        <f ca="1">IFERROR(__xludf.DUMMYFUNCTION("""COMPUTED_VALUE"""),46058.4166666666)</f>
        <v>46058.416666666599</v>
      </c>
      <c r="D347" s="6">
        <f ca="1">IFERROR(__xludf.DUMMYFUNCTION("""COMPUTED_VALUE"""),1825.31)</f>
        <v>1825.31</v>
      </c>
      <c r="E347" s="4" t="str">
        <f ca="1">IFERROR(__xludf.DUMMYFUNCTION("""COMPUTED_VALUE"""),"MXN")</f>
        <v>MXN</v>
      </c>
      <c r="F347" s="4" t="str">
        <f ca="1">IFERROR(__xludf.DUMMYFUNCTION("""COMPUTED_VALUE"""),"Termis")</f>
        <v>Termis</v>
      </c>
      <c r="G347" s="4" t="str">
        <f ca="1">IFERROR(__xludf.DUMMYFUNCTION("""COMPUTED_VALUE"""),"PAYU   *GOOGLE CLOUD   MIGUEL HIDALG MEX")</f>
        <v>PAYU   *GOOGLE CLOUD   MIGUEL HIDALG MEX</v>
      </c>
      <c r="H347" s="4" t="str">
        <f ca="1">IFERROR(__xludf.DUMMYFUNCTION("""COMPUTED_VALUE"""),"Google Cloud")</f>
        <v>Google Cloud</v>
      </c>
      <c r="I347" s="4" t="str">
        <f ca="1">IFERROR(__xludf.DUMMYFUNCTION("""COMPUTED_VALUE"""),"Tech&amp;Product")</f>
        <v>Tech&amp;Product</v>
      </c>
      <c r="J347" s="4" t="str">
        <f ca="1">IFERROR(__xludf.DUMMYFUNCTION("""COMPUTED_VALUE"""),"Chatgpt")</f>
        <v>Chatgpt</v>
      </c>
      <c r="K347" s="4"/>
      <c r="S347" s="6">
        <v>4495.3500000000004</v>
      </c>
      <c r="T347" s="4" t="e">
        <f t="shared" ca="1" si="2"/>
        <v>#N/A</v>
      </c>
    </row>
    <row r="348" spans="1:20" ht="12.5">
      <c r="A348" s="4" t="str">
        <f ca="1">IFERROR(__xludf.DUMMYFUNCTION("""COMPUTED_VALUE"""),"TRX1438")</f>
        <v>TRX1438</v>
      </c>
      <c r="B348" s="4" t="str">
        <f ca="1">IFERROR(__xludf.DUMMYFUNCTION("""COMPUTED_VALUE"""),"#35")</f>
        <v>#35</v>
      </c>
      <c r="C348" s="5">
        <f ca="1">IFERROR(__xludf.DUMMYFUNCTION("""COMPUTED_VALUE"""),46059.4173611111)</f>
        <v>46059.417361111096</v>
      </c>
      <c r="D348" s="6">
        <f ca="1">IFERROR(__xludf.DUMMYFUNCTION("""COMPUTED_VALUE"""),884.8)</f>
        <v>884.8</v>
      </c>
      <c r="E348" s="4" t="str">
        <f ca="1">IFERROR(__xludf.DUMMYFUNCTION("""COMPUTED_VALUE"""),"USD")</f>
        <v>USD</v>
      </c>
      <c r="F348" s="4" t="str">
        <f ca="1">IFERROR(__xludf.DUMMYFUNCTION("""COMPUTED_VALUE"""),"Termis")</f>
        <v>Termis</v>
      </c>
      <c r="G348" s="4" t="str">
        <f ca="1">IFERROR(__xludf.DUMMYFUNCTION("""COMPUTED_VALUE"""),"WEBFLOW.COM            SAN FRANCISCO USA")</f>
        <v>WEBFLOW.COM            SAN FRANCISCO USA</v>
      </c>
      <c r="H348" s="4" t="str">
        <f ca="1">IFERROR(__xludf.DUMMYFUNCTION("""COMPUTED_VALUE"""),"Webflow")</f>
        <v>Webflow</v>
      </c>
      <c r="I348" s="4"/>
      <c r="J348" s="4" t="str">
        <f ca="1">IFERROR(__xludf.DUMMYFUNCTION("""COMPUTED_VALUE"""),"Nos va a caer el reembolso era el starlink que ya regrese")</f>
        <v>Nos va a caer el reembolso era el starlink que ya regrese</v>
      </c>
      <c r="K348" s="4"/>
      <c r="S348" s="6">
        <v>182</v>
      </c>
      <c r="T348" s="4" t="str">
        <f t="shared" ca="1" si="2"/>
        <v>Jose Ignacio Martinez Flemate</v>
      </c>
    </row>
    <row r="349" spans="1:20" ht="12.5">
      <c r="A349" s="4" t="str">
        <f ca="1">IFERROR(__xludf.DUMMYFUNCTION("""COMPUTED_VALUE"""),"TRX1168")</f>
        <v>TRX1168</v>
      </c>
      <c r="B349" s="4" t="str">
        <f ca="1">IFERROR(__xludf.DUMMYFUNCTION("""COMPUTED_VALUE"""),"#35")</f>
        <v>#35</v>
      </c>
      <c r="C349" s="5">
        <f ca="1">IFERROR(__xludf.DUMMYFUNCTION("""COMPUTED_VALUE"""),46065.4173611111)</f>
        <v>46065.417361111096</v>
      </c>
      <c r="D349" s="6">
        <f ca="1">IFERROR(__xludf.DUMMYFUNCTION("""COMPUTED_VALUE"""),362.48)</f>
        <v>362.48</v>
      </c>
      <c r="E349" s="4" t="str">
        <f ca="1">IFERROR(__xludf.DUMMYFUNCTION("""COMPUTED_VALUE"""),"USD")</f>
        <v>USD</v>
      </c>
      <c r="F349" s="4" t="str">
        <f ca="1">IFERROR(__xludf.DUMMYFUNCTION("""COMPUTED_VALUE"""),"Termis")</f>
        <v>Termis</v>
      </c>
      <c r="G349" s="4" t="str">
        <f ca="1">IFERROR(__xludf.DUMMYFUNCTION("""COMPUTED_VALUE"""),"OPENAI *CHATGPT SUBSCR SAN FRANCISCO USA")</f>
        <v>OPENAI *CHATGPT SUBSCR SAN FRANCISCO USA</v>
      </c>
      <c r="H349" s="4" t="str">
        <f ca="1">IFERROR(__xludf.DUMMYFUNCTION("""COMPUTED_VALUE"""),"Openai")</f>
        <v>Openai</v>
      </c>
      <c r="I349" s="4" t="str">
        <f ca="1">IFERROR(__xludf.DUMMYFUNCTION("""COMPUTED_VALUE"""),"G&amp;A expenses")</f>
        <v>G&amp;A expenses</v>
      </c>
      <c r="J349" s="4" t="str">
        <f ca="1">IFERROR(__xludf.DUMMYFUNCTION("""COMPUTED_VALUE"""),"Hotel domingo a miercoles Karen y Pao")</f>
        <v>Hotel domingo a miercoles Karen y Pao</v>
      </c>
      <c r="K349" s="4" t="str">
        <f ca="1">IFERROR(__xludf.DUMMYFUNCTION("""COMPUTED_VALUE"""),"592CDC40-9C48-2046-B214-D7E8287334BB")</f>
        <v>592CDC40-9C48-2046-B214-D7E8287334BB</v>
      </c>
      <c r="S349" s="6">
        <v>833.75</v>
      </c>
      <c r="T349" s="4" t="e">
        <f t="shared" ca="1" si="2"/>
        <v>#N/A</v>
      </c>
    </row>
    <row r="350" spans="1:20" ht="12.5">
      <c r="A350" s="4" t="str">
        <f ca="1">IFERROR(__xludf.DUMMYFUNCTION("""COMPUTED_VALUE"""),"TRX1180")</f>
        <v>TRX1180</v>
      </c>
      <c r="B350" s="4" t="str">
        <f ca="1">IFERROR(__xludf.DUMMYFUNCTION("""COMPUTED_VALUE"""),"#35")</f>
        <v>#35</v>
      </c>
      <c r="C350" s="5">
        <f ca="1">IFERROR(__xludf.DUMMYFUNCTION("""COMPUTED_VALUE"""),46072.4173611111)</f>
        <v>46072.417361111096</v>
      </c>
      <c r="D350" s="6">
        <f ca="1">IFERROR(__xludf.DUMMYFUNCTION("""COMPUTED_VALUE"""),1799.93)</f>
        <v>1799.93</v>
      </c>
      <c r="E350" s="4" t="str">
        <f ca="1">IFERROR(__xludf.DUMMYFUNCTION("""COMPUTED_VALUE"""),"USD")</f>
        <v>USD</v>
      </c>
      <c r="F350" s="4" t="str">
        <f ca="1">IFERROR(__xludf.DUMMYFUNCTION("""COMPUTED_VALUE"""),"Termis")</f>
        <v>Termis</v>
      </c>
      <c r="G350" s="4" t="str">
        <f ca="1">IFERROR(__xludf.DUMMYFUNCTION("""COMPUTED_VALUE"""),"CLAUDE.AI SUBSCRIPTION SAN FRANCISCO USA")</f>
        <v>CLAUDE.AI SUBSCRIPTION SAN FRANCISCO USA</v>
      </c>
      <c r="H350" s="8" t="str">
        <f ca="1">IFERROR(__xludf.DUMMYFUNCTION("""COMPUTED_VALUE"""),"Claude.ai")</f>
        <v>Claude.ai</v>
      </c>
      <c r="I350" s="4" t="str">
        <f ca="1">IFERROR(__xludf.DUMMYFUNCTION("""COMPUTED_VALUE"""),"Tech&amp;Product")</f>
        <v>Tech&amp;Product</v>
      </c>
      <c r="J350" s="4" t="str">
        <f ca="1">IFERROR(__xludf.DUMMYFUNCTION("""COMPUTED_VALUE"""),"Evento del equipo de tech antes del offsite")</f>
        <v>Evento del equipo de tech antes del offsite</v>
      </c>
      <c r="K350" s="4"/>
      <c r="S350" s="6">
        <v>42</v>
      </c>
      <c r="T350" s="4" t="e">
        <f t="shared" ca="1" si="2"/>
        <v>#N/A</v>
      </c>
    </row>
    <row r="351" spans="1:20" ht="12.5">
      <c r="A351" s="4" t="str">
        <f ca="1">IFERROR(__xludf.DUMMYFUNCTION("""COMPUTED_VALUE"""),"TRX1746")</f>
        <v>TRX1746</v>
      </c>
      <c r="B351" s="4" t="str">
        <f ca="1">IFERROR(__xludf.DUMMYFUNCTION("""COMPUTED_VALUE"""),"#35")</f>
        <v>#35</v>
      </c>
      <c r="C351" s="5">
        <f ca="1">IFERROR(__xludf.DUMMYFUNCTION("""COMPUTED_VALUE"""),46073.4173611111)</f>
        <v>46073.417361111096</v>
      </c>
      <c r="D351" s="6">
        <f ca="1">IFERROR(__xludf.DUMMYFUNCTION("""COMPUTED_VALUE"""),4174.74)</f>
        <v>4174.74</v>
      </c>
      <c r="E351" s="4" t="str">
        <f ca="1">IFERROR(__xludf.DUMMYFUNCTION("""COMPUTED_VALUE"""),"USD")</f>
        <v>USD</v>
      </c>
      <c r="F351" s="4" t="str">
        <f ca="1">IFERROR(__xludf.DUMMYFUNCTION("""COMPUTED_VALUE"""),"Termis")</f>
        <v>Termis</v>
      </c>
      <c r="G351" s="4" t="str">
        <f ca="1">IFERROR(__xludf.DUMMYFUNCTION("""COMPUTED_VALUE"""),"FATHOM.VIDEO           SAN FRANCISCO USA")</f>
        <v>FATHOM.VIDEO           SAN FRANCISCO USA</v>
      </c>
      <c r="H351" s="4" t="str">
        <f ca="1">IFERROR(__xludf.DUMMYFUNCTION("""COMPUTED_VALUE"""),"Fathom.video")</f>
        <v>Fathom.video</v>
      </c>
      <c r="I351" s="4" t="str">
        <f ca="1">IFERROR(__xludf.DUMMYFUNCTION("""COMPUTED_VALUE"""),"Office expenses")</f>
        <v>Office expenses</v>
      </c>
      <c r="J351" s="4" t="str">
        <f ca="1">IFERROR(__xludf.DUMMYFUNCTION("""COMPUTED_VALUE"""),"Gasolina y casetas de visita de devs a Logrand")</f>
        <v>Gasolina y casetas de visita de devs a Logrand</v>
      </c>
      <c r="K351" s="4"/>
      <c r="S351" s="6">
        <v>171.37</v>
      </c>
      <c r="T351" s="4" t="e">
        <f t="shared" ca="1" si="2"/>
        <v>#N/A</v>
      </c>
    </row>
    <row r="352" spans="1:20" ht="12.5">
      <c r="A352" s="4" t="str">
        <f ca="1">IFERROR(__xludf.DUMMYFUNCTION("""COMPUTED_VALUE"""),"TRX1216")</f>
        <v>TRX1216</v>
      </c>
      <c r="B352" s="4" t="str">
        <f ca="1">IFERROR(__xludf.DUMMYFUNCTION("""COMPUTED_VALUE"""),"#35")</f>
        <v>#35</v>
      </c>
      <c r="C352" s="5">
        <f ca="1">IFERROR(__xludf.DUMMYFUNCTION("""COMPUTED_VALUE"""),46079.4173611111)</f>
        <v>46079.417361111096</v>
      </c>
      <c r="D352" s="6">
        <f ca="1">IFERROR(__xludf.DUMMYFUNCTION("""COMPUTED_VALUE"""),790)</f>
        <v>790</v>
      </c>
      <c r="E352" s="4" t="str">
        <f ca="1">IFERROR(__xludf.DUMMYFUNCTION("""COMPUTED_VALUE"""),"MXN")</f>
        <v>MXN</v>
      </c>
      <c r="F352" s="4" t="str">
        <f ca="1">IFERROR(__xludf.DUMMYFUNCTION("""COMPUTED_VALUE"""),"Termis")</f>
        <v>Termis</v>
      </c>
      <c r="G352" s="4" t="str">
        <f ca="1">IFERROR(__xludf.DUMMYFUNCTION("""COMPUTED_VALUE"""),"CBA*AUTODESK           COLOGNE       DEU")</f>
        <v>CBA*AUTODESK           COLOGNE       DEU</v>
      </c>
      <c r="H352" s="4" t="str">
        <f ca="1">IFERROR(__xludf.DUMMYFUNCTION("""COMPUTED_VALUE"""),"Autodesk")</f>
        <v>Autodesk</v>
      </c>
      <c r="I352" s="4" t="str">
        <f ca="1">IFERROR(__xludf.DUMMYFUNCTION("""COMPUTED_VALUE"""),"G&amp;A expenses")</f>
        <v>G&amp;A expenses</v>
      </c>
      <c r="J352" s="4" t="str">
        <f ca="1">IFERROR(__xludf.DUMMYFUNCTION("""COMPUTED_VALUE"""),"Hotel viernes y sabado Karen y Pao")</f>
        <v>Hotel viernes y sabado Karen y Pao</v>
      </c>
      <c r="K352" s="4" t="str">
        <f ca="1">IFERROR(__xludf.DUMMYFUNCTION("""COMPUTED_VALUE"""),"CB0A79F5-3B96-E342-8F84-7A302E69E034")</f>
        <v>CB0A79F5-3B96-E342-8F84-7A302E69E034</v>
      </c>
      <c r="S352" s="6">
        <v>203.21</v>
      </c>
      <c r="T352" s="4" t="e">
        <f t="shared" ca="1" si="2"/>
        <v>#N/A</v>
      </c>
    </row>
    <row r="353" spans="1:20" ht="12.5">
      <c r="A353" s="4" t="str">
        <f ca="1">IFERROR(__xludf.DUMMYFUNCTION("""COMPUTED_VALUE"""),"#N/A")</f>
        <v>#N/A</v>
      </c>
      <c r="B353" s="4"/>
      <c r="C353" s="4"/>
      <c r="D353" s="4" t="str">
        <f ca="1">IFERROR(__xludf.DUMMYFUNCTION("""COMPUTED_VALUE"""),"#N/A")</f>
        <v>#N/A</v>
      </c>
      <c r="E353" s="4" t="str">
        <f ca="1">IFERROR(__xludf.DUMMYFUNCTION("""COMPUTED_VALUE"""),"#N/A")</f>
        <v>#N/A</v>
      </c>
      <c r="F353" s="4" t="str">
        <f ca="1">IFERROR(__xludf.DUMMYFUNCTION("""COMPUTED_VALUE"""),"#N/A")</f>
        <v>#N/A</v>
      </c>
      <c r="G353" s="4" t="str">
        <f ca="1">IFERROR(__xludf.DUMMYFUNCTION("""COMPUTED_VALUE"""),"#N/A")</f>
        <v>#N/A</v>
      </c>
      <c r="H353" s="4"/>
      <c r="I353" s="4"/>
      <c r="J353" s="4" t="str">
        <f ca="1">IFERROR(__xludf.DUMMYFUNCTION("""COMPUTED_VALUE"""),"Sales")</f>
        <v>Sales</v>
      </c>
      <c r="K353" s="4" t="str">
        <f ca="1">IFERROR(__xludf.DUMMYFUNCTION("""COMPUTED_VALUE"""),"Uber regreso. Sin RFQ")</f>
        <v>Uber regreso. Sin RFQ</v>
      </c>
      <c r="S353" s="6">
        <v>370.05</v>
      </c>
      <c r="T353" s="4" t="e">
        <f t="shared" ca="1" si="2"/>
        <v>#N/A</v>
      </c>
    </row>
    <row r="354" spans="1:20" ht="12.5">
      <c r="A354" s="4" t="str">
        <f ca="1">IFERROR(__xludf.DUMMYFUNCTION("""COMPUTED_VALUE"""),"TRX1220")</f>
        <v>TRX1220</v>
      </c>
      <c r="B354" s="4" t="str">
        <f ca="1">IFERROR(__xludf.DUMMYFUNCTION("""COMPUTED_VALUE"""),"#40")</f>
        <v>#40</v>
      </c>
      <c r="C354" s="5">
        <f ca="1">IFERROR(__xludf.DUMMYFUNCTION("""COMPUTED_VALUE"""),46063.4166666666)</f>
        <v>46063.416666666599</v>
      </c>
      <c r="D354" s="6">
        <f ca="1">IFERROR(__xludf.DUMMYFUNCTION("""COMPUTED_VALUE"""),1159.99)</f>
        <v>1159.99</v>
      </c>
      <c r="E354" s="4" t="str">
        <f ca="1">IFERROR(__xludf.DUMMYFUNCTION("""COMPUTED_VALUE"""),"MXN")</f>
        <v>MXN</v>
      </c>
      <c r="F354" s="4" t="str">
        <f ca="1">IFERROR(__xludf.DUMMYFUNCTION("""COMPUTED_VALUE"""),"Gabriela Zacarias Aguirre")</f>
        <v>Gabriela Zacarias Aguirre</v>
      </c>
      <c r="G354" s="4" t="str">
        <f ca="1">IFERROR(__xludf.DUMMYFUNCTION("""COMPUTED_VALUE"""),"PPROMEX*LINKEDIN       CIUDAD DE MEX MEX")</f>
        <v>PPROMEX*LINKEDIN       CIUDAD DE MEX MEX</v>
      </c>
      <c r="H354" s="4" t="str">
        <f ca="1">IFERROR(__xludf.DUMMYFUNCTION("""COMPUTED_VALUE"""),"Linkedin")</f>
        <v>Linkedin</v>
      </c>
      <c r="I354" s="4" t="str">
        <f ca="1">IFERROR(__xludf.DUMMYFUNCTION("""COMPUTED_VALUE"""),"Sales")</f>
        <v>Sales</v>
      </c>
      <c r="J354" s="4"/>
      <c r="K354" s="4" t="str">
        <f ca="1">IFERROR(__xludf.DUMMYFUNCTION("""COMPUTED_VALUE"""),".")</f>
        <v>.</v>
      </c>
      <c r="S354" s="6">
        <v>180.39</v>
      </c>
      <c r="T354" s="4" t="e">
        <f t="shared" ca="1" si="2"/>
        <v>#N/A</v>
      </c>
    </row>
    <row r="355" spans="1:20" ht="12.5">
      <c r="A355" s="4" t="str">
        <f ca="1">IFERROR(__xludf.DUMMYFUNCTION("""COMPUTED_VALUE"""),"TRX1301")</f>
        <v>TRX1301</v>
      </c>
      <c r="B355" s="4" t="str">
        <f ca="1">IFERROR(__xludf.DUMMYFUNCTION("""COMPUTED_VALUE"""),"#40")</f>
        <v>#40</v>
      </c>
      <c r="C355" s="5">
        <f ca="1">IFERROR(__xludf.DUMMYFUNCTION("""COMPUTED_VALUE"""),46065.4166666666)</f>
        <v>46065.416666666599</v>
      </c>
      <c r="D355" s="6">
        <f ca="1">IFERROR(__xludf.DUMMYFUNCTION("""COMPUTED_VALUE"""),650)</f>
        <v>650</v>
      </c>
      <c r="E355" s="4" t="str">
        <f ca="1">IFERROR(__xludf.DUMMYFUNCTION("""COMPUTED_VALUE"""),"MXN")</f>
        <v>MXN</v>
      </c>
      <c r="F355" s="4" t="str">
        <f ca="1">IFERROR(__xludf.DUMMYFUNCTION("""COMPUTED_VALUE"""),"Gabriela Zacarias Aguirre")</f>
        <v>Gabriela Zacarias Aguirre</v>
      </c>
      <c r="G355" s="4" t="str">
        <f ca="1">IFERROR(__xludf.DUMMYFUNCTION("""COMPUTED_VALUE"""),"ZTL*TRANSPORTESEJECUTI MEXICO        MEX")</f>
        <v>ZTL*TRANSPORTESEJECUTI MEXICO        MEX</v>
      </c>
      <c r="H355" s="4" t="str">
        <f ca="1">IFERROR(__xludf.DUMMYFUNCTION("""COMPUTED_VALUE"""),"Transportesejecuti Mexico Mex")</f>
        <v>Transportesejecuti Mexico Mex</v>
      </c>
      <c r="I355" s="4" t="str">
        <f ca="1">IFERROR(__xludf.DUMMYFUNCTION("""COMPUTED_VALUE"""),"Sales")</f>
        <v>Sales</v>
      </c>
      <c r="J355" s="4" t="str">
        <f ca="1">IFERROR(__xludf.DUMMYFUNCTION("""COMPUTED_VALUE"""),"Linkedin sales navigator para outreach")</f>
        <v>Linkedin sales navigator para outreach</v>
      </c>
      <c r="K355" s="4" t="str">
        <f ca="1">IFERROR(__xludf.DUMMYFUNCTION("""COMPUTED_VALUE"""),".")</f>
        <v>.</v>
      </c>
      <c r="S355" s="6">
        <v>188.08</v>
      </c>
      <c r="T355" s="4" t="e">
        <f t="shared" ca="1" si="2"/>
        <v>#N/A</v>
      </c>
    </row>
    <row r="356" spans="1:20" ht="12.5">
      <c r="A356" s="4" t="str">
        <f ca="1">IFERROR(__xludf.DUMMYFUNCTION("""COMPUTED_VALUE"""),"TRX1299")</f>
        <v>TRX1299</v>
      </c>
      <c r="B356" s="4" t="str">
        <f ca="1">IFERROR(__xludf.DUMMYFUNCTION("""COMPUTED_VALUE"""),"#40")</f>
        <v>#40</v>
      </c>
      <c r="C356" s="5">
        <f ca="1">IFERROR(__xludf.DUMMYFUNCTION("""COMPUTED_VALUE"""),46065.4173611111)</f>
        <v>46065.417361111096</v>
      </c>
      <c r="D356" s="6">
        <f ca="1">IFERROR(__xludf.DUMMYFUNCTION("""COMPUTED_VALUE"""),477)</f>
        <v>477</v>
      </c>
      <c r="E356" s="4" t="str">
        <f ca="1">IFERROR(__xludf.DUMMYFUNCTION("""COMPUTED_VALUE"""),"MXN")</f>
        <v>MXN</v>
      </c>
      <c r="F356" s="4" t="str">
        <f ca="1">IFERROR(__xludf.DUMMYFUNCTION("""COMPUTED_VALUE"""),"Gabriela Zacarias Aguirre")</f>
        <v>Gabriela Zacarias Aguirre</v>
      </c>
      <c r="G356" s="4" t="str">
        <f ca="1">IFERROR(__xludf.DUMMYFUNCTION("""COMPUTED_VALUE"""),"REST LOCAL 16          CIUDAD DE MEX MEX")</f>
        <v>REST LOCAL 16          CIUDAD DE MEX MEX</v>
      </c>
      <c r="H356" s="4" t="str">
        <f ca="1">IFERROR(__xludf.DUMMYFUNCTION("""COMPUTED_VALUE"""),"Rest Local 16 Ciudad De Mex Mex")</f>
        <v>Rest Local 16 Ciudad De Mex Mex</v>
      </c>
      <c r="I356" s="4" t="str">
        <f ca="1">IFERROR(__xludf.DUMMYFUNCTION("""COMPUTED_VALUE"""),"Sales")</f>
        <v>Sales</v>
      </c>
      <c r="J356" s="4" t="str">
        <f ca="1">IFERROR(__xludf.DUMMYFUNCTION("""COMPUTED_VALUE"""),"Chat GPT 4 para canales y marketing")</f>
        <v>Chat GPT 4 para canales y marketing</v>
      </c>
      <c r="K356" s="4" t="str">
        <f ca="1">IFERROR(__xludf.DUMMYFUNCTION("""COMPUTED_VALUE"""),".")</f>
        <v>.</v>
      </c>
      <c r="S356" s="6">
        <v>360.29</v>
      </c>
      <c r="T356" s="4" t="e">
        <f t="shared" ca="1" si="2"/>
        <v>#N/A</v>
      </c>
    </row>
    <row r="357" spans="1:20" ht="12.5">
      <c r="A357" s="4" t="str">
        <f ca="1">IFERROR(__xludf.DUMMYFUNCTION("""COMPUTED_VALUE"""),"TRX1935")</f>
        <v>TRX1935</v>
      </c>
      <c r="B357" s="4" t="str">
        <f ca="1">IFERROR(__xludf.DUMMYFUNCTION("""COMPUTED_VALUE"""),"#40")</f>
        <v>#40</v>
      </c>
      <c r="C357" s="5">
        <f ca="1">IFERROR(__xludf.DUMMYFUNCTION("""COMPUTED_VALUE"""),46066.4173611111)</f>
        <v>46066.417361111096</v>
      </c>
      <c r="D357" s="6">
        <f ca="1">IFERROR(__xludf.DUMMYFUNCTION("""COMPUTED_VALUE"""),2139)</f>
        <v>2139</v>
      </c>
      <c r="E357" s="4" t="str">
        <f ca="1">IFERROR(__xludf.DUMMYFUNCTION("""COMPUTED_VALUE"""),"MXN")</f>
        <v>MXN</v>
      </c>
      <c r="F357" s="4" t="str">
        <f ca="1">IFERROR(__xludf.DUMMYFUNCTION("""COMPUTED_VALUE"""),"Gabriela Zacarias Aguirre")</f>
        <v>Gabriela Zacarias Aguirre</v>
      </c>
      <c r="G357" s="4" t="str">
        <f ca="1">IFERROR(__xludf.DUMMYFUNCTION("""COMPUTED_VALUE"""),"REST OPER SHUF         CIUDAD DE MEX MEX")</f>
        <v>REST OPER SHUF         CIUDAD DE MEX MEX</v>
      </c>
      <c r="H357" s="4" t="str">
        <f ca="1">IFERROR(__xludf.DUMMYFUNCTION("""COMPUTED_VALUE"""),"Rest Oper Shuf Ciudad De Mex Mex")</f>
        <v>Rest Oper Shuf Ciudad De Mex Mex</v>
      </c>
      <c r="I357" s="4" t="str">
        <f ca="1">IFERROR(__xludf.DUMMYFUNCTION("""COMPUTED_VALUE"""),"Sales")</f>
        <v>Sales</v>
      </c>
      <c r="J357" s="4"/>
      <c r="K357" s="4" t="str">
        <f ca="1">IFERROR(__xludf.DUMMYFUNCTION("""COMPUTED_VALUE"""),".")</f>
        <v>.</v>
      </c>
      <c r="S357" s="6">
        <v>992.31</v>
      </c>
      <c r="T357" s="4" t="e">
        <f t="shared" ca="1" si="2"/>
        <v>#N/A</v>
      </c>
    </row>
    <row r="358" spans="1:20" ht="12.5">
      <c r="A358" s="4" t="str">
        <f ca="1">IFERROR(__xludf.DUMMYFUNCTION("""COMPUTED_VALUE"""),"TRX1649")</f>
        <v>TRX1649</v>
      </c>
      <c r="B358" s="4" t="str">
        <f ca="1">IFERROR(__xludf.DUMMYFUNCTION("""COMPUTED_VALUE"""),"#40")</f>
        <v>#40</v>
      </c>
      <c r="C358" s="5">
        <f ca="1">IFERROR(__xludf.DUMMYFUNCTION("""COMPUTED_VALUE"""),46067.4166666666)</f>
        <v>46067.416666666599</v>
      </c>
      <c r="D358" s="6">
        <f ca="1">IFERROR(__xludf.DUMMYFUNCTION("""COMPUTED_VALUE"""),680.8)</f>
        <v>680.8</v>
      </c>
      <c r="E358" s="4" t="str">
        <f ca="1">IFERROR(__xludf.DUMMYFUNCTION("""COMPUTED_VALUE"""),"MXN")</f>
        <v>MXN</v>
      </c>
      <c r="F358" s="4" t="str">
        <f ca="1">IFERROR(__xludf.DUMMYFUNCTION("""COMPUTED_VALUE"""),"Gabriela Zacarias Aguirre")</f>
        <v>Gabriela Zacarias Aguirre</v>
      </c>
      <c r="G358" s="4" t="str">
        <f ca="1">IFERROR(__xludf.DUMMYFUNCTION("""COMPUTED_VALUE"""),"CLIP MX*REST SAKS REFO MIGUEL HIDALG MEX")</f>
        <v>CLIP MX*REST SAKS REFO MIGUEL HIDALG MEX</v>
      </c>
      <c r="H358" s="4" t="str">
        <f ca="1">IFERROR(__xludf.DUMMYFUNCTION("""COMPUTED_VALUE"""),"Clip Mx Rest Saks Refo Miguel Hidalg Mex")</f>
        <v>Clip Mx Rest Saks Refo Miguel Hidalg Mex</v>
      </c>
      <c r="I358" s="4" t="str">
        <f ca="1">IFERROR(__xludf.DUMMYFUNCTION("""COMPUTED_VALUE"""),"Sales")</f>
        <v>Sales</v>
      </c>
      <c r="J358" s="4"/>
      <c r="K358" s="4" t="str">
        <f ca="1">IFERROR(__xludf.DUMMYFUNCTION("""COMPUTED_VALUE"""),".")</f>
        <v>.</v>
      </c>
      <c r="S358" s="6">
        <v>68.09</v>
      </c>
      <c r="T358" s="4" t="e">
        <f t="shared" ca="1" si="2"/>
        <v>#N/A</v>
      </c>
    </row>
    <row r="359" spans="1:20" ht="12.5">
      <c r="A359" s="4" t="str">
        <f ca="1">IFERROR(__xludf.DUMMYFUNCTION("""COMPUTED_VALUE"""),"TRX1806")</f>
        <v>TRX1806</v>
      </c>
      <c r="B359" s="4" t="str">
        <f ca="1">IFERROR(__xludf.DUMMYFUNCTION("""COMPUTED_VALUE"""),"#40")</f>
        <v>#40</v>
      </c>
      <c r="C359" s="5">
        <f ca="1">IFERROR(__xludf.DUMMYFUNCTION("""COMPUTED_VALUE"""),46068.4173611111)</f>
        <v>46068.417361111096</v>
      </c>
      <c r="D359" s="6">
        <f ca="1">IFERROR(__xludf.DUMMYFUNCTION("""COMPUTED_VALUE"""),2508.27)</f>
        <v>2508.27</v>
      </c>
      <c r="E359" s="4" t="str">
        <f ca="1">IFERROR(__xludf.DUMMYFUNCTION("""COMPUTED_VALUE"""),"USD")</f>
        <v>USD</v>
      </c>
      <c r="F359" s="4" t="str">
        <f ca="1">IFERROR(__xludf.DUMMYFUNCTION("""COMPUTED_VALUE"""),"Gabriela Zacarias Aguirre")</f>
        <v>Gabriela Zacarias Aguirre</v>
      </c>
      <c r="G359" s="4" t="str">
        <f ca="1">IFERROR(__xludf.DUMMYFUNCTION("""COMPUTED_VALUE"""),"LinkedIn SN P111195019 LINKEDIN.COM  IRL")</f>
        <v>LinkedIn SN P111195019 LINKEDIN.COM  IRL</v>
      </c>
      <c r="H359" s="4" t="str">
        <f ca="1">IFERROR(__xludf.DUMMYFUNCTION("""COMPUTED_VALUE"""),"Linkedin")</f>
        <v>Linkedin</v>
      </c>
      <c r="I359" s="4"/>
      <c r="J359" s="4"/>
      <c r="K359" s="4" t="str">
        <f ca="1">IFERROR(__xludf.DUMMYFUNCTION("""COMPUTED_VALUE"""),".")</f>
        <v>.</v>
      </c>
      <c r="S359" s="6">
        <v>88.23</v>
      </c>
      <c r="T359" s="4" t="e">
        <f t="shared" ca="1" si="2"/>
        <v>#N/A</v>
      </c>
    </row>
    <row r="360" spans="1:20" ht="12.5">
      <c r="A360" s="4" t="str">
        <f ca="1">IFERROR(__xludf.DUMMYFUNCTION("""COMPUTED_VALUE"""),"TRX1487")</f>
        <v>TRX1487</v>
      </c>
      <c r="B360" s="4" t="str">
        <f ca="1">IFERROR(__xludf.DUMMYFUNCTION("""COMPUTED_VALUE"""),"#40")</f>
        <v>#40</v>
      </c>
      <c r="C360" s="5">
        <f ca="1">IFERROR(__xludf.DUMMYFUNCTION("""COMPUTED_VALUE"""),46069.4166666666)</f>
        <v>46069.416666666599</v>
      </c>
      <c r="D360" s="6">
        <f ca="1">IFERROR(__xludf.DUMMYFUNCTION("""COMPUTED_VALUE"""),359.99)</f>
        <v>359.99</v>
      </c>
      <c r="E360" s="4" t="str">
        <f ca="1">IFERROR(__xludf.DUMMYFUNCTION("""COMPUTED_VALUE"""),"USD")</f>
        <v>USD</v>
      </c>
      <c r="F360" s="4" t="str">
        <f ca="1">IFERROR(__xludf.DUMMYFUNCTION("""COMPUTED_VALUE"""),"Gabriela Zacarias Aguirre")</f>
        <v>Gabriela Zacarias Aguirre</v>
      </c>
      <c r="G360" s="4" t="str">
        <f ca="1">IFERROR(__xludf.DUMMYFUNCTION("""COMPUTED_VALUE"""),"OPENAI *CHATGPT SUBSCR SAN FRANCISCO USA")</f>
        <v>OPENAI *CHATGPT SUBSCR SAN FRANCISCO USA</v>
      </c>
      <c r="H360" s="4" t="str">
        <f ca="1">IFERROR(__xludf.DUMMYFUNCTION("""COMPUTED_VALUE"""),"Openai")</f>
        <v>Openai</v>
      </c>
      <c r="I360" s="4"/>
      <c r="J360" s="4"/>
      <c r="K360" s="4" t="str">
        <f ca="1">IFERROR(__xludf.DUMMYFUNCTION("""COMPUTED_VALUE"""),".")</f>
        <v>.</v>
      </c>
      <c r="S360" s="6">
        <v>229.9</v>
      </c>
      <c r="T360" s="4" t="e">
        <f t="shared" ca="1" si="2"/>
        <v>#N/A</v>
      </c>
    </row>
    <row r="361" spans="1:20" ht="12.5">
      <c r="A361" s="4" t="str">
        <f ca="1">IFERROR(__xludf.DUMMYFUNCTION("""COMPUTED_VALUE"""),"TRX1182")</f>
        <v>TRX1182</v>
      </c>
      <c r="B361" s="4" t="str">
        <f ca="1">IFERROR(__xludf.DUMMYFUNCTION("""COMPUTED_VALUE"""),"#40")</f>
        <v>#40</v>
      </c>
      <c r="C361" s="5">
        <f ca="1">IFERROR(__xludf.DUMMYFUNCTION("""COMPUTED_VALUE"""),46070.4166666666)</f>
        <v>46070.416666666599</v>
      </c>
      <c r="D361" s="6">
        <f ca="1">IFERROR(__xludf.DUMMYFUNCTION("""COMPUTED_VALUE"""),359.99)</f>
        <v>359.99</v>
      </c>
      <c r="E361" s="4" t="str">
        <f ca="1">IFERROR(__xludf.DUMMYFUNCTION("""COMPUTED_VALUE"""),"USD")</f>
        <v>USD</v>
      </c>
      <c r="F361" s="4" t="str">
        <f ca="1">IFERROR(__xludf.DUMMYFUNCTION("""COMPUTED_VALUE"""),"Gabriela Zacarias Aguirre")</f>
        <v>Gabriela Zacarias Aguirre</v>
      </c>
      <c r="G361" s="4" t="str">
        <f ca="1">IFERROR(__xludf.DUMMYFUNCTION("""COMPUTED_VALUE"""),"OPENAI *CHATGPT SUBSCR SAN FRANCISCO USA")</f>
        <v>OPENAI *CHATGPT SUBSCR SAN FRANCISCO USA</v>
      </c>
      <c r="H361" s="4" t="str">
        <f ca="1">IFERROR(__xludf.DUMMYFUNCTION("""COMPUTED_VALUE"""),"Openai")</f>
        <v>Openai</v>
      </c>
      <c r="I361" s="4"/>
      <c r="J361" s="4"/>
      <c r="K361" s="4" t="str">
        <f ca="1">IFERROR(__xludf.DUMMYFUNCTION("""COMPUTED_VALUE"""),".")</f>
        <v>.</v>
      </c>
      <c r="S361" s="6">
        <v>800</v>
      </c>
      <c r="T361" s="4" t="str">
        <f t="shared" ca="1" si="2"/>
        <v>Jose Rosas Ortiz</v>
      </c>
    </row>
    <row r="362" spans="1:20" ht="12.5">
      <c r="A362" s="4" t="str">
        <f ca="1">IFERROR(__xludf.DUMMYFUNCTION("""COMPUTED_VALUE"""),"TRX1192")</f>
        <v>TRX1192</v>
      </c>
      <c r="B362" s="4" t="str">
        <f ca="1">IFERROR(__xludf.DUMMYFUNCTION("""COMPUTED_VALUE"""),"#40")</f>
        <v>#40</v>
      </c>
      <c r="C362" s="5">
        <f ca="1">IFERROR(__xludf.DUMMYFUNCTION("""COMPUTED_VALUE"""),46071.4173611111)</f>
        <v>46071.417361111096</v>
      </c>
      <c r="D362" s="6">
        <f ca="1">IFERROR(__xludf.DUMMYFUNCTION("""COMPUTED_VALUE"""),206)</f>
        <v>206</v>
      </c>
      <c r="E362" s="4" t="str">
        <f ca="1">IFERROR(__xludf.DUMMYFUNCTION("""COMPUTED_VALUE"""),"MXN")</f>
        <v>MXN</v>
      </c>
      <c r="F362" s="4" t="str">
        <f ca="1">IFERROR(__xludf.DUMMYFUNCTION("""COMPUTED_VALUE"""),"Gabriela Zacarias Aguirre")</f>
        <v>Gabriela Zacarias Aguirre</v>
      </c>
      <c r="G362" s="4" t="str">
        <f ca="1">IFERROR(__xludf.DUMMYFUNCTION("""COMPUTED_VALUE"""),"MITSPUG*EST HOTEL HYAT MIGUEL HIDALG MEX")</f>
        <v>MITSPUG*EST HOTEL HYAT MIGUEL HIDALG MEX</v>
      </c>
      <c r="H362" s="4" t="str">
        <f ca="1">IFERROR(__xludf.DUMMYFUNCTION("""COMPUTED_VALUE"""),"Mitspug Est Hotel Hyat Miguel Hidalg Mex")</f>
        <v>Mitspug Est Hotel Hyat Miguel Hidalg Mex</v>
      </c>
      <c r="I362" s="4"/>
      <c r="J362" s="4"/>
      <c r="K362" s="4" t="str">
        <f ca="1">IFERROR(__xludf.DUMMYFUNCTION("""COMPUTED_VALUE"""),".")</f>
        <v>.</v>
      </c>
      <c r="S362" s="6">
        <v>2134</v>
      </c>
      <c r="T362" s="4" t="e">
        <f t="shared" ca="1" si="2"/>
        <v>#N/A</v>
      </c>
    </row>
    <row r="363" spans="1:20" ht="12.5">
      <c r="A363" s="4" t="str">
        <f ca="1">IFERROR(__xludf.DUMMYFUNCTION("""COMPUTED_VALUE"""),"TRX1807")</f>
        <v>TRX1807</v>
      </c>
      <c r="B363" s="4" t="str">
        <f ca="1">IFERROR(__xludf.DUMMYFUNCTION("""COMPUTED_VALUE"""),"#40")</f>
        <v>#40</v>
      </c>
      <c r="C363" s="5">
        <f ca="1">IFERROR(__xludf.DUMMYFUNCTION("""COMPUTED_VALUE"""),46073.4166666666)</f>
        <v>46073.416666666599</v>
      </c>
      <c r="D363" s="6">
        <f ca="1">IFERROR(__xludf.DUMMYFUNCTION("""COMPUTED_VALUE"""),2987)</f>
        <v>2987</v>
      </c>
      <c r="E363" s="4" t="str">
        <f ca="1">IFERROR(__xludf.DUMMYFUNCTION("""COMPUTED_VALUE"""),"MXN")</f>
        <v>MXN</v>
      </c>
      <c r="F363" s="4" t="str">
        <f ca="1">IFERROR(__xludf.DUMMYFUNCTION("""COMPUTED_VALUE"""),"Gabriela Zacarias Aguirre")</f>
        <v>Gabriela Zacarias Aguirre</v>
      </c>
      <c r="G363" s="4" t="str">
        <f ca="1">IFERROR(__xludf.DUMMYFUNCTION("""COMPUTED_VALUE"""),"VOLARIS MOTO DEB 2     CIUDAD DE MEX MEX")</f>
        <v>VOLARIS MOTO DEB 2     CIUDAD DE MEX MEX</v>
      </c>
      <c r="H363" s="4" t="str">
        <f ca="1">IFERROR(__xludf.DUMMYFUNCTION("""COMPUTED_VALUE"""),"Volaris")</f>
        <v>Volaris</v>
      </c>
      <c r="I363" s="4"/>
      <c r="J363" s="4"/>
      <c r="K363" s="4" t="str">
        <f ca="1">IFERROR(__xludf.DUMMYFUNCTION("""COMPUTED_VALUE"""),".")</f>
        <v>.</v>
      </c>
      <c r="S363" s="6">
        <v>189.97</v>
      </c>
      <c r="T363" s="4" t="e">
        <f t="shared" ca="1" si="2"/>
        <v>#N/A</v>
      </c>
    </row>
    <row r="364" spans="1:20" ht="12.5">
      <c r="A364" s="4" t="str">
        <f ca="1">IFERROR(__xludf.DUMMYFUNCTION("""COMPUTED_VALUE"""),"TRX1052")</f>
        <v>TRX1052</v>
      </c>
      <c r="B364" s="4" t="str">
        <f ca="1">IFERROR(__xludf.DUMMYFUNCTION("""COMPUTED_VALUE"""),"#40")</f>
        <v>#40</v>
      </c>
      <c r="C364" s="5">
        <f ca="1">IFERROR(__xludf.DUMMYFUNCTION("""COMPUTED_VALUE"""),46073.4166666666)</f>
        <v>46073.416666666599</v>
      </c>
      <c r="D364" s="6">
        <f ca="1">IFERROR(__xludf.DUMMYFUNCTION("""COMPUTED_VALUE"""),13250)</f>
        <v>13250</v>
      </c>
      <c r="E364" s="4" t="str">
        <f ca="1">IFERROR(__xludf.DUMMYFUNCTION("""COMPUTED_VALUE"""),"MXN")</f>
        <v>MXN</v>
      </c>
      <c r="F364" s="4" t="str">
        <f ca="1">IFERROR(__xludf.DUMMYFUNCTION("""COMPUTED_VALUE"""),"Gabriela Zacarias Aguirre")</f>
        <v>Gabriela Zacarias Aguirre</v>
      </c>
      <c r="G364" s="4" t="str">
        <f ca="1">IFERROR(__xludf.DUMMYFUNCTION("""COMPUTED_VALUE"""),"VOLARIS MOTO DEB 2     CIUDAD DE MEX MEX")</f>
        <v>VOLARIS MOTO DEB 2     CIUDAD DE MEX MEX</v>
      </c>
      <c r="H364" s="4" t="str">
        <f ca="1">IFERROR(__xludf.DUMMYFUNCTION("""COMPUTED_VALUE"""),"Volaris")</f>
        <v>Volaris</v>
      </c>
      <c r="I364" s="4"/>
      <c r="J364" s="4"/>
      <c r="K364" s="4" t="str">
        <f ca="1">IFERROR(__xludf.DUMMYFUNCTION("""COMPUTED_VALUE"""),".")</f>
        <v>.</v>
      </c>
      <c r="S364" s="6">
        <v>599</v>
      </c>
      <c r="T364" s="4" t="e">
        <f t="shared" ca="1" si="2"/>
        <v>#N/A</v>
      </c>
    </row>
    <row r="365" spans="1:20" ht="12.5">
      <c r="A365" s="4" t="str">
        <f ca="1">IFERROR(__xludf.DUMMYFUNCTION("""COMPUTED_VALUE"""),"TRX1916")</f>
        <v>TRX1916</v>
      </c>
      <c r="B365" s="4" t="str">
        <f ca="1">IFERROR(__xludf.DUMMYFUNCTION("""COMPUTED_VALUE"""),"#41")</f>
        <v>#41</v>
      </c>
      <c r="C365" s="5">
        <f ca="1">IFERROR(__xludf.DUMMYFUNCTION("""COMPUTED_VALUE"""),46065.4166666666)</f>
        <v>46065.416666666599</v>
      </c>
      <c r="D365" s="6">
        <f ca="1">IFERROR(__xludf.DUMMYFUNCTION("""COMPUTED_VALUE"""),1336)</f>
        <v>1336</v>
      </c>
      <c r="E365" s="4" t="str">
        <f ca="1">IFERROR(__xludf.DUMMYFUNCTION("""COMPUTED_VALUE"""),"MXN")</f>
        <v>MXN</v>
      </c>
      <c r="F365" s="4" t="str">
        <f ca="1">IFERROR(__xludf.DUMMYFUNCTION("""COMPUTED_VALUE"""),"Jose Arechavala")</f>
        <v>Jose Arechavala</v>
      </c>
      <c r="G365" s="4" t="str">
        <f ca="1">IFERROR(__xludf.DUMMYFUNCTION("""COMPUTED_VALUE"""),"ESTACION RAQUELITO     CIUDAD DE MEX MEX")</f>
        <v>ESTACION RAQUELITO     CIUDAD DE MEX MEX</v>
      </c>
      <c r="H365" s="4" t="str">
        <f ca="1">IFERROR(__xludf.DUMMYFUNCTION("""COMPUTED_VALUE"""),"Estacion Raquelito Ciudad De Mex Mex")</f>
        <v>Estacion Raquelito Ciudad De Mex Mex</v>
      </c>
      <c r="I365" s="4" t="str">
        <f ca="1">IFERROR(__xludf.DUMMYFUNCTION("""COMPUTED_VALUE"""),"Transaction cost")</f>
        <v>Transaction cost</v>
      </c>
      <c r="J365" s="4" t="str">
        <f ca="1">IFERROR(__xludf.DUMMYFUNCTION("""COMPUTED_VALUE"""),"Viáticos Valle de Bravo, PO 1954")</f>
        <v>Viáticos Valle de Bravo, PO 1954</v>
      </c>
      <c r="K365" s="4" t="str">
        <f ca="1">IFERROR(__xludf.DUMMYFUNCTION("""COMPUTED_VALUE"""),"No se pudo facturar")</f>
        <v>No se pudo facturar</v>
      </c>
      <c r="S365" s="6">
        <v>87.55</v>
      </c>
      <c r="T365" s="4" t="e">
        <f t="shared" ca="1" si="2"/>
        <v>#N/A</v>
      </c>
    </row>
    <row r="366" spans="1:20" ht="12.5">
      <c r="A366" s="4" t="str">
        <f ca="1">IFERROR(__xludf.DUMMYFUNCTION("""COMPUTED_VALUE"""),"TRX1664")</f>
        <v>TRX1664</v>
      </c>
      <c r="B366" s="4" t="str">
        <f ca="1">IFERROR(__xludf.DUMMYFUNCTION("""COMPUTED_VALUE"""),"#41")</f>
        <v>#41</v>
      </c>
      <c r="C366" s="5">
        <f ca="1">IFERROR(__xludf.DUMMYFUNCTION("""COMPUTED_VALUE"""),46065.4166666666)</f>
        <v>46065.416666666599</v>
      </c>
      <c r="D366" s="6">
        <f ca="1">IFERROR(__xludf.DUMMYFUNCTION("""COMPUTED_VALUE"""),1000)</f>
        <v>1000</v>
      </c>
      <c r="E366" s="4" t="str">
        <f ca="1">IFERROR(__xludf.DUMMYFUNCTION("""COMPUTED_VALUE"""),"MXN")</f>
        <v>MXN</v>
      </c>
      <c r="F366" s="4" t="str">
        <f ca="1">IFERROR(__xludf.DUMMYFUNCTION("""COMPUTED_VALUE"""),"Jose Arechavala")</f>
        <v>Jose Arechavala</v>
      </c>
      <c r="G366" s="4" t="str">
        <f ca="1">IFERROR(__xludf.DUMMYFUNCTION("""COMPUTED_VALUE"""),"RECARGA PASE TUTAG     CIUDAD DE MEX MEX")</f>
        <v>RECARGA PASE TUTAG     CIUDAD DE MEX MEX</v>
      </c>
      <c r="H366" s="4" t="str">
        <f ca="1">IFERROR(__xludf.DUMMYFUNCTION("""COMPUTED_VALUE"""),"Recarga Pase Tutag Ciudad De Mex Mex")</f>
        <v>Recarga Pase Tutag Ciudad De Mex Mex</v>
      </c>
      <c r="I366" s="4" t="str">
        <f ca="1">IFERROR(__xludf.DUMMYFUNCTION("""COMPUTED_VALUE"""),"Transaction cost")</f>
        <v>Transaction cost</v>
      </c>
      <c r="J366" s="4" t="str">
        <f ca="1">IFERROR(__xludf.DUMMYFUNCTION("""COMPUTED_VALUE"""),"Viáticos Valle de Bravo, PO 1954")</f>
        <v>Viáticos Valle de Bravo, PO 1954</v>
      </c>
      <c r="K366" s="4" t="str">
        <f ca="1">IFERROR(__xludf.DUMMYFUNCTION("""COMPUTED_VALUE"""),"EEE2B6B7-98BE-400F-B10D-E6F21CC6A9D6")</f>
        <v>EEE2B6B7-98BE-400F-B10D-E6F21CC6A9D6</v>
      </c>
      <c r="S366" s="6">
        <v>1000</v>
      </c>
      <c r="T366" s="4" t="str">
        <f t="shared" ca="1" si="2"/>
        <v>Fernando Sanchez Toledano</v>
      </c>
    </row>
    <row r="367" spans="1:20" ht="12.5">
      <c r="A367" s="4" t="str">
        <f ca="1">IFERROR(__xludf.DUMMYFUNCTION("""COMPUTED_VALUE"""),"TRX1017")</f>
        <v>TRX1017</v>
      </c>
      <c r="B367" s="4" t="str">
        <f ca="1">IFERROR(__xludf.DUMMYFUNCTION("""COMPUTED_VALUE"""),"#41")</f>
        <v>#41</v>
      </c>
      <c r="C367" s="5">
        <f ca="1">IFERROR(__xludf.DUMMYFUNCTION("""COMPUTED_VALUE"""),46067.4166666666)</f>
        <v>46067.416666666599</v>
      </c>
      <c r="D367" s="6">
        <f ca="1">IFERROR(__xludf.DUMMYFUNCTION("""COMPUTED_VALUE"""),300.56)</f>
        <v>300.56</v>
      </c>
      <c r="E367" s="4" t="str">
        <f ca="1">IFERROR(__xludf.DUMMYFUNCTION("""COMPUTED_VALUE"""),"MXN")</f>
        <v>MXN</v>
      </c>
      <c r="F367" s="4" t="str">
        <f ca="1">IFERROR(__xludf.DUMMYFUNCTION("""COMPUTED_VALUE"""),"Jose Arechavala")</f>
        <v>Jose Arechavala</v>
      </c>
      <c r="G367" s="4" t="str">
        <f ca="1">IFERROR(__xludf.DUMMYFUNCTION("""COMPUTED_VALUE"""),"UBER *TRIP HELP.UBER.C CMX           MEX")</f>
        <v>UBER *TRIP HELP.UBER.C CMX           MEX</v>
      </c>
      <c r="H367" s="4" t="str">
        <f ca="1">IFERROR(__xludf.DUMMYFUNCTION("""COMPUTED_VALUE"""),"Uber")</f>
        <v>Uber</v>
      </c>
      <c r="I367" s="4" t="str">
        <f ca="1">IFERROR(__xludf.DUMMYFUNCTION("""COMPUTED_VALUE"""),"Sales")</f>
        <v>Sales</v>
      </c>
      <c r="J367" s="4" t="str">
        <f ca="1">IFERROR(__xludf.DUMMYFUNCTION("""COMPUTED_VALUE"""),"Visita showroom MP DIXY, sin PO")</f>
        <v>Visita showroom MP DIXY, sin PO</v>
      </c>
      <c r="K367" s="4" t="str">
        <f ca="1">IFERROR(__xludf.DUMMYFUNCTION("""COMPUTED_VALUE"""),"TU-0003190")</f>
        <v>TU-0003190</v>
      </c>
      <c r="S367" s="6">
        <v>274</v>
      </c>
      <c r="T367" s="4" t="e">
        <f t="shared" ca="1" si="2"/>
        <v>#N/A</v>
      </c>
    </row>
    <row r="368" spans="1:20" ht="12.5">
      <c r="A368" s="4" t="str">
        <f ca="1">IFERROR(__xludf.DUMMYFUNCTION("""COMPUTED_VALUE"""),"TRX1948")</f>
        <v>TRX1948</v>
      </c>
      <c r="B368" s="4" t="str">
        <f ca="1">IFERROR(__xludf.DUMMYFUNCTION("""COMPUTED_VALUE"""),"#41")</f>
        <v>#41</v>
      </c>
      <c r="C368" s="5">
        <f ca="1">IFERROR(__xludf.DUMMYFUNCTION("""COMPUTED_VALUE"""),46067.4166666666)</f>
        <v>46067.416666666599</v>
      </c>
      <c r="D368" s="6">
        <f ca="1">IFERROR(__xludf.DUMMYFUNCTION("""COMPUTED_VALUE"""),179.97)</f>
        <v>179.97</v>
      </c>
      <c r="E368" s="4" t="str">
        <f ca="1">IFERROR(__xludf.DUMMYFUNCTION("""COMPUTED_VALUE"""),"MXN")</f>
        <v>MXN</v>
      </c>
      <c r="F368" s="4" t="str">
        <f ca="1">IFERROR(__xludf.DUMMYFUNCTION("""COMPUTED_VALUE"""),"Jose Arechavala")</f>
        <v>Jose Arechavala</v>
      </c>
      <c r="G368" s="4" t="str">
        <f ca="1">IFERROR(__xludf.DUMMYFUNCTION("""COMPUTED_VALUE"""),"DLO*Uber               CDMX          MEX")</f>
        <v>DLO*Uber               CDMX          MEX</v>
      </c>
      <c r="H368" s="4" t="str">
        <f ca="1">IFERROR(__xludf.DUMMYFUNCTION("""COMPUTED_VALUE"""),"Uber")</f>
        <v>Uber</v>
      </c>
      <c r="I368" s="4" t="str">
        <f ca="1">IFERROR(__xludf.DUMMYFUNCTION("""COMPUTED_VALUE"""),"Sales")</f>
        <v>Sales</v>
      </c>
      <c r="J368" s="4" t="str">
        <f ca="1">IFERROR(__xludf.DUMMYFUNCTION("""COMPUTED_VALUE"""),"Visita showroom MP DIXY, sin PO")</f>
        <v>Visita showroom MP DIXY, sin PO</v>
      </c>
      <c r="K368" s="4" t="str">
        <f ca="1">IFERROR(__xludf.DUMMYFUNCTION("""COMPUTED_VALUE"""),"XMWSDT-I-0000193")</f>
        <v>XMWSDT-I-0000193</v>
      </c>
      <c r="S368" s="6">
        <v>229.93</v>
      </c>
      <c r="T368" s="4" t="e">
        <f t="shared" ca="1" si="2"/>
        <v>#N/A</v>
      </c>
    </row>
    <row r="369" spans="1:20" ht="12.5">
      <c r="A369" s="4" t="str">
        <f ca="1">IFERROR(__xludf.DUMMYFUNCTION("""COMPUTED_VALUE"""),"TRX1007")</f>
        <v>TRX1007</v>
      </c>
      <c r="B369" s="4" t="str">
        <f ca="1">IFERROR(__xludf.DUMMYFUNCTION("""COMPUTED_VALUE"""),"#41")</f>
        <v>#41</v>
      </c>
      <c r="C369" s="5">
        <f ca="1">IFERROR(__xludf.DUMMYFUNCTION("""COMPUTED_VALUE"""),46071.4166666666)</f>
        <v>46071.416666666599</v>
      </c>
      <c r="D369" s="6">
        <f ca="1">IFERROR(__xludf.DUMMYFUNCTION("""COMPUTED_VALUE"""),139.99)</f>
        <v>139.99</v>
      </c>
      <c r="E369" s="4" t="str">
        <f ca="1">IFERROR(__xludf.DUMMYFUNCTION("""COMPUTED_VALUE"""),"MXN")</f>
        <v>MXN</v>
      </c>
      <c r="F369" s="4" t="str">
        <f ca="1">IFERROR(__xludf.DUMMYFUNCTION("""COMPUTED_VALUE"""),"Jose Arechavala")</f>
        <v>Jose Arechavala</v>
      </c>
      <c r="G369" s="4" t="str">
        <f ca="1">IFERROR(__xludf.DUMMYFUNCTION("""COMPUTED_VALUE"""),"UBER *TRIP HELP.UBER.C CMX           MEX")</f>
        <v>UBER *TRIP HELP.UBER.C CMX           MEX</v>
      </c>
      <c r="H369" s="4" t="str">
        <f ca="1">IFERROR(__xludf.DUMMYFUNCTION("""COMPUTED_VALUE"""),"Uber")</f>
        <v>Uber</v>
      </c>
      <c r="I369" s="4" t="str">
        <f ca="1">IFERROR(__xludf.DUMMYFUNCTION("""COMPUTED_VALUE"""),"Transaction cost")</f>
        <v>Transaction cost</v>
      </c>
      <c r="J369" s="4" t="str">
        <f ca="1">IFERROR(__xludf.DUMMYFUNCTION("""COMPUTED_VALUE"""),"Envío muestras a MP, PO 1954")</f>
        <v>Envío muestras a MP, PO 1954</v>
      </c>
      <c r="K369" s="4" t="str">
        <f ca="1">IFERROR(__xludf.DUMMYFUNCTION("""COMPUTED_VALUE"""),"CJKQMT-I-0000296")</f>
        <v>CJKQMT-I-0000296</v>
      </c>
      <c r="S369" s="6">
        <v>234</v>
      </c>
      <c r="T369" s="4" t="e">
        <f t="shared" ca="1" si="2"/>
        <v>#N/A</v>
      </c>
    </row>
    <row r="370" spans="1:20" ht="12.5">
      <c r="A370" s="4" t="str">
        <f ca="1">IFERROR(__xludf.DUMMYFUNCTION("""COMPUTED_VALUE"""),"TRX1170")</f>
        <v>TRX1170</v>
      </c>
      <c r="B370" s="4" t="str">
        <f ca="1">IFERROR(__xludf.DUMMYFUNCTION("""COMPUTED_VALUE"""),"#41")</f>
        <v>#41</v>
      </c>
      <c r="C370" s="5">
        <f ca="1">IFERROR(__xludf.DUMMYFUNCTION("""COMPUTED_VALUE"""),46072.4166666666)</f>
        <v>46072.416666666599</v>
      </c>
      <c r="D370" s="6">
        <f ca="1">IFERROR(__xludf.DUMMYFUNCTION("""COMPUTED_VALUE"""),129.95)</f>
        <v>129.94999999999999</v>
      </c>
      <c r="E370" s="4" t="str">
        <f ca="1">IFERROR(__xludf.DUMMYFUNCTION("""COMPUTED_VALUE"""),"MXN")</f>
        <v>MXN</v>
      </c>
      <c r="F370" s="4" t="str">
        <f ca="1">IFERROR(__xludf.DUMMYFUNCTION("""COMPUTED_VALUE"""),"Jose Arechavala")</f>
        <v>Jose Arechavala</v>
      </c>
      <c r="G370" s="4" t="str">
        <f ca="1">IFERROR(__xludf.DUMMYFUNCTION("""COMPUTED_VALUE"""),"UBER * PENDING         CMX           MEX")</f>
        <v>UBER * PENDING         CMX           MEX</v>
      </c>
      <c r="H370" s="4" t="str">
        <f ca="1">IFERROR(__xludf.DUMMYFUNCTION("""COMPUTED_VALUE"""),"Uber")</f>
        <v>Uber</v>
      </c>
      <c r="I370" s="4" t="str">
        <f ca="1">IFERROR(__xludf.DUMMYFUNCTION("""COMPUTED_VALUE"""),"Transaction cost")</f>
        <v>Transaction cost</v>
      </c>
      <c r="J370" s="4" t="str">
        <f ca="1">IFERROR(__xludf.DUMMYFUNCTION("""COMPUTED_VALUE"""),"Envío muestras de MP, PO 1954")</f>
        <v>Envío muestras de MP, PO 1954</v>
      </c>
      <c r="K370" s="4" t="str">
        <f ca="1">IFERROR(__xludf.DUMMYFUNCTION("""COMPUTED_VALUE"""),"JCGNJF-I-0000747")</f>
        <v>JCGNJF-I-0000747</v>
      </c>
      <c r="S370" s="6">
        <v>200</v>
      </c>
      <c r="T370" s="4" t="str">
        <f t="shared" ca="1" si="2"/>
        <v>Jorge Armando Ramirez Perez</v>
      </c>
    </row>
    <row r="371" spans="1:20" ht="12.5">
      <c r="A371" s="4" t="str">
        <f ca="1">IFERROR(__xludf.DUMMYFUNCTION("""COMPUTED_VALUE"""),"TRX1561")</f>
        <v>TRX1561</v>
      </c>
      <c r="B371" s="4" t="str">
        <f ca="1">IFERROR(__xludf.DUMMYFUNCTION("""COMPUTED_VALUE"""),"#41")</f>
        <v>#41</v>
      </c>
      <c r="C371" s="5">
        <f ca="1">IFERROR(__xludf.DUMMYFUNCTION("""COMPUTED_VALUE"""),46074.4166666666)</f>
        <v>46074.416666666599</v>
      </c>
      <c r="D371" s="6">
        <f ca="1">IFERROR(__xludf.DUMMYFUNCTION("""COMPUTED_VALUE"""),400)</f>
        <v>400</v>
      </c>
      <c r="E371" s="4" t="str">
        <f ca="1">IFERROR(__xludf.DUMMYFUNCTION("""COMPUTED_VALUE"""),"MXN")</f>
        <v>MXN</v>
      </c>
      <c r="F371" s="4" t="str">
        <f ca="1">IFERROR(__xludf.DUMMYFUNCTION("""COMPUTED_VALUE"""),"Jose Arechavala")</f>
        <v>Jose Arechavala</v>
      </c>
      <c r="G371" s="4" t="str">
        <f ca="1">IFERROR(__xludf.DUMMYFUNCTION("""COMPUTED_VALUE"""),"PAY PAL*SOFIASALUDS SO CIUDAD DE MEX MEX")</f>
        <v>PAY PAL*SOFIASALUDS SO CIUDAD DE MEX MEX</v>
      </c>
      <c r="H371" s="4" t="str">
        <f ca="1">IFERROR(__xludf.DUMMYFUNCTION("""COMPUTED_VALUE"""),"Pay Pal Sofiasaluds So Ciudad De Mex Mex")</f>
        <v>Pay Pal Sofiasaluds So Ciudad De Mex Mex</v>
      </c>
      <c r="I371" s="4" t="str">
        <f ca="1">IFERROR(__xludf.DUMMYFUNCTION("""COMPUTED_VALUE"""),"Transaction cost")</f>
        <v>Transaction cost</v>
      </c>
      <c r="J371" s="4" t="str">
        <f ca="1">IFERROR(__xludf.DUMMYFUNCTION("""COMPUTED_VALUE"""),"Cobro por error, sin PO")</f>
        <v>Cobro por error, sin PO</v>
      </c>
      <c r="K371" s="4" t="str">
        <f ca="1">IFERROR(__xludf.DUMMYFUNCTION("""COMPUTED_VALUE"""),"N/A")</f>
        <v>N/A</v>
      </c>
      <c r="S371" s="6">
        <v>319.64999999999998</v>
      </c>
      <c r="T371" s="4" t="e">
        <f t="shared" ca="1" si="2"/>
        <v>#N/A</v>
      </c>
    </row>
    <row r="372" spans="1:20" ht="12.5">
      <c r="A372" s="4" t="str">
        <f ca="1">IFERROR(__xludf.DUMMYFUNCTION("""COMPUTED_VALUE"""),"TRX1051")</f>
        <v>TRX1051</v>
      </c>
      <c r="B372" s="4" t="str">
        <f ca="1">IFERROR(__xludf.DUMMYFUNCTION("""COMPUTED_VALUE"""),"#41")</f>
        <v>#41</v>
      </c>
      <c r="C372" s="5">
        <f ca="1">IFERROR(__xludf.DUMMYFUNCTION("""COMPUTED_VALUE"""),46075.4166666666)</f>
        <v>46075.416666666599</v>
      </c>
      <c r="D372" s="6">
        <f ca="1">IFERROR(__xludf.DUMMYFUNCTION("""COMPUTED_VALUE"""),109.95)</f>
        <v>109.95</v>
      </c>
      <c r="E372" s="4" t="str">
        <f ca="1">IFERROR(__xludf.DUMMYFUNCTION("""COMPUTED_VALUE"""),"MXN")</f>
        <v>MXN</v>
      </c>
      <c r="F372" s="4" t="str">
        <f ca="1">IFERROR(__xludf.DUMMYFUNCTION("""COMPUTED_VALUE"""),"Jose Arechavala")</f>
        <v>Jose Arechavala</v>
      </c>
      <c r="G372" s="4" t="str">
        <f ca="1">IFERROR(__xludf.DUMMYFUNCTION("""COMPUTED_VALUE"""),"UBER * PENDING         CMX           MEX")</f>
        <v>UBER * PENDING         CMX           MEX</v>
      </c>
      <c r="H372" s="4" t="str">
        <f ca="1">IFERROR(__xludf.DUMMYFUNCTION("""COMPUTED_VALUE"""),"Uber")</f>
        <v>Uber</v>
      </c>
      <c r="I372" s="4" t="str">
        <f ca="1">IFERROR(__xludf.DUMMYFUNCTION("""COMPUTED_VALUE"""),"Transaction cost")</f>
        <v>Transaction cost</v>
      </c>
      <c r="J372" s="4" t="str">
        <f ca="1">IFERROR(__xludf.DUMMYFUNCTION("""COMPUTED_VALUE"""),"Envío muestras de MP, PO 1954")</f>
        <v>Envío muestras de MP, PO 1954</v>
      </c>
      <c r="K372" s="4" t="str">
        <f ca="1">IFERROR(__xludf.DUMMYFUNCTION("""COMPUTED_VALUE"""),"TER-144207302")</f>
        <v>TER-144207302</v>
      </c>
      <c r="S372" s="6">
        <v>1414.02</v>
      </c>
      <c r="T372" s="4" t="e">
        <f t="shared" ca="1" si="2"/>
        <v>#N/A</v>
      </c>
    </row>
    <row r="373" spans="1:20" ht="12.5">
      <c r="A373" s="4" t="str">
        <f ca="1">IFERROR(__xludf.DUMMYFUNCTION("""COMPUTED_VALUE"""),"TRX1215")</f>
        <v>TRX1215</v>
      </c>
      <c r="B373" s="4" t="str">
        <f ca="1">IFERROR(__xludf.DUMMYFUNCTION("""COMPUTED_VALUE"""),"#41")</f>
        <v>#41</v>
      </c>
      <c r="C373" s="5">
        <f ca="1">IFERROR(__xludf.DUMMYFUNCTION("""COMPUTED_VALUE"""),46079.4173611111)</f>
        <v>46079.417361111096</v>
      </c>
      <c r="D373" s="6">
        <f ca="1">IFERROR(__xludf.DUMMYFUNCTION("""COMPUTED_VALUE"""),1802.67)</f>
        <v>1802.67</v>
      </c>
      <c r="E373" s="4" t="str">
        <f ca="1">IFERROR(__xludf.DUMMYFUNCTION("""COMPUTED_VALUE"""),"MXN")</f>
        <v>MXN</v>
      </c>
      <c r="F373" s="4" t="str">
        <f ca="1">IFERROR(__xludf.DUMMYFUNCTION("""COMPUTED_VALUE"""),"Jose Arechavala")</f>
        <v>Jose Arechavala</v>
      </c>
      <c r="G373" s="4" t="str">
        <f ca="1">IFERROR(__xludf.DUMMYFUNCTION("""COMPUTED_VALUE"""),"SERV VISTA HERMOSA     CIUDAD DE MEX MEX")</f>
        <v>SERV VISTA HERMOSA     CIUDAD DE MEX MEX</v>
      </c>
      <c r="H373" s="4" t="str">
        <f ca="1">IFERROR(__xludf.DUMMYFUNCTION("""COMPUTED_VALUE"""),"Serv Vista Hermosa Ciudad De Mex Mex")</f>
        <v>Serv Vista Hermosa Ciudad De Mex Mex</v>
      </c>
      <c r="I373" s="4" t="str">
        <f ca="1">IFERROR(__xludf.DUMMYFUNCTION("""COMPUTED_VALUE"""),"Transaction cost")</f>
        <v>Transaction cost</v>
      </c>
      <c r="J373" s="4" t="str">
        <f ca="1">IFERROR(__xludf.DUMMYFUNCTION("""COMPUTED_VALUE"""),"Viáticos Valle de Bravo, PO 1954")</f>
        <v>Viáticos Valle de Bravo, PO 1954</v>
      </c>
      <c r="K373" s="4" t="str">
        <f ca="1">IFERROR(__xludf.DUMMYFUNCTION("""COMPUTED_VALUE"""),"65e6c57d-ff69-4b42-8476-b8f9903e4ed3")</f>
        <v>65e6c57d-ff69-4b42-8476-b8f9903e4ed3</v>
      </c>
      <c r="S373" s="6">
        <v>1119.3599999999999</v>
      </c>
      <c r="T373" s="4" t="e">
        <f t="shared" ca="1" si="2"/>
        <v>#N/A</v>
      </c>
    </row>
    <row r="374" spans="1:20" ht="12.5">
      <c r="A374" s="4" t="str">
        <f ca="1">IFERROR(__xludf.DUMMYFUNCTION("""COMPUTED_VALUE"""),"TRX1220")</f>
        <v>TRX1220</v>
      </c>
      <c r="B374" s="4" t="str">
        <f ca="1">IFERROR(__xludf.DUMMYFUNCTION("""COMPUTED_VALUE"""),"#41")</f>
        <v>#41</v>
      </c>
      <c r="C374" s="5">
        <f ca="1">IFERROR(__xludf.DUMMYFUNCTION("""COMPUTED_VALUE"""),46080.4166666666)</f>
        <v>46080.416666666599</v>
      </c>
      <c r="D374" s="6">
        <f ca="1">IFERROR(__xludf.DUMMYFUNCTION("""COMPUTED_VALUE"""),81)</f>
        <v>81</v>
      </c>
      <c r="E374" s="4" t="str">
        <f ca="1">IFERROR(__xludf.DUMMYFUNCTION("""COMPUTED_VALUE"""),"MXN")</f>
        <v>MXN</v>
      </c>
      <c r="F374" s="4" t="str">
        <f ca="1">IFERROR(__xludf.DUMMYFUNCTION("""COMPUTED_VALUE"""),"Jose Arechavala")</f>
        <v>Jose Arechavala</v>
      </c>
      <c r="G374" s="4" t="str">
        <f ca="1">IFERROR(__xludf.DUMMYFUNCTION("""COMPUTED_VALUE"""),"UBER *TRIP HELP.UBER.C CMX           MEX")</f>
        <v>UBER *TRIP HELP.UBER.C CMX           MEX</v>
      </c>
      <c r="H374" s="4" t="str">
        <f ca="1">IFERROR(__xludf.DUMMYFUNCTION("""COMPUTED_VALUE"""),"Uber")</f>
        <v>Uber</v>
      </c>
      <c r="I374" s="4" t="str">
        <f ca="1">IFERROR(__xludf.DUMMYFUNCTION("""COMPUTED_VALUE"""),"Transaction cost")</f>
        <v>Transaction cost</v>
      </c>
      <c r="J374" s="4" t="str">
        <f ca="1">IFERROR(__xludf.DUMMYFUNCTION("""COMPUTED_VALUE"""),"Envío muestras de MP, PO 1954")</f>
        <v>Envío muestras de MP, PO 1954</v>
      </c>
      <c r="K374" s="4" t="str">
        <f ca="1">IFERROR(__xludf.DUMMYFUNCTION("""COMPUTED_VALUE"""),"TER-144787111")</f>
        <v>TER-144787111</v>
      </c>
      <c r="S374" s="6">
        <v>161.04</v>
      </c>
      <c r="T374" s="4" t="e">
        <f t="shared" ca="1" si="2"/>
        <v>#N/A</v>
      </c>
    </row>
    <row r="375" spans="1:20" ht="12.5">
      <c r="A375" s="4" t="str">
        <f ca="1">IFERROR(__xludf.DUMMYFUNCTION("""COMPUTED_VALUE"""),"TRX1274")</f>
        <v>TRX1274</v>
      </c>
      <c r="B375" s="4" t="str">
        <f ca="1">IFERROR(__xludf.DUMMYFUNCTION("""COMPUTED_VALUE"""),"#41")</f>
        <v>#41</v>
      </c>
      <c r="C375" s="5">
        <f ca="1">IFERROR(__xludf.DUMMYFUNCTION("""COMPUTED_VALUE"""),46081.4166666666)</f>
        <v>46081.416666666599</v>
      </c>
      <c r="D375" s="6">
        <f ca="1">IFERROR(__xludf.DUMMYFUNCTION("""COMPUTED_VALUE"""),400)</f>
        <v>400</v>
      </c>
      <c r="E375" s="4" t="str">
        <f ca="1">IFERROR(__xludf.DUMMYFUNCTION("""COMPUTED_VALUE"""),"MXN")</f>
        <v>MXN</v>
      </c>
      <c r="F375" s="4" t="str">
        <f ca="1">IFERROR(__xludf.DUMMYFUNCTION("""COMPUTED_VALUE"""),"Jose Arechavala")</f>
        <v>Jose Arechavala</v>
      </c>
      <c r="G375" s="4" t="str">
        <f ca="1">IFERROR(__xludf.DUMMYFUNCTION("""COMPUTED_VALUE"""),"PAY PAL*SOFIASALUDS SO CIUDAD DE MEX MEX")</f>
        <v>PAY PAL*SOFIASALUDS SO CIUDAD DE MEX MEX</v>
      </c>
      <c r="H375" s="4" t="str">
        <f ca="1">IFERROR(__xludf.DUMMYFUNCTION("""COMPUTED_VALUE"""),"Pay Pal Sofiasaluds So Ciudad De Mex Mex")</f>
        <v>Pay Pal Sofiasaluds So Ciudad De Mex Mex</v>
      </c>
      <c r="I375" s="4" t="str">
        <f ca="1">IFERROR(__xludf.DUMMYFUNCTION("""COMPUTED_VALUE"""),"Transaction cost")</f>
        <v>Transaction cost</v>
      </c>
      <c r="J375" s="4" t="str">
        <f ca="1">IFERROR(__xludf.DUMMYFUNCTION("""COMPUTED_VALUE"""),"Cobro por error, sin PO")</f>
        <v>Cobro por error, sin PO</v>
      </c>
      <c r="K375" s="4" t="str">
        <f ca="1">IFERROR(__xludf.DUMMYFUNCTION("""COMPUTED_VALUE"""),"N/A")</f>
        <v>N/A</v>
      </c>
      <c r="S375" s="6">
        <v>309.10000000000002</v>
      </c>
      <c r="T375" s="4" t="e">
        <f t="shared" ca="1" si="2"/>
        <v>#N/A</v>
      </c>
    </row>
    <row r="376" spans="1:20" ht="12.5">
      <c r="A376" s="4" t="str">
        <f ca="1">IFERROR(__xludf.DUMMYFUNCTION("""COMPUTED_VALUE"""),"TRX1467")</f>
        <v>TRX1467</v>
      </c>
      <c r="B376" s="4" t="str">
        <f ca="1">IFERROR(__xludf.DUMMYFUNCTION("""COMPUTED_VALUE"""),"#42")</f>
        <v>#42</v>
      </c>
      <c r="C376" s="5">
        <f ca="1">IFERROR(__xludf.DUMMYFUNCTION("""COMPUTED_VALUE"""),46064.4173611111)</f>
        <v>46064.417361111096</v>
      </c>
      <c r="D376" s="6">
        <f ca="1">IFERROR(__xludf.DUMMYFUNCTION("""COMPUTED_VALUE"""),64.3)</f>
        <v>64.3</v>
      </c>
      <c r="E376" s="4" t="str">
        <f ca="1">IFERROR(__xludf.DUMMYFUNCTION("""COMPUTED_VALUE"""),"MXN")</f>
        <v>MXN</v>
      </c>
      <c r="F376" s="4" t="str">
        <f ca="1">IFERROR(__xludf.DUMMYFUNCTION("""COMPUTED_VALUE"""),"Rodrigo Perea")</f>
        <v>Rodrigo Perea</v>
      </c>
      <c r="G376" s="4" t="str">
        <f ca="1">IFERROR(__xludf.DUMMYFUNCTION("""COMPUTED_VALUE"""),"REA AUTOPISTA GPE      CADEREYTA JIM MEX")</f>
        <v>REA AUTOPISTA GPE      CADEREYTA JIM MEX</v>
      </c>
      <c r="H376" s="4" t="str">
        <f ca="1">IFERROR(__xludf.DUMMYFUNCTION("""COMPUTED_VALUE"""),"Rea Autopista Gpe Cadereyta Jim Mex")</f>
        <v>Rea Autopista Gpe Cadereyta Jim Mex</v>
      </c>
      <c r="I376" s="4" t="str">
        <f ca="1">IFERROR(__xludf.DUMMYFUNCTION("""COMPUTED_VALUE"""),"Sales")</f>
        <v>Sales</v>
      </c>
      <c r="J376" s="4" t="str">
        <f ca="1">IFERROR(__xludf.DUMMYFUNCTION("""COMPUTED_VALUE"""),"PO 1406_Comida con MP")</f>
        <v>PO 1406_Comida con MP</v>
      </c>
      <c r="K376" s="4" t="str">
        <f ca="1">IFERROR(__xludf.DUMMYFUNCTION("""COMPUTED_VALUE"""),"N/A_Ticket")</f>
        <v>N/A_Ticket</v>
      </c>
      <c r="S376" s="6">
        <v>4999</v>
      </c>
      <c r="T376" s="4" t="e">
        <f t="shared" ca="1" si="2"/>
        <v>#N/A</v>
      </c>
    </row>
    <row r="377" spans="1:20" ht="12.5">
      <c r="A377" s="4" t="str">
        <f ca="1">IFERROR(__xludf.DUMMYFUNCTION("""COMPUTED_VALUE"""),"TRX1207")</f>
        <v>TRX1207</v>
      </c>
      <c r="B377" s="4" t="str">
        <f ca="1">IFERROR(__xludf.DUMMYFUNCTION("""COMPUTED_VALUE"""),"#42")</f>
        <v>#42</v>
      </c>
      <c r="C377" s="5">
        <f ca="1">IFERROR(__xludf.DUMMYFUNCTION("""COMPUTED_VALUE"""),46064.4173611111)</f>
        <v>46064.417361111096</v>
      </c>
      <c r="D377" s="6">
        <f ca="1">IFERROR(__xludf.DUMMYFUNCTION("""COMPUTED_VALUE"""),671)</f>
        <v>671</v>
      </c>
      <c r="E377" s="4" t="str">
        <f ca="1">IFERROR(__xludf.DUMMYFUNCTION("""COMPUTED_VALUE"""),"MXN")</f>
        <v>MXN</v>
      </c>
      <c r="F377" s="4" t="str">
        <f ca="1">IFERROR(__xludf.DUMMYFUNCTION("""COMPUTED_VALUE"""),"Rodrigo Perea")</f>
        <v>Rodrigo Perea</v>
      </c>
      <c r="G377" s="4" t="str">
        <f ca="1">IFERROR(__xludf.DUMMYFUNCTION("""COMPUTED_VALUE"""),"REST MAISON KAYSER     CANCUN QROO   MEX")</f>
        <v>REST MAISON KAYSER     CANCUN QROO   MEX</v>
      </c>
      <c r="H377" s="4" t="str">
        <f ca="1">IFERROR(__xludf.DUMMYFUNCTION("""COMPUTED_VALUE"""),"Maison Eric Kayser")</f>
        <v>Maison Eric Kayser</v>
      </c>
      <c r="I377" s="4" t="str">
        <f ca="1">IFERROR(__xludf.DUMMYFUNCTION("""COMPUTED_VALUE"""),"Sales")</f>
        <v>Sales</v>
      </c>
      <c r="J377" s="4" t="str">
        <f ca="1">IFERROR(__xludf.DUMMYFUNCTION("""COMPUTED_VALUE"""),"PO 1888_Gasolina")</f>
        <v>PO 1888_Gasolina</v>
      </c>
      <c r="K377" s="4" t="str">
        <f ca="1">IFERROR(__xludf.DUMMYFUNCTION("""COMPUTED_VALUE"""),"aae801bc-ea5a-45e0-97f3-3afbeab7fe78")</f>
        <v>aae801bc-ea5a-45e0-97f3-3afbeab7fe78</v>
      </c>
      <c r="S377" s="6">
        <v>385</v>
      </c>
      <c r="T377" s="4" t="str">
        <f t="shared" ca="1" si="2"/>
        <v>Karen Alexandra Ballesteros Contreras</v>
      </c>
    </row>
    <row r="378" spans="1:20" ht="12.5">
      <c r="A378" s="4" t="str">
        <f ca="1">IFERROR(__xludf.DUMMYFUNCTION("""COMPUTED_VALUE"""),"TRX1997")</f>
        <v>TRX1997</v>
      </c>
      <c r="B378" s="4" t="str">
        <f ca="1">IFERROR(__xludf.DUMMYFUNCTION("""COMPUTED_VALUE"""),"#42")</f>
        <v>#42</v>
      </c>
      <c r="C378" s="5">
        <f ca="1">IFERROR(__xludf.DUMMYFUNCTION("""COMPUTED_VALUE"""),46064.4173611111)</f>
        <v>46064.417361111096</v>
      </c>
      <c r="D378" s="6">
        <f ca="1">IFERROR(__xludf.DUMMYFUNCTION("""COMPUTED_VALUE"""),109.5)</f>
        <v>109.5</v>
      </c>
      <c r="E378" s="4" t="str">
        <f ca="1">IFERROR(__xludf.DUMMYFUNCTION("""COMPUTED_VALUE"""),"MXN")</f>
        <v>MXN</v>
      </c>
      <c r="F378" s="4" t="str">
        <f ca="1">IFERROR(__xludf.DUMMYFUNCTION("""COMPUTED_VALUE"""),"Rodrigo Perea")</f>
        <v>Rodrigo Perea</v>
      </c>
      <c r="G378" s="4" t="str">
        <f ca="1">IFERROR(__xludf.DUMMYFUNCTION("""COMPUTED_VALUE"""),"7 ELEVEN PALMA GORDA   GUADALUPE NL  MEX")</f>
        <v>7 ELEVEN PALMA GORDA   GUADALUPE NL  MEX</v>
      </c>
      <c r="H378" s="4" t="str">
        <f ca="1">IFERROR(__xludf.DUMMYFUNCTION("""COMPUTED_VALUE"""),"7 Eleven")</f>
        <v>7 Eleven</v>
      </c>
      <c r="I378" s="4" t="str">
        <f ca="1">IFERROR(__xludf.DUMMYFUNCTION("""COMPUTED_VALUE"""),"Sales")</f>
        <v>Sales</v>
      </c>
      <c r="J378" s="4" t="str">
        <f ca="1">IFERROR(__xludf.DUMMYFUNCTION("""COMPUTED_VALUE"""),"PO 1406_Vuelo Mty")</f>
        <v>PO 1406_Vuelo Mty</v>
      </c>
      <c r="K378" s="4" t="str">
        <f ca="1">IFERROR(__xludf.DUMMYFUNCTION("""COMPUTED_VALUE"""),"c7dde6a5-c3c5-4e96-b533-ec5258e98287")</f>
        <v>c7dde6a5-c3c5-4e96-b533-ec5258e98287</v>
      </c>
      <c r="S378" s="6">
        <v>1894.2</v>
      </c>
      <c r="T378" s="4" t="e">
        <f t="shared" ca="1" si="2"/>
        <v>#N/A</v>
      </c>
    </row>
    <row r="379" spans="1:20" ht="12.5">
      <c r="A379" s="4" t="str">
        <f ca="1">IFERROR(__xludf.DUMMYFUNCTION("""COMPUTED_VALUE"""),"TRX1335")</f>
        <v>TRX1335</v>
      </c>
      <c r="B379" s="4" t="str">
        <f ca="1">IFERROR(__xludf.DUMMYFUNCTION("""COMPUTED_VALUE"""),"#42")</f>
        <v>#42</v>
      </c>
      <c r="C379" s="5">
        <f ca="1">IFERROR(__xludf.DUMMYFUNCTION("""COMPUTED_VALUE"""),46065.4166666666)</f>
        <v>46065.416666666599</v>
      </c>
      <c r="D379" s="6">
        <f ca="1">IFERROR(__xludf.DUMMYFUNCTION("""COMPUTED_VALUE"""),69)</f>
        <v>69</v>
      </c>
      <c r="E379" s="4" t="str">
        <f ca="1">IFERROR(__xludf.DUMMYFUNCTION("""COMPUTED_VALUE"""),"MXN")</f>
        <v>MXN</v>
      </c>
      <c r="F379" s="4" t="str">
        <f ca="1">IFERROR(__xludf.DUMMYFUNCTION("""COMPUTED_VALUE"""),"Rodrigo Perea")</f>
        <v>Rodrigo Perea</v>
      </c>
      <c r="G379" s="4" t="str">
        <f ca="1">IFERROR(__xludf.DUMMYFUNCTION("""COMPUTED_VALUE"""),"VTA A BORDO VAEROBUS   CIUDAD DE MEX MEX")</f>
        <v>VTA A BORDO VAEROBUS   CIUDAD DE MEX MEX</v>
      </c>
      <c r="H379" s="4" t="str">
        <f ca="1">IFERROR(__xludf.DUMMYFUNCTION("""COMPUTED_VALUE"""),"Vta A Bordo Vaerobus Ciudad De Mex Mex")</f>
        <v>Vta A Bordo Vaerobus Ciudad De Mex Mex</v>
      </c>
      <c r="I379" s="4" t="str">
        <f ca="1">IFERROR(__xludf.DUMMYFUNCTION("""COMPUTED_VALUE"""),"Sales")</f>
        <v>Sales</v>
      </c>
      <c r="J379" s="4" t="str">
        <f ca="1">IFERROR(__xludf.DUMMYFUNCTION("""COMPUTED_VALUE"""),"PO 1406_Hospedaje Mty")</f>
        <v>PO 1406_Hospedaje Mty</v>
      </c>
      <c r="K379" s="4" t="str">
        <f ca="1">IFERROR(__xludf.DUMMYFUNCTION("""COMPUTED_VALUE"""),"4FF3827A-C67D-4A45-B051-9B9D2C519AF6")</f>
        <v>4FF3827A-C67D-4A45-B051-9B9D2C519AF6</v>
      </c>
      <c r="S379" s="6">
        <v>3194</v>
      </c>
      <c r="T379" s="4" t="e">
        <f t="shared" ca="1" si="2"/>
        <v>#N/A</v>
      </c>
    </row>
    <row r="380" spans="1:20" ht="12.5">
      <c r="A380" s="4" t="str">
        <f ca="1">IFERROR(__xludf.DUMMYFUNCTION("""COMPUTED_VALUE"""),"TRX1151")</f>
        <v>TRX1151</v>
      </c>
      <c r="B380" s="4" t="str">
        <f ca="1">IFERROR(__xludf.DUMMYFUNCTION("""COMPUTED_VALUE"""),"#42")</f>
        <v>#42</v>
      </c>
      <c r="C380" s="5">
        <f ca="1">IFERROR(__xludf.DUMMYFUNCTION("""COMPUTED_VALUE"""),46065.4173611111)</f>
        <v>46065.417361111096</v>
      </c>
      <c r="D380" s="6">
        <f ca="1">IFERROR(__xludf.DUMMYFUNCTION("""COMPUTED_VALUE"""),80.6)</f>
        <v>80.599999999999994</v>
      </c>
      <c r="E380" s="4" t="str">
        <f ca="1">IFERROR(__xludf.DUMMYFUNCTION("""COMPUTED_VALUE"""),"MXN")</f>
        <v>MXN</v>
      </c>
      <c r="F380" s="4" t="str">
        <f ca="1">IFERROR(__xludf.DUMMYFUNCTION("""COMPUTED_VALUE"""),"Rodrigo Perea")</f>
        <v>Rodrigo Perea</v>
      </c>
      <c r="G380" s="4" t="str">
        <f ca="1">IFERROR(__xludf.DUMMYFUNCTION("""COMPUTED_VALUE"""),"RED ESTATAL DE AUTOPIS APODACA NL    MEX")</f>
        <v>RED ESTATAL DE AUTOPIS APODACA NL    MEX</v>
      </c>
      <c r="H380" s="4" t="str">
        <f ca="1">IFERROR(__xludf.DUMMYFUNCTION("""COMPUTED_VALUE"""),"Red Estatal De Autopis Apodaca Nl Mex")</f>
        <v>Red Estatal De Autopis Apodaca Nl Mex</v>
      </c>
      <c r="I380" s="4" t="str">
        <f ca="1">IFERROR(__xludf.DUMMYFUNCTION("""COMPUTED_VALUE"""),"Sales")</f>
        <v>Sales</v>
      </c>
      <c r="J380" s="4" t="str">
        <f ca="1">IFERROR(__xludf.DUMMYFUNCTION("""COMPUTED_VALUE"""),"PO 1406_Agua vuelo")</f>
        <v>PO 1406_Agua vuelo</v>
      </c>
      <c r="K380" s="4" t="str">
        <f ca="1">IFERROR(__xludf.DUMMYFUNCTION("""COMPUTED_VALUE"""),"A18FE38F-0D50-402F-955F-9B9D2C51B9AA")</f>
        <v>A18FE38F-0D50-402F-955F-9B9D2C51B9AA</v>
      </c>
      <c r="S380" s="6">
        <v>100</v>
      </c>
      <c r="T380" s="4" t="str">
        <f t="shared" ca="1" si="2"/>
        <v>Daniel Autrique Echeveste</v>
      </c>
    </row>
    <row r="381" spans="1:20" ht="12.5">
      <c r="A381" s="4" t="str">
        <f ca="1">IFERROR(__xludf.DUMMYFUNCTION("""COMPUTED_VALUE"""),"TRX1970")</f>
        <v>TRX1970</v>
      </c>
      <c r="B381" s="4" t="str">
        <f ca="1">IFERROR(__xludf.DUMMYFUNCTION("""COMPUTED_VALUE"""),"#42")</f>
        <v>#42</v>
      </c>
      <c r="C381" s="5">
        <f ca="1">IFERROR(__xludf.DUMMYFUNCTION("""COMPUTED_VALUE"""),46065.4173611111)</f>
        <v>46065.417361111096</v>
      </c>
      <c r="D381" s="6">
        <f ca="1">IFERROR(__xludf.DUMMYFUNCTION("""COMPUTED_VALUE"""),646)</f>
        <v>646</v>
      </c>
      <c r="E381" s="4" t="str">
        <f ca="1">IFERROR(__xludf.DUMMYFUNCTION("""COMPUTED_VALUE"""),"MXN")</f>
        <v>MXN</v>
      </c>
      <c r="F381" s="4" t="str">
        <f ca="1">IFERROR(__xludf.DUMMYFUNCTION("""COMPUTED_VALUE"""),"Rodrigo Perea")</f>
        <v>Rodrigo Perea</v>
      </c>
      <c r="G381" s="4" t="str">
        <f ca="1">IFERROR(__xludf.DUMMYFUNCTION("""COMPUTED_VALUE"""),"AICM TI 1              CIUDAD DE MEX MEX")</f>
        <v>AICM TI 1              CIUDAD DE MEX MEX</v>
      </c>
      <c r="H381" s="4" t="str">
        <f ca="1">IFERROR(__xludf.DUMMYFUNCTION("""COMPUTED_VALUE"""),"Aicm Ti 1 Ciudad De Mex Mex")</f>
        <v>Aicm Ti 1 Ciudad De Mex Mex</v>
      </c>
      <c r="I381" s="4" t="str">
        <f ca="1">IFERROR(__xludf.DUMMYFUNCTION("""COMPUTED_VALUE"""),"Sales")</f>
        <v>Sales</v>
      </c>
      <c r="J381" s="4" t="str">
        <f ca="1">IFERROR(__xludf.DUMMYFUNCTION("""COMPUTED_VALUE"""),"PO 1406_Comida aeropuerto")</f>
        <v>PO 1406_Comida aeropuerto</v>
      </c>
      <c r="K381" s="4" t="str">
        <f ca="1">IFERROR(__xludf.DUMMYFUNCTION("""COMPUTED_VALUE"""),"EB0467F7-4314-4891-9688-BE1F1CD18DAC")</f>
        <v>EB0467F7-4314-4891-9688-BE1F1CD18DAC</v>
      </c>
      <c r="S381" s="6">
        <v>4983.97</v>
      </c>
      <c r="T381" s="4" t="e">
        <f t="shared" ca="1" si="2"/>
        <v>#N/A</v>
      </c>
    </row>
    <row r="382" spans="1:20" ht="12.5">
      <c r="A382" s="4" t="str">
        <f ca="1">IFERROR(__xludf.DUMMYFUNCTION("""COMPUTED_VALUE"""),"TRX1027")</f>
        <v>TRX1027</v>
      </c>
      <c r="B382" s="4" t="str">
        <f ca="1">IFERROR(__xludf.DUMMYFUNCTION("""COMPUTED_VALUE"""),"#42")</f>
        <v>#42</v>
      </c>
      <c r="C382" s="5">
        <f ca="1">IFERROR(__xludf.DUMMYFUNCTION("""COMPUTED_VALUE"""),46065.4173611111)</f>
        <v>46065.417361111096</v>
      </c>
      <c r="D382" s="6">
        <f ca="1">IFERROR(__xludf.DUMMYFUNCTION("""COMPUTED_VALUE"""),95)</f>
        <v>95</v>
      </c>
      <c r="E382" s="4" t="str">
        <f ca="1">IFERROR(__xludf.DUMMYFUNCTION("""COMPUTED_VALUE"""),"MXN")</f>
        <v>MXN</v>
      </c>
      <c r="F382" s="4" t="str">
        <f ca="1">IFERROR(__xludf.DUMMYFUNCTION("""COMPUTED_VALUE"""),"Rodrigo Perea")</f>
        <v>Rodrigo Perea</v>
      </c>
      <c r="G382" s="4" t="str">
        <f ca="1">IFERROR(__xludf.DUMMYFUNCTION("""COMPUTED_VALUE"""),"REST MAISON KAYSER     CANCUN QROO   MEX")</f>
        <v>REST MAISON KAYSER     CANCUN QROO   MEX</v>
      </c>
      <c r="H382" s="4" t="str">
        <f ca="1">IFERROR(__xludf.DUMMYFUNCTION("""COMPUTED_VALUE"""),"Maison Eric Kayser")</f>
        <v>Maison Eric Kayser</v>
      </c>
      <c r="I382" s="4" t="str">
        <f ca="1">IFERROR(__xludf.DUMMYFUNCTION("""COMPUTED_VALUE"""),"Sales")</f>
        <v>Sales</v>
      </c>
      <c r="J382" s="4" t="str">
        <f ca="1">IFERROR(__xludf.DUMMYFUNCTION("""COMPUTED_VALUE"""),"PO 1406_Renta auto Mty")</f>
        <v>PO 1406_Renta auto Mty</v>
      </c>
      <c r="K382" s="4" t="str">
        <f ca="1">IFERROR(__xludf.DUMMYFUNCTION("""COMPUTED_VALUE"""),"36ca4c65-2824-4e0c-b2bd-4f42960964f9")</f>
        <v>36ca4c65-2824-4e0c-b2bd-4f42960964f9</v>
      </c>
      <c r="S382" s="6">
        <v>1547</v>
      </c>
      <c r="T382" s="4" t="e">
        <f t="shared" ca="1" si="2"/>
        <v>#N/A</v>
      </c>
    </row>
    <row r="383" spans="1:20" ht="12.5">
      <c r="A383" s="4" t="str">
        <f ca="1">IFERROR(__xludf.DUMMYFUNCTION("""COMPUTED_VALUE"""),"TRX1591")</f>
        <v>TRX1591</v>
      </c>
      <c r="B383" s="4" t="str">
        <f ca="1">IFERROR(__xludf.DUMMYFUNCTION("""COMPUTED_VALUE"""),"#42")</f>
        <v>#42</v>
      </c>
      <c r="C383" s="5">
        <f ca="1">IFERROR(__xludf.DUMMYFUNCTION("""COMPUTED_VALUE"""),46065.4173611111)</f>
        <v>46065.417361111096</v>
      </c>
      <c r="D383" s="6">
        <f ca="1">IFERROR(__xludf.DUMMYFUNCTION("""COMPUTED_VALUE"""),337.7)</f>
        <v>337.7</v>
      </c>
      <c r="E383" s="4" t="str">
        <f ca="1">IFERROR(__xludf.DUMMYFUNCTION("""COMPUTED_VALUE"""),"MXN")</f>
        <v>MXN</v>
      </c>
      <c r="F383" s="4" t="str">
        <f ca="1">IFERROR(__xludf.DUMMYFUNCTION("""COMPUTED_VALUE"""),"Rodrigo Perea")</f>
        <v>Rodrigo Perea</v>
      </c>
      <c r="G383" s="4" t="str">
        <f ca="1">IFERROR(__xludf.DUMMYFUNCTION("""COMPUTED_VALUE"""),"REST EL PAPALOTE       APODACA NL    MEX")</f>
        <v>REST EL PAPALOTE       APODACA NL    MEX</v>
      </c>
      <c r="H383" s="4" t="str">
        <f ca="1">IFERROR(__xludf.DUMMYFUNCTION("""COMPUTED_VALUE"""),"Rest El Papalote Apodaca Nl Mex")</f>
        <v>Rest El Papalote Apodaca Nl Mex</v>
      </c>
      <c r="I383" s="4" t="str">
        <f ca="1">IFERROR(__xludf.DUMMYFUNCTION("""COMPUTED_VALUE"""),"Sales")</f>
        <v>Sales</v>
      </c>
      <c r="J383" s="4" t="str">
        <f ca="1">IFERROR(__xludf.DUMMYFUNCTION("""COMPUTED_VALUE"""),"PO 1406_Snacks obra Mty")</f>
        <v>PO 1406_Snacks obra Mty</v>
      </c>
      <c r="K383" s="4" t="str">
        <f ca="1">IFERROR(__xludf.DUMMYFUNCTION("""COMPUTED_VALUE"""),"8c671ccb-8db7-4d4e-87f1-3f310329b687")</f>
        <v>8c671ccb-8db7-4d4e-87f1-3f310329b687</v>
      </c>
      <c r="S383" s="6">
        <v>840.65</v>
      </c>
      <c r="T383" s="4" t="e">
        <f t="shared" ca="1" si="2"/>
        <v>#N/A</v>
      </c>
    </row>
    <row r="384" spans="1:20" ht="12.5">
      <c r="A384" s="4" t="str">
        <f ca="1">IFERROR(__xludf.DUMMYFUNCTION("""COMPUTED_VALUE"""),"TRX1001")</f>
        <v>TRX1001</v>
      </c>
      <c r="B384" s="4" t="str">
        <f ca="1">IFERROR(__xludf.DUMMYFUNCTION("""COMPUTED_VALUE"""),"#42")</f>
        <v>#42</v>
      </c>
      <c r="C384" s="5">
        <f ca="1">IFERROR(__xludf.DUMMYFUNCTION("""COMPUTED_VALUE"""),46066.4166666666)</f>
        <v>46066.416666666599</v>
      </c>
      <c r="D384" s="6">
        <f ca="1">IFERROR(__xludf.DUMMYFUNCTION("""COMPUTED_VALUE"""),70)</f>
        <v>70</v>
      </c>
      <c r="E384" s="4" t="str">
        <f ca="1">IFERROR(__xludf.DUMMYFUNCTION("""COMPUTED_VALUE"""),"MXN")</f>
        <v>MXN</v>
      </c>
      <c r="F384" s="4" t="str">
        <f ca="1">IFERROR(__xludf.DUMMYFUNCTION("""COMPUTED_VALUE"""),"Rodrigo Perea")</f>
        <v>Rodrigo Perea</v>
      </c>
      <c r="G384" s="4" t="str">
        <f ca="1">IFERROR(__xludf.DUMMYFUNCTION("""COMPUTED_VALUE"""),"UBER * PENDING         CMX           MEX")</f>
        <v>UBER * PENDING         CMX           MEX</v>
      </c>
      <c r="H384" s="4" t="str">
        <f ca="1">IFERROR(__xludf.DUMMYFUNCTION("""COMPUTED_VALUE"""),"Uber")</f>
        <v>Uber</v>
      </c>
      <c r="I384" s="4" t="str">
        <f ca="1">IFERROR(__xludf.DUMMYFUNCTION("""COMPUTED_VALUE"""),"Sales")</f>
        <v>Sales</v>
      </c>
      <c r="J384" s="4" t="str">
        <f ca="1">IFERROR(__xludf.DUMMYFUNCTION("""COMPUTED_VALUE"""),"PO 1406_Comida Mty")</f>
        <v>PO 1406_Comida Mty</v>
      </c>
      <c r="K384" s="4" t="str">
        <f ca="1">IFERROR(__xludf.DUMMYFUNCTION("""COMPUTED_VALUE"""),"N/A_Ticket")</f>
        <v>N/A_Ticket</v>
      </c>
      <c r="S384" s="6">
        <v>45</v>
      </c>
      <c r="T384" s="4" t="e">
        <f t="shared" ca="1" si="2"/>
        <v>#N/A</v>
      </c>
    </row>
    <row r="385" spans="1:20" ht="12.5">
      <c r="A385" s="4" t="str">
        <f ca="1">IFERROR(__xludf.DUMMYFUNCTION("""COMPUTED_VALUE"""),"TRX1055")</f>
        <v>TRX1055</v>
      </c>
      <c r="B385" s="4" t="str">
        <f ca="1">IFERROR(__xludf.DUMMYFUNCTION("""COMPUTED_VALUE"""),"#42")</f>
        <v>#42</v>
      </c>
      <c r="C385" s="5">
        <f ca="1">IFERROR(__xludf.DUMMYFUNCTION("""COMPUTED_VALUE"""),46067.4173611111)</f>
        <v>46067.417361111096</v>
      </c>
      <c r="D385" s="6">
        <f ca="1">IFERROR(__xludf.DUMMYFUNCTION("""COMPUTED_VALUE"""),477.25)</f>
        <v>477.25</v>
      </c>
      <c r="E385" s="4" t="str">
        <f ca="1">IFERROR(__xludf.DUMMYFUNCTION("""COMPUTED_VALUE"""),"MXN")</f>
        <v>MXN</v>
      </c>
      <c r="F385" s="4" t="str">
        <f ca="1">IFERROR(__xludf.DUMMYFUNCTION("""COMPUTED_VALUE"""),"Rodrigo Perea")</f>
        <v>Rodrigo Perea</v>
      </c>
      <c r="G385" s="4" t="str">
        <f ca="1">IFERROR(__xludf.DUMMYFUNCTION("""COMPUTED_VALUE"""),"COM RAP MANOLITO PEDRE CIUDAD DE MEX MEX")</f>
        <v>COM RAP MANOLITO PEDRE CIUDAD DE MEX MEX</v>
      </c>
      <c r="H385" s="4" t="str">
        <f ca="1">IFERROR(__xludf.DUMMYFUNCTION("""COMPUTED_VALUE"""),"Com Rap Manolito Pedre Ciudad De Mex Mex")</f>
        <v>Com Rap Manolito Pedre Ciudad De Mex Mex</v>
      </c>
      <c r="I385" s="4" t="str">
        <f ca="1">IFERROR(__xludf.DUMMYFUNCTION("""COMPUTED_VALUE"""),"Sales")</f>
        <v>Sales</v>
      </c>
      <c r="J385" s="4" t="str">
        <f ca="1">IFERROR(__xludf.DUMMYFUNCTION("""COMPUTED_VALUE"""),"PO 1406_Desayuno hotel Mty")</f>
        <v>PO 1406_Desayuno hotel Mty</v>
      </c>
      <c r="K385" s="4" t="str">
        <f ca="1">IFERROR(__xludf.DUMMYFUNCTION("""COMPUTED_VALUE"""),"N/A_Ticket")</f>
        <v>N/A_Ticket</v>
      </c>
      <c r="S385" s="6">
        <v>704</v>
      </c>
      <c r="T385" s="4" t="e">
        <f t="shared" ca="1" si="2"/>
        <v>#N/A</v>
      </c>
    </row>
    <row r="386" spans="1:20" ht="12.5">
      <c r="A386" s="4" t="str">
        <f ca="1">IFERROR(__xludf.DUMMYFUNCTION("""COMPUTED_VALUE"""),"TRX1231")</f>
        <v>TRX1231</v>
      </c>
      <c r="B386" s="4" t="str">
        <f ca="1">IFERROR(__xludf.DUMMYFUNCTION("""COMPUTED_VALUE"""),"#42")</f>
        <v>#42</v>
      </c>
      <c r="C386" s="5">
        <f ca="1">IFERROR(__xludf.DUMMYFUNCTION("""COMPUTED_VALUE"""),46069.4166666666)</f>
        <v>46069.416666666599</v>
      </c>
      <c r="D386" s="6">
        <f ca="1">IFERROR(__xludf.DUMMYFUNCTION("""COMPUTED_VALUE"""),184.99)</f>
        <v>184.99</v>
      </c>
      <c r="E386" s="4" t="str">
        <f ca="1">IFERROR(__xludf.DUMMYFUNCTION("""COMPUTED_VALUE"""),"MXN")</f>
        <v>MXN</v>
      </c>
      <c r="F386" s="4" t="str">
        <f ca="1">IFERROR(__xludf.DUMMYFUNCTION("""COMPUTED_VALUE"""),"Rodrigo Perea")</f>
        <v>Rodrigo Perea</v>
      </c>
      <c r="G386" s="4" t="str">
        <f ca="1">IFERROR(__xludf.DUMMYFUNCTION("""COMPUTED_VALUE"""),"Microsoft*Microsoft 36 CMX           MEX")</f>
        <v>Microsoft*Microsoft 36 CMX           MEX</v>
      </c>
      <c r="H386" s="4" t="str">
        <f ca="1">IFERROR(__xludf.DUMMYFUNCTION("""COMPUTED_VALUE"""),"Microsoft")</f>
        <v>Microsoft</v>
      </c>
      <c r="I386" s="4" t="str">
        <f ca="1">IFERROR(__xludf.DUMMYFUNCTION("""COMPUTED_VALUE"""),"Sales")</f>
        <v>Sales</v>
      </c>
      <c r="J386" s="4" t="str">
        <f ca="1">IFERROR(__xludf.DUMMYFUNCTION("""COMPUTED_VALUE"""),"PO 1406_Café Mty")</f>
        <v>PO 1406_Café Mty</v>
      </c>
      <c r="K386" s="4" t="str">
        <f ca="1">IFERROR(__xludf.DUMMYFUNCTION("""COMPUTED_VALUE"""),"6f22ba90-163f-4f19-8d4f-eee934e8fe5a")</f>
        <v>6f22ba90-163f-4f19-8d4f-eee934e8fe5a</v>
      </c>
      <c r="S386" s="6">
        <v>498</v>
      </c>
      <c r="T386" s="4" t="e">
        <f t="shared" ca="1" si="2"/>
        <v>#N/A</v>
      </c>
    </row>
    <row r="387" spans="1:20" ht="12.5">
      <c r="A387" s="4" t="str">
        <f ca="1">IFERROR(__xludf.DUMMYFUNCTION("""COMPUTED_VALUE"""),"TRX1114")</f>
        <v>TRX1114</v>
      </c>
      <c r="B387" s="4" t="str">
        <f ca="1">IFERROR(__xludf.DUMMYFUNCTION("""COMPUTED_VALUE"""),"#42")</f>
        <v>#42</v>
      </c>
      <c r="C387" s="5">
        <f ca="1">IFERROR(__xludf.DUMMYFUNCTION("""COMPUTED_VALUE"""),46073.4166666666)</f>
        <v>46073.416666666599</v>
      </c>
      <c r="D387" s="6">
        <f ca="1">IFERROR(__xludf.DUMMYFUNCTION("""COMPUTED_VALUE"""),50)</f>
        <v>50</v>
      </c>
      <c r="E387" s="4" t="str">
        <f ca="1">IFERROR(__xludf.DUMMYFUNCTION("""COMPUTED_VALUE"""),"MXN")</f>
        <v>MXN</v>
      </c>
      <c r="F387" s="4" t="str">
        <f ca="1">IFERROR(__xludf.DUMMYFUNCTION("""COMPUTED_VALUE"""),"Rodrigo Perea")</f>
        <v>Rodrigo Perea</v>
      </c>
      <c r="G387" s="4" t="str">
        <f ca="1">IFERROR(__xludf.DUMMYFUNCTION("""COMPUTED_VALUE"""),"MYT018 2202 HUD MXP    CIUDAD DE MEX MEX")</f>
        <v>MYT018 2202 HUD MXP    CIUDAD DE MEX MEX</v>
      </c>
      <c r="H387" s="4" t="str">
        <f ca="1">IFERROR(__xludf.DUMMYFUNCTION("""COMPUTED_VALUE"""),"Myt018 2202 Hud Mxp Ciudad De Mex Mex")</f>
        <v>Myt018 2202 Hud Mxp Ciudad De Mex Mex</v>
      </c>
      <c r="I387" s="4" t="str">
        <f ca="1">IFERROR(__xludf.DUMMYFUNCTION("""COMPUTED_VALUE"""),"Sales")</f>
        <v>Sales</v>
      </c>
      <c r="J387" s="4" t="str">
        <f ca="1">IFERROR(__xludf.DUMMYFUNCTION("""COMPUTED_VALUE"""),"PO 1406_Cambio Vuelo Mty")</f>
        <v>PO 1406_Cambio Vuelo Mty</v>
      </c>
      <c r="K387" s="4" t="str">
        <f ca="1">IFERROR(__xludf.DUMMYFUNCTION("""COMPUTED_VALUE"""),"8775a906-b88f-425d-becf-569fb1db35c3")</f>
        <v>8775a906-b88f-425d-becf-569fb1db35c3</v>
      </c>
      <c r="S387" s="6">
        <v>7860.18</v>
      </c>
      <c r="T387" s="4" t="e">
        <f t="shared" ca="1" si="2"/>
        <v>#N/A</v>
      </c>
    </row>
    <row r="388" spans="1:20" ht="12.5">
      <c r="A388" s="4" t="str">
        <f ca="1">IFERROR(__xludf.DUMMYFUNCTION("""COMPUTED_VALUE"""),"TRX1873")</f>
        <v>TRX1873</v>
      </c>
      <c r="B388" s="4" t="str">
        <f ca="1">IFERROR(__xludf.DUMMYFUNCTION("""COMPUTED_VALUE"""),"#42")</f>
        <v>#42</v>
      </c>
      <c r="C388" s="5">
        <f ca="1">IFERROR(__xludf.DUMMYFUNCTION("""COMPUTED_VALUE"""),46073.4166666666)</f>
        <v>46073.416666666599</v>
      </c>
      <c r="D388" s="6">
        <f ca="1">IFERROR(__xludf.DUMMYFUNCTION("""COMPUTED_VALUE"""),143.34)</f>
        <v>143.34</v>
      </c>
      <c r="E388" s="4" t="str">
        <f ca="1">IFERROR(__xludf.DUMMYFUNCTION("""COMPUTED_VALUE"""),"MXN")</f>
        <v>MXN</v>
      </c>
      <c r="F388" s="4" t="str">
        <f ca="1">IFERROR(__xludf.DUMMYFUNCTION("""COMPUTED_VALUE"""),"Rodrigo Perea")</f>
        <v>Rodrigo Perea</v>
      </c>
      <c r="G388" s="4" t="str">
        <f ca="1">IFERROR(__xludf.DUMMYFUNCTION("""COMPUTED_VALUE"""),"UBER * PENDING         CMX           MEX")</f>
        <v>UBER * PENDING         CMX           MEX</v>
      </c>
      <c r="H388" s="4" t="str">
        <f ca="1">IFERROR(__xludf.DUMMYFUNCTION("""COMPUTED_VALUE"""),"Uber")</f>
        <v>Uber</v>
      </c>
      <c r="I388" s="4" t="str">
        <f ca="1">IFERROR(__xludf.DUMMYFUNCTION("""COMPUTED_VALUE"""),"Sales")</f>
        <v>Sales</v>
      </c>
      <c r="J388" s="4" t="str">
        <f ca="1">IFERROR(__xludf.DUMMYFUNCTION("""COMPUTED_VALUE"""),"PO 1406_Peajes Mty")</f>
        <v>PO 1406_Peajes Mty</v>
      </c>
      <c r="K388" s="4" t="str">
        <f ca="1">IFERROR(__xludf.DUMMYFUNCTION("""COMPUTED_VALUE"""),"4aeaf6b5-bcda-4bb2-aea7-608f18f02957")</f>
        <v>4aeaf6b5-bcda-4bb2-aea7-608f18f02957</v>
      </c>
      <c r="S388" s="6">
        <v>2817.5</v>
      </c>
      <c r="T388" s="4" t="e">
        <f t="shared" ca="1" si="2"/>
        <v>#N/A</v>
      </c>
    </row>
    <row r="389" spans="1:20" ht="12.5">
      <c r="A389" s="4" t="str">
        <f ca="1">IFERROR(__xludf.DUMMYFUNCTION("""COMPUTED_VALUE"""),"TRX1123")</f>
        <v>TRX1123</v>
      </c>
      <c r="B389" s="4" t="str">
        <f ca="1">IFERROR(__xludf.DUMMYFUNCTION("""COMPUTED_VALUE"""),"#42")</f>
        <v>#42</v>
      </c>
      <c r="C389" s="5">
        <f ca="1">IFERROR(__xludf.DUMMYFUNCTION("""COMPUTED_VALUE"""),46073.4173611111)</f>
        <v>46073.417361111096</v>
      </c>
      <c r="D389" s="6">
        <f ca="1">IFERROR(__xludf.DUMMYFUNCTION("""COMPUTED_VALUE"""),1648.93)</f>
        <v>1648.93</v>
      </c>
      <c r="E389" s="4" t="str">
        <f ca="1">IFERROR(__xludf.DUMMYFUNCTION("""COMPUTED_VALUE"""),"MXN")</f>
        <v>MXN</v>
      </c>
      <c r="F389" s="4" t="str">
        <f ca="1">IFERROR(__xludf.DUMMYFUNCTION("""COMPUTED_VALUE"""),"Rodrigo Perea")</f>
        <v>Rodrigo Perea</v>
      </c>
      <c r="G389" s="4" t="str">
        <f ca="1">IFERROR(__xludf.DUMMYFUNCTION("""COMPUTED_VALUE"""),"SMARTPY*HOTCITYCEVER   BLVD AVILA CA MEX")</f>
        <v>SMARTPY*HOTCITYCEVER   BLVD AVILA CA MEX</v>
      </c>
      <c r="H389" s="4" t="str">
        <f ca="1">IFERROR(__xludf.DUMMYFUNCTION("""COMPUTED_VALUE"""),"Smartpy Hotcitycever Blvd Avila Ca Mex")</f>
        <v>Smartpy Hotcitycever Blvd Avila Ca Mex</v>
      </c>
      <c r="I389" s="4" t="str">
        <f ca="1">IFERROR(__xludf.DUMMYFUNCTION("""COMPUTED_VALUE"""),"Sales")</f>
        <v>Sales</v>
      </c>
      <c r="J389" s="4" t="str">
        <f ca="1">IFERROR(__xludf.DUMMYFUNCTION("""COMPUTED_VALUE"""),"PO 1406_Comida Mty")</f>
        <v>PO 1406_Comida Mty</v>
      </c>
      <c r="K389" s="4" t="str">
        <f ca="1">IFERROR(__xludf.DUMMYFUNCTION("""COMPUTED_VALUE"""),"0F7F778F-E221-4D62-9AD7-20CA0AF9F688")</f>
        <v>0F7F778F-E221-4D62-9AD7-20CA0AF9F688</v>
      </c>
      <c r="S389" s="6">
        <v>533.29</v>
      </c>
      <c r="T389" s="4" t="e">
        <f t="shared" ca="1" si="2"/>
        <v>#N/A</v>
      </c>
    </row>
    <row r="390" spans="1:20" ht="12.5">
      <c r="A390" s="4" t="str">
        <f ca="1">IFERROR(__xludf.DUMMYFUNCTION("""COMPUTED_VALUE"""),"TRX1084")</f>
        <v>TRX1084</v>
      </c>
      <c r="B390" s="4" t="str">
        <f ca="1">IFERROR(__xludf.DUMMYFUNCTION("""COMPUTED_VALUE"""),"#42")</f>
        <v>#42</v>
      </c>
      <c r="C390" s="5">
        <f ca="1">IFERROR(__xludf.DUMMYFUNCTION("""COMPUTED_VALUE"""),46073.4173611111)</f>
        <v>46073.417361111096</v>
      </c>
      <c r="D390" s="6">
        <f ca="1">IFERROR(__xludf.DUMMYFUNCTION("""COMPUTED_VALUE"""),378.35)</f>
        <v>378.35</v>
      </c>
      <c r="E390" s="4" t="str">
        <f ca="1">IFERROR(__xludf.DUMMYFUNCTION("""COMPUTED_VALUE"""),"MXN")</f>
        <v>MXN</v>
      </c>
      <c r="F390" s="4" t="str">
        <f ca="1">IFERROR(__xludf.DUMMYFUNCTION("""COMPUTED_VALUE"""),"Rodrigo Perea")</f>
        <v>Rodrigo Perea</v>
      </c>
      <c r="G390" s="4" t="str">
        <f ca="1">IFERROR(__xludf.DUMMYFUNCTION("""COMPUTED_VALUE"""),"REST NUTRIBIONICOS     VERACRUZ VER  MEX")</f>
        <v>REST NUTRIBIONICOS     VERACRUZ VER  MEX</v>
      </c>
      <c r="H390" s="4" t="str">
        <f ca="1">IFERROR(__xludf.DUMMYFUNCTION("""COMPUTED_VALUE"""),"Rest Nutribionicos Veracruz Ver Mex")</f>
        <v>Rest Nutribionicos Veracruz Ver Mex</v>
      </c>
      <c r="I390" s="4" t="str">
        <f ca="1">IFERROR(__xludf.DUMMYFUNCTION("""COMPUTED_VALUE"""),"Sales")</f>
        <v>Sales</v>
      </c>
      <c r="J390" s="4" t="str">
        <f ca="1">IFERROR(__xludf.DUMMYFUNCTION("""COMPUTED_VALUE"""),"PO 1406_Renta auto Mty")</f>
        <v>PO 1406_Renta auto Mty</v>
      </c>
      <c r="K390" s="4" t="str">
        <f ca="1">IFERROR(__xludf.DUMMYFUNCTION("""COMPUTED_VALUE"""),"36ca4c65-2824-4e0c-b2bd-4f42960964f9")</f>
        <v>36ca4c65-2824-4e0c-b2bd-4f42960964f9</v>
      </c>
      <c r="S390" s="6">
        <v>11475.04</v>
      </c>
      <c r="T390" s="4" t="e">
        <f t="shared" ca="1" si="2"/>
        <v>#N/A</v>
      </c>
    </row>
    <row r="391" spans="1:20" ht="12.5">
      <c r="A391" s="4" t="str">
        <f ca="1">IFERROR(__xludf.DUMMYFUNCTION("""COMPUTED_VALUE"""),"TRX1063")</f>
        <v>TRX1063</v>
      </c>
      <c r="B391" s="4" t="str">
        <f ca="1">IFERROR(__xludf.DUMMYFUNCTION("""COMPUTED_VALUE"""),"#42")</f>
        <v>#42</v>
      </c>
      <c r="C391" s="5">
        <f ca="1">IFERROR(__xludf.DUMMYFUNCTION("""COMPUTED_VALUE"""),46074.4166666666)</f>
        <v>46074.416666666599</v>
      </c>
      <c r="D391" s="6">
        <f ca="1">IFERROR(__xludf.DUMMYFUNCTION("""COMPUTED_VALUE"""),317)</f>
        <v>317</v>
      </c>
      <c r="E391" s="4" t="str">
        <f ca="1">IFERROR(__xludf.DUMMYFUNCTION("""COMPUTED_VALUE"""),"MXN")</f>
        <v>MXN</v>
      </c>
      <c r="F391" s="4" t="str">
        <f ca="1">IFERROR(__xludf.DUMMYFUNCTION("""COMPUTED_VALUE"""),"Rodrigo Perea")</f>
        <v>Rodrigo Perea</v>
      </c>
      <c r="G391" s="4" t="str">
        <f ca="1">IFERROR(__xludf.DUMMYFUNCTION("""COMPUTED_VALUE"""),"REST QUINIENTOS DEL BO VERACRUZ VER  MEX")</f>
        <v>REST QUINIENTOS DEL BO VERACRUZ VER  MEX</v>
      </c>
      <c r="H391" s="4" t="str">
        <f ca="1">IFERROR(__xludf.DUMMYFUNCTION("""COMPUTED_VALUE"""),"Rest Quinientos Del Bo Veracruz Ver Mex")</f>
        <v>Rest Quinientos Del Bo Veracruz Ver Mex</v>
      </c>
      <c r="I391" s="4" t="str">
        <f ca="1">IFERROR(__xludf.DUMMYFUNCTION("""COMPUTED_VALUE"""),"Sales")</f>
        <v>Sales</v>
      </c>
      <c r="J391" s="4" t="str">
        <f ca="1">IFERROR(__xludf.DUMMYFUNCTION("""COMPUTED_VALUE"""),"PO 1406_Agua aeropuerto")</f>
        <v>PO 1406_Agua aeropuerto</v>
      </c>
      <c r="K391" s="4" t="str">
        <f ca="1">IFERROR(__xludf.DUMMYFUNCTION("""COMPUTED_VALUE"""),"7CF00AF5-856E-4A22-B5AC-5CA553DF957E")</f>
        <v>7CF00AF5-856E-4A22-B5AC-5CA553DF957E</v>
      </c>
      <c r="S391" s="6">
        <v>1052.6600000000001</v>
      </c>
      <c r="T391" s="4" t="e">
        <f t="shared" ca="1" si="2"/>
        <v>#N/A</v>
      </c>
    </row>
    <row r="392" spans="1:20" ht="12.5">
      <c r="A392" s="4" t="str">
        <f ca="1">IFERROR(__xludf.DUMMYFUNCTION("""COMPUTED_VALUE"""),"TRX1364")</f>
        <v>TRX1364</v>
      </c>
      <c r="B392" s="4" t="str">
        <f ca="1">IFERROR(__xludf.DUMMYFUNCTION("""COMPUTED_VALUE"""),"#42")</f>
        <v>#42</v>
      </c>
      <c r="C392" s="5">
        <f ca="1">IFERROR(__xludf.DUMMYFUNCTION("""COMPUTED_VALUE"""),46074.4166666666)</f>
        <v>46074.416666666599</v>
      </c>
      <c r="D392" s="6">
        <f ca="1">IFERROR(__xludf.DUMMYFUNCTION("""COMPUTED_VALUE"""),246.4)</f>
        <v>246.4</v>
      </c>
      <c r="E392" s="4" t="str">
        <f ca="1">IFERROR(__xludf.DUMMYFUNCTION("""COMPUTED_VALUE"""),"MXN")</f>
        <v>MXN</v>
      </c>
      <c r="F392" s="4" t="str">
        <f ca="1">IFERROR(__xludf.DUMMYFUNCTION("""COMPUTED_VALUE"""),"Rodrigo Perea")</f>
        <v>Rodrigo Perea</v>
      </c>
      <c r="G392" s="4" t="str">
        <f ca="1">IFERROR(__xludf.DUMMYFUNCTION("""COMPUTED_VALUE"""),"REST NUTRIBIONICOS     BOCA DEL RIO  MEX")</f>
        <v>REST NUTRIBIONICOS     BOCA DEL RIO  MEX</v>
      </c>
      <c r="H392" s="4" t="str">
        <f ca="1">IFERROR(__xludf.DUMMYFUNCTION("""COMPUTED_VALUE"""),"Rest Nutribionicos Boca Del Rio Mex")</f>
        <v>Rest Nutribionicos Boca Del Rio Mex</v>
      </c>
      <c r="I392" s="4" t="str">
        <f ca="1">IFERROR(__xludf.DUMMYFUNCTION("""COMPUTED_VALUE"""),"Sales")</f>
        <v>Sales</v>
      </c>
      <c r="J392" s="4" t="str">
        <f ca="1">IFERROR(__xludf.DUMMYFUNCTION("""COMPUTED_VALUE"""),"PO 1406_Estacionamiento aeropuerto")</f>
        <v>PO 1406_Estacionamiento aeropuerto</v>
      </c>
      <c r="K392" s="4" t="str">
        <f ca="1">IFERROR(__xludf.DUMMYFUNCTION("""COMPUTED_VALUE"""),"ACFE3FD8-5B87-463D-B409-78C32684AB16")</f>
        <v>ACFE3FD8-5B87-463D-B409-78C32684AB16</v>
      </c>
      <c r="S392" s="6">
        <v>349.94</v>
      </c>
      <c r="T392" s="4" t="e">
        <f t="shared" ca="1" si="2"/>
        <v>#N/A</v>
      </c>
    </row>
    <row r="393" spans="1:20" ht="12.5">
      <c r="A393" s="4" t="str">
        <f ca="1">IFERROR(__xludf.DUMMYFUNCTION("""COMPUTED_VALUE"""),"TRX1122")</f>
        <v>TRX1122</v>
      </c>
      <c r="B393" s="4" t="str">
        <f ca="1">IFERROR(__xludf.DUMMYFUNCTION("""COMPUTED_VALUE"""),"#42")</f>
        <v>#42</v>
      </c>
      <c r="C393" s="5">
        <f ca="1">IFERROR(__xludf.DUMMYFUNCTION("""COMPUTED_VALUE"""),46074.4166666666)</f>
        <v>46074.416666666599</v>
      </c>
      <c r="D393" s="6">
        <f ca="1">IFERROR(__xludf.DUMMYFUNCTION("""COMPUTED_VALUE"""),253.81)</f>
        <v>253.81</v>
      </c>
      <c r="E393" s="4" t="str">
        <f ca="1">IFERROR(__xludf.DUMMYFUNCTION("""COMPUTED_VALUE"""),"MXN")</f>
        <v>MXN</v>
      </c>
      <c r="F393" s="4" t="str">
        <f ca="1">IFERROR(__xludf.DUMMYFUNCTION("""COMPUTED_VALUE"""),"Rodrigo Perea")</f>
        <v>Rodrigo Perea</v>
      </c>
      <c r="G393" s="4" t="str">
        <f ca="1">IFERROR(__xludf.DUMMYFUNCTION("""COMPUTED_VALUE"""),"DLO*Uber               CDMX          MEX")</f>
        <v>DLO*Uber               CDMX          MEX</v>
      </c>
      <c r="H393" s="4" t="str">
        <f ca="1">IFERROR(__xludf.DUMMYFUNCTION("""COMPUTED_VALUE"""),"Uber")</f>
        <v>Uber</v>
      </c>
      <c r="I393" s="4" t="str">
        <f ca="1">IFERROR(__xludf.DUMMYFUNCTION("""COMPUTED_VALUE"""),"Sales")</f>
        <v>Sales</v>
      </c>
      <c r="J393" s="4" t="str">
        <f ca="1">IFERROR(__xludf.DUMMYFUNCTION("""COMPUTED_VALUE"""),"Cuota mes uber")</f>
        <v>Cuota mes uber</v>
      </c>
      <c r="K393" s="4" t="str">
        <f ca="1">IFERROR(__xludf.DUMMYFUNCTION("""COMPUTED_VALUE"""),"N/A")</f>
        <v>N/A</v>
      </c>
      <c r="S393" s="6">
        <v>220</v>
      </c>
      <c r="T393" s="4" t="str">
        <f t="shared" ca="1" si="2"/>
        <v>Karen Alexandra Ballesteros Contreras</v>
      </c>
    </row>
    <row r="394" spans="1:20" ht="12.5">
      <c r="A394" s="4" t="str">
        <f ca="1">IFERROR(__xludf.DUMMYFUNCTION("""COMPUTED_VALUE"""),"TRX1190")</f>
        <v>TRX1190</v>
      </c>
      <c r="B394" s="4" t="str">
        <f ca="1">IFERROR(__xludf.DUMMYFUNCTION("""COMPUTED_VALUE"""),"#42")</f>
        <v>#42</v>
      </c>
      <c r="C394" s="5">
        <f ca="1">IFERROR(__xludf.DUMMYFUNCTION("""COMPUTED_VALUE"""),46074.4166666666)</f>
        <v>46074.416666666599</v>
      </c>
      <c r="D394" s="6">
        <f ca="1">IFERROR(__xludf.DUMMYFUNCTION("""COMPUTED_VALUE"""),51)</f>
        <v>51</v>
      </c>
      <c r="E394" s="4" t="str">
        <f ca="1">IFERROR(__xludf.DUMMYFUNCTION("""COMPUTED_VALUE"""),"MXN")</f>
        <v>MXN</v>
      </c>
      <c r="F394" s="4" t="str">
        <f ca="1">IFERROR(__xludf.DUMMYFUNCTION("""COMPUTED_VALUE"""),"Rodrigo Perea")</f>
        <v>Rodrigo Perea</v>
      </c>
      <c r="G394" s="4" t="str">
        <f ca="1">IFERROR(__xludf.DUMMYFUNCTION("""COMPUTED_VALUE"""),"ASUR C CONV SHOP 4     VERACRUZ VER  MEX")</f>
        <v>ASUR C CONV SHOP 4     VERACRUZ VER  MEX</v>
      </c>
      <c r="H394" s="4" t="str">
        <f ca="1">IFERROR(__xludf.DUMMYFUNCTION("""COMPUTED_VALUE"""),"Asur C Conv Shop 4 Veracruz Ver Mex")</f>
        <v>Asur C Conv Shop 4 Veracruz Ver Mex</v>
      </c>
      <c r="I394" s="4" t="str">
        <f ca="1">IFERROR(__xludf.DUMMYFUNCTION("""COMPUTED_VALUE"""),"Sales")</f>
        <v>Sales</v>
      </c>
      <c r="J394" s="4" t="str">
        <f ca="1">IFERROR(__xludf.DUMMYFUNCTION("""COMPUTED_VALUE"""),"PO 1406_Agua vuelo")</f>
        <v>PO 1406_Agua vuelo</v>
      </c>
      <c r="K394" s="4" t="str">
        <f ca="1">IFERROR(__xludf.DUMMYFUNCTION("""COMPUTED_VALUE"""),"N/A_Ticket")</f>
        <v>N/A_Ticket</v>
      </c>
      <c r="S394" s="6">
        <v>356.78</v>
      </c>
      <c r="T394" s="4" t="e">
        <f t="shared" ca="1" si="2"/>
        <v>#N/A</v>
      </c>
    </row>
    <row r="395" spans="1:20" ht="12.5">
      <c r="A395" s="4" t="str">
        <f ca="1">IFERROR(__xludf.DUMMYFUNCTION("""COMPUTED_VALUE"""),"TRX1028")</f>
        <v>TRX1028</v>
      </c>
      <c r="B395" s="4" t="str">
        <f ca="1">IFERROR(__xludf.DUMMYFUNCTION("""COMPUTED_VALUE"""),"#42")</f>
        <v>#42</v>
      </c>
      <c r="C395" s="5">
        <f ca="1">IFERROR(__xludf.DUMMYFUNCTION("""COMPUTED_VALUE"""),46074.4173611111)</f>
        <v>46074.417361111096</v>
      </c>
      <c r="D395" s="6">
        <f ca="1">IFERROR(__xludf.DUMMYFUNCTION("""COMPUTED_VALUE"""),1076.9)</f>
        <v>1076.9000000000001</v>
      </c>
      <c r="E395" s="4" t="str">
        <f ca="1">IFERROR(__xludf.DUMMYFUNCTION("""COMPUTED_VALUE"""),"MXN")</f>
        <v>MXN</v>
      </c>
      <c r="F395" s="4" t="str">
        <f ca="1">IFERROR(__xludf.DUMMYFUNCTION("""COMPUTED_VALUE"""),"Rodrigo Perea")</f>
        <v>Rodrigo Perea</v>
      </c>
      <c r="G395" s="4" t="str">
        <f ca="1">IFERROR(__xludf.DUMMYFUNCTION("""COMPUTED_VALUE"""),"REST EL LECHERO        VERACRUZ VER  MEX")</f>
        <v>REST EL LECHERO        VERACRUZ VER  MEX</v>
      </c>
      <c r="H395" s="4" t="str">
        <f ca="1">IFERROR(__xludf.DUMMYFUNCTION("""COMPUTED_VALUE"""),"Rest El Lechero Veracruz Ver Mex")</f>
        <v>Rest El Lechero Veracruz Ver Mex</v>
      </c>
      <c r="I395" s="4" t="str">
        <f ca="1">IFERROR(__xludf.DUMMYFUNCTION("""COMPUTED_VALUE"""),"Sales")</f>
        <v>Sales</v>
      </c>
      <c r="J395" s="4" t="str">
        <f ca="1">IFERROR(__xludf.DUMMYFUNCTION("""COMPUTED_VALUE"""),"Mes office")</f>
        <v>Mes office</v>
      </c>
      <c r="K395" s="4" t="str">
        <f ca="1">IFERROR(__xludf.DUMMYFUNCTION("""COMPUTED_VALUE"""),"N/A")</f>
        <v>N/A</v>
      </c>
      <c r="S395" s="6">
        <v>1875.96</v>
      </c>
      <c r="T395" s="4" t="e">
        <f t="shared" ca="1" si="2"/>
        <v>#N/A</v>
      </c>
    </row>
    <row r="396" spans="1:20" ht="12.5">
      <c r="A396" s="4" t="str">
        <f ca="1">IFERROR(__xludf.DUMMYFUNCTION("""COMPUTED_VALUE"""),"TRX1032")</f>
        <v>TRX1032</v>
      </c>
      <c r="B396" s="4" t="str">
        <f ca="1">IFERROR(__xludf.DUMMYFUNCTION("""COMPUTED_VALUE"""),"#42")</f>
        <v>#42</v>
      </c>
      <c r="C396" s="5">
        <f ca="1">IFERROR(__xludf.DUMMYFUNCTION("""COMPUTED_VALUE"""),46074.4173611111)</f>
        <v>46074.417361111096</v>
      </c>
      <c r="D396" s="6">
        <f ca="1">IFERROR(__xludf.DUMMYFUNCTION("""COMPUTED_VALUE"""),35)</f>
        <v>35</v>
      </c>
      <c r="E396" s="4" t="str">
        <f ca="1">IFERROR(__xludf.DUMMYFUNCTION("""COMPUTED_VALUE"""),"MXN")</f>
        <v>MXN</v>
      </c>
      <c r="F396" s="4" t="str">
        <f ca="1">IFERROR(__xludf.DUMMYFUNCTION("""COMPUTED_VALUE"""),"Rodrigo Perea")</f>
        <v>Rodrigo Perea</v>
      </c>
      <c r="G396" s="4" t="str">
        <f ca="1">IFERROR(__xludf.DUMMYFUNCTION("""COMPUTED_VALUE"""),"OXXO 20 DE NOVIEMBRE V VERACRUZ VER  MEX")</f>
        <v>OXXO 20 DE NOVIEMBRE V VERACRUZ VER  MEX</v>
      </c>
      <c r="H396" s="4" t="str">
        <f ca="1">IFERROR(__xludf.DUMMYFUNCTION("""COMPUTED_VALUE"""),"Oxxo")</f>
        <v>Oxxo</v>
      </c>
      <c r="I396" s="4" t="str">
        <f ca="1">IFERROR(__xludf.DUMMYFUNCTION("""COMPUTED_VALUE"""),"Sales")</f>
        <v>Sales</v>
      </c>
      <c r="J396" s="4" t="str">
        <f ca="1">IFERROR(__xludf.DUMMYFUNCTION("""COMPUTED_VALUE"""),"PO 1406_Vuelo Mty")</f>
        <v>PO 1406_Vuelo Mty</v>
      </c>
      <c r="K396" s="4" t="str">
        <f ca="1">IFERROR(__xludf.DUMMYFUNCTION("""COMPUTED_VALUE"""),"b2c693c1-f125-4fcc-839c-2913c5eb986a")</f>
        <v>b2c693c1-f125-4fcc-839c-2913c5eb986a</v>
      </c>
      <c r="S396" s="6">
        <v>3345.14</v>
      </c>
      <c r="T396" s="4" t="e">
        <f t="shared" ca="1" si="2"/>
        <v>#N/A</v>
      </c>
    </row>
    <row r="397" spans="1:20" ht="12.5">
      <c r="A397" s="4" t="str">
        <f ca="1">IFERROR(__xludf.DUMMYFUNCTION("""COMPUTED_VALUE"""),"TRX1236")</f>
        <v>TRX1236</v>
      </c>
      <c r="B397" s="4" t="str">
        <f ca="1">IFERROR(__xludf.DUMMYFUNCTION("""COMPUTED_VALUE"""),"#42")</f>
        <v>#42</v>
      </c>
      <c r="C397" s="5">
        <f ca="1">IFERROR(__xludf.DUMMYFUNCTION("""COMPUTED_VALUE"""),46080.4173611111)</f>
        <v>46080.417361111096</v>
      </c>
      <c r="D397" s="6">
        <f ca="1">IFERROR(__xludf.DUMMYFUNCTION("""COMPUTED_VALUE"""),842.17)</f>
        <v>842.17</v>
      </c>
      <c r="E397" s="4" t="str">
        <f ca="1">IFERROR(__xludf.DUMMYFUNCTION("""COMPUTED_VALUE"""),"MXN")</f>
        <v>MXN</v>
      </c>
      <c r="F397" s="4" t="str">
        <f ca="1">IFERROR(__xludf.DUMMYFUNCTION("""COMPUTED_VALUE"""),"Rodrigo Perea")</f>
        <v>Rodrigo Perea</v>
      </c>
      <c r="G397" s="4" t="str">
        <f ca="1">IFERROR(__xludf.DUMMYFUNCTION("""COMPUTED_VALUE"""),"GAS ARENAS             CIUDAD DE MEX MEX")</f>
        <v>GAS ARENAS             CIUDAD DE MEX MEX</v>
      </c>
      <c r="H397" s="4" t="str">
        <f ca="1">IFERROR(__xludf.DUMMYFUNCTION("""COMPUTED_VALUE"""),"Gas Arenas Ciudad De Mex Mex")</f>
        <v>Gas Arenas Ciudad De Mex Mex</v>
      </c>
      <c r="I397" s="4" t="str">
        <f ca="1">IFERROR(__xludf.DUMMYFUNCTION("""COMPUTED_VALUE"""),"Sales")</f>
        <v>Sales</v>
      </c>
      <c r="J397" s="4" t="str">
        <f ca="1">IFERROR(__xludf.DUMMYFUNCTION("""COMPUTED_VALUE"""),"PO 1406_Hospedaje Mty")</f>
        <v>PO 1406_Hospedaje Mty</v>
      </c>
      <c r="K397" s="4" t="str">
        <f ca="1">IFERROR(__xludf.DUMMYFUNCTION("""COMPUTED_VALUE"""),"BEDE37F2-0A33-473B-9B0C-9B9D2C51C4E5")</f>
        <v>BEDE37F2-0A33-473B-9B0C-9B9D2C51C4E5</v>
      </c>
      <c r="S397" s="6">
        <v>810</v>
      </c>
      <c r="T397" s="4" t="str">
        <f t="shared" ca="1" si="2"/>
        <v>Jose Maria Garcia Hernandez</v>
      </c>
    </row>
    <row r="398" spans="1:20" ht="12.5">
      <c r="A398" s="4" t="str">
        <f ca="1">IFERROR(__xludf.DUMMYFUNCTION("""COMPUTED_VALUE"""),"TRX1262")</f>
        <v>TRX1262</v>
      </c>
      <c r="B398" s="4" t="str">
        <f ca="1">IFERROR(__xludf.DUMMYFUNCTION("""COMPUTED_VALUE"""),"#42")</f>
        <v>#42</v>
      </c>
      <c r="C398" s="5">
        <f ca="1">IFERROR(__xludf.DUMMYFUNCTION("""COMPUTED_VALUE"""),46081.4166666666)</f>
        <v>46081.416666666599</v>
      </c>
      <c r="D398" s="6">
        <f ca="1">IFERROR(__xludf.DUMMYFUNCTION("""COMPUTED_VALUE"""),1000)</f>
        <v>1000</v>
      </c>
      <c r="E398" s="4" t="str">
        <f ca="1">IFERROR(__xludf.DUMMYFUNCTION("""COMPUTED_VALUE"""),"MXN")</f>
        <v>MXN</v>
      </c>
      <c r="F398" s="4" t="str">
        <f ca="1">IFERROR(__xludf.DUMMYFUNCTION("""COMPUTED_VALUE"""),"Rodrigo Perea")</f>
        <v>Rodrigo Perea</v>
      </c>
      <c r="G398" s="4" t="str">
        <f ca="1">IFERROR(__xludf.DUMMYFUNCTION("""COMPUTED_VALUE"""),"RECARGA PASE TUTAG     CIUDAD DE MEX MEX")</f>
        <v>RECARGA PASE TUTAG     CIUDAD DE MEX MEX</v>
      </c>
      <c r="H398" s="4" t="str">
        <f ca="1">IFERROR(__xludf.DUMMYFUNCTION("""COMPUTED_VALUE"""),"Recarga Pase Tutag Ciudad De Mex Mex")</f>
        <v>Recarga Pase Tutag Ciudad De Mex Mex</v>
      </c>
      <c r="I398" s="4" t="str">
        <f ca="1">IFERROR(__xludf.DUMMYFUNCTION("""COMPUTED_VALUE"""),"Sales")</f>
        <v>Sales</v>
      </c>
      <c r="J398" s="4" t="str">
        <f ca="1">IFERROR(__xludf.DUMMYFUNCTION("""COMPUTED_VALUE"""),"PO 1406_Desayuno aeropuerto Mty")</f>
        <v>PO 1406_Desayuno aeropuerto Mty</v>
      </c>
      <c r="K398" s="4" t="str">
        <f ca="1">IFERROR(__xludf.DUMMYFUNCTION("""COMPUTED_VALUE"""),"E0DFD8C6-91A5-4625-9714-1B0FB73BA6BD")</f>
        <v>E0DFD8C6-91A5-4625-9714-1B0FB73BA6BD</v>
      </c>
      <c r="S398" s="6">
        <v>108.35</v>
      </c>
      <c r="T398" s="4" t="e">
        <f t="shared" ca="1" si="2"/>
        <v>#N/A</v>
      </c>
    </row>
    <row r="399" spans="1:20" ht="12.5">
      <c r="A399" s="4" t="str">
        <f ca="1">IFERROR(__xludf.DUMMYFUNCTION("""COMPUTED_VALUE"""),"#N/A")</f>
        <v>#N/A</v>
      </c>
      <c r="B399" s="4"/>
      <c r="C399" s="4"/>
      <c r="D399" s="4" t="str">
        <f ca="1">IFERROR(__xludf.DUMMYFUNCTION("""COMPUTED_VALUE"""),"#N/A")</f>
        <v>#N/A</v>
      </c>
      <c r="E399" s="4" t="str">
        <f ca="1">IFERROR(__xludf.DUMMYFUNCTION("""COMPUTED_VALUE"""),"#N/A")</f>
        <v>#N/A</v>
      </c>
      <c r="F399" s="4" t="str">
        <f ca="1">IFERROR(__xludf.DUMMYFUNCTION("""COMPUTED_VALUE"""),"#N/A")</f>
        <v>#N/A</v>
      </c>
      <c r="G399" s="4" t="str">
        <f ca="1">IFERROR(__xludf.DUMMYFUNCTION("""COMPUTED_VALUE"""),"#N/A")</f>
        <v>#N/A</v>
      </c>
      <c r="H399" s="4"/>
      <c r="I399" s="4"/>
      <c r="J399" s="4"/>
      <c r="K399" s="4" t="str">
        <f ca="1">IFERROR(__xludf.DUMMYFUNCTION("""COMPUTED_VALUE"""),".")</f>
        <v>.</v>
      </c>
      <c r="S399" s="6">
        <v>152.15</v>
      </c>
      <c r="T399" s="4" t="e">
        <f t="shared" ca="1" si="2"/>
        <v>#N/A</v>
      </c>
    </row>
    <row r="400" spans="1:20" ht="12.5">
      <c r="A400" s="4" t="str">
        <f ca="1">IFERROR(__xludf.DUMMYFUNCTION("""COMPUTED_VALUE"""),"TRX1489")</f>
        <v>TRX1489</v>
      </c>
      <c r="B400" s="4" t="str">
        <f ca="1">IFERROR(__xludf.DUMMYFUNCTION("""COMPUTED_VALUE"""),"#44")</f>
        <v>#44</v>
      </c>
      <c r="C400" s="7">
        <f ca="1">IFERROR(__xludf.DUMMYFUNCTION("""COMPUTED_VALUE"""),46066)</f>
        <v>46066</v>
      </c>
      <c r="D400" s="6">
        <f ca="1">IFERROR(__xludf.DUMMYFUNCTION("""COMPUTED_VALUE"""),1570.01)</f>
        <v>1570.01</v>
      </c>
      <c r="E400" s="4" t="str">
        <f ca="1">IFERROR(__xludf.DUMMYFUNCTION("""COMPUTED_VALUE"""),"MXN")</f>
        <v>MXN</v>
      </c>
      <c r="F400" s="4" t="str">
        <f ca="1">IFERROR(__xludf.DUMMYFUNCTION("""COMPUTED_VALUE"""),"JP Hammerstein")</f>
        <v>JP Hammerstein</v>
      </c>
      <c r="G400" s="4" t="str">
        <f ca="1">IFERROR(__xludf.DUMMYFUNCTION("""COMPUTED_VALUE"""),"SERV LAS AMERICAS II   SAN ANDRES CH MEX")</f>
        <v>SERV LAS AMERICAS II   SAN ANDRES CH MEX</v>
      </c>
      <c r="H400" s="4" t="str">
        <f ca="1">IFERROR(__xludf.DUMMYFUNCTION("""COMPUTED_VALUE"""),"Serv Las Americas Ii San Andres Ch Mex")</f>
        <v>Serv Las Americas Ii San Andres Ch Mex</v>
      </c>
      <c r="I400" s="4" t="str">
        <f ca="1">IFERROR(__xludf.DUMMYFUNCTION("""COMPUTED_VALUE"""),"G&amp;A expenses")</f>
        <v>G&amp;A expenses</v>
      </c>
      <c r="J400" s="4" t="str">
        <f ca="1">IFERROR(__xludf.DUMMYFUNCTION("""COMPUTED_VALUE"""),"PO:  N/A
Visita a Colony House Reforma para All Hands")</f>
        <v>PO:  N/A
Visita a Colony House Reforma para All Hands</v>
      </c>
      <c r="K400" s="4" t="str">
        <f ca="1">IFERROR(__xludf.DUMMYFUNCTION("""COMPUTED_VALUE"""),"12EE7F3D-F1D0-444A-A686-DC4C25CADF92")</f>
        <v>12EE7F3D-F1D0-444A-A686-DC4C25CADF92</v>
      </c>
      <c r="S400" s="6">
        <v>198.32</v>
      </c>
      <c r="T400" s="4" t="e">
        <f t="shared" ca="1" si="2"/>
        <v>#N/A</v>
      </c>
    </row>
    <row r="401" spans="1:20" ht="12.5">
      <c r="A401" s="4" t="str">
        <f ca="1">IFERROR(__xludf.DUMMYFUNCTION("""COMPUTED_VALUE"""),"#N/A")</f>
        <v>#N/A</v>
      </c>
      <c r="B401" s="4"/>
      <c r="C401" s="4"/>
      <c r="D401" s="4" t="str">
        <f ca="1">IFERROR(__xludf.DUMMYFUNCTION("""COMPUTED_VALUE"""),"#N/A")</f>
        <v>#N/A</v>
      </c>
      <c r="E401" s="4" t="str">
        <f ca="1">IFERROR(__xludf.DUMMYFUNCTION("""COMPUTED_VALUE"""),"#N/A")</f>
        <v>#N/A</v>
      </c>
      <c r="F401" s="4" t="str">
        <f ca="1">IFERROR(__xludf.DUMMYFUNCTION("""COMPUTED_VALUE"""),"#N/A")</f>
        <v>#N/A</v>
      </c>
      <c r="G401" s="4" t="str">
        <f ca="1">IFERROR(__xludf.DUMMYFUNCTION("""COMPUTED_VALUE"""),"#N/A")</f>
        <v>#N/A</v>
      </c>
      <c r="H401" s="4"/>
      <c r="I401" s="4" t="str">
        <f ca="1">IFERROR(__xludf.DUMMYFUNCTION("""COMPUTED_VALUE"""),"Sales")</f>
        <v>Sales</v>
      </c>
      <c r="J401" s="4" t="str">
        <f ca="1">IFERROR(__xludf.DUMMYFUNCTION("""COMPUTED_VALUE"""),"Recarga Tag")</f>
        <v>Recarga Tag</v>
      </c>
      <c r="K401" s="4" t="str">
        <f ca="1">IFERROR(__xludf.DUMMYFUNCTION("""COMPUTED_VALUE"""),"BB0E52FB-2F81-11F0-8D9F-00155D014009")</f>
        <v>BB0E52FB-2F81-11F0-8D9F-00155D014009</v>
      </c>
      <c r="S401" s="6">
        <v>179</v>
      </c>
      <c r="T401" s="4" t="str">
        <f t="shared" ca="1" si="2"/>
        <v>Rogelio Gamez</v>
      </c>
    </row>
    <row r="402" spans="1:20" ht="12.5">
      <c r="A402" s="4" t="str">
        <f ca="1">IFERROR(__xludf.DUMMYFUNCTION("""COMPUTED_VALUE"""),"#N/A")</f>
        <v>#N/A</v>
      </c>
      <c r="B402" s="4"/>
      <c r="C402" s="4"/>
      <c r="D402" s="4" t="str">
        <f ca="1">IFERROR(__xludf.DUMMYFUNCTION("""COMPUTED_VALUE"""),"#N/A")</f>
        <v>#N/A</v>
      </c>
      <c r="E402" s="4" t="str">
        <f ca="1">IFERROR(__xludf.DUMMYFUNCTION("""COMPUTED_VALUE"""),"#N/A")</f>
        <v>#N/A</v>
      </c>
      <c r="F402" s="4" t="str">
        <f ca="1">IFERROR(__xludf.DUMMYFUNCTION("""COMPUTED_VALUE"""),"#N/A")</f>
        <v>#N/A</v>
      </c>
      <c r="G402" s="4" t="str">
        <f ca="1">IFERROR(__xludf.DUMMYFUNCTION("""COMPUTED_VALUE"""),"#N/A")</f>
        <v>#N/A</v>
      </c>
      <c r="H402" s="4"/>
      <c r="I402" s="4" t="str">
        <f ca="1">IFERROR(__xludf.DUMMYFUNCTION("""COMPUTED_VALUE"""),"Sales")</f>
        <v>Sales</v>
      </c>
      <c r="J402" s="4" t="str">
        <f ca="1">IFERROR(__xludf.DUMMYFUNCTION("""COMPUTED_VALUE"""),"Marketing platform")</f>
        <v>Marketing platform</v>
      </c>
      <c r="K402" s="4" t="str">
        <f ca="1">IFERROR(__xludf.DUMMYFUNCTION("""COMPUTED_VALUE"""),".")</f>
        <v>.</v>
      </c>
      <c r="S402" s="6">
        <v>535</v>
      </c>
      <c r="T402" s="4" t="e">
        <f t="shared" ca="1" si="2"/>
        <v>#N/A</v>
      </c>
    </row>
    <row r="403" spans="1:20" ht="12.5">
      <c r="A403" s="4" t="str">
        <f ca="1">IFERROR(__xludf.DUMMYFUNCTION("""COMPUTED_VALUE"""),"#N/A")</f>
        <v>#N/A</v>
      </c>
      <c r="B403" s="4"/>
      <c r="C403" s="4"/>
      <c r="D403" s="4" t="str">
        <f ca="1">IFERROR(__xludf.DUMMYFUNCTION("""COMPUTED_VALUE"""),"#N/A")</f>
        <v>#N/A</v>
      </c>
      <c r="E403" s="4" t="str">
        <f ca="1">IFERROR(__xludf.DUMMYFUNCTION("""COMPUTED_VALUE"""),"#N/A")</f>
        <v>#N/A</v>
      </c>
      <c r="F403" s="4" t="str">
        <f ca="1">IFERROR(__xludf.DUMMYFUNCTION("""COMPUTED_VALUE"""),"#N/A")</f>
        <v>#N/A</v>
      </c>
      <c r="G403" s="4" t="str">
        <f ca="1">IFERROR(__xludf.DUMMYFUNCTION("""COMPUTED_VALUE"""),"#N/A")</f>
        <v>#N/A</v>
      </c>
      <c r="H403" s="4"/>
      <c r="I403" s="4" t="str">
        <f ca="1">IFERROR(__xludf.DUMMYFUNCTION("""COMPUTED_VALUE"""),"Transaction cost")</f>
        <v>Transaction cost</v>
      </c>
      <c r="J403" s="4" t="str">
        <f ca="1">IFERROR(__xludf.DUMMYFUNCTION("""COMPUTED_VALUE"""),"PO 1825")</f>
        <v>PO 1825</v>
      </c>
      <c r="K403" s="4" t="str">
        <f ca="1">IFERROR(__xludf.DUMMYFUNCTION("""COMPUTED_VALUE"""),"TER-132383082")</f>
        <v>TER-132383082</v>
      </c>
      <c r="S403" s="6">
        <v>2402.3200000000002</v>
      </c>
      <c r="T403" s="4" t="e">
        <f t="shared" ca="1" si="2"/>
        <v>#N/A</v>
      </c>
    </row>
    <row r="404" spans="1:20" ht="12.5">
      <c r="A404" s="4" t="str">
        <f ca="1">IFERROR(__xludf.DUMMYFUNCTION("""COMPUTED_VALUE"""),"TRX1398")</f>
        <v>TRX1398</v>
      </c>
      <c r="B404" s="4" t="str">
        <f ca="1">IFERROR(__xludf.DUMMYFUNCTION("""COMPUTED_VALUE"""),"#49")</f>
        <v>#49</v>
      </c>
      <c r="C404" s="5">
        <f ca="1">IFERROR(__xludf.DUMMYFUNCTION("""COMPUTED_VALUE"""),46059.4173611111)</f>
        <v>46059.417361111096</v>
      </c>
      <c r="D404" s="6">
        <f ca="1">IFERROR(__xludf.DUMMYFUNCTION("""COMPUTED_VALUE"""),287)</f>
        <v>287</v>
      </c>
      <c r="E404" s="4" t="str">
        <f ca="1">IFERROR(__xludf.DUMMYFUNCTION("""COMPUTED_VALUE"""),"MXN")</f>
        <v>MXN</v>
      </c>
      <c r="F404" s="4" t="str">
        <f ca="1">IFERROR(__xludf.DUMMYFUNCTION("""COMPUTED_VALUE"""),"Jahaziel Galan")</f>
        <v>Jahaziel Galan</v>
      </c>
      <c r="G404" s="4" t="str">
        <f ca="1">IFERROR(__xludf.DUMMYFUNCTION("""COMPUTED_VALUE"""),"POLLOS ANAHUAC         SN NICOLAS DE MEX")</f>
        <v>POLLOS ANAHUAC         SN NICOLAS DE MEX</v>
      </c>
      <c r="H404" s="4" t="str">
        <f ca="1">IFERROR(__xludf.DUMMYFUNCTION("""COMPUTED_VALUE"""),"Pollos Anahuac Sn Nicolas De Mex")</f>
        <v>Pollos Anahuac Sn Nicolas De Mex</v>
      </c>
      <c r="I404" s="4" t="str">
        <f ca="1">IFERROR(__xludf.DUMMYFUNCTION("""COMPUTED_VALUE"""),"Transaction cost")</f>
        <v>Transaction cost</v>
      </c>
      <c r="J404" s="4" t="str">
        <f ca="1">IFERROR(__xludf.DUMMYFUNCTION("""COMPUTED_VALUE"""),"Comida Expo Manufactura")</f>
        <v>Comida Expo Manufactura</v>
      </c>
      <c r="K404" s="4" t="str">
        <f ca="1">IFERROR(__xludf.DUMMYFUNCTION("""COMPUTED_VALUE"""),"bbe00efa-a380-4310-a835-6caf7278701b")</f>
        <v>bbe00efa-a380-4310-a835-6caf7278701b</v>
      </c>
      <c r="S404" s="6">
        <v>382.25</v>
      </c>
      <c r="T404" s="4" t="e">
        <f t="shared" ca="1" si="2"/>
        <v>#N/A</v>
      </c>
    </row>
    <row r="405" spans="1:20" ht="12.5">
      <c r="A405" s="4" t="str">
        <f ca="1">IFERROR(__xludf.DUMMYFUNCTION("""COMPUTED_VALUE"""),"TRX1605")</f>
        <v>TRX1605</v>
      </c>
      <c r="B405" s="4" t="str">
        <f ca="1">IFERROR(__xludf.DUMMYFUNCTION("""COMPUTED_VALUE"""),"#49")</f>
        <v>#49</v>
      </c>
      <c r="C405" s="5">
        <f ca="1">IFERROR(__xludf.DUMMYFUNCTION("""COMPUTED_VALUE"""),46061.4173611111)</f>
        <v>46061.417361111096</v>
      </c>
      <c r="D405" s="6">
        <f ca="1">IFERROR(__xludf.DUMMYFUNCTION("""COMPUTED_VALUE"""),1004.27)</f>
        <v>1004.27</v>
      </c>
      <c r="E405" s="4" t="str">
        <f ca="1">IFERROR(__xludf.DUMMYFUNCTION("""COMPUTED_VALUE"""),"MXN")</f>
        <v>MXN</v>
      </c>
      <c r="F405" s="4" t="str">
        <f ca="1">IFERROR(__xludf.DUMMYFUNCTION("""COMPUTED_VALUE"""),"Jahaziel Galan")</f>
        <v>Jahaziel Galan</v>
      </c>
      <c r="G405" s="4" t="str">
        <f ca="1">IFERROR(__xludf.DUMMYFUNCTION("""COMPUTED_VALUE"""),"OXXO GASTALAVERNA MTD  GUADALUPE NL  MEX")</f>
        <v>OXXO GASTALAVERNA MTD  GUADALUPE NL  MEX</v>
      </c>
      <c r="H405" s="4" t="str">
        <f ca="1">IFERROR(__xludf.DUMMYFUNCTION("""COMPUTED_VALUE"""),"Oxxo")</f>
        <v>Oxxo</v>
      </c>
      <c r="I405" s="4" t="str">
        <f ca="1">IFERROR(__xludf.DUMMYFUNCTION("""COMPUTED_VALUE"""),"Transaction cost")</f>
        <v>Transaction cost</v>
      </c>
      <c r="J405" s="4" t="str">
        <f ca="1">IFERROR(__xludf.DUMMYFUNCTION("""COMPUTED_VALUE"""),"Gasolina visitas a MP PO 1242")</f>
        <v>Gasolina visitas a MP PO 1242</v>
      </c>
      <c r="K405" s="4" t="str">
        <f ca="1">IFERROR(__xludf.DUMMYFUNCTION("""COMPUTED_VALUE"""),"3dd4b12c-bed5-4f60-b120-8a8a71c298f1")</f>
        <v>3dd4b12c-bed5-4f60-b120-8a8a71c298f1</v>
      </c>
      <c r="S405" s="6">
        <v>3312</v>
      </c>
      <c r="T405" s="4" t="e">
        <f t="shared" ca="1" si="2"/>
        <v>#N/A</v>
      </c>
    </row>
    <row r="406" spans="1:20" ht="12.5">
      <c r="A406" s="4" t="str">
        <f ca="1">IFERROR(__xludf.DUMMYFUNCTION("""COMPUTED_VALUE"""),"TRX1300")</f>
        <v>TRX1300</v>
      </c>
      <c r="B406" s="4" t="str">
        <f ca="1">IFERROR(__xludf.DUMMYFUNCTION("""COMPUTED_VALUE"""),"#49")</f>
        <v>#49</v>
      </c>
      <c r="C406" s="5">
        <f ca="1">IFERROR(__xludf.DUMMYFUNCTION("""COMPUTED_VALUE"""),46065.4166666666)</f>
        <v>46065.416666666599</v>
      </c>
      <c r="D406" s="6">
        <f ca="1">IFERROR(__xludf.DUMMYFUNCTION("""COMPUTED_VALUE"""),110)</f>
        <v>110</v>
      </c>
      <c r="E406" s="4" t="str">
        <f ca="1">IFERROR(__xludf.DUMMYFUNCTION("""COMPUTED_VALUE"""),"MXN")</f>
        <v>MXN</v>
      </c>
      <c r="F406" s="4" t="str">
        <f ca="1">IFERROR(__xludf.DUMMYFUNCTION("""COMPUTED_VALUE"""),"Jahaziel Galan")</f>
        <v>Jahaziel Galan</v>
      </c>
      <c r="G406" s="4" t="str">
        <f ca="1">IFERROR(__xludf.DUMMYFUNCTION("""COMPUTED_VALUE"""),"SORIANA624 DIEGODIAZB  SAN NICOLAS D MEX")</f>
        <v>SORIANA624 DIEGODIAZB  SAN NICOLAS D MEX</v>
      </c>
      <c r="H406" s="4" t="str">
        <f ca="1">IFERROR(__xludf.DUMMYFUNCTION("""COMPUTED_VALUE"""),"Soriana624 Diegodiazb San Nicolas D Mex")</f>
        <v>Soriana624 Diegodiazb San Nicolas D Mex</v>
      </c>
      <c r="I406" s="4" t="str">
        <f ca="1">IFERROR(__xludf.DUMMYFUNCTION("""COMPUTED_VALUE"""),"Transaction cost")</f>
        <v>Transaction cost</v>
      </c>
      <c r="J406" s="4" t="str">
        <f ca="1">IFERROR(__xludf.DUMMYFUNCTION("""COMPUTED_VALUE"""),"Comida Jorge Ramirez - Jahaziel visita a MP PO 1242")</f>
        <v>Comida Jorge Ramirez - Jahaziel visita a MP PO 1242</v>
      </c>
      <c r="K406" s="4" t="str">
        <f ca="1">IFERROR(__xludf.DUMMYFUNCTION("""COMPUTED_VALUE"""),"a80ce969-ef74-4fe6-a148-f08e7474c13f")</f>
        <v>a80ce969-ef74-4fe6-a148-f08e7474c13f</v>
      </c>
      <c r="S406" s="6">
        <v>498.3</v>
      </c>
      <c r="T406" s="4" t="e">
        <f t="shared" ca="1" si="2"/>
        <v>#N/A</v>
      </c>
    </row>
    <row r="407" spans="1:20" ht="12.5">
      <c r="A407" s="4" t="str">
        <f ca="1">IFERROR(__xludf.DUMMYFUNCTION("""COMPUTED_VALUE"""),"TRX1431")</f>
        <v>TRX1431</v>
      </c>
      <c r="B407" s="4" t="str">
        <f ca="1">IFERROR(__xludf.DUMMYFUNCTION("""COMPUTED_VALUE"""),"#49")</f>
        <v>#49</v>
      </c>
      <c r="C407" s="5">
        <f ca="1">IFERROR(__xludf.DUMMYFUNCTION("""COMPUTED_VALUE"""),46065.4173611111)</f>
        <v>46065.417361111096</v>
      </c>
      <c r="D407" s="6">
        <f ca="1">IFERROR(__xludf.DUMMYFUNCTION("""COMPUTED_VALUE"""),378)</f>
        <v>378</v>
      </c>
      <c r="E407" s="4" t="str">
        <f ca="1">IFERROR(__xludf.DUMMYFUNCTION("""COMPUTED_VALUE"""),"MXN")</f>
        <v>MXN</v>
      </c>
      <c r="F407" s="4" t="str">
        <f ca="1">IFERROR(__xludf.DUMMYFUNCTION("""COMPUTED_VALUE"""),"Jahaziel Galan")</f>
        <v>Jahaziel Galan</v>
      </c>
      <c r="G407" s="4" t="str">
        <f ca="1">IFERROR(__xludf.DUMMYFUNCTION("""COMPUTED_VALUE"""),"I LIKE PIZZA BOSQUES A GRAL ESCOBEDO MEX")</f>
        <v>I LIKE PIZZA BOSQUES A GRAL ESCOBEDO MEX</v>
      </c>
      <c r="H407" s="4" t="str">
        <f ca="1">IFERROR(__xludf.DUMMYFUNCTION("""COMPUTED_VALUE"""),"I Like Pizza Bosques A Gral Escobedo Mex")</f>
        <v>I Like Pizza Bosques A Gral Escobedo Mex</v>
      </c>
      <c r="I407" s="4" t="str">
        <f ca="1">IFERROR(__xludf.DUMMYFUNCTION("""COMPUTED_VALUE"""),"Transaction cost")</f>
        <v>Transaction cost</v>
      </c>
      <c r="J407" s="4" t="str">
        <f ca="1">IFERROR(__xludf.DUMMYFUNCTION("""COMPUTED_VALUE"""),"Comida Jorge Ramirez - Jahaziel visita a MP PO 1242")</f>
        <v>Comida Jorge Ramirez - Jahaziel visita a MP PO 1242</v>
      </c>
      <c r="K407" s="4" t="str">
        <f ca="1">IFERROR(__xludf.DUMMYFUNCTION("""COMPUTED_VALUE"""),"899BDAA6-C400-4565-AFFF-E6D7EA5E904C")</f>
        <v>899BDAA6-C400-4565-AFFF-E6D7EA5E904C</v>
      </c>
      <c r="S407" s="6">
        <v>17932.36</v>
      </c>
      <c r="T407" s="4" t="e">
        <f t="shared" ca="1" si="2"/>
        <v>#N/A</v>
      </c>
    </row>
    <row r="408" spans="1:20" ht="12.5">
      <c r="A408" s="4" t="str">
        <f ca="1">IFERROR(__xludf.DUMMYFUNCTION("""COMPUTED_VALUE"""),"TRX1594")</f>
        <v>TRX1594</v>
      </c>
      <c r="B408" s="4" t="str">
        <f ca="1">IFERROR(__xludf.DUMMYFUNCTION("""COMPUTED_VALUE"""),"#49")</f>
        <v>#49</v>
      </c>
      <c r="C408" s="5">
        <f ca="1">IFERROR(__xludf.DUMMYFUNCTION("""COMPUTED_VALUE"""),46066.4173611111)</f>
        <v>46066.417361111096</v>
      </c>
      <c r="D408" s="6">
        <f ca="1">IFERROR(__xludf.DUMMYFUNCTION("""COMPUTED_VALUE"""),2055)</f>
        <v>2055</v>
      </c>
      <c r="E408" s="4" t="str">
        <f ca="1">IFERROR(__xludf.DUMMYFUNCTION("""COMPUTED_VALUE"""),"MXN")</f>
        <v>MXN</v>
      </c>
      <c r="F408" s="4" t="str">
        <f ca="1">IFERROR(__xludf.DUMMYFUNCTION("""COMPUTED_VALUE"""),"Jahaziel Galan")</f>
        <v>Jahaziel Galan</v>
      </c>
      <c r="G408" s="4" t="str">
        <f ca="1">IFERROR(__xludf.DUMMYFUNCTION("""COMPUTED_VALUE"""),"REST PAPALOTE LV       MONTERREY NL  MEX")</f>
        <v>REST PAPALOTE LV       MONTERREY NL  MEX</v>
      </c>
      <c r="H408" s="4" t="str">
        <f ca="1">IFERROR(__xludf.DUMMYFUNCTION("""COMPUTED_VALUE"""),"Rest Papalote Lv Monterrey Nl Mex")</f>
        <v>Rest Papalote Lv Monterrey Nl Mex</v>
      </c>
      <c r="I408" s="4" t="str">
        <f ca="1">IFERROR(__xludf.DUMMYFUNCTION("""COMPUTED_VALUE"""),"Transaction cost")</f>
        <v>Transaction cost</v>
      </c>
      <c r="J408" s="4" t="str">
        <f ca="1">IFERROR(__xludf.DUMMYFUNCTION("""COMPUTED_VALUE"""),"Comida consultor GR Tooling PO 1242")</f>
        <v>Comida consultor GR Tooling PO 1242</v>
      </c>
      <c r="K408" s="4" t="str">
        <f ca="1">IFERROR(__xludf.DUMMYFUNCTION("""COMPUTED_VALUE"""),"50399173-A5FE-4BCA-814A-712F01255234")</f>
        <v>50399173-A5FE-4BCA-814A-712F01255234</v>
      </c>
      <c r="S408" s="6">
        <v>299</v>
      </c>
      <c r="T408" s="4" t="str">
        <f t="shared" ca="1" si="2"/>
        <v>Jorge Rojas</v>
      </c>
    </row>
    <row r="409" spans="1:20" ht="12.5">
      <c r="A409" s="4" t="str">
        <f ca="1">IFERROR(__xludf.DUMMYFUNCTION("""COMPUTED_VALUE"""),"TRX1409")</f>
        <v>TRX1409</v>
      </c>
      <c r="B409" s="4" t="str">
        <f ca="1">IFERROR(__xludf.DUMMYFUNCTION("""COMPUTED_VALUE"""),"#49")</f>
        <v>#49</v>
      </c>
      <c r="C409" s="5">
        <f ca="1">IFERROR(__xludf.DUMMYFUNCTION("""COMPUTED_VALUE"""),46068.4166666666)</f>
        <v>46068.416666666599</v>
      </c>
      <c r="D409" s="6">
        <f ca="1">IFERROR(__xludf.DUMMYFUNCTION("""COMPUTED_VALUE"""),189)</f>
        <v>189</v>
      </c>
      <c r="E409" s="4" t="str">
        <f ca="1">IFERROR(__xludf.DUMMYFUNCTION("""COMPUTED_VALUE"""),"MXN")</f>
        <v>MXN</v>
      </c>
      <c r="F409" s="4" t="str">
        <f ca="1">IFERROR(__xludf.DUMMYFUNCTION("""COMPUTED_VALUE"""),"Jahaziel Galan")</f>
        <v>Jahaziel Galan</v>
      </c>
      <c r="G409" s="4" t="str">
        <f ca="1">IFERROR(__xludf.DUMMYFUNCTION("""COMPUTED_VALUE"""),"MERCADOPAGO *ANDREACA  Guadalupe     MEX")</f>
        <v>MERCADOPAGO *ANDREACA  Guadalupe     MEX</v>
      </c>
      <c r="H409" s="4" t="str">
        <f ca="1">IFERROR(__xludf.DUMMYFUNCTION("""COMPUTED_VALUE"""),"Mercadopago")</f>
        <v>Mercadopago</v>
      </c>
      <c r="I409" s="4" t="str">
        <f ca="1">IFERROR(__xludf.DUMMYFUNCTION("""COMPUTED_VALUE"""),"Transaction cost")</f>
        <v>Transaction cost</v>
      </c>
      <c r="J409" s="4" t="str">
        <f ca="1">IFERROR(__xludf.DUMMYFUNCTION("""COMPUTED_VALUE"""),"Comida visita a MP embarque PO 1242")</f>
        <v>Comida visita a MP embarque PO 1242</v>
      </c>
      <c r="K409" s="4"/>
      <c r="S409" s="6">
        <v>535</v>
      </c>
      <c r="T409" s="4" t="e">
        <f t="shared" ca="1" si="2"/>
        <v>#N/A</v>
      </c>
    </row>
    <row r="410" spans="1:20" ht="12.5">
      <c r="A410" s="4" t="str">
        <f ca="1">IFERROR(__xludf.DUMMYFUNCTION("""COMPUTED_VALUE"""),"TRX1556")</f>
        <v>TRX1556</v>
      </c>
      <c r="B410" s="4" t="str">
        <f ca="1">IFERROR(__xludf.DUMMYFUNCTION("""COMPUTED_VALUE"""),"#49")</f>
        <v>#49</v>
      </c>
      <c r="C410" s="5">
        <f ca="1">IFERROR(__xludf.DUMMYFUNCTION("""COMPUTED_VALUE"""),46069.4166666666)</f>
        <v>46069.416666666599</v>
      </c>
      <c r="D410" s="6">
        <f ca="1">IFERROR(__xludf.DUMMYFUNCTION("""COMPUTED_VALUE"""),1060.24)</f>
        <v>1060.24</v>
      </c>
      <c r="E410" s="4" t="str">
        <f ca="1">IFERROR(__xludf.DUMMYFUNCTION("""COMPUTED_VALUE"""),"MXN")</f>
        <v>MXN</v>
      </c>
      <c r="F410" s="4" t="str">
        <f ca="1">IFERROR(__xludf.DUMMYFUNCTION("""COMPUTED_VALUE"""),"Jahaziel Galan")</f>
        <v>Jahaziel Galan</v>
      </c>
      <c r="G410" s="4" t="str">
        <f ca="1">IFERROR(__xludf.DUMMYFUNCTION("""COMPUTED_VALUE"""),"ORSAN DEL NORTE EST 36 MONTERREY NL  MEX")</f>
        <v>ORSAN DEL NORTE EST 36 MONTERREY NL  MEX</v>
      </c>
      <c r="H410" s="4" t="str">
        <f ca="1">IFERROR(__xludf.DUMMYFUNCTION("""COMPUTED_VALUE"""),"Orsan Del Norte Est 36 Monterrey Nl Mex")</f>
        <v>Orsan Del Norte Est 36 Monterrey Nl Mex</v>
      </c>
      <c r="I410" s="4" t="str">
        <f ca="1">IFERROR(__xludf.DUMMYFUNCTION("""COMPUTED_VALUE"""),"Transaction cost")</f>
        <v>Transaction cost</v>
      </c>
      <c r="J410" s="4" t="str">
        <f ca="1">IFERROR(__xludf.DUMMYFUNCTION("""COMPUTED_VALUE"""),"Gasolina visitas a MP PO 1242")</f>
        <v>Gasolina visitas a MP PO 1242</v>
      </c>
      <c r="K410" s="4" t="str">
        <f ca="1">IFERROR(__xludf.DUMMYFUNCTION("""COMPUTED_VALUE"""),"F516011E-77ED-465D-9809-D11825ED21C7")</f>
        <v>F516011E-77ED-465D-9809-D11825ED21C7</v>
      </c>
      <c r="S410" s="6">
        <v>230</v>
      </c>
      <c r="T410" s="4" t="e">
        <f t="shared" ca="1" si="2"/>
        <v>#N/A</v>
      </c>
    </row>
    <row r="411" spans="1:20" ht="12.5">
      <c r="A411" s="4" t="str">
        <f ca="1">IFERROR(__xludf.DUMMYFUNCTION("""COMPUTED_VALUE"""),"TRX1030")</f>
        <v>TRX1030</v>
      </c>
      <c r="B411" s="4" t="str">
        <f ca="1">IFERROR(__xludf.DUMMYFUNCTION("""COMPUTED_VALUE"""),"#49")</f>
        <v>#49</v>
      </c>
      <c r="C411" s="5">
        <f ca="1">IFERROR(__xludf.DUMMYFUNCTION("""COMPUTED_VALUE"""),46074.4173611111)</f>
        <v>46074.417361111096</v>
      </c>
      <c r="D411" s="6">
        <f ca="1">IFERROR(__xludf.DUMMYFUNCTION("""COMPUTED_VALUE"""),329)</f>
        <v>329</v>
      </c>
      <c r="E411" s="4" t="str">
        <f ca="1">IFERROR(__xludf.DUMMYFUNCTION("""COMPUTED_VALUE"""),"MXN")</f>
        <v>MXN</v>
      </c>
      <c r="F411" s="4" t="str">
        <f ca="1">IFERROR(__xludf.DUMMYFUNCTION("""COMPUTED_VALUE"""),"Jahaziel Galan")</f>
        <v>Jahaziel Galan</v>
      </c>
      <c r="G411" s="4" t="str">
        <f ca="1">IFERROR(__xludf.DUMMYFUNCTION("""COMPUTED_VALUE"""),"POLLO LOCO ADN         CIENEGA DE FL MEX")</f>
        <v>POLLO LOCO ADN         CIENEGA DE FL MEX</v>
      </c>
      <c r="H411" s="4" t="str">
        <f ca="1">IFERROR(__xludf.DUMMYFUNCTION("""COMPUTED_VALUE"""),"Pollo Loco Adn Cienega De Fl Mex")</f>
        <v>Pollo Loco Adn Cienega De Fl Mex</v>
      </c>
      <c r="I411" s="4" t="str">
        <f ca="1">IFERROR(__xludf.DUMMYFUNCTION("""COMPUTED_VALUE"""),"Transaction cost")</f>
        <v>Transaction cost</v>
      </c>
      <c r="J411" s="4" t="str">
        <f ca="1">IFERROR(__xludf.DUMMYFUNCTION("""COMPUTED_VALUE"""),"Comida visita a MP embarque PO 1242")</f>
        <v>Comida visita a MP embarque PO 1242</v>
      </c>
      <c r="K411" s="4"/>
      <c r="S411" s="6">
        <v>285</v>
      </c>
      <c r="T411" s="4" t="str">
        <f t="shared" ca="1" si="2"/>
        <v>Jorge Rojas</v>
      </c>
    </row>
    <row r="412" spans="1:20" ht="12.5">
      <c r="A412" s="4" t="str">
        <f ca="1">IFERROR(__xludf.DUMMYFUNCTION("""COMPUTED_VALUE"""),"TRX1101")</f>
        <v>TRX1101</v>
      </c>
      <c r="B412" s="4" t="str">
        <f ca="1">IFERROR(__xludf.DUMMYFUNCTION("""COMPUTED_VALUE"""),"#49")</f>
        <v>#49</v>
      </c>
      <c r="C412" s="5">
        <f ca="1">IFERROR(__xludf.DUMMYFUNCTION("""COMPUTED_VALUE"""),46076.4166666666)</f>
        <v>46076.416666666599</v>
      </c>
      <c r="D412" s="6">
        <f ca="1">IFERROR(__xludf.DUMMYFUNCTION("""COMPUTED_VALUE"""),1033.01)</f>
        <v>1033.01</v>
      </c>
      <c r="E412" s="4" t="str">
        <f ca="1">IFERROR(__xludf.DUMMYFUNCTION("""COMPUTED_VALUE"""),"MXN")</f>
        <v>MXN</v>
      </c>
      <c r="F412" s="4" t="str">
        <f ca="1">IFERROR(__xludf.DUMMYFUNCTION("""COMPUTED_VALUE"""),"Jahaziel Galan")</f>
        <v>Jahaziel Galan</v>
      </c>
      <c r="G412" s="4" t="str">
        <f ca="1">IFERROR(__xludf.DUMMYFUNCTION("""COMPUTED_VALUE"""),"OXXO GASTALAVERNA MTD  GUADALUPE NL  MEX")</f>
        <v>OXXO GASTALAVERNA MTD  GUADALUPE NL  MEX</v>
      </c>
      <c r="H412" s="4" t="str">
        <f ca="1">IFERROR(__xludf.DUMMYFUNCTION("""COMPUTED_VALUE"""),"Oxxo")</f>
        <v>Oxxo</v>
      </c>
      <c r="I412" s="4" t="str">
        <f ca="1">IFERROR(__xludf.DUMMYFUNCTION("""COMPUTED_VALUE"""),"Transaction cost")</f>
        <v>Transaction cost</v>
      </c>
      <c r="J412" s="4" t="str">
        <f ca="1">IFERROR(__xludf.DUMMYFUNCTION("""COMPUTED_VALUE"""),"Gasolina visitas a MP PO 1242")</f>
        <v>Gasolina visitas a MP PO 1242</v>
      </c>
      <c r="K412" s="4" t="str">
        <f ca="1">IFERROR(__xludf.DUMMYFUNCTION("""COMPUTED_VALUE"""),"b3518e0a-b171-4608-88ce-a0f8ef3374ce")</f>
        <v>b3518e0a-b171-4608-88ce-a0f8ef3374ce</v>
      </c>
      <c r="S412" s="6">
        <v>584.84</v>
      </c>
      <c r="T412" s="4" t="e">
        <f t="shared" ca="1" si="2"/>
        <v>#N/A</v>
      </c>
    </row>
    <row r="413" spans="1:20" ht="12.5">
      <c r="A413" s="4" t="str">
        <f ca="1">IFERROR(__xludf.DUMMYFUNCTION("""COMPUTED_VALUE"""),"TRX1259")</f>
        <v>TRX1259</v>
      </c>
      <c r="B413" s="4" t="str">
        <f ca="1">IFERROR(__xludf.DUMMYFUNCTION("""COMPUTED_VALUE"""),"#49")</f>
        <v>#49</v>
      </c>
      <c r="C413" s="5">
        <f ca="1">IFERROR(__xludf.DUMMYFUNCTION("""COMPUTED_VALUE"""),46081.4166666666)</f>
        <v>46081.416666666599</v>
      </c>
      <c r="D413" s="6">
        <f ca="1">IFERROR(__xludf.DUMMYFUNCTION("""COMPUTED_VALUE"""),174)</f>
        <v>174</v>
      </c>
      <c r="E413" s="4" t="str">
        <f ca="1">IFERROR(__xludf.DUMMYFUNCTION("""COMPUTED_VALUE"""),"MXN")</f>
        <v>MXN</v>
      </c>
      <c r="F413" s="4" t="str">
        <f ca="1">IFERROR(__xludf.DUMMYFUNCTION("""COMPUTED_VALUE"""),"Jahaziel Galan")</f>
        <v>Jahaziel Galan</v>
      </c>
      <c r="G413" s="4" t="str">
        <f ca="1">IFERROR(__xludf.DUMMYFUNCTION("""COMPUTED_VALUE"""),"MERCADOPAGO *ANDREACA  Guadalupe     MEX")</f>
        <v>MERCADOPAGO *ANDREACA  Guadalupe     MEX</v>
      </c>
      <c r="H413" s="4" t="str">
        <f ca="1">IFERROR(__xludf.DUMMYFUNCTION("""COMPUTED_VALUE"""),"Mercadopago")</f>
        <v>Mercadopago</v>
      </c>
      <c r="I413" s="4" t="str">
        <f ca="1">IFERROR(__xludf.DUMMYFUNCTION("""COMPUTED_VALUE"""),"Transaction cost")</f>
        <v>Transaction cost</v>
      </c>
      <c r="J413" s="4" t="str">
        <f ca="1">IFERROR(__xludf.DUMMYFUNCTION("""COMPUTED_VALUE"""),"Comida visita a MP embarque PO 1242")</f>
        <v>Comida visita a MP embarque PO 1242</v>
      </c>
      <c r="K413" s="4"/>
      <c r="S413" s="6">
        <v>350</v>
      </c>
      <c r="T413" s="4" t="str">
        <f t="shared" ca="1" si="2"/>
        <v>Erik Castillo</v>
      </c>
    </row>
    <row r="414" spans="1:20" ht="12.5">
      <c r="A414" s="4" t="str">
        <f ca="1">IFERROR(__xludf.DUMMYFUNCTION("""COMPUTED_VALUE"""),"#N/A")</f>
        <v>#N/A</v>
      </c>
      <c r="B414" s="4"/>
      <c r="C414" s="4"/>
      <c r="D414" s="4" t="str">
        <f ca="1">IFERROR(__xludf.DUMMYFUNCTION("""COMPUTED_VALUE"""),"#N/A")</f>
        <v>#N/A</v>
      </c>
      <c r="E414" s="4" t="str">
        <f ca="1">IFERROR(__xludf.DUMMYFUNCTION("""COMPUTED_VALUE"""),"#N/A")</f>
        <v>#N/A</v>
      </c>
      <c r="F414" s="4" t="str">
        <f ca="1">IFERROR(__xludf.DUMMYFUNCTION("""COMPUTED_VALUE"""),"#N/A")</f>
        <v>#N/A</v>
      </c>
      <c r="G414" s="4" t="str">
        <f ca="1">IFERROR(__xludf.DUMMYFUNCTION("""COMPUTED_VALUE"""),"#N/A")</f>
        <v>#N/A</v>
      </c>
      <c r="H414" s="4"/>
      <c r="I414" s="4" t="str">
        <f ca="1">IFERROR(__xludf.DUMMYFUNCTION("""COMPUTED_VALUE"""),"Transaction cost")</f>
        <v>Transaction cost</v>
      </c>
      <c r="J414" s="4" t="str">
        <f ca="1">IFERROR(__xludf.DUMMYFUNCTION("""COMPUTED_VALUE"""),"PO 1801 VISITA A GRAJALES")</f>
        <v>PO 1801 VISITA A GRAJALES</v>
      </c>
      <c r="K414" s="4"/>
      <c r="S414" s="6">
        <v>150</v>
      </c>
      <c r="T414" s="4" t="str">
        <f t="shared" ca="1" si="2"/>
        <v>Karen Alexandra Ballesteros Contreras</v>
      </c>
    </row>
    <row r="415" spans="1:20" ht="12.5">
      <c r="A415" s="4" t="str">
        <f ca="1">IFERROR(__xludf.DUMMYFUNCTION("""COMPUTED_VALUE"""),"TRX1267")</f>
        <v>TRX1267</v>
      </c>
      <c r="B415" s="4" t="str">
        <f ca="1">IFERROR(__xludf.DUMMYFUNCTION("""COMPUTED_VALUE"""),"#52")</f>
        <v>#52</v>
      </c>
      <c r="C415" s="5">
        <f ca="1">IFERROR(__xludf.DUMMYFUNCTION("""COMPUTED_VALUE"""),46057.4166666666)</f>
        <v>46057.416666666599</v>
      </c>
      <c r="D415" s="6">
        <f ca="1">IFERROR(__xludf.DUMMYFUNCTION("""COMPUTED_VALUE"""),1051.87)</f>
        <v>1051.8699999999999</v>
      </c>
      <c r="E415" s="4" t="str">
        <f ca="1">IFERROR(__xludf.DUMMYFUNCTION("""COMPUTED_VALUE"""),"USD")</f>
        <v>USD</v>
      </c>
      <c r="F415" s="4" t="str">
        <f ca="1">IFERROR(__xludf.DUMMYFUNCTION("""COMPUTED_VALUE"""),"Tommaso Rivetti Vinea")</f>
        <v>Tommaso Rivetti Vinea</v>
      </c>
      <c r="G415" s="4" t="str">
        <f ca="1">IFERROR(__xludf.DUMMYFUNCTION("""COMPUTED_VALUE"""),"TST* ADAIR DOWNTOWN    HOUSTON       USA")</f>
        <v>TST* ADAIR DOWNTOWN    HOUSTON       USA</v>
      </c>
      <c r="H415" s="4" t="str">
        <f ca="1">IFERROR(__xludf.DUMMYFUNCTION("""COMPUTED_VALUE"""),"Adair Downtown Houston USA")</f>
        <v>Adair Downtown Houston USA</v>
      </c>
      <c r="I415" s="4" t="str">
        <f ca="1">IFERROR(__xludf.DUMMYFUNCTION("""COMPUTED_VALUE"""),"Capex")</f>
        <v>Capex</v>
      </c>
      <c r="J415" s="4" t="str">
        <f ca="1">IFERROR(__xludf.DUMMYFUNCTION("""COMPUTED_VALUE"""),"Comida TRV - PO1966")</f>
        <v>Comida TRV - PO1966</v>
      </c>
      <c r="K415" s="4" t="str">
        <f ca="1">IFERROR(__xludf.DUMMYFUNCTION("""COMPUTED_VALUE"""),"N/A")</f>
        <v>N/A</v>
      </c>
      <c r="S415" s="6">
        <v>498.3</v>
      </c>
      <c r="T415" s="4" t="e">
        <f t="shared" ca="1" si="2"/>
        <v>#N/A</v>
      </c>
    </row>
    <row r="416" spans="1:20" ht="12.5">
      <c r="A416" s="4" t="str">
        <f ca="1">IFERROR(__xludf.DUMMYFUNCTION("""COMPUTED_VALUE"""),"TRX1266")</f>
        <v>TRX1266</v>
      </c>
      <c r="B416" s="4" t="str">
        <f ca="1">IFERROR(__xludf.DUMMYFUNCTION("""COMPUTED_VALUE"""),"#52")</f>
        <v>#52</v>
      </c>
      <c r="C416" s="5">
        <f ca="1">IFERROR(__xludf.DUMMYFUNCTION("""COMPUTED_VALUE"""),46057.4166666666)</f>
        <v>46057.416666666599</v>
      </c>
      <c r="D416" s="6">
        <f ca="1">IFERROR(__xludf.DUMMYFUNCTION("""COMPUTED_VALUE"""),520.04)</f>
        <v>520.04</v>
      </c>
      <c r="E416" s="4" t="str">
        <f ca="1">IFERROR(__xludf.DUMMYFUNCTION("""COMPUTED_VALUE"""),"USD")</f>
        <v>USD</v>
      </c>
      <c r="F416" s="4" t="str">
        <f ca="1">IFERROR(__xludf.DUMMYFUNCTION("""COMPUTED_VALUE"""),"Tommaso Rivetti Vinea")</f>
        <v>Tommaso Rivetti Vinea</v>
      </c>
      <c r="G416" s="4" t="str">
        <f ca="1">IFERROR(__xludf.DUMMYFUNCTION("""COMPUTED_VALUE"""),"UBER   * EATS PENDING  SAN FRANCISCO USA")</f>
        <v>UBER   * EATS PENDING  SAN FRANCISCO USA</v>
      </c>
      <c r="H416" s="4" t="str">
        <f ca="1">IFERROR(__xludf.DUMMYFUNCTION("""COMPUTED_VALUE"""),"Uber Eats")</f>
        <v>Uber Eats</v>
      </c>
      <c r="I416" s="4" t="str">
        <f ca="1">IFERROR(__xludf.DUMMYFUNCTION("""COMPUTED_VALUE"""),"Capex")</f>
        <v>Capex</v>
      </c>
      <c r="J416" s="4" t="str">
        <f ca="1">IFERROR(__xludf.DUMMYFUNCTION("""COMPUTED_VALUE"""),"Uber TRV - PO1966")</f>
        <v>Uber TRV - PO1966</v>
      </c>
      <c r="K416" s="4" t="str">
        <f ca="1">IFERROR(__xludf.DUMMYFUNCTION("""COMPUTED_VALUE"""),"N/A")</f>
        <v>N/A</v>
      </c>
      <c r="S416" s="6">
        <v>963</v>
      </c>
      <c r="T416" s="4" t="e">
        <f t="shared" ca="1" si="2"/>
        <v>#N/A</v>
      </c>
    </row>
    <row r="417" spans="1:20" ht="12.5">
      <c r="A417" s="4" t="str">
        <f ca="1">IFERROR(__xludf.DUMMYFUNCTION("""COMPUTED_VALUE"""),"TRX1186")</f>
        <v>TRX1186</v>
      </c>
      <c r="B417" s="4" t="str">
        <f ca="1">IFERROR(__xludf.DUMMYFUNCTION("""COMPUTED_VALUE"""),"#52")</f>
        <v>#52</v>
      </c>
      <c r="C417" s="5">
        <f ca="1">IFERROR(__xludf.DUMMYFUNCTION("""COMPUTED_VALUE"""),46058.4180555555)</f>
        <v>46058.418055555499</v>
      </c>
      <c r="D417" s="6">
        <f ca="1">IFERROR(__xludf.DUMMYFUNCTION("""COMPUTED_VALUE"""),307.95)</f>
        <v>307.95</v>
      </c>
      <c r="E417" s="4" t="str">
        <f ca="1">IFERROR(__xludf.DUMMYFUNCTION("""COMPUTED_VALUE"""),"USD")</f>
        <v>USD</v>
      </c>
      <c r="F417" s="4" t="str">
        <f ca="1">IFERROR(__xludf.DUMMYFUNCTION("""COMPUTED_VALUE"""),"Tommaso Rivetti Vinea")</f>
        <v>Tommaso Rivetti Vinea</v>
      </c>
      <c r="G417" s="4" t="str">
        <f ca="1">IFERROR(__xludf.DUMMYFUNCTION("""COMPUTED_VALUE"""),"UBER   * PENDING       SAN FRANCISCO USA")</f>
        <v>UBER   * PENDING       SAN FRANCISCO USA</v>
      </c>
      <c r="H417" s="4" t="str">
        <f ca="1">IFERROR(__xludf.DUMMYFUNCTION("""COMPUTED_VALUE"""),"Uber")</f>
        <v>Uber</v>
      </c>
      <c r="I417" s="4" t="str">
        <f ca="1">IFERROR(__xludf.DUMMYFUNCTION("""COMPUTED_VALUE"""),"Capex")</f>
        <v>Capex</v>
      </c>
      <c r="J417" s="4" t="str">
        <f ca="1">IFERROR(__xludf.DUMMYFUNCTION("""COMPUTED_VALUE"""),"Uber TRV - PO1966")</f>
        <v>Uber TRV - PO1966</v>
      </c>
      <c r="K417" s="4" t="str">
        <f ca="1">IFERROR(__xludf.DUMMYFUNCTION("""COMPUTED_VALUE"""),"N/A")</f>
        <v>N/A</v>
      </c>
      <c r="S417" s="6">
        <v>52</v>
      </c>
      <c r="T417" s="4" t="str">
        <f t="shared" ca="1" si="2"/>
        <v>Gustavo Rivas</v>
      </c>
    </row>
    <row r="418" spans="1:20" ht="12.5">
      <c r="A418" s="4" t="str">
        <f ca="1">IFERROR(__xludf.DUMMYFUNCTION("""COMPUTED_VALUE"""),"TRX1733")</f>
        <v>TRX1733</v>
      </c>
      <c r="B418" s="4" t="str">
        <f ca="1">IFERROR(__xludf.DUMMYFUNCTION("""COMPUTED_VALUE"""),"#52")</f>
        <v>#52</v>
      </c>
      <c r="C418" s="5">
        <f ca="1">IFERROR(__xludf.DUMMYFUNCTION("""COMPUTED_VALUE"""),46059.4173611111)</f>
        <v>46059.417361111096</v>
      </c>
      <c r="D418" s="6">
        <f ca="1">IFERROR(__xludf.DUMMYFUNCTION("""COMPUTED_VALUE"""),54.47)</f>
        <v>54.47</v>
      </c>
      <c r="E418" s="4" t="str">
        <f ca="1">IFERROR(__xludf.DUMMYFUNCTION("""COMPUTED_VALUE"""),"USD")</f>
        <v>USD</v>
      </c>
      <c r="F418" s="4" t="str">
        <f ca="1">IFERROR(__xludf.DUMMYFUNCTION("""COMPUTED_VALUE"""),"Tommaso Rivetti Vinea")</f>
        <v>Tommaso Rivetti Vinea</v>
      </c>
      <c r="G418" s="4" t="str">
        <f ca="1">IFERROR(__xludf.DUMMYFUNCTION("""COMPUTED_VALUE"""),"UBER   *TRIP           SAN FRANCISCO USA")</f>
        <v>UBER   *TRIP           SAN FRANCISCO USA</v>
      </c>
      <c r="H418" s="4" t="str">
        <f ca="1">IFERROR(__xludf.DUMMYFUNCTION("""COMPUTED_VALUE"""),"Uber")</f>
        <v>Uber</v>
      </c>
      <c r="I418" s="4" t="str">
        <f ca="1">IFERROR(__xludf.DUMMYFUNCTION("""COMPUTED_VALUE"""),"Capex")</f>
        <v>Capex</v>
      </c>
      <c r="J418" s="4" t="str">
        <f ca="1">IFERROR(__xludf.DUMMYFUNCTION("""COMPUTED_VALUE"""),"Uber TRV - PO1966")</f>
        <v>Uber TRV - PO1966</v>
      </c>
      <c r="K418" s="4" t="str">
        <f ca="1">IFERROR(__xludf.DUMMYFUNCTION("""COMPUTED_VALUE"""),"N/A")</f>
        <v>N/A</v>
      </c>
      <c r="S418" s="6">
        <v>170</v>
      </c>
      <c r="T418" s="4" t="e">
        <f t="shared" ca="1" si="2"/>
        <v>#N/A</v>
      </c>
    </row>
    <row r="419" spans="1:20" ht="12.5">
      <c r="A419" s="4" t="str">
        <f ca="1">IFERROR(__xludf.DUMMYFUNCTION("""COMPUTED_VALUE"""),"TRX1110")</f>
        <v>TRX1110</v>
      </c>
      <c r="B419" s="4" t="str">
        <f ca="1">IFERROR(__xludf.DUMMYFUNCTION("""COMPUTED_VALUE"""),"#52")</f>
        <v>#52</v>
      </c>
      <c r="C419" s="5">
        <f ca="1">IFERROR(__xludf.DUMMYFUNCTION("""COMPUTED_VALUE"""),46059.4173611111)</f>
        <v>46059.417361111096</v>
      </c>
      <c r="D419" s="6">
        <f ca="1">IFERROR(__xludf.DUMMYFUNCTION("""COMPUTED_VALUE"""),398.38)</f>
        <v>398.38</v>
      </c>
      <c r="E419" s="4" t="str">
        <f ca="1">IFERROR(__xludf.DUMMYFUNCTION("""COMPUTED_VALUE"""),"USD")</f>
        <v>USD</v>
      </c>
      <c r="F419" s="4" t="str">
        <f ca="1">IFERROR(__xludf.DUMMYFUNCTION("""COMPUTED_VALUE"""),"Tommaso Rivetti Vinea")</f>
        <v>Tommaso Rivetti Vinea</v>
      </c>
      <c r="G419" s="4" t="str">
        <f ca="1">IFERROR(__xludf.DUMMYFUNCTION("""COMPUTED_VALUE"""),"UBER   * PENDING       SAN FRANCISCO USA")</f>
        <v>UBER   * PENDING       SAN FRANCISCO USA</v>
      </c>
      <c r="H419" s="4" t="str">
        <f ca="1">IFERROR(__xludf.DUMMYFUNCTION("""COMPUTED_VALUE"""),"Uber")</f>
        <v>Uber</v>
      </c>
      <c r="I419" s="4" t="str">
        <f ca="1">IFERROR(__xludf.DUMMYFUNCTION("""COMPUTED_VALUE"""),"Capex")</f>
        <v>Capex</v>
      </c>
      <c r="J419" s="4" t="str">
        <f ca="1">IFERROR(__xludf.DUMMYFUNCTION("""COMPUTED_VALUE"""),"Uber TRV - PO1966")</f>
        <v>Uber TRV - PO1966</v>
      </c>
      <c r="K419" s="4" t="str">
        <f ca="1">IFERROR(__xludf.DUMMYFUNCTION("""COMPUTED_VALUE"""),"N/A")</f>
        <v>N/A</v>
      </c>
      <c r="S419" s="6">
        <v>327.75</v>
      </c>
      <c r="T419" s="4" t="e">
        <f t="shared" ca="1" si="2"/>
        <v>#N/A</v>
      </c>
    </row>
    <row r="420" spans="1:20" ht="12.5">
      <c r="A420" s="4" t="str">
        <f ca="1">IFERROR(__xludf.DUMMYFUNCTION("""COMPUTED_VALUE"""),"TRX1804")</f>
        <v>TRX1804</v>
      </c>
      <c r="B420" s="4" t="str">
        <f ca="1">IFERROR(__xludf.DUMMYFUNCTION("""COMPUTED_VALUE"""),"#52")</f>
        <v>#52</v>
      </c>
      <c r="C420" s="5">
        <f ca="1">IFERROR(__xludf.DUMMYFUNCTION("""COMPUTED_VALUE"""),46059.4173611111)</f>
        <v>46059.417361111096</v>
      </c>
      <c r="D420" s="6">
        <f ca="1">IFERROR(__xludf.DUMMYFUNCTION("""COMPUTED_VALUE"""),402.19)</f>
        <v>402.19</v>
      </c>
      <c r="E420" s="4" t="str">
        <f ca="1">IFERROR(__xludf.DUMMYFUNCTION("""COMPUTED_VALUE"""),"USD")</f>
        <v>USD</v>
      </c>
      <c r="F420" s="4" t="str">
        <f ca="1">IFERROR(__xludf.DUMMYFUNCTION("""COMPUTED_VALUE"""),"Tommaso Rivetti Vinea")</f>
        <v>Tommaso Rivetti Vinea</v>
      </c>
      <c r="G420" s="4" t="str">
        <f ca="1">IFERROR(__xludf.DUMMYFUNCTION("""COMPUTED_VALUE"""),"SQ *MONKEY NEST COFFEE Austin        USA")</f>
        <v>SQ *MONKEY NEST COFFEE Austin        USA</v>
      </c>
      <c r="H420" s="4" t="str">
        <f ca="1">IFERROR(__xludf.DUMMYFUNCTION("""COMPUTED_VALUE"""),"Monkey Nest Coffee Austin USA")</f>
        <v>Monkey Nest Coffee Austin USA</v>
      </c>
      <c r="I420" s="4" t="str">
        <f ca="1">IFERROR(__xludf.DUMMYFUNCTION("""COMPUTED_VALUE"""),"Capex")</f>
        <v>Capex</v>
      </c>
      <c r="J420" s="4" t="str">
        <f ca="1">IFERROR(__xludf.DUMMYFUNCTION("""COMPUTED_VALUE"""),"Comida TRV - PO1966")</f>
        <v>Comida TRV - PO1966</v>
      </c>
      <c r="K420" s="4" t="str">
        <f ca="1">IFERROR(__xludf.DUMMYFUNCTION("""COMPUTED_VALUE"""),"N/A")</f>
        <v>N/A</v>
      </c>
      <c r="S420" s="6">
        <v>317</v>
      </c>
      <c r="T420" s="4" t="str">
        <f t="shared" ca="1" si="2"/>
        <v>Rodrigo Perea</v>
      </c>
    </row>
    <row r="421" spans="1:20" ht="12.5">
      <c r="A421" s="4" t="str">
        <f ca="1">IFERROR(__xludf.DUMMYFUNCTION("""COMPUTED_VALUE"""),"TRX1071")</f>
        <v>TRX1071</v>
      </c>
      <c r="B421" s="4" t="str">
        <f ca="1">IFERROR(__xludf.DUMMYFUNCTION("""COMPUTED_VALUE"""),"#52")</f>
        <v>#52</v>
      </c>
      <c r="C421" s="5">
        <f ca="1">IFERROR(__xludf.DUMMYFUNCTION("""COMPUTED_VALUE"""),46059.4173611111)</f>
        <v>46059.417361111096</v>
      </c>
      <c r="D421" s="6">
        <f ca="1">IFERROR(__xludf.DUMMYFUNCTION("""COMPUTED_VALUE"""),462.48)</f>
        <v>462.48</v>
      </c>
      <c r="E421" s="4" t="str">
        <f ca="1">IFERROR(__xludf.DUMMYFUNCTION("""COMPUTED_VALUE"""),"USD")</f>
        <v>USD</v>
      </c>
      <c r="F421" s="4" t="str">
        <f ca="1">IFERROR(__xludf.DUMMYFUNCTION("""COMPUTED_VALUE"""),"Tommaso Rivetti Vinea")</f>
        <v>Tommaso Rivetti Vinea</v>
      </c>
      <c r="G421" s="4" t="str">
        <f ca="1">IFERROR(__xludf.DUMMYFUNCTION("""COMPUTED_VALUE"""),"UBER   *JASONSDELI     SAN FRANCISCO USA")</f>
        <v>UBER   *JASONSDELI     SAN FRANCISCO USA</v>
      </c>
      <c r="H421" s="4" t="str">
        <f ca="1">IFERROR(__xludf.DUMMYFUNCTION("""COMPUTED_VALUE"""),"Uber")</f>
        <v>Uber</v>
      </c>
      <c r="I421" s="4" t="str">
        <f ca="1">IFERROR(__xludf.DUMMYFUNCTION("""COMPUTED_VALUE"""),"Capex")</f>
        <v>Capex</v>
      </c>
      <c r="J421" s="4" t="str">
        <f ca="1">IFERROR(__xludf.DUMMYFUNCTION("""COMPUTED_VALUE"""),"Uber TRV - PO1966")</f>
        <v>Uber TRV - PO1966</v>
      </c>
      <c r="K421" s="4" t="str">
        <f ca="1">IFERROR(__xludf.DUMMYFUNCTION("""COMPUTED_VALUE"""),"N/A")</f>
        <v>N/A</v>
      </c>
      <c r="S421" s="6">
        <v>1017</v>
      </c>
      <c r="T421" s="4" t="str">
        <f t="shared" ca="1" si="2"/>
        <v>Erik Castillo</v>
      </c>
    </row>
    <row r="422" spans="1:20" ht="12.5">
      <c r="A422" s="4" t="str">
        <f ca="1">IFERROR(__xludf.DUMMYFUNCTION("""COMPUTED_VALUE"""),"TRX1058")</f>
        <v>TRX1058</v>
      </c>
      <c r="B422" s="4" t="str">
        <f ca="1">IFERROR(__xludf.DUMMYFUNCTION("""COMPUTED_VALUE"""),"#52")</f>
        <v>#52</v>
      </c>
      <c r="C422" s="5">
        <f ca="1">IFERROR(__xludf.DUMMYFUNCTION("""COMPUTED_VALUE"""),46059.4173611111)</f>
        <v>46059.417361111096</v>
      </c>
      <c r="D422" s="6">
        <f ca="1">IFERROR(__xludf.DUMMYFUNCTION("""COMPUTED_VALUE"""),235.32)</f>
        <v>235.32</v>
      </c>
      <c r="E422" s="4" t="str">
        <f ca="1">IFERROR(__xludf.DUMMYFUNCTION("""COMPUTED_VALUE"""),"USD")</f>
        <v>USD</v>
      </c>
      <c r="F422" s="4" t="str">
        <f ca="1">IFERROR(__xludf.DUMMYFUNCTION("""COMPUTED_VALUE"""),"Tommaso Rivetti Vinea")</f>
        <v>Tommaso Rivetti Vinea</v>
      </c>
      <c r="G422" s="4" t="str">
        <f ca="1">IFERROR(__xludf.DUMMYFUNCTION("""COMPUTED_VALUE"""),"UBER   *TRIP           SAN FRANCISCO USA")</f>
        <v>UBER   *TRIP           SAN FRANCISCO USA</v>
      </c>
      <c r="H422" s="4" t="str">
        <f ca="1">IFERROR(__xludf.DUMMYFUNCTION("""COMPUTED_VALUE"""),"Uber")</f>
        <v>Uber</v>
      </c>
      <c r="I422" s="4" t="str">
        <f ca="1">IFERROR(__xludf.DUMMYFUNCTION("""COMPUTED_VALUE"""),"Capex")</f>
        <v>Capex</v>
      </c>
      <c r="J422" s="4" t="str">
        <f ca="1">IFERROR(__xludf.DUMMYFUNCTION("""COMPUTED_VALUE"""),"Uber TRV - PO1966")</f>
        <v>Uber TRV - PO1966</v>
      </c>
      <c r="K422" s="4" t="str">
        <f ca="1">IFERROR(__xludf.DUMMYFUNCTION("""COMPUTED_VALUE"""),"N/A")</f>
        <v>N/A</v>
      </c>
      <c r="S422" s="6">
        <v>109.95</v>
      </c>
      <c r="T422" s="4" t="str">
        <f t="shared" ca="1" si="2"/>
        <v>Jose Arechavala</v>
      </c>
    </row>
    <row r="423" spans="1:20" ht="12.5">
      <c r="A423" s="4" t="str">
        <f ca="1">IFERROR(__xludf.DUMMYFUNCTION("""COMPUTED_VALUE"""),"TRX1252")</f>
        <v>TRX1252</v>
      </c>
      <c r="B423" s="4" t="str">
        <f ca="1">IFERROR(__xludf.DUMMYFUNCTION("""COMPUTED_VALUE"""),"#52")</f>
        <v>#52</v>
      </c>
      <c r="C423" s="5">
        <f ca="1">IFERROR(__xludf.DUMMYFUNCTION("""COMPUTED_VALUE"""),46059.4173611111)</f>
        <v>46059.417361111096</v>
      </c>
      <c r="D423" s="6">
        <f ca="1">IFERROR(__xludf.DUMMYFUNCTION("""COMPUTED_VALUE"""),592.63)</f>
        <v>592.63</v>
      </c>
      <c r="E423" s="4" t="str">
        <f ca="1">IFERROR(__xludf.DUMMYFUNCTION("""COMPUTED_VALUE"""),"USD")</f>
        <v>USD</v>
      </c>
      <c r="F423" s="4" t="str">
        <f ca="1">IFERROR(__xludf.DUMMYFUNCTION("""COMPUTED_VALUE"""),"Tommaso Rivetti Vinea")</f>
        <v>Tommaso Rivetti Vinea</v>
      </c>
      <c r="G423" s="4" t="str">
        <f ca="1">IFERROR(__xludf.DUMMYFUNCTION("""COMPUTED_VALUE"""),"UBER   * EATS PENDING  SAN FRANCISCO USA")</f>
        <v>UBER   * EATS PENDING  SAN FRANCISCO USA</v>
      </c>
      <c r="H423" s="4" t="str">
        <f ca="1">IFERROR(__xludf.DUMMYFUNCTION("""COMPUTED_VALUE"""),"Uber Eats")</f>
        <v>Uber Eats</v>
      </c>
      <c r="I423" s="4" t="str">
        <f ca="1">IFERROR(__xludf.DUMMYFUNCTION("""COMPUTED_VALUE"""),"Capex")</f>
        <v>Capex</v>
      </c>
      <c r="J423" s="4" t="str">
        <f ca="1">IFERROR(__xludf.DUMMYFUNCTION("""COMPUTED_VALUE"""),"Uber TRV - PO1966")</f>
        <v>Uber TRV - PO1966</v>
      </c>
      <c r="K423" s="4" t="str">
        <f ca="1">IFERROR(__xludf.DUMMYFUNCTION("""COMPUTED_VALUE"""),"N/A")</f>
        <v>N/A</v>
      </c>
      <c r="S423" s="6">
        <v>334.48</v>
      </c>
      <c r="T423" s="4" t="e">
        <f t="shared" ca="1" si="2"/>
        <v>#N/A</v>
      </c>
    </row>
    <row r="424" spans="1:20" ht="12.5">
      <c r="A424" s="4" t="str">
        <f ca="1">IFERROR(__xludf.DUMMYFUNCTION("""COMPUTED_VALUE"""),"TRX1724")</f>
        <v>TRX1724</v>
      </c>
      <c r="B424" s="4" t="str">
        <f ca="1">IFERROR(__xludf.DUMMYFUNCTION("""COMPUTED_VALUE"""),"#52")</f>
        <v>#52</v>
      </c>
      <c r="C424" s="5">
        <f ca="1">IFERROR(__xludf.DUMMYFUNCTION("""COMPUTED_VALUE"""),46060.4173611111)</f>
        <v>46060.417361111096</v>
      </c>
      <c r="D424" s="6">
        <f ca="1">IFERROR(__xludf.DUMMYFUNCTION("""COMPUTED_VALUE"""),381.73)</f>
        <v>381.73</v>
      </c>
      <c r="E424" s="4" t="str">
        <f ca="1">IFERROR(__xludf.DUMMYFUNCTION("""COMPUTED_VALUE"""),"USD")</f>
        <v>USD</v>
      </c>
      <c r="F424" s="4" t="str">
        <f ca="1">IFERROR(__xludf.DUMMYFUNCTION("""COMPUTED_VALUE"""),"Tommaso Rivetti Vinea")</f>
        <v>Tommaso Rivetti Vinea</v>
      </c>
      <c r="G424" s="4" t="str">
        <f ca="1">IFERROR(__xludf.DUMMYFUNCTION("""COMPUTED_VALUE"""),"UBER   * EATS PENDING  SAN FRANCISCO USA")</f>
        <v>UBER   * EATS PENDING  SAN FRANCISCO USA</v>
      </c>
      <c r="H424" s="4" t="str">
        <f ca="1">IFERROR(__xludf.DUMMYFUNCTION("""COMPUTED_VALUE"""),"Uber Eats")</f>
        <v>Uber Eats</v>
      </c>
      <c r="I424" s="4" t="str">
        <f ca="1">IFERROR(__xludf.DUMMYFUNCTION("""COMPUTED_VALUE"""),"Capex")</f>
        <v>Capex</v>
      </c>
      <c r="J424" s="4" t="str">
        <f ca="1">IFERROR(__xludf.DUMMYFUNCTION("""COMPUTED_VALUE"""),"Uber TRV - PO1966")</f>
        <v>Uber TRV - PO1966</v>
      </c>
      <c r="K424" s="4" t="str">
        <f ca="1">IFERROR(__xludf.DUMMYFUNCTION("""COMPUTED_VALUE"""),"N/A")</f>
        <v>N/A</v>
      </c>
      <c r="S424" s="6">
        <v>335.03</v>
      </c>
      <c r="T424" s="4" t="e">
        <f t="shared" ca="1" si="2"/>
        <v>#N/A</v>
      </c>
    </row>
    <row r="425" spans="1:20" ht="12.5">
      <c r="A425" s="4" t="str">
        <f ca="1">IFERROR(__xludf.DUMMYFUNCTION("""COMPUTED_VALUE"""),"TRX1074")</f>
        <v>TRX1074</v>
      </c>
      <c r="B425" s="4" t="str">
        <f ca="1">IFERROR(__xludf.DUMMYFUNCTION("""COMPUTED_VALUE"""),"#52")</f>
        <v>#52</v>
      </c>
      <c r="C425" s="5">
        <f ca="1">IFERROR(__xludf.DUMMYFUNCTION("""COMPUTED_VALUE"""),46061.4166666666)</f>
        <v>46061.416666666599</v>
      </c>
      <c r="D425" s="6">
        <f ca="1">IFERROR(__xludf.DUMMYFUNCTION("""COMPUTED_VALUE"""),369.95)</f>
        <v>369.95</v>
      </c>
      <c r="E425" s="4" t="str">
        <f ca="1">IFERROR(__xludf.DUMMYFUNCTION("""COMPUTED_VALUE"""),"MXN")</f>
        <v>MXN</v>
      </c>
      <c r="F425" s="4" t="str">
        <f ca="1">IFERROR(__xludf.DUMMYFUNCTION("""COMPUTED_VALUE"""),"Tommaso Rivetti Vinea")</f>
        <v>Tommaso Rivetti Vinea</v>
      </c>
      <c r="G425" s="4" t="str">
        <f ca="1">IFERROR(__xludf.DUMMYFUNCTION("""COMPUTED_VALUE"""),"UBER * PENDING         CMX           MEX")</f>
        <v>UBER * PENDING         CMX           MEX</v>
      </c>
      <c r="H425" s="4" t="str">
        <f ca="1">IFERROR(__xludf.DUMMYFUNCTION("""COMPUTED_VALUE"""),"Uber")</f>
        <v>Uber</v>
      </c>
      <c r="I425" s="4" t="str">
        <f ca="1">IFERROR(__xludf.DUMMYFUNCTION("""COMPUTED_VALUE"""),"Capex")</f>
        <v>Capex</v>
      </c>
      <c r="J425" s="4" t="str">
        <f ca="1">IFERROR(__xludf.DUMMYFUNCTION("""COMPUTED_VALUE"""),"Uber TRV - PO1966")</f>
        <v>Uber TRV - PO1966</v>
      </c>
      <c r="K425" s="4"/>
      <c r="S425" s="6">
        <v>1394.99</v>
      </c>
      <c r="T425" s="4" t="e">
        <f t="shared" ca="1" si="2"/>
        <v>#N/A</v>
      </c>
    </row>
    <row r="426" spans="1:20" ht="12.5">
      <c r="A426" s="4" t="str">
        <f ca="1">IFERROR(__xludf.DUMMYFUNCTION("""COMPUTED_VALUE"""),"TRX1425")</f>
        <v>TRX1425</v>
      </c>
      <c r="B426" s="4" t="str">
        <f ca="1">IFERROR(__xludf.DUMMYFUNCTION("""COMPUTED_VALUE"""),"#52")</f>
        <v>#52</v>
      </c>
      <c r="C426" s="5">
        <f ca="1">IFERROR(__xludf.DUMMYFUNCTION("""COMPUTED_VALUE"""),46061.4166666666)</f>
        <v>46061.416666666599</v>
      </c>
      <c r="D426" s="6">
        <f ca="1">IFERROR(__xludf.DUMMYFUNCTION("""COMPUTED_VALUE"""),10)</f>
        <v>10</v>
      </c>
      <c r="E426" s="4" t="str">
        <f ca="1">IFERROR(__xludf.DUMMYFUNCTION("""COMPUTED_VALUE"""),"MXN")</f>
        <v>MXN</v>
      </c>
      <c r="F426" s="4" t="str">
        <f ca="1">IFERROR(__xludf.DUMMYFUNCTION("""COMPUTED_VALUE"""),"Tommaso Rivetti Vinea")</f>
        <v>Tommaso Rivetti Vinea</v>
      </c>
      <c r="G426" s="4" t="str">
        <f ca="1">IFERROR(__xludf.DUMMYFUNCTION("""COMPUTED_VALUE"""),"UBER *TRIP HELP.UBER.C CMX           MEX")</f>
        <v>UBER *TRIP HELP.UBER.C CMX           MEX</v>
      </c>
      <c r="H426" s="4" t="str">
        <f ca="1">IFERROR(__xludf.DUMMYFUNCTION("""COMPUTED_VALUE"""),"Uber")</f>
        <v>Uber</v>
      </c>
      <c r="I426" s="4" t="str">
        <f ca="1">IFERROR(__xludf.DUMMYFUNCTION("""COMPUTED_VALUE"""),"Capex")</f>
        <v>Capex</v>
      </c>
      <c r="J426" s="4" t="str">
        <f ca="1">IFERROR(__xludf.DUMMYFUNCTION("""COMPUTED_VALUE"""),"Uber TRV - PO1966")</f>
        <v>Uber TRV - PO1966</v>
      </c>
      <c r="K426" s="4"/>
      <c r="S426" s="6">
        <v>70</v>
      </c>
      <c r="T426" s="4" t="str">
        <f t="shared" ca="1" si="2"/>
        <v>Fernanda Sanchez Ruiz</v>
      </c>
    </row>
    <row r="427" spans="1:20" ht="12.5">
      <c r="A427" s="4" t="str">
        <f ca="1">IFERROR(__xludf.DUMMYFUNCTION("""COMPUTED_VALUE"""),"TRX1097")</f>
        <v>TRX1097</v>
      </c>
      <c r="B427" s="4" t="str">
        <f ca="1">IFERROR(__xludf.DUMMYFUNCTION("""COMPUTED_VALUE"""),"#52")</f>
        <v>#52</v>
      </c>
      <c r="C427" s="5">
        <f ca="1">IFERROR(__xludf.DUMMYFUNCTION("""COMPUTED_VALUE"""),46061.4173611111)</f>
        <v>46061.417361111096</v>
      </c>
      <c r="D427" s="6">
        <f ca="1">IFERROR(__xludf.DUMMYFUNCTION("""COMPUTED_VALUE"""),72.47)</f>
        <v>72.47</v>
      </c>
      <c r="E427" s="4" t="str">
        <f ca="1">IFERROR(__xludf.DUMMYFUNCTION("""COMPUTED_VALUE"""),"USD")</f>
        <v>USD</v>
      </c>
      <c r="F427" s="4" t="str">
        <f ca="1">IFERROR(__xludf.DUMMYFUNCTION("""COMPUTED_VALUE"""),"Tommaso Rivetti Vinea")</f>
        <v>Tommaso Rivetti Vinea</v>
      </c>
      <c r="G427" s="4" t="str">
        <f ca="1">IFERROR(__xludf.DUMMYFUNCTION("""COMPUTED_VALUE"""),"UBER   *TRIP           SAN FRANCISCO USA")</f>
        <v>UBER   *TRIP           SAN FRANCISCO USA</v>
      </c>
      <c r="H427" s="4" t="str">
        <f ca="1">IFERROR(__xludf.DUMMYFUNCTION("""COMPUTED_VALUE"""),"Uber")</f>
        <v>Uber</v>
      </c>
      <c r="I427" s="4" t="str">
        <f ca="1">IFERROR(__xludf.DUMMYFUNCTION("""COMPUTED_VALUE"""),"Capex")</f>
        <v>Capex</v>
      </c>
      <c r="J427" s="4" t="str">
        <f ca="1">IFERROR(__xludf.DUMMYFUNCTION("""COMPUTED_VALUE"""),"Uber TRV - PO1966")</f>
        <v>Uber TRV - PO1966</v>
      </c>
      <c r="K427" s="4" t="str">
        <f ca="1">IFERROR(__xludf.DUMMYFUNCTION("""COMPUTED_VALUE"""),"N/A")</f>
        <v>N/A</v>
      </c>
      <c r="S427" s="6">
        <v>129.99</v>
      </c>
      <c r="T427" s="4" t="e">
        <f t="shared" ca="1" si="2"/>
        <v>#N/A</v>
      </c>
    </row>
    <row r="428" spans="1:20" ht="12.5">
      <c r="A428" s="4" t="str">
        <f ca="1">IFERROR(__xludf.DUMMYFUNCTION("""COMPUTED_VALUE"""),"TRX1973")</f>
        <v>TRX1973</v>
      </c>
      <c r="B428" s="4" t="str">
        <f ca="1">IFERROR(__xludf.DUMMYFUNCTION("""COMPUTED_VALUE"""),"#52")</f>
        <v>#52</v>
      </c>
      <c r="C428" s="5">
        <f ca="1">IFERROR(__xludf.DUMMYFUNCTION("""COMPUTED_VALUE"""),46061.4173611111)</f>
        <v>46061.417361111096</v>
      </c>
      <c r="D428" s="6">
        <f ca="1">IFERROR(__xludf.DUMMYFUNCTION("""COMPUTED_VALUE"""),379.56)</f>
        <v>379.56</v>
      </c>
      <c r="E428" s="4" t="str">
        <f ca="1">IFERROR(__xludf.DUMMYFUNCTION("""COMPUTED_VALUE"""),"USD")</f>
        <v>USD</v>
      </c>
      <c r="F428" s="4" t="str">
        <f ca="1">IFERROR(__xludf.DUMMYFUNCTION("""COMPUTED_VALUE"""),"Tommaso Rivetti Vinea")</f>
        <v>Tommaso Rivetti Vinea</v>
      </c>
      <c r="G428" s="4" t="str">
        <f ca="1">IFERROR(__xludf.DUMMYFUNCTION("""COMPUTED_VALUE"""),"UBER   * PENDING       SAN FRANCISCO USA")</f>
        <v>UBER   * PENDING       SAN FRANCISCO USA</v>
      </c>
      <c r="H428" s="4" t="str">
        <f ca="1">IFERROR(__xludf.DUMMYFUNCTION("""COMPUTED_VALUE"""),"Uber")</f>
        <v>Uber</v>
      </c>
      <c r="I428" s="4" t="str">
        <f ca="1">IFERROR(__xludf.DUMMYFUNCTION("""COMPUTED_VALUE"""),"Capex")</f>
        <v>Capex</v>
      </c>
      <c r="J428" s="4" t="str">
        <f ca="1">IFERROR(__xludf.DUMMYFUNCTION("""COMPUTED_VALUE"""),"Uber TRV - PO1966")</f>
        <v>Uber TRV - PO1966</v>
      </c>
      <c r="K428" s="4" t="str">
        <f ca="1">IFERROR(__xludf.DUMMYFUNCTION("""COMPUTED_VALUE"""),"N/A")</f>
        <v>N/A</v>
      </c>
      <c r="S428" s="6">
        <v>579.99</v>
      </c>
      <c r="T428" s="4" t="e">
        <f t="shared" ca="1" si="2"/>
        <v>#N/A</v>
      </c>
    </row>
    <row r="429" spans="1:20" ht="12.5">
      <c r="A429" s="4" t="str">
        <f ca="1">IFERROR(__xludf.DUMMYFUNCTION("""COMPUTED_VALUE"""),"TRX1258")</f>
        <v>TRX1258</v>
      </c>
      <c r="B429" s="4" t="str">
        <f ca="1">IFERROR(__xludf.DUMMYFUNCTION("""COMPUTED_VALUE"""),"#52")</f>
        <v>#52</v>
      </c>
      <c r="C429" s="5">
        <f ca="1">IFERROR(__xludf.DUMMYFUNCTION("""COMPUTED_VALUE"""),46061.4173611111)</f>
        <v>46061.417361111096</v>
      </c>
      <c r="D429" s="6">
        <f ca="1">IFERROR(__xludf.DUMMYFUNCTION("""COMPUTED_VALUE"""),54.35)</f>
        <v>54.35</v>
      </c>
      <c r="E429" s="4" t="str">
        <f ca="1">IFERROR(__xludf.DUMMYFUNCTION("""COMPUTED_VALUE"""),"USD")</f>
        <v>USD</v>
      </c>
      <c r="F429" s="4" t="str">
        <f ca="1">IFERROR(__xludf.DUMMYFUNCTION("""COMPUTED_VALUE"""),"Tommaso Rivetti Vinea")</f>
        <v>Tommaso Rivetti Vinea</v>
      </c>
      <c r="G429" s="4" t="str">
        <f ca="1">IFERROR(__xludf.DUMMYFUNCTION("""COMPUTED_VALUE"""),"UBER   *TRIP           SAN FRANCISCO USA")</f>
        <v>UBER   *TRIP           SAN FRANCISCO USA</v>
      </c>
      <c r="H429" s="4" t="str">
        <f ca="1">IFERROR(__xludf.DUMMYFUNCTION("""COMPUTED_VALUE"""),"Uber")</f>
        <v>Uber</v>
      </c>
      <c r="I429" s="4" t="str">
        <f ca="1">IFERROR(__xludf.DUMMYFUNCTION("""COMPUTED_VALUE"""),"Capex")</f>
        <v>Capex</v>
      </c>
      <c r="J429" s="4" t="str">
        <f ca="1">IFERROR(__xludf.DUMMYFUNCTION("""COMPUTED_VALUE"""),"Uber TRV - PO1966")</f>
        <v>Uber TRV - PO1966</v>
      </c>
      <c r="K429" s="4" t="str">
        <f ca="1">IFERROR(__xludf.DUMMYFUNCTION("""COMPUTED_VALUE"""),"N/A")</f>
        <v>N/A</v>
      </c>
      <c r="S429" s="6">
        <v>850</v>
      </c>
      <c r="T429" s="4" t="e">
        <f t="shared" ca="1" si="2"/>
        <v>#N/A</v>
      </c>
    </row>
    <row r="430" spans="1:20" ht="12.5">
      <c r="A430" s="4" t="str">
        <f ca="1">IFERROR(__xludf.DUMMYFUNCTION("""COMPUTED_VALUE"""),"TRX1703")</f>
        <v>TRX1703</v>
      </c>
      <c r="B430" s="4" t="str">
        <f ca="1">IFERROR(__xludf.DUMMYFUNCTION("""COMPUTED_VALUE"""),"#52")</f>
        <v>#52</v>
      </c>
      <c r="C430" s="5">
        <f ca="1">IFERROR(__xludf.DUMMYFUNCTION("""COMPUTED_VALUE"""),46061.4173611111)</f>
        <v>46061.417361111096</v>
      </c>
      <c r="D430" s="6">
        <f ca="1">IFERROR(__xludf.DUMMYFUNCTION("""COMPUTED_VALUE"""),560.55)</f>
        <v>560.54999999999995</v>
      </c>
      <c r="E430" s="4" t="str">
        <f ca="1">IFERROR(__xludf.DUMMYFUNCTION("""COMPUTED_VALUE"""),"USD")</f>
        <v>USD</v>
      </c>
      <c r="F430" s="4" t="str">
        <f ca="1">IFERROR(__xludf.DUMMYFUNCTION("""COMPUTED_VALUE"""),"Tommaso Rivetti Vinea")</f>
        <v>Tommaso Rivetti Vinea</v>
      </c>
      <c r="G430" s="4" t="str">
        <f ca="1">IFERROR(__xludf.DUMMYFUNCTION("""COMPUTED_VALUE"""),"UBER   * PENDING       SAN FRANCISCO USA")</f>
        <v>UBER   * PENDING       SAN FRANCISCO USA</v>
      </c>
      <c r="H430" s="4" t="str">
        <f ca="1">IFERROR(__xludf.DUMMYFUNCTION("""COMPUTED_VALUE"""),"Uber")</f>
        <v>Uber</v>
      </c>
      <c r="I430" s="4" t="str">
        <f ca="1">IFERROR(__xludf.DUMMYFUNCTION("""COMPUTED_VALUE"""),"Capex")</f>
        <v>Capex</v>
      </c>
      <c r="J430" s="4" t="str">
        <f ca="1">IFERROR(__xludf.DUMMYFUNCTION("""COMPUTED_VALUE"""),"Uber TRV - PO1966")</f>
        <v>Uber TRV - PO1966</v>
      </c>
      <c r="K430" s="4" t="str">
        <f ca="1">IFERROR(__xludf.DUMMYFUNCTION("""COMPUTED_VALUE"""),"N/A")</f>
        <v>N/A</v>
      </c>
      <c r="S430" s="6">
        <v>2970.55</v>
      </c>
      <c r="T430" s="4" t="e">
        <f t="shared" ca="1" si="2"/>
        <v>#N/A</v>
      </c>
    </row>
    <row r="431" spans="1:20" ht="12.5">
      <c r="A431" s="4" t="str">
        <f ca="1">IFERROR(__xludf.DUMMYFUNCTION("""COMPUTED_VALUE"""),"TRX1519")</f>
        <v>TRX1519</v>
      </c>
      <c r="B431" s="4" t="str">
        <f ca="1">IFERROR(__xludf.DUMMYFUNCTION("""COMPUTED_VALUE"""),"#52")</f>
        <v>#52</v>
      </c>
      <c r="C431" s="5">
        <f ca="1">IFERROR(__xludf.DUMMYFUNCTION("""COMPUTED_VALUE"""),46061.4173611111)</f>
        <v>46061.417361111096</v>
      </c>
      <c r="D431" s="6">
        <f ca="1">IFERROR(__xludf.DUMMYFUNCTION("""COMPUTED_VALUE"""),252.37)</f>
        <v>252.37</v>
      </c>
      <c r="E431" s="4" t="str">
        <f ca="1">IFERROR(__xludf.DUMMYFUNCTION("""COMPUTED_VALUE"""),"USD")</f>
        <v>USD</v>
      </c>
      <c r="F431" s="4" t="str">
        <f ca="1">IFERROR(__xludf.DUMMYFUNCTION("""COMPUTED_VALUE"""),"Tommaso Rivetti Vinea")</f>
        <v>Tommaso Rivetti Vinea</v>
      </c>
      <c r="G431" s="4" t="str">
        <f ca="1">IFERROR(__xludf.DUMMYFUNCTION("""COMPUTED_VALUE"""),"UBER   * PENDING       SAN FRANCISCO USA")</f>
        <v>UBER   * PENDING       SAN FRANCISCO USA</v>
      </c>
      <c r="H431" s="4" t="str">
        <f ca="1">IFERROR(__xludf.DUMMYFUNCTION("""COMPUTED_VALUE"""),"Uber")</f>
        <v>Uber</v>
      </c>
      <c r="I431" s="4" t="str">
        <f ca="1">IFERROR(__xludf.DUMMYFUNCTION("""COMPUTED_VALUE"""),"Capex")</f>
        <v>Capex</v>
      </c>
      <c r="J431" s="4" t="str">
        <f ca="1">IFERROR(__xludf.DUMMYFUNCTION("""COMPUTED_VALUE"""),"Uber TRV - PO1966")</f>
        <v>Uber TRV - PO1966</v>
      </c>
      <c r="K431" s="4" t="str">
        <f ca="1">IFERROR(__xludf.DUMMYFUNCTION("""COMPUTED_VALUE"""),"N/A")</f>
        <v>N/A</v>
      </c>
      <c r="S431" s="6">
        <v>156</v>
      </c>
      <c r="T431" s="4" t="e">
        <f t="shared" ca="1" si="2"/>
        <v>#N/A</v>
      </c>
    </row>
    <row r="432" spans="1:20" ht="12.5">
      <c r="A432" s="4" t="str">
        <f ca="1">IFERROR(__xludf.DUMMYFUNCTION("""COMPUTED_VALUE"""),"TRX1905")</f>
        <v>TRX1905</v>
      </c>
      <c r="B432" s="4" t="str">
        <f ca="1">IFERROR(__xludf.DUMMYFUNCTION("""COMPUTED_VALUE"""),"#52")</f>
        <v>#52</v>
      </c>
      <c r="C432" s="5">
        <f ca="1">IFERROR(__xludf.DUMMYFUNCTION("""COMPUTED_VALUE"""),46062.4166666666)</f>
        <v>46062.416666666599</v>
      </c>
      <c r="D432" s="6">
        <f ca="1">IFERROR(__xludf.DUMMYFUNCTION("""COMPUTED_VALUE"""),2456.19)</f>
        <v>2456.19</v>
      </c>
      <c r="E432" s="4" t="str">
        <f ca="1">IFERROR(__xludf.DUMMYFUNCTION("""COMPUTED_VALUE"""),"USD")</f>
        <v>USD</v>
      </c>
      <c r="F432" s="4" t="str">
        <f ca="1">IFERROR(__xludf.DUMMYFUNCTION("""COMPUTED_VALUE"""),"Tommaso Rivetti Vinea")</f>
        <v>Tommaso Rivetti Vinea</v>
      </c>
      <c r="G432" s="4" t="str">
        <f ca="1">IFERROR(__xludf.DUMMYFUNCTION("""COMPUTED_VALUE"""),"COURTYARD BY MARRIOT   AUSTIN        USA")</f>
        <v>COURTYARD BY MARRIOT   AUSTIN        USA</v>
      </c>
      <c r="H432" s="4" t="str">
        <f ca="1">IFERROR(__xludf.DUMMYFUNCTION("""COMPUTED_VALUE"""),"Courtyard")</f>
        <v>Courtyard</v>
      </c>
      <c r="I432" s="4" t="str">
        <f ca="1">IFERROR(__xludf.DUMMYFUNCTION("""COMPUTED_VALUE"""),"Capex")</f>
        <v>Capex</v>
      </c>
      <c r="J432" s="4" t="str">
        <f ca="1">IFERROR(__xludf.DUMMYFUNCTION("""COMPUTED_VALUE"""),"Hotel TRV - PO1966")</f>
        <v>Hotel TRV - PO1966</v>
      </c>
      <c r="K432" s="4" t="str">
        <f ca="1">IFERROR(__xludf.DUMMYFUNCTION("""COMPUTED_VALUE"""),"N/A")</f>
        <v>N/A</v>
      </c>
      <c r="S432" s="6">
        <v>200</v>
      </c>
      <c r="T432" s="4" t="str">
        <f t="shared" ca="1" si="2"/>
        <v>Jorge Armando Ramirez Perez</v>
      </c>
    </row>
    <row r="433" spans="1:20" ht="12.5">
      <c r="A433" s="4" t="str">
        <f ca="1">IFERROR(__xludf.DUMMYFUNCTION("""COMPUTED_VALUE"""),"TRX1329")</f>
        <v>TRX1329</v>
      </c>
      <c r="B433" s="4" t="str">
        <f ca="1">IFERROR(__xludf.DUMMYFUNCTION("""COMPUTED_VALUE"""),"#52")</f>
        <v>#52</v>
      </c>
      <c r="C433" s="5">
        <f ca="1">IFERROR(__xludf.DUMMYFUNCTION("""COMPUTED_VALUE"""),46062.4166666666)</f>
        <v>46062.416666666599</v>
      </c>
      <c r="D433" s="6">
        <f ca="1">IFERROR(__xludf.DUMMYFUNCTION("""COMPUTED_VALUE"""),885.03)</f>
        <v>885.03</v>
      </c>
      <c r="E433" s="4" t="str">
        <f ca="1">IFERROR(__xludf.DUMMYFUNCTION("""COMPUTED_VALUE"""),"USD")</f>
        <v>USD</v>
      </c>
      <c r="F433" s="4" t="str">
        <f ca="1">IFERROR(__xludf.DUMMYFUNCTION("""COMPUTED_VALUE"""),"Tommaso Rivetti Vinea")</f>
        <v>Tommaso Rivetti Vinea</v>
      </c>
      <c r="G433" s="4" t="str">
        <f ca="1">IFERROR(__xludf.DUMMYFUNCTION("""COMPUTED_VALUE"""),"JIM'S #11              AUSTIN        USA")</f>
        <v>JIM'S #11              AUSTIN        USA</v>
      </c>
      <c r="H433" s="4" t="str">
        <f ca="1">IFERROR(__xludf.DUMMYFUNCTION("""COMPUTED_VALUE"""),"Jim's Austin USA")</f>
        <v>Jim's Austin USA</v>
      </c>
      <c r="I433" s="4" t="str">
        <f ca="1">IFERROR(__xludf.DUMMYFUNCTION("""COMPUTED_VALUE"""),"Capex")</f>
        <v>Capex</v>
      </c>
      <c r="J433" s="4" t="str">
        <f ca="1">IFERROR(__xludf.DUMMYFUNCTION("""COMPUTED_VALUE"""),"Comida TRV - PO1966")</f>
        <v>Comida TRV - PO1966</v>
      </c>
      <c r="K433" s="4" t="str">
        <f ca="1">IFERROR(__xludf.DUMMYFUNCTION("""COMPUTED_VALUE"""),"N/A")</f>
        <v>N/A</v>
      </c>
      <c r="S433" s="6">
        <v>203</v>
      </c>
      <c r="T433" s="4" t="e">
        <f t="shared" ca="1" si="2"/>
        <v>#N/A</v>
      </c>
    </row>
    <row r="434" spans="1:20" ht="12.5">
      <c r="A434" s="4" t="str">
        <f ca="1">IFERROR(__xludf.DUMMYFUNCTION("""COMPUTED_VALUE"""),"TRX1119")</f>
        <v>TRX1119</v>
      </c>
      <c r="B434" s="4" t="str">
        <f ca="1">IFERROR(__xludf.DUMMYFUNCTION("""COMPUTED_VALUE"""),"#52")</f>
        <v>#52</v>
      </c>
      <c r="C434" s="5">
        <f ca="1">IFERROR(__xludf.DUMMYFUNCTION("""COMPUTED_VALUE"""),46066.4166666666)</f>
        <v>46066.416666666599</v>
      </c>
      <c r="D434" s="6">
        <f ca="1">IFERROR(__xludf.DUMMYFUNCTION("""COMPUTED_VALUE"""),64.93)</f>
        <v>64.930000000000007</v>
      </c>
      <c r="E434" s="4" t="str">
        <f ca="1">IFERROR(__xludf.DUMMYFUNCTION("""COMPUTED_VALUE"""),"MXN")</f>
        <v>MXN</v>
      </c>
      <c r="F434" s="4" t="str">
        <f ca="1">IFERROR(__xludf.DUMMYFUNCTION("""COMPUTED_VALUE"""),"Tommaso Rivetti Vinea")</f>
        <v>Tommaso Rivetti Vinea</v>
      </c>
      <c r="G434" s="4" t="str">
        <f ca="1">IFERROR(__xludf.DUMMYFUNCTION("""COMPUTED_VALUE"""),"UBER *TRIP HELP.UBER.C CMX           MEX")</f>
        <v>UBER *TRIP HELP.UBER.C CMX           MEX</v>
      </c>
      <c r="H434" s="4" t="str">
        <f ca="1">IFERROR(__xludf.DUMMYFUNCTION("""COMPUTED_VALUE"""),"Uber")</f>
        <v>Uber</v>
      </c>
      <c r="I434" s="4" t="str">
        <f ca="1">IFERROR(__xludf.DUMMYFUNCTION("""COMPUTED_VALUE"""),"Capex")</f>
        <v>Capex</v>
      </c>
      <c r="J434" s="4" t="str">
        <f ca="1">IFERROR(__xludf.DUMMYFUNCTION("""COMPUTED_VALUE"""),"Uber TRV - PO1966")</f>
        <v>Uber TRV - PO1966</v>
      </c>
      <c r="K434" s="4"/>
      <c r="S434" s="6">
        <v>1018.6</v>
      </c>
      <c r="T434" s="4" t="e">
        <f t="shared" ca="1" si="2"/>
        <v>#N/A</v>
      </c>
    </row>
    <row r="435" spans="1:20" ht="12.5">
      <c r="A435" s="4" t="str">
        <f ca="1">IFERROR(__xludf.DUMMYFUNCTION("""COMPUTED_VALUE"""),"TRX1266")</f>
        <v>TRX1266</v>
      </c>
      <c r="B435" s="4" t="str">
        <f ca="1">IFERROR(__xludf.DUMMYFUNCTION("""COMPUTED_VALUE"""),"#52")</f>
        <v>#52</v>
      </c>
      <c r="C435" s="5">
        <f ca="1">IFERROR(__xludf.DUMMYFUNCTION("""COMPUTED_VALUE"""),46069.4166666666)</f>
        <v>46069.416666666599</v>
      </c>
      <c r="D435" s="6">
        <f ca="1">IFERROR(__xludf.DUMMYFUNCTION("""COMPUTED_VALUE"""),7761)</f>
        <v>7761</v>
      </c>
      <c r="E435" s="4" t="str">
        <f ca="1">IFERROR(__xludf.DUMMYFUNCTION("""COMPUTED_VALUE"""),"MXN")</f>
        <v>MXN</v>
      </c>
      <c r="F435" s="4" t="str">
        <f ca="1">IFERROR(__xludf.DUMMYFUNCTION("""COMPUTED_VALUE"""),"Tommaso Rivetti Vinea")</f>
        <v>Tommaso Rivetti Vinea</v>
      </c>
      <c r="G435" s="4" t="str">
        <f ca="1">IFERROR(__xludf.DUMMYFUNCTION("""COMPUTED_VALUE"""),"AEROMEXICO CC PN       CIUDAD DE MEX MEX")</f>
        <v>AEROMEXICO CC PN       CIUDAD DE MEX MEX</v>
      </c>
      <c r="H435" s="4" t="str">
        <f ca="1">IFERROR(__xludf.DUMMYFUNCTION("""COMPUTED_VALUE"""),"Aeromexico")</f>
        <v>Aeromexico</v>
      </c>
      <c r="I435" s="4" t="str">
        <f ca="1">IFERROR(__xludf.DUMMYFUNCTION("""COMPUTED_VALUE"""),"Capex")</f>
        <v>Capex</v>
      </c>
      <c r="J435" s="4" t="str">
        <f ca="1">IFERROR(__xludf.DUMMYFUNCTION("""COMPUTED_VALUE"""),"Vuelo TRV - PO1066")</f>
        <v>Vuelo TRV - PO1066</v>
      </c>
      <c r="K435" s="4" t="str">
        <f ca="1">IFERROR(__xludf.DUMMYFUNCTION("""COMPUTED_VALUE"""),"F - 1392162943416")</f>
        <v>F - 1392162943416</v>
      </c>
      <c r="S435" s="6">
        <v>1087.6300000000001</v>
      </c>
      <c r="T435" s="4" t="e">
        <f t="shared" ca="1" si="2"/>
        <v>#N/A</v>
      </c>
    </row>
    <row r="436" spans="1:20" ht="12.5">
      <c r="A436" s="4" t="str">
        <f ca="1">IFERROR(__xludf.DUMMYFUNCTION("""COMPUTED_VALUE"""),"TRX1812")</f>
        <v>TRX1812</v>
      </c>
      <c r="B436" s="4" t="str">
        <f ca="1">IFERROR(__xludf.DUMMYFUNCTION("""COMPUTED_VALUE"""),"#52")</f>
        <v>#52</v>
      </c>
      <c r="C436" s="5">
        <f ca="1">IFERROR(__xludf.DUMMYFUNCTION("""COMPUTED_VALUE"""),46069.4166666666)</f>
        <v>46069.416666666599</v>
      </c>
      <c r="D436" s="6">
        <f ca="1">IFERROR(__xludf.DUMMYFUNCTION("""COMPUTED_VALUE"""),5517)</f>
        <v>5517</v>
      </c>
      <c r="E436" s="4" t="str">
        <f ca="1">IFERROR(__xludf.DUMMYFUNCTION("""COMPUTED_VALUE"""),"MXN")</f>
        <v>MXN</v>
      </c>
      <c r="F436" s="4" t="str">
        <f ca="1">IFERROR(__xludf.DUMMYFUNCTION("""COMPUTED_VALUE"""),"Tommaso Rivetti Vinea")</f>
        <v>Tommaso Rivetti Vinea</v>
      </c>
      <c r="G436" s="4" t="str">
        <f ca="1">IFERROR(__xludf.DUMMYFUNCTION("""COMPUTED_VALUE"""),"AEROMEXICO CC PN       CIUDAD DE MEX MEX")</f>
        <v>AEROMEXICO CC PN       CIUDAD DE MEX MEX</v>
      </c>
      <c r="H436" s="4" t="str">
        <f ca="1">IFERROR(__xludf.DUMMYFUNCTION("""COMPUTED_VALUE"""),"Aeromexico")</f>
        <v>Aeromexico</v>
      </c>
      <c r="I436" s="4" t="str">
        <f ca="1">IFERROR(__xludf.DUMMYFUNCTION("""COMPUTED_VALUE"""),"Capex")</f>
        <v>Capex</v>
      </c>
      <c r="J436" s="4" t="str">
        <f ca="1">IFERROR(__xludf.DUMMYFUNCTION("""COMPUTED_VALUE"""),"Vuelo TRV - PO1066")</f>
        <v>Vuelo TRV - PO1066</v>
      </c>
      <c r="K436" s="4" t="str">
        <f ca="1">IFERROR(__xludf.DUMMYFUNCTION("""COMPUTED_VALUE"""),"F - 1392162943288")</f>
        <v>F - 1392162943288</v>
      </c>
      <c r="S436" s="6">
        <v>423.01</v>
      </c>
      <c r="T436" s="4" t="e">
        <f t="shared" ca="1" si="2"/>
        <v>#N/A</v>
      </c>
    </row>
    <row r="437" spans="1:20" ht="12.5">
      <c r="A437" s="4" t="str">
        <f ca="1">IFERROR(__xludf.DUMMYFUNCTION("""COMPUTED_VALUE"""),"TRX1410")</f>
        <v>TRX1410</v>
      </c>
      <c r="B437" s="4" t="str">
        <f ca="1">IFERROR(__xludf.DUMMYFUNCTION("""COMPUTED_VALUE"""),"#52")</f>
        <v>#52</v>
      </c>
      <c r="C437" s="5">
        <f ca="1">IFERROR(__xludf.DUMMYFUNCTION("""COMPUTED_VALUE"""),46071.4166666666)</f>
        <v>46071.416666666599</v>
      </c>
      <c r="D437" s="6">
        <f ca="1">IFERROR(__xludf.DUMMYFUNCTION("""COMPUTED_VALUE"""),369.96)</f>
        <v>369.96</v>
      </c>
      <c r="E437" s="4" t="str">
        <f ca="1">IFERROR(__xludf.DUMMYFUNCTION("""COMPUTED_VALUE"""),"MXN")</f>
        <v>MXN</v>
      </c>
      <c r="F437" s="4" t="str">
        <f ca="1">IFERROR(__xludf.DUMMYFUNCTION("""COMPUTED_VALUE"""),"Tommaso Rivetti Vinea")</f>
        <v>Tommaso Rivetti Vinea</v>
      </c>
      <c r="G437" s="4" t="str">
        <f ca="1">IFERROR(__xludf.DUMMYFUNCTION("""COMPUTED_VALUE"""),"UBER * PENDING         CMX           MEX")</f>
        <v>UBER * PENDING         CMX           MEX</v>
      </c>
      <c r="H437" s="4" t="str">
        <f ca="1">IFERROR(__xludf.DUMMYFUNCTION("""COMPUTED_VALUE"""),"Uber")</f>
        <v>Uber</v>
      </c>
      <c r="I437" s="4" t="str">
        <f ca="1">IFERROR(__xludf.DUMMYFUNCTION("""COMPUTED_VALUE"""),"Capex")</f>
        <v>Capex</v>
      </c>
      <c r="J437" s="4" t="str">
        <f ca="1">IFERROR(__xludf.DUMMYFUNCTION("""COMPUTED_VALUE"""),"Uber TRV - PO1966")</f>
        <v>Uber TRV - PO1966</v>
      </c>
      <c r="K437" s="4"/>
      <c r="S437" s="6">
        <v>243.23</v>
      </c>
      <c r="T437" s="4" t="e">
        <f t="shared" ca="1" si="2"/>
        <v>#N/A</v>
      </c>
    </row>
    <row r="438" spans="1:20" ht="12.5">
      <c r="A438" s="4" t="str">
        <f ca="1">IFERROR(__xludf.DUMMYFUNCTION("""COMPUTED_VALUE"""),"TRX1486")</f>
        <v>TRX1486</v>
      </c>
      <c r="B438" s="4" t="str">
        <f ca="1">IFERROR(__xludf.DUMMYFUNCTION("""COMPUTED_VALUE"""),"#52")</f>
        <v>#52</v>
      </c>
      <c r="C438" s="5">
        <f ca="1">IFERROR(__xludf.DUMMYFUNCTION("""COMPUTED_VALUE"""),46072.4166666666)</f>
        <v>46072.416666666599</v>
      </c>
      <c r="D438" s="6">
        <f ca="1">IFERROR(__xludf.DUMMYFUNCTION("""COMPUTED_VALUE"""),10)</f>
        <v>10</v>
      </c>
      <c r="E438" s="4" t="str">
        <f ca="1">IFERROR(__xludf.DUMMYFUNCTION("""COMPUTED_VALUE"""),"MXN")</f>
        <v>MXN</v>
      </c>
      <c r="F438" s="4" t="str">
        <f ca="1">IFERROR(__xludf.DUMMYFUNCTION("""COMPUTED_VALUE"""),"Tommaso Rivetti Vinea")</f>
        <v>Tommaso Rivetti Vinea</v>
      </c>
      <c r="G438" s="4" t="str">
        <f ca="1">IFERROR(__xludf.DUMMYFUNCTION("""COMPUTED_VALUE"""),"UBER *TRIP HELP.UBER.C CMX           MEX")</f>
        <v>UBER *TRIP HELP.UBER.C CMX           MEX</v>
      </c>
      <c r="H438" s="4" t="str">
        <f ca="1">IFERROR(__xludf.DUMMYFUNCTION("""COMPUTED_VALUE"""),"Uber")</f>
        <v>Uber</v>
      </c>
      <c r="I438" s="4" t="str">
        <f ca="1">IFERROR(__xludf.DUMMYFUNCTION("""COMPUTED_VALUE"""),"Capex")</f>
        <v>Capex</v>
      </c>
      <c r="J438" s="4" t="str">
        <f ca="1">IFERROR(__xludf.DUMMYFUNCTION("""COMPUTED_VALUE"""),"Uber TRV - PO1966")</f>
        <v>Uber TRV - PO1966</v>
      </c>
      <c r="K438" s="4"/>
      <c r="S438" s="6">
        <v>317.26</v>
      </c>
      <c r="T438" s="4" t="e">
        <f t="shared" ca="1" si="2"/>
        <v>#N/A</v>
      </c>
    </row>
    <row r="439" spans="1:20" ht="12.5">
      <c r="A439" s="4" t="str">
        <f ca="1">IFERROR(__xludf.DUMMYFUNCTION("""COMPUTED_VALUE"""),"TRX1440")</f>
        <v>TRX1440</v>
      </c>
      <c r="B439" s="4" t="str">
        <f ca="1">IFERROR(__xludf.DUMMYFUNCTION("""COMPUTED_VALUE"""),"#52")</f>
        <v>#52</v>
      </c>
      <c r="C439" s="5">
        <f ca="1">IFERROR(__xludf.DUMMYFUNCTION("""COMPUTED_VALUE"""),46073.4173611111)</f>
        <v>46073.417361111096</v>
      </c>
      <c r="D439" s="6">
        <f ca="1">IFERROR(__xludf.DUMMYFUNCTION("""COMPUTED_VALUE"""),2644.74)</f>
        <v>2644.74</v>
      </c>
      <c r="E439" s="4" t="str">
        <f ca="1">IFERROR(__xludf.DUMMYFUNCTION("""COMPUTED_VALUE"""),"USD")</f>
        <v>USD</v>
      </c>
      <c r="F439" s="4" t="str">
        <f ca="1">IFERROR(__xludf.DUMMYFUNCTION("""COMPUTED_VALUE"""),"Tommaso Rivetti Vinea")</f>
        <v>Tommaso Rivetti Vinea</v>
      </c>
      <c r="G439" s="4" t="str">
        <f ca="1">IFERROR(__xludf.DUMMYFUNCTION("""COMPUTED_VALUE"""),"VONLANE                DALLAS        USA")</f>
        <v>VONLANE                DALLAS        USA</v>
      </c>
      <c r="H439" s="4" t="str">
        <f ca="1">IFERROR(__xludf.DUMMYFUNCTION("""COMPUTED_VALUE"""),"Vonlane Dallas USA")</f>
        <v>Vonlane Dallas USA</v>
      </c>
      <c r="I439" s="4" t="str">
        <f ca="1">IFERROR(__xludf.DUMMYFUNCTION("""COMPUTED_VALUE"""),"Capex")</f>
        <v>Capex</v>
      </c>
      <c r="J439" s="4" t="str">
        <f ca="1">IFERROR(__xludf.DUMMYFUNCTION("""COMPUTED_VALUE"""),"Bus TEV - PO1966")</f>
        <v>Bus TEV - PO1966</v>
      </c>
      <c r="K439" s="4" t="str">
        <f ca="1">IFERROR(__xludf.DUMMYFUNCTION("""COMPUTED_VALUE"""),"N/A")</f>
        <v>N/A</v>
      </c>
      <c r="S439" s="6">
        <v>14055</v>
      </c>
      <c r="T439" s="4" t="e">
        <f t="shared" ca="1" si="2"/>
        <v>#N/A</v>
      </c>
    </row>
    <row r="440" spans="1:20" ht="12.5">
      <c r="A440" s="4" t="str">
        <f ca="1">IFERROR(__xludf.DUMMYFUNCTION("""COMPUTED_VALUE"""),"TRX1037")</f>
        <v>TRX1037</v>
      </c>
      <c r="B440" s="4" t="str">
        <f ca="1">IFERROR(__xludf.DUMMYFUNCTION("""COMPUTED_VALUE"""),"#52")</f>
        <v>#52</v>
      </c>
      <c r="C440" s="5">
        <f ca="1">IFERROR(__xludf.DUMMYFUNCTION("""COMPUTED_VALUE"""),46073.4173611111)</f>
        <v>46073.417361111096</v>
      </c>
      <c r="D440" s="6">
        <f ca="1">IFERROR(__xludf.DUMMYFUNCTION("""COMPUTED_VALUE"""),1709.48)</f>
        <v>1709.48</v>
      </c>
      <c r="E440" s="4" t="str">
        <f ca="1">IFERROR(__xludf.DUMMYFUNCTION("""COMPUTED_VALUE"""),"USD")</f>
        <v>USD</v>
      </c>
      <c r="F440" s="4" t="str">
        <f ca="1">IFERROR(__xludf.DUMMYFUNCTION("""COMPUTED_VALUE"""),"Tommaso Rivetti Vinea")</f>
        <v>Tommaso Rivetti Vinea</v>
      </c>
      <c r="G440" s="4" t="str">
        <f ca="1">IFERROR(__xludf.DUMMYFUNCTION("""COMPUTED_VALUE"""),"DFW MINORITY BUS DEV C DALLAS        USA")</f>
        <v>DFW MINORITY BUS DEV C DALLAS        USA</v>
      </c>
      <c r="H440" s="4" t="str">
        <f ca="1">IFERROR(__xludf.DUMMYFUNCTION("""COMPUTED_VALUE"""),"Dfw Minority Bus Dev C Dallas USA")</f>
        <v>Dfw Minority Bus Dev C Dallas USA</v>
      </c>
      <c r="I440" s="4" t="str">
        <f ca="1">IFERROR(__xludf.DUMMYFUNCTION("""COMPUTED_VALUE"""),"Capex")</f>
        <v>Capex</v>
      </c>
      <c r="J440" s="4" t="str">
        <f ca="1">IFERROR(__xludf.DUMMYFUNCTION("""COMPUTED_VALUE"""),"Expo GCs Dallas - PO1966")</f>
        <v>Expo GCs Dallas - PO1966</v>
      </c>
      <c r="K440" s="4" t="str">
        <f ca="1">IFERROR(__xludf.DUMMYFUNCTION("""COMPUTED_VALUE"""),"N/A")</f>
        <v>N/A</v>
      </c>
      <c r="S440" s="6">
        <v>322.72000000000003</v>
      </c>
      <c r="T440" s="4" t="e">
        <f t="shared" ca="1" si="2"/>
        <v>#N/A</v>
      </c>
    </row>
    <row r="441" spans="1:20" ht="12.5">
      <c r="A441" s="4" t="str">
        <f ca="1">IFERROR(__xludf.DUMMYFUNCTION("""COMPUTED_VALUE"""),"TRX1039")</f>
        <v>TRX1039</v>
      </c>
      <c r="B441" s="4" t="str">
        <f ca="1">IFERROR(__xludf.DUMMYFUNCTION("""COMPUTED_VALUE"""),"#52")</f>
        <v>#52</v>
      </c>
      <c r="C441" s="5">
        <f ca="1">IFERROR(__xludf.DUMMYFUNCTION("""COMPUTED_VALUE"""),46074.4173611111)</f>
        <v>46074.417361111096</v>
      </c>
      <c r="D441" s="6">
        <f ca="1">IFERROR(__xludf.DUMMYFUNCTION("""COMPUTED_VALUE"""),981.25)</f>
        <v>981.25</v>
      </c>
      <c r="E441" s="4" t="str">
        <f ca="1">IFERROR(__xludf.DUMMYFUNCTION("""COMPUTED_VALUE"""),"USD")</f>
        <v>USD</v>
      </c>
      <c r="F441" s="4" t="str">
        <f ca="1">IFERROR(__xludf.DUMMYFUNCTION("""COMPUTED_VALUE"""),"Tommaso Rivetti Vinea")</f>
        <v>Tommaso Rivetti Vinea</v>
      </c>
      <c r="G441" s="4" t="str">
        <f ca="1">IFERROR(__xludf.DUMMYFUNCTION("""COMPUTED_VALUE"""),"TST*LAYERED            McKinney      USA")</f>
        <v>TST*LAYERED            McKinney      USA</v>
      </c>
      <c r="H441" s="4" t="str">
        <f ca="1">IFERROR(__xludf.DUMMYFUNCTION("""COMPUTED_VALUE"""),"Layered Mckinney USA")</f>
        <v>Layered Mckinney USA</v>
      </c>
      <c r="I441" s="4" t="str">
        <f ca="1">IFERROR(__xludf.DUMMYFUNCTION("""COMPUTED_VALUE"""),"Capex")</f>
        <v>Capex</v>
      </c>
      <c r="J441" s="4" t="str">
        <f ca="1">IFERROR(__xludf.DUMMYFUNCTION("""COMPUTED_VALUE"""),"Comida TRV - PO1966")</f>
        <v>Comida TRV - PO1966</v>
      </c>
      <c r="K441" s="4" t="str">
        <f ca="1">IFERROR(__xludf.DUMMYFUNCTION("""COMPUTED_VALUE"""),"N/A")</f>
        <v>N/A</v>
      </c>
      <c r="S441" s="6">
        <v>104</v>
      </c>
      <c r="T441" s="4" t="str">
        <f t="shared" ca="1" si="2"/>
        <v>Carlos Ivan Gonzalez Merino</v>
      </c>
    </row>
    <row r="442" spans="1:20" ht="12.5">
      <c r="A442" s="4" t="str">
        <f ca="1">IFERROR(__xludf.DUMMYFUNCTION("""COMPUTED_VALUE"""),"TRX1041")</f>
        <v>TRX1041</v>
      </c>
      <c r="B442" s="4" t="str">
        <f ca="1">IFERROR(__xludf.DUMMYFUNCTION("""COMPUTED_VALUE"""),"#52")</f>
        <v>#52</v>
      </c>
      <c r="C442" s="5">
        <f ca="1">IFERROR(__xludf.DUMMYFUNCTION("""COMPUTED_VALUE"""),46074.4180555555)</f>
        <v>46074.418055555499</v>
      </c>
      <c r="D442" s="6">
        <f ca="1">IFERROR(__xludf.DUMMYFUNCTION("""COMPUTED_VALUE"""),5086.9)</f>
        <v>5086.8999999999996</v>
      </c>
      <c r="E442" s="4" t="str">
        <f ca="1">IFERROR(__xludf.DUMMYFUNCTION("""COMPUTED_VALUE"""),"USD")</f>
        <v>USD</v>
      </c>
      <c r="F442" s="4" t="str">
        <f ca="1">IFERROR(__xludf.DUMMYFUNCTION("""COMPUTED_VALUE"""),"Tommaso Rivetti Vinea")</f>
        <v>Tommaso Rivetti Vinea</v>
      </c>
      <c r="G442" s="4" t="str">
        <f ca="1">IFERROR(__xludf.DUMMYFUNCTION("""COMPUTED_VALUE"""),"GRAND HOTEL MCK TX     MCKINNEY      USA")</f>
        <v>GRAND HOTEL MCK TX     MCKINNEY      USA</v>
      </c>
      <c r="H442" s="4" t="str">
        <f ca="1">IFERROR(__xludf.DUMMYFUNCTION("""COMPUTED_VALUE"""),"Grand Hotel Mck Tx Mckinney USA")</f>
        <v>Grand Hotel Mck Tx Mckinney USA</v>
      </c>
      <c r="I442" s="4" t="str">
        <f ca="1">IFERROR(__xludf.DUMMYFUNCTION("""COMPUTED_VALUE"""),"Capex")</f>
        <v>Capex</v>
      </c>
      <c r="J442" s="4" t="str">
        <f ca="1">IFERROR(__xludf.DUMMYFUNCTION("""COMPUTED_VALUE"""),"Hotel TRV - PO1966")</f>
        <v>Hotel TRV - PO1966</v>
      </c>
      <c r="K442" s="4" t="str">
        <f ca="1">IFERROR(__xludf.DUMMYFUNCTION("""COMPUTED_VALUE"""),"N/A")</f>
        <v>N/A</v>
      </c>
      <c r="S442" s="6">
        <v>204.62</v>
      </c>
      <c r="T442" s="4" t="e">
        <f t="shared" ca="1" si="2"/>
        <v>#N/A</v>
      </c>
    </row>
    <row r="443" spans="1:20" ht="12.5">
      <c r="A443" s="4" t="str">
        <f ca="1">IFERROR(__xludf.DUMMYFUNCTION("""COMPUTED_VALUE"""),"TRX1043")</f>
        <v>TRX1043</v>
      </c>
      <c r="B443" s="4" t="str">
        <f ca="1">IFERROR(__xludf.DUMMYFUNCTION("""COMPUTED_VALUE"""),"#52")</f>
        <v>#52</v>
      </c>
      <c r="C443" s="5">
        <f ca="1">IFERROR(__xludf.DUMMYFUNCTION("""COMPUTED_VALUE"""),46074.4180555555)</f>
        <v>46074.418055555499</v>
      </c>
      <c r="D443" s="6">
        <f ca="1">IFERROR(__xludf.DUMMYFUNCTION("""COMPUTED_VALUE"""),791.94)</f>
        <v>791.94</v>
      </c>
      <c r="E443" s="4" t="str">
        <f ca="1">IFERROR(__xludf.DUMMYFUNCTION("""COMPUTED_VALUE"""),"USD")</f>
        <v>USD</v>
      </c>
      <c r="F443" s="4" t="str">
        <f ca="1">IFERROR(__xludf.DUMMYFUNCTION("""COMPUTED_VALUE"""),"Tommaso Rivetti Vinea")</f>
        <v>Tommaso Rivetti Vinea</v>
      </c>
      <c r="G443" s="4" t="str">
        <f ca="1">IFERROR(__xludf.DUMMYFUNCTION("""COMPUTED_VALUE"""),"UBER   * EATS PENDING  SAN FRANCISCO USA")</f>
        <v>UBER   * EATS PENDING  SAN FRANCISCO USA</v>
      </c>
      <c r="H443" s="4" t="str">
        <f ca="1">IFERROR(__xludf.DUMMYFUNCTION("""COMPUTED_VALUE"""),"Uber Eats")</f>
        <v>Uber Eats</v>
      </c>
      <c r="I443" s="4" t="str">
        <f ca="1">IFERROR(__xludf.DUMMYFUNCTION("""COMPUTED_VALUE"""),"Capex")</f>
        <v>Capex</v>
      </c>
      <c r="J443" s="4" t="str">
        <f ca="1">IFERROR(__xludf.DUMMYFUNCTION("""COMPUTED_VALUE"""),"Uber TRV - PO1966")</f>
        <v>Uber TRV - PO1966</v>
      </c>
      <c r="K443" s="4" t="str">
        <f ca="1">IFERROR(__xludf.DUMMYFUNCTION("""COMPUTED_VALUE"""),"N/A")</f>
        <v>N/A</v>
      </c>
      <c r="S443" s="6">
        <v>308</v>
      </c>
      <c r="T443" s="4" t="e">
        <f t="shared" ca="1" si="2"/>
        <v>#N/A</v>
      </c>
    </row>
    <row r="444" spans="1:20" ht="12.5">
      <c r="A444" s="4" t="str">
        <f ca="1">IFERROR(__xludf.DUMMYFUNCTION("""COMPUTED_VALUE"""),"TRX1044")</f>
        <v>TRX1044</v>
      </c>
      <c r="B444" s="4" t="str">
        <f ca="1">IFERROR(__xludf.DUMMYFUNCTION("""COMPUTED_VALUE"""),"#52")</f>
        <v>#52</v>
      </c>
      <c r="C444" s="5">
        <f ca="1">IFERROR(__xludf.DUMMYFUNCTION("""COMPUTED_VALUE"""),46074.4180555555)</f>
        <v>46074.418055555499</v>
      </c>
      <c r="D444" s="6">
        <f ca="1">IFERROR(__xludf.DUMMYFUNCTION("""COMPUTED_VALUE"""),531.88)</f>
        <v>531.88</v>
      </c>
      <c r="E444" s="4" t="str">
        <f ca="1">IFERROR(__xludf.DUMMYFUNCTION("""COMPUTED_VALUE"""),"USD")</f>
        <v>USD</v>
      </c>
      <c r="F444" s="4" t="str">
        <f ca="1">IFERROR(__xludf.DUMMYFUNCTION("""COMPUTED_VALUE"""),"Tommaso Rivetti Vinea")</f>
        <v>Tommaso Rivetti Vinea</v>
      </c>
      <c r="G444" s="4" t="str">
        <f ca="1">IFERROR(__xludf.DUMMYFUNCTION("""COMPUTED_VALUE"""),"UBER   * EATS PENDING  SAN FRANCISCO USA")</f>
        <v>UBER   * EATS PENDING  SAN FRANCISCO USA</v>
      </c>
      <c r="H444" s="4" t="str">
        <f ca="1">IFERROR(__xludf.DUMMYFUNCTION("""COMPUTED_VALUE"""),"Uber Eats")</f>
        <v>Uber Eats</v>
      </c>
      <c r="I444" s="4" t="str">
        <f ca="1">IFERROR(__xludf.DUMMYFUNCTION("""COMPUTED_VALUE"""),"Capex")</f>
        <v>Capex</v>
      </c>
      <c r="J444" s="4" t="str">
        <f ca="1">IFERROR(__xludf.DUMMYFUNCTION("""COMPUTED_VALUE"""),"Uber TRV - PO1966")</f>
        <v>Uber TRV - PO1966</v>
      </c>
      <c r="K444" s="4" t="str">
        <f ca="1">IFERROR(__xludf.DUMMYFUNCTION("""COMPUTED_VALUE"""),"N/A")</f>
        <v>N/A</v>
      </c>
      <c r="S444" s="6">
        <v>206.17</v>
      </c>
      <c r="T444" s="4" t="e">
        <f t="shared" ca="1" si="2"/>
        <v>#N/A</v>
      </c>
    </row>
    <row r="445" spans="1:20" ht="12.5">
      <c r="A445" s="4" t="str">
        <f ca="1">IFERROR(__xludf.DUMMYFUNCTION("""COMPUTED_VALUE"""),"TRX1045")</f>
        <v>TRX1045</v>
      </c>
      <c r="B445" s="4" t="str">
        <f ca="1">IFERROR(__xludf.DUMMYFUNCTION("""COMPUTED_VALUE"""),"#52")</f>
        <v>#52</v>
      </c>
      <c r="C445" s="5">
        <f ca="1">IFERROR(__xludf.DUMMYFUNCTION("""COMPUTED_VALUE"""),46074.4180555555)</f>
        <v>46074.418055555499</v>
      </c>
      <c r="D445" s="6">
        <f ca="1">IFERROR(__xludf.DUMMYFUNCTION("""COMPUTED_VALUE"""),96.45)</f>
        <v>96.45</v>
      </c>
      <c r="E445" s="4" t="str">
        <f ca="1">IFERROR(__xludf.DUMMYFUNCTION("""COMPUTED_VALUE"""),"USD")</f>
        <v>USD</v>
      </c>
      <c r="F445" s="4" t="str">
        <f ca="1">IFERROR(__xludf.DUMMYFUNCTION("""COMPUTED_VALUE"""),"Tommaso Rivetti Vinea")</f>
        <v>Tommaso Rivetti Vinea</v>
      </c>
      <c r="G445" s="4" t="str">
        <f ca="1">IFERROR(__xludf.DUMMYFUNCTION("""COMPUTED_VALUE"""),"HILTON FORT WORTH FB   FORT WORTH    USA")</f>
        <v>HILTON FORT WORTH FB   FORT WORTH    USA</v>
      </c>
      <c r="H445" s="4" t="str">
        <f ca="1">IFERROR(__xludf.DUMMYFUNCTION("""COMPUTED_VALUE"""),"Hilton Fort Worth Fb Fort Worth USA")</f>
        <v>Hilton Fort Worth Fb Fort Worth USA</v>
      </c>
      <c r="I445" s="4" t="str">
        <f ca="1">IFERROR(__xludf.DUMMYFUNCTION("""COMPUTED_VALUE"""),"Capex")</f>
        <v>Capex</v>
      </c>
      <c r="J445" s="4" t="str">
        <f ca="1">IFERROR(__xludf.DUMMYFUNCTION("""COMPUTED_VALUE"""),"Comida TRV - PO1966")</f>
        <v>Comida TRV - PO1966</v>
      </c>
      <c r="K445" s="4" t="str">
        <f ca="1">IFERROR(__xludf.DUMMYFUNCTION("""COMPUTED_VALUE"""),"N/A")</f>
        <v>N/A</v>
      </c>
      <c r="S445" s="6">
        <v>357.18</v>
      </c>
      <c r="T445" s="4" t="e">
        <f t="shared" ca="1" si="2"/>
        <v>#N/A</v>
      </c>
    </row>
    <row r="446" spans="1:20" ht="12.5">
      <c r="A446" s="4" t="str">
        <f ca="1">IFERROR(__xludf.DUMMYFUNCTION("""COMPUTED_VALUE"""),"TRX1046")</f>
        <v>TRX1046</v>
      </c>
      <c r="B446" s="4" t="str">
        <f ca="1">IFERROR(__xludf.DUMMYFUNCTION("""COMPUTED_VALUE"""),"#52")</f>
        <v>#52</v>
      </c>
      <c r="C446" s="5">
        <f ca="1">IFERROR(__xludf.DUMMYFUNCTION("""COMPUTED_VALUE"""),46074.4180555555)</f>
        <v>46074.418055555499</v>
      </c>
      <c r="D446" s="6">
        <f ca="1">IFERROR(__xludf.DUMMYFUNCTION("""COMPUTED_VALUE"""),215.22)</f>
        <v>215.22</v>
      </c>
      <c r="E446" s="4" t="str">
        <f ca="1">IFERROR(__xludf.DUMMYFUNCTION("""COMPUTED_VALUE"""),"USD")</f>
        <v>USD</v>
      </c>
      <c r="F446" s="4" t="str">
        <f ca="1">IFERROR(__xludf.DUMMYFUNCTION("""COMPUTED_VALUE"""),"Tommaso Rivetti Vinea")</f>
        <v>Tommaso Rivetti Vinea</v>
      </c>
      <c r="G446" s="4" t="str">
        <f ca="1">IFERROR(__xludf.DUMMYFUNCTION("""COMPUTED_VALUE"""),"UBER   * PENDING       SAN FRANCISCO USA")</f>
        <v>UBER   * PENDING       SAN FRANCISCO USA</v>
      </c>
      <c r="H446" s="4" t="str">
        <f ca="1">IFERROR(__xludf.DUMMYFUNCTION("""COMPUTED_VALUE"""),"Uber")</f>
        <v>Uber</v>
      </c>
      <c r="I446" s="4" t="str">
        <f ca="1">IFERROR(__xludf.DUMMYFUNCTION("""COMPUTED_VALUE"""),"Capex")</f>
        <v>Capex</v>
      </c>
      <c r="J446" s="4" t="str">
        <f ca="1">IFERROR(__xludf.DUMMYFUNCTION("""COMPUTED_VALUE"""),"Uber TRV - PO1966")</f>
        <v>Uber TRV - PO1966</v>
      </c>
      <c r="K446" s="4" t="str">
        <f ca="1">IFERROR(__xludf.DUMMYFUNCTION("""COMPUTED_VALUE"""),"N/A")</f>
        <v>N/A</v>
      </c>
      <c r="S446" s="6">
        <v>2085</v>
      </c>
      <c r="T446" s="4" t="e">
        <f t="shared" ca="1" si="2"/>
        <v>#N/A</v>
      </c>
    </row>
    <row r="447" spans="1:20" ht="12.5">
      <c r="A447" s="4" t="str">
        <f ca="1">IFERROR(__xludf.DUMMYFUNCTION("""COMPUTED_VALUE"""),"TRX1055")</f>
        <v>TRX1055</v>
      </c>
      <c r="B447" s="4" t="str">
        <f ca="1">IFERROR(__xludf.DUMMYFUNCTION("""COMPUTED_VALUE"""),"#52")</f>
        <v>#52</v>
      </c>
      <c r="C447" s="5">
        <f ca="1">IFERROR(__xludf.DUMMYFUNCTION("""COMPUTED_VALUE"""),46075.4166666666)</f>
        <v>46075.416666666599</v>
      </c>
      <c r="D447" s="6">
        <f ca="1">IFERROR(__xludf.DUMMYFUNCTION("""COMPUTED_VALUE"""),10)</f>
        <v>10</v>
      </c>
      <c r="E447" s="4" t="str">
        <f ca="1">IFERROR(__xludf.DUMMYFUNCTION("""COMPUTED_VALUE"""),"MXN")</f>
        <v>MXN</v>
      </c>
      <c r="F447" s="4" t="str">
        <f ca="1">IFERROR(__xludf.DUMMYFUNCTION("""COMPUTED_VALUE"""),"Tommaso Rivetti Vinea")</f>
        <v>Tommaso Rivetti Vinea</v>
      </c>
      <c r="G447" s="4" t="str">
        <f ca="1">IFERROR(__xludf.DUMMYFUNCTION("""COMPUTED_VALUE"""),"UBER *TRIP HELP.UBER.C CMX           MEX")</f>
        <v>UBER *TRIP HELP.UBER.C CMX           MEX</v>
      </c>
      <c r="H447" s="4" t="str">
        <f ca="1">IFERROR(__xludf.DUMMYFUNCTION("""COMPUTED_VALUE"""),"Uber")</f>
        <v>Uber</v>
      </c>
      <c r="I447" s="4" t="str">
        <f ca="1">IFERROR(__xludf.DUMMYFUNCTION("""COMPUTED_VALUE"""),"Capex")</f>
        <v>Capex</v>
      </c>
      <c r="J447" s="4" t="str">
        <f ca="1">IFERROR(__xludf.DUMMYFUNCTION("""COMPUTED_VALUE"""),"Uber TRV - PO1966")</f>
        <v>Uber TRV - PO1966</v>
      </c>
      <c r="K447" s="4" t="str">
        <f ca="1">IFERROR(__xludf.DUMMYFUNCTION("""COMPUTED_VALUE"""),"KEHAAZ-I-0000442")</f>
        <v>KEHAAZ-I-0000442</v>
      </c>
      <c r="S447" s="6">
        <v>41</v>
      </c>
      <c r="T447" s="4" t="e">
        <f t="shared" ca="1" si="2"/>
        <v>#N/A</v>
      </c>
    </row>
    <row r="448" spans="1:20" ht="12.5">
      <c r="A448" s="4" t="str">
        <f ca="1">IFERROR(__xludf.DUMMYFUNCTION("""COMPUTED_VALUE"""),"TRX1057")</f>
        <v>TRX1057</v>
      </c>
      <c r="B448" s="4" t="str">
        <f ca="1">IFERROR(__xludf.DUMMYFUNCTION("""COMPUTED_VALUE"""),"#52")</f>
        <v>#52</v>
      </c>
      <c r="C448" s="5">
        <f ca="1">IFERROR(__xludf.DUMMYFUNCTION("""COMPUTED_VALUE"""),46075.4166666666)</f>
        <v>46075.416666666599</v>
      </c>
      <c r="D448" s="6">
        <f ca="1">IFERROR(__xludf.DUMMYFUNCTION("""COMPUTED_VALUE"""),599.94)</f>
        <v>599.94000000000005</v>
      </c>
      <c r="E448" s="4" t="str">
        <f ca="1">IFERROR(__xludf.DUMMYFUNCTION("""COMPUTED_VALUE"""),"MXN")</f>
        <v>MXN</v>
      </c>
      <c r="F448" s="4" t="str">
        <f ca="1">IFERROR(__xludf.DUMMYFUNCTION("""COMPUTED_VALUE"""),"Tommaso Rivetti Vinea")</f>
        <v>Tommaso Rivetti Vinea</v>
      </c>
      <c r="G448" s="4" t="str">
        <f ca="1">IFERROR(__xludf.DUMMYFUNCTION("""COMPUTED_VALUE"""),"UBER * PENDING         CMX           MEX")</f>
        <v>UBER * PENDING         CMX           MEX</v>
      </c>
      <c r="H448" s="4" t="str">
        <f ca="1">IFERROR(__xludf.DUMMYFUNCTION("""COMPUTED_VALUE"""),"Uber")</f>
        <v>Uber</v>
      </c>
      <c r="I448" s="4" t="str">
        <f ca="1">IFERROR(__xludf.DUMMYFUNCTION("""COMPUTED_VALUE"""),"Capex")</f>
        <v>Capex</v>
      </c>
      <c r="J448" s="4" t="str">
        <f ca="1">IFERROR(__xludf.DUMMYFUNCTION("""COMPUTED_VALUE"""),"Uber TRV - PO1966")</f>
        <v>Uber TRV - PO1966</v>
      </c>
      <c r="K448" s="4" t="str">
        <f ca="1">IFERROR(__xludf.DUMMYFUNCTION("""COMPUTED_VALUE"""),"KEHAAZ-I-0000442")</f>
        <v>KEHAAZ-I-0000442</v>
      </c>
      <c r="S448" s="6">
        <v>634.29999999999995</v>
      </c>
      <c r="T448" s="4" t="e">
        <f t="shared" ca="1" si="2"/>
        <v>#N/A</v>
      </c>
    </row>
    <row r="449" spans="1:20" ht="12.5">
      <c r="A449" s="4" t="str">
        <f ca="1">IFERROR(__xludf.DUMMYFUNCTION("""COMPUTED_VALUE"""),"TRX1090")</f>
        <v>TRX1090</v>
      </c>
      <c r="B449" s="4" t="str">
        <f ca="1">IFERROR(__xludf.DUMMYFUNCTION("""COMPUTED_VALUE"""),"#52")</f>
        <v>#52</v>
      </c>
      <c r="C449" s="5">
        <f ca="1">IFERROR(__xludf.DUMMYFUNCTION("""COMPUTED_VALUE"""),46075.4173611111)</f>
        <v>46075.417361111096</v>
      </c>
      <c r="D449" s="6">
        <f ca="1">IFERROR(__xludf.DUMMYFUNCTION("""COMPUTED_VALUE"""),55.49)</f>
        <v>55.49</v>
      </c>
      <c r="E449" s="4" t="str">
        <f ca="1">IFERROR(__xludf.DUMMYFUNCTION("""COMPUTED_VALUE"""),"USD")</f>
        <v>USD</v>
      </c>
      <c r="F449" s="4" t="str">
        <f ca="1">IFERROR(__xludf.DUMMYFUNCTION("""COMPUTED_VALUE"""),"Tommaso Rivetti Vinea")</f>
        <v>Tommaso Rivetti Vinea</v>
      </c>
      <c r="G449" s="4" t="str">
        <f ca="1">IFERROR(__xludf.DUMMYFUNCTION("""COMPUTED_VALUE"""),"UBER   *TRIP           SAN FRANCISCO USA")</f>
        <v>UBER   *TRIP           SAN FRANCISCO USA</v>
      </c>
      <c r="H449" s="4" t="str">
        <f ca="1">IFERROR(__xludf.DUMMYFUNCTION("""COMPUTED_VALUE"""),"Uber")</f>
        <v>Uber</v>
      </c>
      <c r="I449" s="4" t="str">
        <f ca="1">IFERROR(__xludf.DUMMYFUNCTION("""COMPUTED_VALUE"""),"Capex")</f>
        <v>Capex</v>
      </c>
      <c r="J449" s="4" t="str">
        <f ca="1">IFERROR(__xludf.DUMMYFUNCTION("""COMPUTED_VALUE"""),"Uber TRV - PO1966")</f>
        <v>Uber TRV - PO1966</v>
      </c>
      <c r="K449" s="4" t="str">
        <f ca="1">IFERROR(__xludf.DUMMYFUNCTION("""COMPUTED_VALUE"""),"N/A")</f>
        <v>N/A</v>
      </c>
      <c r="S449" s="6">
        <v>165</v>
      </c>
      <c r="T449" s="4" t="str">
        <f t="shared" ca="1" si="2"/>
        <v>Carlos Ivan Gonzalez Merino</v>
      </c>
    </row>
    <row r="450" spans="1:20" ht="12.5">
      <c r="A450" s="4" t="str">
        <f ca="1">IFERROR(__xludf.DUMMYFUNCTION("""COMPUTED_VALUE"""),"TRX1091")</f>
        <v>TRX1091</v>
      </c>
      <c r="B450" s="4" t="str">
        <f ca="1">IFERROR(__xludf.DUMMYFUNCTION("""COMPUTED_VALUE"""),"#52")</f>
        <v>#52</v>
      </c>
      <c r="C450" s="5">
        <f ca="1">IFERROR(__xludf.DUMMYFUNCTION("""COMPUTED_VALUE"""),46075.4173611111)</f>
        <v>46075.417361111096</v>
      </c>
      <c r="D450" s="6">
        <f ca="1">IFERROR(__xludf.DUMMYFUNCTION("""COMPUTED_VALUE"""),580.01)</f>
        <v>580.01</v>
      </c>
      <c r="E450" s="4" t="str">
        <f ca="1">IFERROR(__xludf.DUMMYFUNCTION("""COMPUTED_VALUE"""),"USD")</f>
        <v>USD</v>
      </c>
      <c r="F450" s="4" t="str">
        <f ca="1">IFERROR(__xludf.DUMMYFUNCTION("""COMPUTED_VALUE"""),"Tommaso Rivetti Vinea")</f>
        <v>Tommaso Rivetti Vinea</v>
      </c>
      <c r="G450" s="4" t="str">
        <f ca="1">IFERROR(__xludf.DUMMYFUNCTION("""COMPUTED_VALUE"""),"UBER   *TRIP           SAN FRANCISCO USA")</f>
        <v>UBER   *TRIP           SAN FRANCISCO USA</v>
      </c>
      <c r="H450" s="4" t="str">
        <f ca="1">IFERROR(__xludf.DUMMYFUNCTION("""COMPUTED_VALUE"""),"Uber")</f>
        <v>Uber</v>
      </c>
      <c r="I450" s="4" t="str">
        <f ca="1">IFERROR(__xludf.DUMMYFUNCTION("""COMPUTED_VALUE"""),"Capex")</f>
        <v>Capex</v>
      </c>
      <c r="J450" s="4" t="str">
        <f ca="1">IFERROR(__xludf.DUMMYFUNCTION("""COMPUTED_VALUE"""),"Uber TRV - PO1966")</f>
        <v>Uber TRV - PO1966</v>
      </c>
      <c r="K450" s="4" t="str">
        <f ca="1">IFERROR(__xludf.DUMMYFUNCTION("""COMPUTED_VALUE"""),"N/A")</f>
        <v>N/A</v>
      </c>
      <c r="S450" s="6">
        <v>299</v>
      </c>
      <c r="T450" s="4" t="str">
        <f t="shared" ca="1" si="2"/>
        <v>Jorge Rojas</v>
      </c>
    </row>
    <row r="451" spans="1:20" ht="12.5">
      <c r="A451" s="4" t="str">
        <f ca="1">IFERROR(__xludf.DUMMYFUNCTION("""COMPUTED_VALUE"""),"TRX1102")</f>
        <v>TRX1102</v>
      </c>
      <c r="B451" s="4" t="str">
        <f ca="1">IFERROR(__xludf.DUMMYFUNCTION("""COMPUTED_VALUE"""),"#52")</f>
        <v>#52</v>
      </c>
      <c r="C451" s="5">
        <f ca="1">IFERROR(__xludf.DUMMYFUNCTION("""COMPUTED_VALUE"""),46076.4166666666)</f>
        <v>46076.416666666599</v>
      </c>
      <c r="D451" s="6">
        <f ca="1">IFERROR(__xludf.DUMMYFUNCTION("""COMPUTED_VALUE"""),2268.4)</f>
        <v>2268.4</v>
      </c>
      <c r="E451" s="4" t="str">
        <f ca="1">IFERROR(__xludf.DUMMYFUNCTION("""COMPUTED_VALUE"""),"USD")</f>
        <v>USD</v>
      </c>
      <c r="F451" s="4" t="str">
        <f ca="1">IFERROR(__xludf.DUMMYFUNCTION("""COMPUTED_VALUE"""),"Tommaso Rivetti Vinea")</f>
        <v>Tommaso Rivetti Vinea</v>
      </c>
      <c r="G451" s="4" t="str">
        <f ca="1">IFERROR(__xludf.DUMMYFUNCTION("""COMPUTED_VALUE"""),"FAIRFIELD INN &amp; SUIT   AUSTIN        USA")</f>
        <v>FAIRFIELD INN &amp; SUIT   AUSTIN        USA</v>
      </c>
      <c r="H451" s="4" t="str">
        <f ca="1">IFERROR(__xludf.DUMMYFUNCTION("""COMPUTED_VALUE"""),"Fairfield Inn Suites")</f>
        <v>Fairfield Inn Suites</v>
      </c>
      <c r="I451" s="4" t="str">
        <f ca="1">IFERROR(__xludf.DUMMYFUNCTION("""COMPUTED_VALUE"""),"Capex")</f>
        <v>Capex</v>
      </c>
      <c r="J451" s="4" t="str">
        <f ca="1">IFERROR(__xludf.DUMMYFUNCTION("""COMPUTED_VALUE"""),"Uber TRV - PO1966")</f>
        <v>Uber TRV - PO1966</v>
      </c>
      <c r="K451" s="4" t="str">
        <f ca="1">IFERROR(__xludf.DUMMYFUNCTION("""COMPUTED_VALUE"""),"N/A")</f>
        <v>N/A</v>
      </c>
      <c r="S451" s="6">
        <v>322</v>
      </c>
      <c r="T451" s="4" t="e">
        <f t="shared" ca="1" si="2"/>
        <v>#N/A</v>
      </c>
    </row>
    <row r="452" spans="1:20" ht="12.5">
      <c r="A452" s="4" t="str">
        <f ca="1">IFERROR(__xludf.DUMMYFUNCTION("""COMPUTED_VALUE"""),"TRX1114")</f>
        <v>TRX1114</v>
      </c>
      <c r="B452" s="4" t="str">
        <f ca="1">IFERROR(__xludf.DUMMYFUNCTION("""COMPUTED_VALUE"""),"#53")</f>
        <v>#53</v>
      </c>
      <c r="C452" s="7">
        <f ca="1">IFERROR(__xludf.DUMMYFUNCTION("""COMPUTED_VALUE"""),46077)</f>
        <v>46077</v>
      </c>
      <c r="D452" s="6">
        <f ca="1">IFERROR(__xludf.DUMMYFUNCTION("""COMPUTED_VALUE"""),4269)</f>
        <v>4269</v>
      </c>
      <c r="E452" s="4" t="str">
        <f ca="1">IFERROR(__xludf.DUMMYFUNCTION("""COMPUTED_VALUE"""),"MXN")</f>
        <v>MXN</v>
      </c>
      <c r="F452" s="4" t="str">
        <f ca="1">IFERROR(__xludf.DUMMYFUNCTION("""COMPUTED_VALUE"""),"Monserrat Benitez")</f>
        <v>Monserrat Benitez</v>
      </c>
      <c r="G452" s="4" t="str">
        <f ca="1">IFERROR(__xludf.DUMMYFUNCTION("""COMPUTED_VALUE"""),"PPROMEX*LINKEDIN       CIUDAD DE MEX MEX")</f>
        <v>PPROMEX*LINKEDIN       CIUDAD DE MEX MEX</v>
      </c>
      <c r="H452" s="4" t="str">
        <f ca="1">IFERROR(__xludf.DUMMYFUNCTION("""COMPUTED_VALUE"""),"Linkedin")</f>
        <v>Linkedin</v>
      </c>
      <c r="I452" s="4" t="str">
        <f ca="1">IFERROR(__xludf.DUMMYFUNCTION("""COMPUTED_VALUE"""),"G&amp;A expenses")</f>
        <v>G&amp;A expenses</v>
      </c>
      <c r="J452" s="4" t="str">
        <f ca="1">IFERROR(__xludf.DUMMYFUNCTION("""COMPUTED_VALUE"""),"LinkedIn Premium")</f>
        <v>LinkedIn Premium</v>
      </c>
      <c r="K452" s="4" t="str">
        <f ca="1">IFERROR(__xludf.DUMMYFUNCTION("""COMPUTED_VALUE"""),"1392148662342, 1392148662343, 1392148662344, 1392148662345, 1392148662346")</f>
        <v>1392148662342, 1392148662343, 1392148662344, 1392148662345, 1392148662346</v>
      </c>
      <c r="S452" s="6">
        <v>366.82</v>
      </c>
      <c r="T452" s="4" t="e">
        <f t="shared" ca="1" si="2"/>
        <v>#N/A</v>
      </c>
    </row>
    <row r="453" spans="1:20" ht="12.5">
      <c r="A453" s="4" t="str">
        <f ca="1">IFERROR(__xludf.DUMMYFUNCTION("""COMPUTED_VALUE"""),"TRX1247")</f>
        <v>TRX1247</v>
      </c>
      <c r="B453" s="4" t="str">
        <f ca="1">IFERROR(__xludf.DUMMYFUNCTION("""COMPUTED_VALUE"""),"#55")</f>
        <v>#55</v>
      </c>
      <c r="C453" s="5">
        <f ca="1">IFERROR(__xludf.DUMMYFUNCTION("""COMPUTED_VALUE"""),46058.4166666666)</f>
        <v>46058.416666666599</v>
      </c>
      <c r="D453" s="6">
        <f ca="1">IFERROR(__xludf.DUMMYFUNCTION("""COMPUTED_VALUE"""),147.93)</f>
        <v>147.93</v>
      </c>
      <c r="E453" s="4" t="str">
        <f ca="1">IFERROR(__xludf.DUMMYFUNCTION("""COMPUTED_VALUE"""),"MXN")</f>
        <v>MXN</v>
      </c>
      <c r="F453" s="4" t="str">
        <f ca="1">IFERROR(__xludf.DUMMYFUNCTION("""COMPUTED_VALUE"""),"Gerardo Madrid")</f>
        <v>Gerardo Madrid</v>
      </c>
      <c r="G453" s="4" t="str">
        <f ca="1">IFERROR(__xludf.DUMMYFUNCTION("""COMPUTED_VALUE"""),"UBER *TRIP HELP.UBER.C CMX           MEX")</f>
        <v>UBER *TRIP HELP.UBER.C CMX           MEX</v>
      </c>
      <c r="H453" s="4" t="str">
        <f ca="1">IFERROR(__xludf.DUMMYFUNCTION("""COMPUTED_VALUE"""),"Uber")</f>
        <v>Uber</v>
      </c>
      <c r="I453" s="4" t="str">
        <f ca="1">IFERROR(__xludf.DUMMYFUNCTION("""COMPUTED_VALUE"""),"Sales")</f>
        <v>Sales</v>
      </c>
      <c r="J453" s="4"/>
      <c r="K453" s="4"/>
      <c r="S453" s="6">
        <v>1204.23</v>
      </c>
      <c r="T453" s="4" t="e">
        <f t="shared" ca="1" si="2"/>
        <v>#N/A</v>
      </c>
    </row>
    <row r="454" spans="1:20" ht="12.5">
      <c r="A454" s="4" t="str">
        <f ca="1">IFERROR(__xludf.DUMMYFUNCTION("""COMPUTED_VALUE"""),"TRX1199")</f>
        <v>TRX1199</v>
      </c>
      <c r="B454" s="4" t="str">
        <f ca="1">IFERROR(__xludf.DUMMYFUNCTION("""COMPUTED_VALUE"""),"#55")</f>
        <v>#55</v>
      </c>
      <c r="C454" s="5">
        <f ca="1">IFERROR(__xludf.DUMMYFUNCTION("""COMPUTED_VALUE"""),46058.4173611111)</f>
        <v>46058.417361111096</v>
      </c>
      <c r="D454" s="6">
        <f ca="1">IFERROR(__xludf.DUMMYFUNCTION("""COMPUTED_VALUE"""),210)</f>
        <v>210</v>
      </c>
      <c r="E454" s="4" t="str">
        <f ca="1">IFERROR(__xludf.DUMMYFUNCTION("""COMPUTED_VALUE"""),"MXN")</f>
        <v>MXN</v>
      </c>
      <c r="F454" s="4" t="str">
        <f ca="1">IFERROR(__xludf.DUMMYFUNCTION("""COMPUTED_VALUE"""),"Gerardo Madrid")</f>
        <v>Gerardo Madrid</v>
      </c>
      <c r="G454" s="4" t="str">
        <f ca="1">IFERROR(__xludf.DUMMYFUNCTION("""COMPUTED_VALUE"""),"FIX EL CERRITO         CUAUTITLAN IZ MEX")</f>
        <v>FIX EL CERRITO         CUAUTITLAN IZ MEX</v>
      </c>
      <c r="H454" s="4" t="str">
        <f ca="1">IFERROR(__xludf.DUMMYFUNCTION("""COMPUTED_VALUE"""),"Fix El Cerrito Cuautitlan Iz Mex")</f>
        <v>Fix El Cerrito Cuautitlan Iz Mex</v>
      </c>
      <c r="I454" s="4" t="str">
        <f ca="1">IFERROR(__xludf.DUMMYFUNCTION("""COMPUTED_VALUE"""),"Sales")</f>
        <v>Sales</v>
      </c>
      <c r="J454" s="4"/>
      <c r="K454" s="4"/>
      <c r="S454" s="6">
        <v>1160.05</v>
      </c>
      <c r="T454" s="4" t="e">
        <f t="shared" ca="1" si="2"/>
        <v>#N/A</v>
      </c>
    </row>
    <row r="455" spans="1:20" ht="12.5">
      <c r="A455" s="4" t="str">
        <f ca="1">IFERROR(__xludf.DUMMYFUNCTION("""COMPUTED_VALUE"""),"TRX1167")</f>
        <v>TRX1167</v>
      </c>
      <c r="B455" s="4" t="str">
        <f ca="1">IFERROR(__xludf.DUMMYFUNCTION("""COMPUTED_VALUE"""),"#55")</f>
        <v>#55</v>
      </c>
      <c r="C455" s="5">
        <f ca="1">IFERROR(__xludf.DUMMYFUNCTION("""COMPUTED_VALUE"""),46059.4166666666)</f>
        <v>46059.416666666599</v>
      </c>
      <c r="D455" s="6">
        <f ca="1">IFERROR(__xludf.DUMMYFUNCTION("""COMPUTED_VALUE"""),2377.29)</f>
        <v>2377.29</v>
      </c>
      <c r="E455" s="4" t="str">
        <f ca="1">IFERROR(__xludf.DUMMYFUNCTION("""COMPUTED_VALUE"""),"MXN")</f>
        <v>MXN</v>
      </c>
      <c r="F455" s="4" t="str">
        <f ca="1">IFERROR(__xludf.DUMMYFUNCTION("""COMPUTED_VALUE"""),"Gerardo Madrid")</f>
        <v>Gerardo Madrid</v>
      </c>
      <c r="G455" s="4" t="str">
        <f ca="1">IFERROR(__xludf.DUMMYFUNCTION("""COMPUTED_VALUE"""),"Amazon Mexico          CMX           MEX")</f>
        <v>Amazon Mexico          CMX           MEX</v>
      </c>
      <c r="H455" s="4" t="str">
        <f ca="1">IFERROR(__xludf.DUMMYFUNCTION("""COMPUTED_VALUE"""),"Amazon")</f>
        <v>Amazon</v>
      </c>
      <c r="I455" s="4" t="str">
        <f ca="1">IFERROR(__xludf.DUMMYFUNCTION("""COMPUTED_VALUE"""),"Sales")</f>
        <v>Sales</v>
      </c>
      <c r="J455" s="4"/>
      <c r="K455" s="4"/>
      <c r="S455" s="6">
        <v>11</v>
      </c>
      <c r="T455" s="4" t="e">
        <f t="shared" ca="1" si="2"/>
        <v>#N/A</v>
      </c>
    </row>
    <row r="456" spans="1:20" ht="12.5">
      <c r="A456" s="4" t="str">
        <f ca="1">IFERROR(__xludf.DUMMYFUNCTION("""COMPUTED_VALUE"""),"TRX1672")</f>
        <v>TRX1672</v>
      </c>
      <c r="B456" s="4" t="str">
        <f ca="1">IFERROR(__xludf.DUMMYFUNCTION("""COMPUTED_VALUE"""),"#55")</f>
        <v>#55</v>
      </c>
      <c r="C456" s="5">
        <f ca="1">IFERROR(__xludf.DUMMYFUNCTION("""COMPUTED_VALUE"""),46060.4173611111)</f>
        <v>46060.417361111096</v>
      </c>
      <c r="D456" s="6">
        <f ca="1">IFERROR(__xludf.DUMMYFUNCTION("""COMPUTED_VALUE"""),998.02)</f>
        <v>998.02</v>
      </c>
      <c r="E456" s="4" t="str">
        <f ca="1">IFERROR(__xludf.DUMMYFUNCTION("""COMPUTED_VALUE"""),"MXN")</f>
        <v>MXN</v>
      </c>
      <c r="F456" s="4" t="str">
        <f ca="1">IFERROR(__xludf.DUMMYFUNCTION("""COMPUTED_VALUE"""),"Gerardo Madrid")</f>
        <v>Gerardo Madrid</v>
      </c>
      <c r="G456" s="4" t="str">
        <f ca="1">IFERROR(__xludf.DUMMYFUNCTION("""COMPUTED_VALUE"""),"ELECT STEREN           CIUDAD DE MEX MEX")</f>
        <v>ELECT STEREN           CIUDAD DE MEX MEX</v>
      </c>
      <c r="H456" s="4" t="str">
        <f ca="1">IFERROR(__xludf.DUMMYFUNCTION("""COMPUTED_VALUE"""),"Elect Steren Ciudad De Mex Mex")</f>
        <v>Elect Steren Ciudad De Mex Mex</v>
      </c>
      <c r="I456" s="4" t="str">
        <f ca="1">IFERROR(__xludf.DUMMYFUNCTION("""COMPUTED_VALUE"""),"Sales")</f>
        <v>Sales</v>
      </c>
      <c r="J456" s="4"/>
      <c r="K456" s="4"/>
      <c r="S456" s="6">
        <v>39.92</v>
      </c>
      <c r="T456" s="4" t="e">
        <f t="shared" ca="1" si="2"/>
        <v>#N/A</v>
      </c>
    </row>
    <row r="457" spans="1:20" ht="12.5">
      <c r="A457" s="4" t="str">
        <f ca="1">IFERROR(__xludf.DUMMYFUNCTION("""COMPUTED_VALUE"""),"TRX1752")</f>
        <v>TRX1752</v>
      </c>
      <c r="B457" s="4" t="str">
        <f ca="1">IFERROR(__xludf.DUMMYFUNCTION("""COMPUTED_VALUE"""),"#55")</f>
        <v>#55</v>
      </c>
      <c r="C457" s="5">
        <f ca="1">IFERROR(__xludf.DUMMYFUNCTION("""COMPUTED_VALUE"""),46063.3354166666)</f>
        <v>46063.335416666603</v>
      </c>
      <c r="D457" s="6">
        <f ca="1">IFERROR(__xludf.DUMMYFUNCTION("""COMPUTED_VALUE"""),0.01)</f>
        <v>0.01</v>
      </c>
      <c r="E457" s="4" t="str">
        <f ca="1">IFERROR(__xludf.DUMMYFUNCTION("""COMPUTED_VALUE"""),"MXN")</f>
        <v>MXN</v>
      </c>
      <c r="F457" s="4" t="str">
        <f ca="1">IFERROR(__xludf.DUMMYFUNCTION("""COMPUTED_VALUE"""),"Gerardo Madrid")</f>
        <v>Gerardo Madrid</v>
      </c>
      <c r="G457" s="4" t="str">
        <f ca="1">IFERROR(__xludf.DUMMYFUNCTION("""COMPUTED_VALUE"""),"20260208T01:01:01/PALACIO RENT A CAR\UNKNOWN\TIJUANA BCN\22404        MEX")</f>
        <v>20260208T01:01:01/PALACIO RENT A CAR\UNKNOWN\TIJUANA BCN\22404        MEX</v>
      </c>
      <c r="H457" s="4" t="str">
        <f ca="1">IFERROR(__xludf.DUMMYFUNCTION("""COMPUTED_VALUE"""),"T :01/Palacio Rent A Car\Unknown\Tijuana Bcn\22404 Mex")</f>
        <v>T :01/Palacio Rent A Car\Unknown\Tijuana Bcn\22404 Mex</v>
      </c>
      <c r="I457" s="4" t="str">
        <f ca="1">IFERROR(__xludf.DUMMYFUNCTION("""COMPUTED_VALUE"""),"Sales")</f>
        <v>Sales</v>
      </c>
      <c r="J457" s="4"/>
      <c r="K457" s="4"/>
      <c r="S457" s="6">
        <v>139.96</v>
      </c>
      <c r="T457" s="4" t="e">
        <f t="shared" ca="1" si="2"/>
        <v>#N/A</v>
      </c>
    </row>
    <row r="458" spans="1:20" ht="12.5">
      <c r="A458" s="4" t="str">
        <f ca="1">IFERROR(__xludf.DUMMYFUNCTION("""COMPUTED_VALUE"""),"TRX1253")</f>
        <v>TRX1253</v>
      </c>
      <c r="B458" s="4" t="str">
        <f ca="1">IFERROR(__xludf.DUMMYFUNCTION("""COMPUTED_VALUE"""),"#55")</f>
        <v>#55</v>
      </c>
      <c r="C458" s="5">
        <f ca="1">IFERROR(__xludf.DUMMYFUNCTION("""COMPUTED_VALUE"""),46064.4166666666)</f>
        <v>46064.416666666599</v>
      </c>
      <c r="D458" s="6">
        <f ca="1">IFERROR(__xludf.DUMMYFUNCTION("""COMPUTED_VALUE"""),149.95)</f>
        <v>149.94999999999999</v>
      </c>
      <c r="E458" s="4" t="str">
        <f ca="1">IFERROR(__xludf.DUMMYFUNCTION("""COMPUTED_VALUE"""),"MXN")</f>
        <v>MXN</v>
      </c>
      <c r="F458" s="4" t="str">
        <f ca="1">IFERROR(__xludf.DUMMYFUNCTION("""COMPUTED_VALUE"""),"Gerardo Madrid")</f>
        <v>Gerardo Madrid</v>
      </c>
      <c r="G458" s="4" t="str">
        <f ca="1">IFERROR(__xludf.DUMMYFUNCTION("""COMPUTED_VALUE"""),"UBER * PENDING         CMX           MEX")</f>
        <v>UBER * PENDING         CMX           MEX</v>
      </c>
      <c r="H458" s="4" t="str">
        <f ca="1">IFERROR(__xludf.DUMMYFUNCTION("""COMPUTED_VALUE"""),"Uber")</f>
        <v>Uber</v>
      </c>
      <c r="I458" s="4" t="str">
        <f ca="1">IFERROR(__xludf.DUMMYFUNCTION("""COMPUTED_VALUE"""),"Sales")</f>
        <v>Sales</v>
      </c>
      <c r="J458" s="4"/>
      <c r="K458" s="4"/>
      <c r="S458" s="6">
        <v>119</v>
      </c>
      <c r="T458" s="4" t="e">
        <f t="shared" ca="1" si="2"/>
        <v>#N/A</v>
      </c>
    </row>
    <row r="459" spans="1:20" ht="12.5">
      <c r="A459" s="4" t="str">
        <f ca="1">IFERROR(__xludf.DUMMYFUNCTION("""COMPUTED_VALUE"""),"TRX1463")</f>
        <v>TRX1463</v>
      </c>
      <c r="B459" s="4" t="str">
        <f ca="1">IFERROR(__xludf.DUMMYFUNCTION("""COMPUTED_VALUE"""),"#55")</f>
        <v>#55</v>
      </c>
      <c r="C459" s="5">
        <f ca="1">IFERROR(__xludf.DUMMYFUNCTION("""COMPUTED_VALUE"""),46065.4166666666)</f>
        <v>46065.416666666599</v>
      </c>
      <c r="D459" s="6">
        <f ca="1">IFERROR(__xludf.DUMMYFUNCTION("""COMPUTED_VALUE"""),1075)</f>
        <v>1075</v>
      </c>
      <c r="E459" s="4" t="str">
        <f ca="1">IFERROR(__xludf.DUMMYFUNCTION("""COMPUTED_VALUE"""),"MXN")</f>
        <v>MXN</v>
      </c>
      <c r="F459" s="4" t="str">
        <f ca="1">IFERROR(__xludf.DUMMYFUNCTION("""COMPUTED_VALUE"""),"Gerardo Madrid")</f>
        <v>Gerardo Madrid</v>
      </c>
      <c r="G459" s="4" t="str">
        <f ca="1">IFERROR(__xludf.DUMMYFUNCTION("""COMPUTED_VALUE"""),"SERV JARDINES DEL PEDR CIUDAD DE MEX MEX")</f>
        <v>SERV JARDINES DEL PEDR CIUDAD DE MEX MEX</v>
      </c>
      <c r="H459" s="4" t="str">
        <f ca="1">IFERROR(__xludf.DUMMYFUNCTION("""COMPUTED_VALUE"""),"Serv Jardines Del Pedr Ciudad De Mex Mex")</f>
        <v>Serv Jardines Del Pedr Ciudad De Mex Mex</v>
      </c>
      <c r="I459" s="4" t="str">
        <f ca="1">IFERROR(__xludf.DUMMYFUNCTION("""COMPUTED_VALUE"""),"Sales")</f>
        <v>Sales</v>
      </c>
      <c r="J459" s="4"/>
      <c r="K459" s="4"/>
      <c r="S459" s="6">
        <v>396.66</v>
      </c>
      <c r="T459" s="4" t="e">
        <f t="shared" ca="1" si="2"/>
        <v>#N/A</v>
      </c>
    </row>
    <row r="460" spans="1:20" ht="12.5">
      <c r="A460" s="4" t="str">
        <f ca="1">IFERROR(__xludf.DUMMYFUNCTION("""COMPUTED_VALUE"""),"TRX1820")</f>
        <v>TRX1820</v>
      </c>
      <c r="B460" s="4" t="str">
        <f ca="1">IFERROR(__xludf.DUMMYFUNCTION("""COMPUTED_VALUE"""),"#55")</f>
        <v>#55</v>
      </c>
      <c r="C460" s="5">
        <f ca="1">IFERROR(__xludf.DUMMYFUNCTION("""COMPUTED_VALUE"""),46066.4166666666)</f>
        <v>46066.416666666599</v>
      </c>
      <c r="D460" s="6">
        <f ca="1">IFERROR(__xludf.DUMMYFUNCTION("""COMPUTED_VALUE"""),170.51)</f>
        <v>170.51</v>
      </c>
      <c r="E460" s="4" t="str">
        <f ca="1">IFERROR(__xludf.DUMMYFUNCTION("""COMPUTED_VALUE"""),"MXN")</f>
        <v>MXN</v>
      </c>
      <c r="F460" s="4" t="str">
        <f ca="1">IFERROR(__xludf.DUMMYFUNCTION("""COMPUTED_VALUE"""),"Gerardo Madrid")</f>
        <v>Gerardo Madrid</v>
      </c>
      <c r="G460" s="4" t="str">
        <f ca="1">IFERROR(__xludf.DUMMYFUNCTION("""COMPUTED_VALUE"""),"UBER *TRIP HELP.UBER.C CMX           MEX")</f>
        <v>UBER *TRIP HELP.UBER.C CMX           MEX</v>
      </c>
      <c r="H460" s="4" t="str">
        <f ca="1">IFERROR(__xludf.DUMMYFUNCTION("""COMPUTED_VALUE"""),"Uber")</f>
        <v>Uber</v>
      </c>
      <c r="I460" s="4" t="str">
        <f ca="1">IFERROR(__xludf.DUMMYFUNCTION("""COMPUTED_VALUE"""),"Sales")</f>
        <v>Sales</v>
      </c>
      <c r="J460" s="4"/>
      <c r="K460" s="4"/>
      <c r="S460" s="6">
        <v>223</v>
      </c>
      <c r="T460" s="4" t="e">
        <f t="shared" ca="1" si="2"/>
        <v>#N/A</v>
      </c>
    </row>
    <row r="461" spans="1:20" ht="12.5">
      <c r="A461" s="4" t="str">
        <f ca="1">IFERROR(__xludf.DUMMYFUNCTION("""COMPUTED_VALUE"""),"TRX1727")</f>
        <v>TRX1727</v>
      </c>
      <c r="B461" s="4" t="str">
        <f ca="1">IFERROR(__xludf.DUMMYFUNCTION("""COMPUTED_VALUE"""),"#55")</f>
        <v>#55</v>
      </c>
      <c r="C461" s="5">
        <f ca="1">IFERROR(__xludf.DUMMYFUNCTION("""COMPUTED_VALUE"""),46067.4166666666)</f>
        <v>46067.416666666599</v>
      </c>
      <c r="D461" s="6">
        <f ca="1">IFERROR(__xludf.DUMMYFUNCTION("""COMPUTED_VALUE"""),256.25)</f>
        <v>256.25</v>
      </c>
      <c r="E461" s="4" t="str">
        <f ca="1">IFERROR(__xludf.DUMMYFUNCTION("""COMPUTED_VALUE"""),"MXN")</f>
        <v>MXN</v>
      </c>
      <c r="F461" s="4" t="str">
        <f ca="1">IFERROR(__xludf.DUMMYFUNCTION("""COMPUTED_VALUE"""),"Gerardo Madrid")</f>
        <v>Gerardo Madrid</v>
      </c>
      <c r="G461" s="4" t="str">
        <f ca="1">IFERROR(__xludf.DUMMYFUNCTION("""COMPUTED_VALUE"""),"UBER *TRIP HELP.UBER.C CMX           MEX")</f>
        <v>UBER *TRIP HELP.UBER.C CMX           MEX</v>
      </c>
      <c r="H461" s="4" t="str">
        <f ca="1">IFERROR(__xludf.DUMMYFUNCTION("""COMPUTED_VALUE"""),"Uber")</f>
        <v>Uber</v>
      </c>
      <c r="I461" s="4" t="str">
        <f ca="1">IFERROR(__xludf.DUMMYFUNCTION("""COMPUTED_VALUE"""),"Sales")</f>
        <v>Sales</v>
      </c>
      <c r="J461" s="4"/>
      <c r="K461" s="4"/>
      <c r="S461" s="6">
        <v>294.58</v>
      </c>
      <c r="T461" s="4" t="e">
        <f t="shared" ca="1" si="2"/>
        <v>#N/A</v>
      </c>
    </row>
    <row r="462" spans="1:20" ht="12.5">
      <c r="A462" s="4" t="str">
        <f ca="1">IFERROR(__xludf.DUMMYFUNCTION("""COMPUTED_VALUE"""),"TRX1564")</f>
        <v>TRX1564</v>
      </c>
      <c r="B462" s="4" t="str">
        <f ca="1">IFERROR(__xludf.DUMMYFUNCTION("""COMPUTED_VALUE"""),"#55")</f>
        <v>#55</v>
      </c>
      <c r="C462" s="5">
        <f ca="1">IFERROR(__xludf.DUMMYFUNCTION("""COMPUTED_VALUE"""),46067.4166666666)</f>
        <v>46067.416666666599</v>
      </c>
      <c r="D462" s="6">
        <f ca="1">IFERROR(__xludf.DUMMYFUNCTION("""COMPUTED_VALUE"""),43.95)</f>
        <v>43.95</v>
      </c>
      <c r="E462" s="4" t="str">
        <f ca="1">IFERROR(__xludf.DUMMYFUNCTION("""COMPUTED_VALUE"""),"MXN")</f>
        <v>MXN</v>
      </c>
      <c r="F462" s="4" t="str">
        <f ca="1">IFERROR(__xludf.DUMMYFUNCTION("""COMPUTED_VALUE"""),"Gerardo Madrid")</f>
        <v>Gerardo Madrid</v>
      </c>
      <c r="G462" s="4" t="str">
        <f ca="1">IFERROR(__xludf.DUMMYFUNCTION("""COMPUTED_VALUE"""),"UBER * PENDING         CMX           MEX")</f>
        <v>UBER * PENDING         CMX           MEX</v>
      </c>
      <c r="H462" s="4" t="str">
        <f ca="1">IFERROR(__xludf.DUMMYFUNCTION("""COMPUTED_VALUE"""),"Uber")</f>
        <v>Uber</v>
      </c>
      <c r="I462" s="4" t="str">
        <f ca="1">IFERROR(__xludf.DUMMYFUNCTION("""COMPUTED_VALUE"""),"Sales")</f>
        <v>Sales</v>
      </c>
      <c r="J462" s="4"/>
      <c r="K462" s="4"/>
      <c r="S462" s="6">
        <v>271.81</v>
      </c>
      <c r="T462" s="4" t="e">
        <f t="shared" ca="1" si="2"/>
        <v>#N/A</v>
      </c>
    </row>
    <row r="463" spans="1:20" ht="12.5">
      <c r="A463" s="4" t="str">
        <f ca="1">IFERROR(__xludf.DUMMYFUNCTION("""COMPUTED_VALUE"""),"TRX1041")</f>
        <v>TRX1041</v>
      </c>
      <c r="B463" s="4" t="str">
        <f ca="1">IFERROR(__xludf.DUMMYFUNCTION("""COMPUTED_VALUE"""),"#55")</f>
        <v>#55</v>
      </c>
      <c r="C463" s="5">
        <f ca="1">IFERROR(__xludf.DUMMYFUNCTION("""COMPUTED_VALUE"""),46068.4166666666)</f>
        <v>46068.416666666599</v>
      </c>
      <c r="D463" s="6">
        <f ca="1">IFERROR(__xludf.DUMMYFUNCTION("""COMPUTED_VALUE"""),844.65)</f>
        <v>844.65</v>
      </c>
      <c r="E463" s="4" t="str">
        <f ca="1">IFERROR(__xludf.DUMMYFUNCTION("""COMPUTED_VALUE"""),"MXN")</f>
        <v>MXN</v>
      </c>
      <c r="F463" s="4" t="str">
        <f ca="1">IFERROR(__xludf.DUMMYFUNCTION("""COMPUTED_VALUE"""),"Gerardo Madrid")</f>
        <v>Gerardo Madrid</v>
      </c>
      <c r="G463" s="4" t="str">
        <f ca="1">IFERROR(__xludf.DUMMYFUNCTION("""COMPUTED_VALUE"""),"MERPAGO*MERCADOLIBRE   Ciudad de Mex MEX")</f>
        <v>MERPAGO*MERCADOLIBRE   Ciudad de Mex MEX</v>
      </c>
      <c r="H463" s="4" t="str">
        <f ca="1">IFERROR(__xludf.DUMMYFUNCTION("""COMPUTED_VALUE"""),"Merpago Mercadolibre Ciudad De Mex Mex")</f>
        <v>Merpago Mercadolibre Ciudad De Mex Mex</v>
      </c>
      <c r="I463" s="4" t="str">
        <f ca="1">IFERROR(__xludf.DUMMYFUNCTION("""COMPUTED_VALUE"""),"Sales")</f>
        <v>Sales</v>
      </c>
      <c r="J463" s="4"/>
      <c r="K463" s="4"/>
      <c r="S463" s="6">
        <v>30</v>
      </c>
      <c r="T463" s="4" t="str">
        <f t="shared" ca="1" si="2"/>
        <v>Karen Alexandra Ballesteros Contreras</v>
      </c>
    </row>
    <row r="464" spans="1:20" ht="12.5">
      <c r="A464" s="4" t="str">
        <f ca="1">IFERROR(__xludf.DUMMYFUNCTION("""COMPUTED_VALUE"""),"TRX1773")</f>
        <v>TRX1773</v>
      </c>
      <c r="B464" s="4" t="str">
        <f ca="1">IFERROR(__xludf.DUMMYFUNCTION("""COMPUTED_VALUE"""),"#55")</f>
        <v>#55</v>
      </c>
      <c r="C464" s="5">
        <f ca="1">IFERROR(__xludf.DUMMYFUNCTION("""COMPUTED_VALUE"""),46073.4166666666)</f>
        <v>46073.416666666599</v>
      </c>
      <c r="D464" s="6">
        <f ca="1">IFERROR(__xludf.DUMMYFUNCTION("""COMPUTED_VALUE"""),161.39)</f>
        <v>161.38999999999999</v>
      </c>
      <c r="E464" s="4" t="str">
        <f ca="1">IFERROR(__xludf.DUMMYFUNCTION("""COMPUTED_VALUE"""),"MXN")</f>
        <v>MXN</v>
      </c>
      <c r="F464" s="4" t="str">
        <f ca="1">IFERROR(__xludf.DUMMYFUNCTION("""COMPUTED_VALUE"""),"Gerardo Madrid")</f>
        <v>Gerardo Madrid</v>
      </c>
      <c r="G464" s="4" t="str">
        <f ca="1">IFERROR(__xludf.DUMMYFUNCTION("""COMPUTED_VALUE"""),"UBER *TRIP HELP.UBER.C CMX           MEX")</f>
        <v>UBER *TRIP HELP.UBER.C CMX           MEX</v>
      </c>
      <c r="H464" s="4" t="str">
        <f ca="1">IFERROR(__xludf.DUMMYFUNCTION("""COMPUTED_VALUE"""),"Uber")</f>
        <v>Uber</v>
      </c>
      <c r="I464" s="4" t="str">
        <f ca="1">IFERROR(__xludf.DUMMYFUNCTION("""COMPUTED_VALUE"""),"Sales")</f>
        <v>Sales</v>
      </c>
      <c r="J464" s="4"/>
      <c r="K464" s="4"/>
      <c r="S464" s="6">
        <v>172</v>
      </c>
      <c r="T464" s="4" t="e">
        <f t="shared" ca="1" si="2"/>
        <v>#N/A</v>
      </c>
    </row>
    <row r="465" spans="1:20" ht="12.5">
      <c r="A465" s="4" t="str">
        <f ca="1">IFERROR(__xludf.DUMMYFUNCTION("""COMPUTED_VALUE"""),"TRX1792")</f>
        <v>TRX1792</v>
      </c>
      <c r="B465" s="4" t="str">
        <f ca="1">IFERROR(__xludf.DUMMYFUNCTION("""COMPUTED_VALUE"""),"#55")</f>
        <v>#55</v>
      </c>
      <c r="C465" s="5">
        <f ca="1">IFERROR(__xludf.DUMMYFUNCTION("""COMPUTED_VALUE"""),46073.4166666666)</f>
        <v>46073.416666666599</v>
      </c>
      <c r="D465" s="6">
        <f ca="1">IFERROR(__xludf.DUMMYFUNCTION("""COMPUTED_VALUE"""),623.55)</f>
        <v>623.54999999999995</v>
      </c>
      <c r="E465" s="4" t="str">
        <f ca="1">IFERROR(__xludf.DUMMYFUNCTION("""COMPUTED_VALUE"""),"MXN")</f>
        <v>MXN</v>
      </c>
      <c r="F465" s="4" t="str">
        <f ca="1">IFERROR(__xludf.DUMMYFUNCTION("""COMPUTED_VALUE"""),"Gerardo Madrid")</f>
        <v>Gerardo Madrid</v>
      </c>
      <c r="G465" s="4" t="str">
        <f ca="1">IFERROR(__xludf.DUMMYFUNCTION("""COMPUTED_VALUE"""),"UBER *TRIP HELP.UBER.C CMX           MEX")</f>
        <v>UBER *TRIP HELP.UBER.C CMX           MEX</v>
      </c>
      <c r="H465" s="4" t="str">
        <f ca="1">IFERROR(__xludf.DUMMYFUNCTION("""COMPUTED_VALUE"""),"Uber")</f>
        <v>Uber</v>
      </c>
      <c r="I465" s="4" t="str">
        <f ca="1">IFERROR(__xludf.DUMMYFUNCTION("""COMPUTED_VALUE"""),"Sales")</f>
        <v>Sales</v>
      </c>
      <c r="J465" s="4"/>
      <c r="K465" s="4"/>
      <c r="S465" s="6">
        <v>64.94</v>
      </c>
      <c r="T465" s="4" t="e">
        <f t="shared" ca="1" si="2"/>
        <v>#N/A</v>
      </c>
    </row>
    <row r="466" spans="1:20" ht="12.5">
      <c r="A466" s="4" t="str">
        <f ca="1">IFERROR(__xludf.DUMMYFUNCTION("""COMPUTED_VALUE"""),"TRX1811")</f>
        <v>TRX1811</v>
      </c>
      <c r="B466" s="4" t="str">
        <f ca="1">IFERROR(__xludf.DUMMYFUNCTION("""COMPUTED_VALUE"""),"#55")</f>
        <v>#55</v>
      </c>
      <c r="C466" s="5">
        <f ca="1">IFERROR(__xludf.DUMMYFUNCTION("""COMPUTED_VALUE"""),46073.4166666666)</f>
        <v>46073.416666666599</v>
      </c>
      <c r="D466" s="6">
        <f ca="1">IFERROR(__xludf.DUMMYFUNCTION("""COMPUTED_VALUE"""),50)</f>
        <v>50</v>
      </c>
      <c r="E466" s="4" t="str">
        <f ca="1">IFERROR(__xludf.DUMMYFUNCTION("""COMPUTED_VALUE"""),"MXN")</f>
        <v>MXN</v>
      </c>
      <c r="F466" s="4" t="str">
        <f ca="1">IFERROR(__xludf.DUMMYFUNCTION("""COMPUTED_VALUE"""),"Gerardo Madrid")</f>
        <v>Gerardo Madrid</v>
      </c>
      <c r="G466" s="4" t="str">
        <f ca="1">IFERROR(__xludf.DUMMYFUNCTION("""COMPUTED_VALUE"""),"UBER * PENDING         CMX           MEX")</f>
        <v>UBER * PENDING         CMX           MEX</v>
      </c>
      <c r="H466" s="4" t="str">
        <f ca="1">IFERROR(__xludf.DUMMYFUNCTION("""COMPUTED_VALUE"""),"Uber")</f>
        <v>Uber</v>
      </c>
      <c r="I466" s="4" t="str">
        <f ca="1">IFERROR(__xludf.DUMMYFUNCTION("""COMPUTED_VALUE"""),"Sales")</f>
        <v>Sales</v>
      </c>
      <c r="J466" s="4"/>
      <c r="K466" s="4"/>
      <c r="S466" s="6">
        <v>69.95</v>
      </c>
      <c r="T466" s="4" t="str">
        <f t="shared" ca="1" si="2"/>
        <v>Jorge Armando Ramirez Perez</v>
      </c>
    </row>
    <row r="467" spans="1:20" ht="12.5">
      <c r="A467" s="4" t="str">
        <f ca="1">IFERROR(__xludf.DUMMYFUNCTION("""COMPUTED_VALUE"""),"TRX1035")</f>
        <v>TRX1035</v>
      </c>
      <c r="B467" s="4" t="str">
        <f ca="1">IFERROR(__xludf.DUMMYFUNCTION("""COMPUTED_VALUE"""),"#55")</f>
        <v>#55</v>
      </c>
      <c r="C467" s="5">
        <f ca="1">IFERROR(__xludf.DUMMYFUNCTION("""COMPUTED_VALUE"""),46074.4173611111)</f>
        <v>46074.417361111096</v>
      </c>
      <c r="D467" s="6">
        <f ca="1">IFERROR(__xludf.DUMMYFUNCTION("""COMPUTED_VALUE"""),1028.84)</f>
        <v>1028.8399999999999</v>
      </c>
      <c r="E467" s="4" t="str">
        <f ca="1">IFERROR(__xludf.DUMMYFUNCTION("""COMPUTED_VALUE"""),"MXN")</f>
        <v>MXN</v>
      </c>
      <c r="F467" s="4" t="str">
        <f ca="1">IFERROR(__xludf.DUMMYFUNCTION("""COMPUTED_VALUE"""),"Gerardo Madrid")</f>
        <v>Gerardo Madrid</v>
      </c>
      <c r="G467" s="4" t="str">
        <f ca="1">IFERROR(__xludf.DUMMYFUNCTION("""COMPUTED_VALUE"""),"GAS SERV BP            CUAUTITLAN IZ MEX")</f>
        <v>GAS SERV BP            CUAUTITLAN IZ MEX</v>
      </c>
      <c r="H467" s="4" t="str">
        <f ca="1">IFERROR(__xludf.DUMMYFUNCTION("""COMPUTED_VALUE"""),"Gas Serv Bp Cuautitlan Iz Mex")</f>
        <v>Gas Serv Bp Cuautitlan Iz Mex</v>
      </c>
      <c r="I467" s="4" t="str">
        <f ca="1">IFERROR(__xludf.DUMMYFUNCTION("""COMPUTED_VALUE"""),"Sales")</f>
        <v>Sales</v>
      </c>
      <c r="J467" s="4"/>
      <c r="K467" s="4"/>
      <c r="S467" s="6">
        <v>0.01</v>
      </c>
      <c r="T467" s="4" t="str">
        <f t="shared" ca="1" si="2"/>
        <v>Gerardo Madrid</v>
      </c>
    </row>
    <row r="468" spans="1:20" ht="12.5">
      <c r="A468" s="4" t="str">
        <f ca="1">IFERROR(__xludf.DUMMYFUNCTION("""COMPUTED_VALUE"""),"TRX1050")</f>
        <v>TRX1050</v>
      </c>
      <c r="B468" s="4" t="str">
        <f ca="1">IFERROR(__xludf.DUMMYFUNCTION("""COMPUTED_VALUE"""),"#55")</f>
        <v>#55</v>
      </c>
      <c r="C468" s="5">
        <f ca="1">IFERROR(__xludf.DUMMYFUNCTION("""COMPUTED_VALUE"""),46075.4166666666)</f>
        <v>46075.416666666599</v>
      </c>
      <c r="D468" s="6">
        <f ca="1">IFERROR(__xludf.DUMMYFUNCTION("""COMPUTED_VALUE"""),71.79)</f>
        <v>71.790000000000006</v>
      </c>
      <c r="E468" s="4" t="str">
        <f ca="1">IFERROR(__xludf.DUMMYFUNCTION("""COMPUTED_VALUE"""),"MXN")</f>
        <v>MXN</v>
      </c>
      <c r="F468" s="4" t="str">
        <f ca="1">IFERROR(__xludf.DUMMYFUNCTION("""COMPUTED_VALUE"""),"Gerardo Madrid")</f>
        <v>Gerardo Madrid</v>
      </c>
      <c r="G468" s="4" t="str">
        <f ca="1">IFERROR(__xludf.DUMMYFUNCTION("""COMPUTED_VALUE"""),"UBER *TRIP HELP.UBER.C CMX           MEX")</f>
        <v>UBER *TRIP HELP.UBER.C CMX           MEX</v>
      </c>
      <c r="H468" s="4" t="str">
        <f ca="1">IFERROR(__xludf.DUMMYFUNCTION("""COMPUTED_VALUE"""),"Uber")</f>
        <v>Uber</v>
      </c>
      <c r="I468" s="4" t="str">
        <f ca="1">IFERROR(__xludf.DUMMYFUNCTION("""COMPUTED_VALUE"""),"Sales")</f>
        <v>Sales</v>
      </c>
      <c r="J468" s="4"/>
      <c r="K468" s="4"/>
      <c r="S468" s="6">
        <v>700</v>
      </c>
      <c r="T468" s="4" t="str">
        <f t="shared" ca="1" si="2"/>
        <v>Jose Maria Garcia Hernandez</v>
      </c>
    </row>
    <row r="469" spans="1:20" ht="12.5">
      <c r="A469" s="4" t="str">
        <f ca="1">IFERROR(__xludf.DUMMYFUNCTION("""COMPUTED_VALUE"""),"TRX1062")</f>
        <v>TRX1062</v>
      </c>
      <c r="B469" s="4" t="str">
        <f ca="1">IFERROR(__xludf.DUMMYFUNCTION("""COMPUTED_VALUE"""),"#55")</f>
        <v>#55</v>
      </c>
      <c r="C469" s="5">
        <f ca="1">IFERROR(__xludf.DUMMYFUNCTION("""COMPUTED_VALUE"""),46075.4166666666)</f>
        <v>46075.416666666599</v>
      </c>
      <c r="D469" s="6">
        <f ca="1">IFERROR(__xludf.DUMMYFUNCTION("""COMPUTED_VALUE"""),2417.93)</f>
        <v>2417.9299999999998</v>
      </c>
      <c r="E469" s="4" t="str">
        <f ca="1">IFERROR(__xludf.DUMMYFUNCTION("""COMPUTED_VALUE"""),"MXN")</f>
        <v>MXN</v>
      </c>
      <c r="F469" s="4" t="str">
        <f ca="1">IFERROR(__xludf.DUMMYFUNCTION("""COMPUTED_VALUE"""),"Gerardo Madrid")</f>
        <v>Gerardo Madrid</v>
      </c>
      <c r="G469" s="4" t="str">
        <f ca="1">IFERROR(__xludf.DUMMYFUNCTION("""COMPUTED_VALUE"""),"Amazon Mexico          CMX           MEX")</f>
        <v>Amazon Mexico          CMX           MEX</v>
      </c>
      <c r="H469" s="4" t="str">
        <f ca="1">IFERROR(__xludf.DUMMYFUNCTION("""COMPUTED_VALUE"""),"Amazon")</f>
        <v>Amazon</v>
      </c>
      <c r="I469" s="4" t="str">
        <f ca="1">IFERROR(__xludf.DUMMYFUNCTION("""COMPUTED_VALUE"""),"Sales")</f>
        <v>Sales</v>
      </c>
      <c r="J469" s="4"/>
      <c r="K469" s="4"/>
      <c r="S469" s="6">
        <v>2010</v>
      </c>
      <c r="T469" s="4" t="str">
        <f t="shared" ca="1" si="2"/>
        <v>Jose Ignacio Martinez Flemate</v>
      </c>
    </row>
    <row r="470" spans="1:20" ht="12.5">
      <c r="A470" s="4" t="str">
        <f ca="1">IFERROR(__xludf.DUMMYFUNCTION("""COMPUTED_VALUE"""),"TRX1111")</f>
        <v>TRX1111</v>
      </c>
      <c r="B470" s="4" t="str">
        <f ca="1">IFERROR(__xludf.DUMMYFUNCTION("""COMPUTED_VALUE"""),"#55")</f>
        <v>#55</v>
      </c>
      <c r="C470" s="5">
        <f ca="1">IFERROR(__xludf.DUMMYFUNCTION("""COMPUTED_VALUE"""),46077.4166666666)</f>
        <v>46077.416666666599</v>
      </c>
      <c r="D470" s="6">
        <f ca="1">IFERROR(__xludf.DUMMYFUNCTION("""COMPUTED_VALUE"""),3111.25)</f>
        <v>3111.25</v>
      </c>
      <c r="E470" s="4" t="str">
        <f ca="1">IFERROR(__xludf.DUMMYFUNCTION("""COMPUTED_VALUE"""),"MXN")</f>
        <v>MXN</v>
      </c>
      <c r="F470" s="4" t="str">
        <f ca="1">IFERROR(__xludf.DUMMYFUNCTION("""COMPUTED_VALUE"""),"Gerardo Madrid")</f>
        <v>Gerardo Madrid</v>
      </c>
      <c r="G470" s="4" t="str">
        <f ca="1">IFERROR(__xludf.DUMMYFUNCTION("""COMPUTED_VALUE"""),"MERPAGO*MERCADOLIBRE   Ciudad de Mex MEX")</f>
        <v>MERPAGO*MERCADOLIBRE   Ciudad de Mex MEX</v>
      </c>
      <c r="H470" s="4" t="str">
        <f ca="1">IFERROR(__xludf.DUMMYFUNCTION("""COMPUTED_VALUE"""),"Merpago Mercadolibre Ciudad De Mex Mex")</f>
        <v>Merpago Mercadolibre Ciudad De Mex Mex</v>
      </c>
      <c r="I470" s="4" t="str">
        <f ca="1">IFERROR(__xludf.DUMMYFUNCTION("""COMPUTED_VALUE"""),"Sales")</f>
        <v>Sales</v>
      </c>
      <c r="J470" s="4"/>
      <c r="K470" s="4"/>
      <c r="S470" s="6">
        <v>172</v>
      </c>
      <c r="T470" s="4" t="e">
        <f t="shared" ca="1" si="2"/>
        <v>#N/A</v>
      </c>
    </row>
    <row r="471" spans="1:20" ht="12.5">
      <c r="A471" s="4" t="str">
        <f ca="1">IFERROR(__xludf.DUMMYFUNCTION("""COMPUTED_VALUE"""),"TRX1140")</f>
        <v>TRX1140</v>
      </c>
      <c r="B471" s="4" t="str">
        <f ca="1">IFERROR(__xludf.DUMMYFUNCTION("""COMPUTED_VALUE"""),"#55")</f>
        <v>#55</v>
      </c>
      <c r="C471" s="5">
        <f ca="1">IFERROR(__xludf.DUMMYFUNCTION("""COMPUTED_VALUE"""),46078.4166666666)</f>
        <v>46078.416666666599</v>
      </c>
      <c r="D471" s="6">
        <f ca="1">IFERROR(__xludf.DUMMYFUNCTION("""COMPUTED_VALUE"""),282)</f>
        <v>282</v>
      </c>
      <c r="E471" s="4" t="str">
        <f ca="1">IFERROR(__xludf.DUMMYFUNCTION("""COMPUTED_VALUE"""),"MXN")</f>
        <v>MXN</v>
      </c>
      <c r="F471" s="4" t="str">
        <f ca="1">IFERROR(__xludf.DUMMYFUNCTION("""COMPUTED_VALUE"""),"Gerardo Madrid")</f>
        <v>Gerardo Madrid</v>
      </c>
      <c r="G471" s="4" t="str">
        <f ca="1">IFERROR(__xludf.DUMMYFUNCTION("""COMPUTED_VALUE"""),"DLO*UBER RIDES         CIUDAD DE MEX MEX")</f>
        <v>DLO*UBER RIDES         CIUDAD DE MEX MEX</v>
      </c>
      <c r="H471" s="4" t="str">
        <f ca="1">IFERROR(__xludf.DUMMYFUNCTION("""COMPUTED_VALUE"""),"Uber")</f>
        <v>Uber</v>
      </c>
      <c r="I471" s="4" t="str">
        <f ca="1">IFERROR(__xludf.DUMMYFUNCTION("""COMPUTED_VALUE"""),"Sales")</f>
        <v>Sales</v>
      </c>
      <c r="J471" s="4"/>
      <c r="K471" s="4"/>
      <c r="S471" s="6">
        <v>172</v>
      </c>
      <c r="T471" s="4" t="e">
        <f t="shared" ca="1" si="2"/>
        <v>#N/A</v>
      </c>
    </row>
    <row r="472" spans="1:20" ht="12.5">
      <c r="A472" s="4" t="str">
        <f ca="1">IFERROR(__xludf.DUMMYFUNCTION("""COMPUTED_VALUE"""),"TRX1234")</f>
        <v>TRX1234</v>
      </c>
      <c r="B472" s="4" t="str">
        <f ca="1">IFERROR(__xludf.DUMMYFUNCTION("""COMPUTED_VALUE"""),"#55")</f>
        <v>#55</v>
      </c>
      <c r="C472" s="5">
        <f ca="1">IFERROR(__xludf.DUMMYFUNCTION("""COMPUTED_VALUE"""),46080.4166666666)</f>
        <v>46080.416666666599</v>
      </c>
      <c r="D472" s="6">
        <f ca="1">IFERROR(__xludf.DUMMYFUNCTION("""COMPUTED_VALUE"""),1017.79)</f>
        <v>1017.79</v>
      </c>
      <c r="E472" s="4" t="str">
        <f ca="1">IFERROR(__xludf.DUMMYFUNCTION("""COMPUTED_VALUE"""),"MXN")</f>
        <v>MXN</v>
      </c>
      <c r="F472" s="4" t="str">
        <f ca="1">IFERROR(__xludf.DUMMYFUNCTION("""COMPUTED_VALUE"""),"Gerardo Madrid")</f>
        <v>Gerardo Madrid</v>
      </c>
      <c r="G472" s="4" t="str">
        <f ca="1">IFERROR(__xludf.DUMMYFUNCTION("""COMPUTED_VALUE"""),"SERVEL NUEVO PEDREGAL  CIUDAD DE MEX MEX")</f>
        <v>SERVEL NUEVO PEDREGAL  CIUDAD DE MEX MEX</v>
      </c>
      <c r="H472" s="4" t="str">
        <f ca="1">IFERROR(__xludf.DUMMYFUNCTION("""COMPUTED_VALUE"""),"Servel Nuevo Pedregal Ciudad De Mex Mex")</f>
        <v>Servel Nuevo Pedregal Ciudad De Mex Mex</v>
      </c>
      <c r="I472" s="4" t="str">
        <f ca="1">IFERROR(__xludf.DUMMYFUNCTION("""COMPUTED_VALUE"""),"Sales")</f>
        <v>Sales</v>
      </c>
      <c r="J472" s="4"/>
      <c r="K472" s="4"/>
      <c r="S472" s="6">
        <v>1000</v>
      </c>
      <c r="T472" s="4" t="str">
        <f t="shared" ca="1" si="2"/>
        <v>Fernando Sanchez Toledano</v>
      </c>
    </row>
    <row r="473" spans="1:20" ht="12.5">
      <c r="A473" s="4" t="str">
        <f ca="1">IFERROR(__xludf.DUMMYFUNCTION("""COMPUTED_VALUE"""),"TRX1274")</f>
        <v>TRX1274</v>
      </c>
      <c r="B473" s="4" t="str">
        <f ca="1">IFERROR(__xludf.DUMMYFUNCTION("""COMPUTED_VALUE"""),"#56")</f>
        <v>#56</v>
      </c>
      <c r="C473" s="5">
        <f ca="1">IFERROR(__xludf.DUMMYFUNCTION("""COMPUTED_VALUE"""),46057.4166666666)</f>
        <v>46057.416666666599</v>
      </c>
      <c r="D473" s="6">
        <f ca="1">IFERROR(__xludf.DUMMYFUNCTION("""COMPUTED_VALUE"""),429.98)</f>
        <v>429.98</v>
      </c>
      <c r="E473" s="4" t="str">
        <f ca="1">IFERROR(__xludf.DUMMYFUNCTION("""COMPUTED_VALUE"""),"MXN")</f>
        <v>MXN</v>
      </c>
      <c r="F473" s="4" t="str">
        <f ca="1">IFERROR(__xludf.DUMMYFUNCTION("""COMPUTED_VALUE"""),"Carlos Ivan Gonzalez Merino")</f>
        <v>Carlos Ivan Gonzalez Merino</v>
      </c>
      <c r="G473" s="4" t="str">
        <f ca="1">IFERROR(__xludf.DUMMYFUNCTION("""COMPUTED_VALUE"""),"UBER * PENDING         CMX           MEX")</f>
        <v>UBER * PENDING         CMX           MEX</v>
      </c>
      <c r="H473" s="4" t="str">
        <f ca="1">IFERROR(__xludf.DUMMYFUNCTION("""COMPUTED_VALUE"""),"Uber")</f>
        <v>Uber</v>
      </c>
      <c r="I473" s="4" t="str">
        <f ca="1">IFERROR(__xludf.DUMMYFUNCTION("""COMPUTED_VALUE"""),"G&amp;A expenses")</f>
        <v>G&amp;A expenses</v>
      </c>
      <c r="J473" s="4" t="str">
        <f ca="1">IFERROR(__xludf.DUMMYFUNCTION("""COMPUTED_VALUE"""),"PO_2009 ASIPONA_TRASLADO")</f>
        <v>PO_2009 ASIPONA_TRASLADO</v>
      </c>
      <c r="K473" s="4"/>
      <c r="S473" s="6">
        <v>58.42</v>
      </c>
      <c r="T473" s="4" t="e">
        <f t="shared" ca="1" si="2"/>
        <v>#N/A</v>
      </c>
    </row>
    <row r="474" spans="1:20" ht="12.5">
      <c r="A474" s="4" t="str">
        <f ca="1">IFERROR(__xludf.DUMMYFUNCTION("""COMPUTED_VALUE"""),"TRX1256")</f>
        <v>TRX1256</v>
      </c>
      <c r="B474" s="4" t="str">
        <f ca="1">IFERROR(__xludf.DUMMYFUNCTION("""COMPUTED_VALUE"""),"#56")</f>
        <v>#56</v>
      </c>
      <c r="C474" s="5">
        <f ca="1">IFERROR(__xludf.DUMMYFUNCTION("""COMPUTED_VALUE"""),46058.4166666666)</f>
        <v>46058.416666666599</v>
      </c>
      <c r="D474" s="6">
        <f ca="1">IFERROR(__xludf.DUMMYFUNCTION("""COMPUTED_VALUE"""),280)</f>
        <v>280</v>
      </c>
      <c r="E474" s="4" t="str">
        <f ca="1">IFERROR(__xludf.DUMMYFUNCTION("""COMPUTED_VALUE"""),"MXN")</f>
        <v>MXN</v>
      </c>
      <c r="F474" s="4" t="str">
        <f ca="1">IFERROR(__xludf.DUMMYFUNCTION("""COMPUTED_VALUE"""),"Carlos Ivan Gonzalez Merino")</f>
        <v>Carlos Ivan Gonzalez Merino</v>
      </c>
      <c r="G474" s="4" t="str">
        <f ca="1">IFERROR(__xludf.DUMMYFUNCTION("""COMPUTED_VALUE"""),"ADO SUC AEROPUERTO     VERACRUZ VER  MEX")</f>
        <v>ADO SUC AEROPUERTO     VERACRUZ VER  MEX</v>
      </c>
      <c r="H474" s="4" t="str">
        <f ca="1">IFERROR(__xludf.DUMMYFUNCTION("""COMPUTED_VALUE"""),"Ado Suc Aeropuerto Veracruz Ver Mex")</f>
        <v>Ado Suc Aeropuerto Veracruz Ver Mex</v>
      </c>
      <c r="I474" s="4" t="str">
        <f ca="1">IFERROR(__xludf.DUMMYFUNCTION("""COMPUTED_VALUE"""),"G&amp;A expenses")</f>
        <v>G&amp;A expenses</v>
      </c>
      <c r="J474" s="4" t="str">
        <f ca="1">IFERROR(__xludf.DUMMYFUNCTION("""COMPUTED_VALUE"""),"PO_2009 ASIPONA_TRASLADO")</f>
        <v>PO_2009 ASIPONA_TRASLADO</v>
      </c>
      <c r="K474" s="4"/>
      <c r="S474" s="6">
        <v>280</v>
      </c>
      <c r="T474" s="4" t="str">
        <f t="shared" ca="1" si="2"/>
        <v>Carlos Ivan Gonzalez Merino</v>
      </c>
    </row>
    <row r="475" spans="1:20" ht="12.5">
      <c r="A475" s="4" t="str">
        <f ca="1">IFERROR(__xludf.DUMMYFUNCTION("""COMPUTED_VALUE"""),"TRX1249")</f>
        <v>TRX1249</v>
      </c>
      <c r="B475" s="4" t="str">
        <f ca="1">IFERROR(__xludf.DUMMYFUNCTION("""COMPUTED_VALUE"""),"#56")</f>
        <v>#56</v>
      </c>
      <c r="C475" s="5">
        <f ca="1">IFERROR(__xludf.DUMMYFUNCTION("""COMPUTED_VALUE"""),46058.4166666666)</f>
        <v>46058.416666666599</v>
      </c>
      <c r="D475" s="6">
        <f ca="1">IFERROR(__xludf.DUMMYFUNCTION("""COMPUTED_VALUE"""),276)</f>
        <v>276</v>
      </c>
      <c r="E475" s="4" t="str">
        <f ca="1">IFERROR(__xludf.DUMMYFUNCTION("""COMPUTED_VALUE"""),"MXN")</f>
        <v>MXN</v>
      </c>
      <c r="F475" s="4" t="str">
        <f ca="1">IFERROR(__xludf.DUMMYFUNCTION("""COMPUTED_VALUE"""),"Carlos Ivan Gonzalez Merino")</f>
        <v>Carlos Ivan Gonzalez Merino</v>
      </c>
      <c r="G475" s="4" t="str">
        <f ca="1">IFERROR(__xludf.DUMMYFUNCTION("""COMPUTED_VALUE"""),"Starbucks              CMX           MEX")</f>
        <v>Starbucks              CMX           MEX</v>
      </c>
      <c r="H475" s="4" t="str">
        <f ca="1">IFERROR(__xludf.DUMMYFUNCTION("""COMPUTED_VALUE"""),"Starbucks")</f>
        <v>Starbucks</v>
      </c>
      <c r="I475" s="4" t="str">
        <f ca="1">IFERROR(__xludf.DUMMYFUNCTION("""COMPUTED_VALUE"""),"G&amp;A expenses")</f>
        <v>G&amp;A expenses</v>
      </c>
      <c r="J475" s="4" t="str">
        <f ca="1">IFERROR(__xludf.DUMMYFUNCTION("""COMPUTED_VALUE"""),"PO_2009 ASIPONA_COMIDA")</f>
        <v>PO_2009 ASIPONA_COMIDA</v>
      </c>
      <c r="K475" s="4"/>
      <c r="S475" s="6">
        <v>179.97</v>
      </c>
      <c r="T475" s="4" t="str">
        <f t="shared" ca="1" si="2"/>
        <v>Jose Arechavala</v>
      </c>
    </row>
    <row r="476" spans="1:20" ht="12.5">
      <c r="A476" s="4" t="str">
        <f ca="1">IFERROR(__xludf.DUMMYFUNCTION("""COMPUTED_VALUE"""),"TRX1208")</f>
        <v>TRX1208</v>
      </c>
      <c r="B476" s="4" t="str">
        <f ca="1">IFERROR(__xludf.DUMMYFUNCTION("""COMPUTED_VALUE"""),"#56")</f>
        <v>#56</v>
      </c>
      <c r="C476" s="5">
        <f ca="1">IFERROR(__xludf.DUMMYFUNCTION("""COMPUTED_VALUE"""),46058.4173611111)</f>
        <v>46058.417361111096</v>
      </c>
      <c r="D476" s="6">
        <f ca="1">IFERROR(__xludf.DUMMYFUNCTION("""COMPUTED_VALUE"""),122)</f>
        <v>122</v>
      </c>
      <c r="E476" s="4" t="str">
        <f ca="1">IFERROR(__xludf.DUMMYFUNCTION("""COMPUTED_VALUE"""),"MXN")</f>
        <v>MXN</v>
      </c>
      <c r="F476" s="4" t="str">
        <f ca="1">IFERROR(__xludf.DUMMYFUNCTION("""COMPUTED_VALUE"""),"Carlos Ivan Gonzalez Merino")</f>
        <v>Carlos Ivan Gonzalez Merino</v>
      </c>
      <c r="G476" s="4" t="str">
        <f ca="1">IFERROR(__xludf.DUMMYFUNCTION("""COMPUTED_VALUE"""),"DLO*DIDI RIDES         MEXICO        MEX")</f>
        <v>DLO*DIDI RIDES         MEXICO        MEX</v>
      </c>
      <c r="H476" s="4" t="str">
        <f ca="1">IFERROR(__xludf.DUMMYFUNCTION("""COMPUTED_VALUE"""),"Didi Chuxing")</f>
        <v>Didi Chuxing</v>
      </c>
      <c r="I476" s="4" t="str">
        <f ca="1">IFERROR(__xludf.DUMMYFUNCTION("""COMPUTED_VALUE"""),"G&amp;A expenses")</f>
        <v>G&amp;A expenses</v>
      </c>
      <c r="J476" s="4" t="str">
        <f ca="1">IFERROR(__xludf.DUMMYFUNCTION("""COMPUTED_VALUE"""),"PO_2009 ASIPONA_TRASLADO")</f>
        <v>PO_2009 ASIPONA_TRASLADO</v>
      </c>
      <c r="K476" s="4"/>
      <c r="S476" s="6">
        <v>50.86</v>
      </c>
      <c r="T476" s="4" t="e">
        <f t="shared" ca="1" si="2"/>
        <v>#N/A</v>
      </c>
    </row>
    <row r="477" spans="1:20" ht="12.5">
      <c r="A477" s="4" t="str">
        <f ca="1">IFERROR(__xludf.DUMMYFUNCTION("""COMPUTED_VALUE"""),"TRX1207")</f>
        <v>TRX1207</v>
      </c>
      <c r="B477" s="4" t="str">
        <f ca="1">IFERROR(__xludf.DUMMYFUNCTION("""COMPUTED_VALUE"""),"#56")</f>
        <v>#56</v>
      </c>
      <c r="C477" s="5">
        <f ca="1">IFERROR(__xludf.DUMMYFUNCTION("""COMPUTED_VALUE"""),46058.4173611111)</f>
        <v>46058.417361111096</v>
      </c>
      <c r="D477" s="6">
        <f ca="1">IFERROR(__xludf.DUMMYFUNCTION("""COMPUTED_VALUE"""),133)</f>
        <v>133</v>
      </c>
      <c r="E477" s="4" t="str">
        <f ca="1">IFERROR(__xludf.DUMMYFUNCTION("""COMPUTED_VALUE"""),"MXN")</f>
        <v>MXN</v>
      </c>
      <c r="F477" s="4" t="str">
        <f ca="1">IFERROR(__xludf.DUMMYFUNCTION("""COMPUTED_VALUE"""),"Carlos Ivan Gonzalez Merino")</f>
        <v>Carlos Ivan Gonzalez Merino</v>
      </c>
      <c r="G477" s="4" t="str">
        <f ca="1">IFERROR(__xludf.DUMMYFUNCTION("""COMPUTED_VALUE"""),"DLO*DIDI RIDES         MEXICO        MEX")</f>
        <v>DLO*DIDI RIDES         MEXICO        MEX</v>
      </c>
      <c r="H477" s="4" t="str">
        <f ca="1">IFERROR(__xludf.DUMMYFUNCTION("""COMPUTED_VALUE"""),"Didi Chuxing")</f>
        <v>Didi Chuxing</v>
      </c>
      <c r="I477" s="4" t="str">
        <f ca="1">IFERROR(__xludf.DUMMYFUNCTION("""COMPUTED_VALUE"""),"G&amp;A expenses")</f>
        <v>G&amp;A expenses</v>
      </c>
      <c r="J477" s="4" t="str">
        <f ca="1">IFERROR(__xludf.DUMMYFUNCTION("""COMPUTED_VALUE"""),"PO_2009 ASIPONA_TRASLADO")</f>
        <v>PO_2009 ASIPONA_TRASLADO</v>
      </c>
      <c r="K477" s="4"/>
      <c r="S477" s="6">
        <v>924</v>
      </c>
      <c r="T477" s="4" t="e">
        <f t="shared" ca="1" si="2"/>
        <v>#N/A</v>
      </c>
    </row>
    <row r="478" spans="1:20" ht="12.5">
      <c r="A478" s="4" t="str">
        <f ca="1">IFERROR(__xludf.DUMMYFUNCTION("""COMPUTED_VALUE"""),"TRX1204")</f>
        <v>TRX1204</v>
      </c>
      <c r="B478" s="4" t="str">
        <f ca="1">IFERROR(__xludf.DUMMYFUNCTION("""COMPUTED_VALUE"""),"#56")</f>
        <v>#56</v>
      </c>
      <c r="C478" s="5">
        <f ca="1">IFERROR(__xludf.DUMMYFUNCTION("""COMPUTED_VALUE"""),46058.4173611111)</f>
        <v>46058.417361111096</v>
      </c>
      <c r="D478" s="6">
        <f ca="1">IFERROR(__xludf.DUMMYFUNCTION("""COMPUTED_VALUE"""),438)</f>
        <v>438</v>
      </c>
      <c r="E478" s="4" t="str">
        <f ca="1">IFERROR(__xludf.DUMMYFUNCTION("""COMPUTED_VALUE"""),"MXN")</f>
        <v>MXN</v>
      </c>
      <c r="F478" s="4" t="str">
        <f ca="1">IFERROR(__xludf.DUMMYFUNCTION("""COMPUTED_VALUE"""),"Carlos Ivan Gonzalez Merino")</f>
        <v>Carlos Ivan Gonzalez Merino</v>
      </c>
      <c r="G478" s="4" t="str">
        <f ca="1">IFERROR(__xludf.DUMMYFUNCTION("""COMPUTED_VALUE"""),"REST EL LECHERO        VERACRUZ VER  MEX")</f>
        <v>REST EL LECHERO        VERACRUZ VER  MEX</v>
      </c>
      <c r="H478" s="4" t="str">
        <f ca="1">IFERROR(__xludf.DUMMYFUNCTION("""COMPUTED_VALUE"""),"Rest El Lechero Veracruz Ver Mex")</f>
        <v>Rest El Lechero Veracruz Ver Mex</v>
      </c>
      <c r="I478" s="4" t="str">
        <f ca="1">IFERROR(__xludf.DUMMYFUNCTION("""COMPUTED_VALUE"""),"G&amp;A expenses")</f>
        <v>G&amp;A expenses</v>
      </c>
      <c r="J478" s="4" t="str">
        <f ca="1">IFERROR(__xludf.DUMMYFUNCTION("""COMPUTED_VALUE"""),"PO_2009 ASIPONA_COMIDA")</f>
        <v>PO_2009 ASIPONA_COMIDA</v>
      </c>
      <c r="K478" s="4"/>
      <c r="S478" s="6">
        <v>3487.69</v>
      </c>
      <c r="T478" s="4" t="e">
        <f t="shared" ca="1" si="2"/>
        <v>#N/A</v>
      </c>
    </row>
    <row r="479" spans="1:20" ht="12.5">
      <c r="A479" s="4" t="str">
        <f ca="1">IFERROR(__xludf.DUMMYFUNCTION("""COMPUTED_VALUE"""),"TRX1183")</f>
        <v>TRX1183</v>
      </c>
      <c r="B479" s="4" t="str">
        <f ca="1">IFERROR(__xludf.DUMMYFUNCTION("""COMPUTED_VALUE"""),"#56")</f>
        <v>#56</v>
      </c>
      <c r="C479" s="5">
        <f ca="1">IFERROR(__xludf.DUMMYFUNCTION("""COMPUTED_VALUE"""),46059.4166666666)</f>
        <v>46059.416666666599</v>
      </c>
      <c r="D479" s="6">
        <f ca="1">IFERROR(__xludf.DUMMYFUNCTION("""COMPUTED_VALUE"""),196)</f>
        <v>196</v>
      </c>
      <c r="E479" s="4" t="str">
        <f ca="1">IFERROR(__xludf.DUMMYFUNCTION("""COMPUTED_VALUE"""),"MXN")</f>
        <v>MXN</v>
      </c>
      <c r="F479" s="4" t="str">
        <f ca="1">IFERROR(__xludf.DUMMYFUNCTION("""COMPUTED_VALUE"""),"Carlos Ivan Gonzalez Merino")</f>
        <v>Carlos Ivan Gonzalez Merino</v>
      </c>
      <c r="G479" s="4" t="str">
        <f ca="1">IFERROR(__xludf.DUMMYFUNCTION("""COMPUTED_VALUE"""),"COM RAP BOL D ORO RU C BOCA DEL RIO  MEX")</f>
        <v>COM RAP BOL D ORO RU C BOCA DEL RIO  MEX</v>
      </c>
      <c r="H479" s="4" t="str">
        <f ca="1">IFERROR(__xludf.DUMMYFUNCTION("""COMPUTED_VALUE"""),"Com Rap Bol D Oro Ru C Boca Del Rio Mex")</f>
        <v>Com Rap Bol D Oro Ru C Boca Del Rio Mex</v>
      </c>
      <c r="I479" s="4" t="str">
        <f ca="1">IFERROR(__xludf.DUMMYFUNCTION("""COMPUTED_VALUE"""),"G&amp;A expenses")</f>
        <v>G&amp;A expenses</v>
      </c>
      <c r="J479" s="4" t="str">
        <f ca="1">IFERROR(__xludf.DUMMYFUNCTION("""COMPUTED_VALUE"""),"PO_2009 ASIPONA_COMIDA")</f>
        <v>PO_2009 ASIPONA_COMIDA</v>
      </c>
      <c r="K479" s="4"/>
      <c r="S479" s="6">
        <v>404.31</v>
      </c>
      <c r="T479" s="4" t="e">
        <f t="shared" ca="1" si="2"/>
        <v>#N/A</v>
      </c>
    </row>
    <row r="480" spans="1:20" ht="12.5">
      <c r="A480" s="4" t="str">
        <f ca="1">IFERROR(__xludf.DUMMYFUNCTION("""COMPUTED_VALUE"""),"TRX1168")</f>
        <v>TRX1168</v>
      </c>
      <c r="B480" s="4" t="str">
        <f ca="1">IFERROR(__xludf.DUMMYFUNCTION("""COMPUTED_VALUE"""),"#56")</f>
        <v>#56</v>
      </c>
      <c r="C480" s="5">
        <f ca="1">IFERROR(__xludf.DUMMYFUNCTION("""COMPUTED_VALUE"""),46059.4166666666)</f>
        <v>46059.416666666599</v>
      </c>
      <c r="D480" s="6">
        <f ca="1">IFERROR(__xludf.DUMMYFUNCTION("""COMPUTED_VALUE"""),151)</f>
        <v>151</v>
      </c>
      <c r="E480" s="4" t="str">
        <f ca="1">IFERROR(__xludf.DUMMYFUNCTION("""COMPUTED_VALUE"""),"MXN")</f>
        <v>MXN</v>
      </c>
      <c r="F480" s="4" t="str">
        <f ca="1">IFERROR(__xludf.DUMMYFUNCTION("""COMPUTED_VALUE"""),"Carlos Ivan Gonzalez Merino")</f>
        <v>Carlos Ivan Gonzalez Merino</v>
      </c>
      <c r="G480" s="4" t="str">
        <f ca="1">IFERROR(__xludf.DUMMYFUNCTION("""COMPUTED_VALUE"""),"DLO*DIDI RIDES         MEXICO        MEX")</f>
        <v>DLO*DIDI RIDES         MEXICO        MEX</v>
      </c>
      <c r="H480" s="4" t="str">
        <f ca="1">IFERROR(__xludf.DUMMYFUNCTION("""COMPUTED_VALUE"""),"Didi Chuxing")</f>
        <v>Didi Chuxing</v>
      </c>
      <c r="I480" s="4" t="str">
        <f ca="1">IFERROR(__xludf.DUMMYFUNCTION("""COMPUTED_VALUE"""),"G&amp;A expenses")</f>
        <v>G&amp;A expenses</v>
      </c>
      <c r="J480" s="4" t="str">
        <f ca="1">IFERROR(__xludf.DUMMYFUNCTION("""COMPUTED_VALUE"""),"PO_2009 ASIPONA_TRASLADO")</f>
        <v>PO_2009 ASIPONA_TRASLADO</v>
      </c>
      <c r="K480" s="4"/>
      <c r="S480" s="6">
        <v>422.63</v>
      </c>
      <c r="T480" s="4" t="e">
        <f t="shared" ca="1" si="2"/>
        <v>#N/A</v>
      </c>
    </row>
    <row r="481" spans="1:20" ht="12.5">
      <c r="A481" s="4" t="str">
        <f ca="1">IFERROR(__xludf.DUMMYFUNCTION("""COMPUTED_VALUE"""),"TRX1161")</f>
        <v>TRX1161</v>
      </c>
      <c r="B481" s="4" t="str">
        <f ca="1">IFERROR(__xludf.DUMMYFUNCTION("""COMPUTED_VALUE"""),"#56")</f>
        <v>#56</v>
      </c>
      <c r="C481" s="5">
        <f ca="1">IFERROR(__xludf.DUMMYFUNCTION("""COMPUTED_VALUE"""),46059.4166666666)</f>
        <v>46059.416666666599</v>
      </c>
      <c r="D481" s="6">
        <f ca="1">IFERROR(__xludf.DUMMYFUNCTION("""COMPUTED_VALUE"""),2639)</f>
        <v>2639</v>
      </c>
      <c r="E481" s="4" t="str">
        <f ca="1">IFERROR(__xludf.DUMMYFUNCTION("""COMPUTED_VALUE"""),"MXN")</f>
        <v>MXN</v>
      </c>
      <c r="F481" s="4" t="str">
        <f ca="1">IFERROR(__xludf.DUMMYFUNCTION("""COMPUTED_VALUE"""),"Carlos Ivan Gonzalez Merino")</f>
        <v>Carlos Ivan Gonzalez Merino</v>
      </c>
      <c r="G481" s="4" t="str">
        <f ca="1">IFERROR(__xludf.DUMMYFUNCTION("""COMPUTED_VALUE"""),"HOME DEPOT             VERACRUZ VER  MEX")</f>
        <v>HOME DEPOT             VERACRUZ VER  MEX</v>
      </c>
      <c r="H481" s="4" t="str">
        <f ca="1">IFERROR(__xludf.DUMMYFUNCTION("""COMPUTED_VALUE"""),"The Home Depot")</f>
        <v>The Home Depot</v>
      </c>
      <c r="I481" s="4" t="str">
        <f ca="1">IFERROR(__xludf.DUMMYFUNCTION("""COMPUTED_VALUE"""),"G&amp;A expenses")</f>
        <v>G&amp;A expenses</v>
      </c>
      <c r="J481" s="4" t="str">
        <f ca="1">IFERROR(__xludf.DUMMYFUNCTION("""COMPUTED_VALUE"""),"PO_2009 ASIPONA_COMIDA")</f>
        <v>PO_2009 ASIPONA_COMIDA</v>
      </c>
      <c r="K481" s="4"/>
      <c r="S481" s="6">
        <v>20</v>
      </c>
      <c r="T481" s="4" t="str">
        <f t="shared" ca="1" si="2"/>
        <v>Fernanda Sanchez Ruiz</v>
      </c>
    </row>
    <row r="482" spans="1:20" ht="12.5">
      <c r="A482" s="4" t="str">
        <f ca="1">IFERROR(__xludf.DUMMYFUNCTION("""COMPUTED_VALUE"""),"TRX1154")</f>
        <v>TRX1154</v>
      </c>
      <c r="B482" s="4" t="str">
        <f ca="1">IFERROR(__xludf.DUMMYFUNCTION("""COMPUTED_VALUE"""),"#56")</f>
        <v>#56</v>
      </c>
      <c r="C482" s="5">
        <f ca="1">IFERROR(__xludf.DUMMYFUNCTION("""COMPUTED_VALUE"""),46059.4173611111)</f>
        <v>46059.417361111096</v>
      </c>
      <c r="D482" s="6">
        <f ca="1">IFERROR(__xludf.DUMMYFUNCTION("""COMPUTED_VALUE"""),90)</f>
        <v>90</v>
      </c>
      <c r="E482" s="4" t="str">
        <f ca="1">IFERROR(__xludf.DUMMYFUNCTION("""COMPUTED_VALUE"""),"MXN")</f>
        <v>MXN</v>
      </c>
      <c r="F482" s="4" t="str">
        <f ca="1">IFERROR(__xludf.DUMMYFUNCTION("""COMPUTED_VALUE"""),"Carlos Ivan Gonzalez Merino")</f>
        <v>Carlos Ivan Gonzalez Merino</v>
      </c>
      <c r="G482" s="4" t="str">
        <f ca="1">IFERROR(__xludf.DUMMYFUNCTION("""COMPUTED_VALUE"""),"DLO*DIDI RIDES         MEXICO        MEX")</f>
        <v>DLO*DIDI RIDES         MEXICO        MEX</v>
      </c>
      <c r="H482" s="4" t="str">
        <f ca="1">IFERROR(__xludf.DUMMYFUNCTION("""COMPUTED_VALUE"""),"Didi Chuxing")</f>
        <v>Didi Chuxing</v>
      </c>
      <c r="I482" s="4" t="str">
        <f ca="1">IFERROR(__xludf.DUMMYFUNCTION("""COMPUTED_VALUE"""),"G&amp;A expenses")</f>
        <v>G&amp;A expenses</v>
      </c>
      <c r="J482" s="4" t="str">
        <f ca="1">IFERROR(__xludf.DUMMYFUNCTION("""COMPUTED_VALUE"""),"PO_2009 ASIPONA_TRASLADO")</f>
        <v>PO_2009 ASIPONA_TRASLADO</v>
      </c>
      <c r="K482" s="4"/>
      <c r="S482" s="6">
        <v>1594.99</v>
      </c>
      <c r="T482" s="4" t="e">
        <f t="shared" ca="1" si="2"/>
        <v>#N/A</v>
      </c>
    </row>
    <row r="483" spans="1:20" ht="12.5">
      <c r="A483" s="4" t="str">
        <f ca="1">IFERROR(__xludf.DUMMYFUNCTION("""COMPUTED_VALUE"""),"TRX1069")</f>
        <v>TRX1069</v>
      </c>
      <c r="B483" s="4" t="str">
        <f ca="1">IFERROR(__xludf.DUMMYFUNCTION("""COMPUTED_VALUE"""),"#56")</f>
        <v>#56</v>
      </c>
      <c r="C483" s="5">
        <f ca="1">IFERROR(__xludf.DUMMYFUNCTION("""COMPUTED_VALUE"""),46059.4173611111)</f>
        <v>46059.417361111096</v>
      </c>
      <c r="D483" s="6">
        <f ca="1">IFERROR(__xludf.DUMMYFUNCTION("""COMPUTED_VALUE"""),374)</f>
        <v>374</v>
      </c>
      <c r="E483" s="4" t="str">
        <f ca="1">IFERROR(__xludf.DUMMYFUNCTION("""COMPUTED_VALUE"""),"MXN")</f>
        <v>MXN</v>
      </c>
      <c r="F483" s="4" t="str">
        <f ca="1">IFERROR(__xludf.DUMMYFUNCTION("""COMPUTED_VALUE"""),"Carlos Ivan Gonzalez Merino")</f>
        <v>Carlos Ivan Gonzalez Merino</v>
      </c>
      <c r="G483" s="4" t="str">
        <f ca="1">IFERROR(__xludf.DUMMYFUNCTION("""COMPUTED_VALUE"""),"REST TACOS FE BOLIVAR  VERACRUZ VER  MEX")</f>
        <v>REST TACOS FE BOLIVAR  VERACRUZ VER  MEX</v>
      </c>
      <c r="H483" s="4" t="str">
        <f ca="1">IFERROR(__xludf.DUMMYFUNCTION("""COMPUTED_VALUE"""),"Rest Tacos Fe Bolivar Veracruz Ver Mex")</f>
        <v>Rest Tacos Fe Bolivar Veracruz Ver Mex</v>
      </c>
      <c r="I483" s="4" t="str">
        <f ca="1">IFERROR(__xludf.DUMMYFUNCTION("""COMPUTED_VALUE"""),"G&amp;A expenses")</f>
        <v>G&amp;A expenses</v>
      </c>
      <c r="J483" s="4" t="str">
        <f ca="1">IFERROR(__xludf.DUMMYFUNCTION("""COMPUTED_VALUE"""),"PO_2009 ASIPONA_COMIDA")</f>
        <v>PO_2009 ASIPONA_COMIDA</v>
      </c>
      <c r="K483" s="4"/>
      <c r="S483" s="6">
        <v>1728.52</v>
      </c>
      <c r="T483" s="4" t="e">
        <f t="shared" ca="1" si="2"/>
        <v>#N/A</v>
      </c>
    </row>
    <row r="484" spans="1:20" ht="12.5">
      <c r="A484" s="4" t="str">
        <f ca="1">IFERROR(__xludf.DUMMYFUNCTION("""COMPUTED_VALUE"""),"TRX1883")</f>
        <v>TRX1883</v>
      </c>
      <c r="B484" s="4" t="str">
        <f ca="1">IFERROR(__xludf.DUMMYFUNCTION("""COMPUTED_VALUE"""),"#56")</f>
        <v>#56</v>
      </c>
      <c r="C484" s="5">
        <f ca="1">IFERROR(__xludf.DUMMYFUNCTION("""COMPUTED_VALUE"""),46060.4166666666)</f>
        <v>46060.416666666599</v>
      </c>
      <c r="D484" s="6">
        <f ca="1">IFERROR(__xludf.DUMMYFUNCTION("""COMPUTED_VALUE"""),113)</f>
        <v>113</v>
      </c>
      <c r="E484" s="4" t="str">
        <f ca="1">IFERROR(__xludf.DUMMYFUNCTION("""COMPUTED_VALUE"""),"MXN")</f>
        <v>MXN</v>
      </c>
      <c r="F484" s="4" t="str">
        <f ca="1">IFERROR(__xludf.DUMMYFUNCTION("""COMPUTED_VALUE"""),"Carlos Ivan Gonzalez Merino")</f>
        <v>Carlos Ivan Gonzalez Merino</v>
      </c>
      <c r="G484" s="4" t="str">
        <f ca="1">IFERROR(__xludf.DUMMYFUNCTION("""COMPUTED_VALUE"""),"DLO*DIDI RIDES         MEXICO        MEX")</f>
        <v>DLO*DIDI RIDES         MEXICO        MEX</v>
      </c>
      <c r="H484" s="4" t="str">
        <f ca="1">IFERROR(__xludf.DUMMYFUNCTION("""COMPUTED_VALUE"""),"Didi Chuxing")</f>
        <v>Didi Chuxing</v>
      </c>
      <c r="I484" s="4" t="str">
        <f ca="1">IFERROR(__xludf.DUMMYFUNCTION("""COMPUTED_VALUE"""),"G&amp;A expenses")</f>
        <v>G&amp;A expenses</v>
      </c>
      <c r="J484" s="4" t="str">
        <f ca="1">IFERROR(__xludf.DUMMYFUNCTION("""COMPUTED_VALUE"""),"PO_2009 ASIPONA_TRASLADO")</f>
        <v>PO_2009 ASIPONA_TRASLADO</v>
      </c>
      <c r="K484" s="4"/>
      <c r="S484" s="6">
        <v>2709.79</v>
      </c>
      <c r="T484" s="4" t="e">
        <f t="shared" ca="1" si="2"/>
        <v>#N/A</v>
      </c>
    </row>
    <row r="485" spans="1:20" ht="12.5">
      <c r="A485" s="4" t="str">
        <f ca="1">IFERROR(__xludf.DUMMYFUNCTION("""COMPUTED_VALUE"""),"TRX1686")</f>
        <v>TRX1686</v>
      </c>
      <c r="B485" s="4" t="str">
        <f ca="1">IFERROR(__xludf.DUMMYFUNCTION("""COMPUTED_VALUE"""),"#56")</f>
        <v>#56</v>
      </c>
      <c r="C485" s="5">
        <f ca="1">IFERROR(__xludf.DUMMYFUNCTION("""COMPUTED_VALUE"""),46060.4173611111)</f>
        <v>46060.417361111096</v>
      </c>
      <c r="D485" s="6">
        <f ca="1">IFERROR(__xludf.DUMMYFUNCTION("""COMPUTED_VALUE"""),893)</f>
        <v>893</v>
      </c>
      <c r="E485" s="4" t="str">
        <f ca="1">IFERROR(__xludf.DUMMYFUNCTION("""COMPUTED_VALUE"""),"MXN")</f>
        <v>MXN</v>
      </c>
      <c r="F485" s="4" t="str">
        <f ca="1">IFERROR(__xludf.DUMMYFUNCTION("""COMPUTED_VALUE"""),"Carlos Ivan Gonzalez Merino")</f>
        <v>Carlos Ivan Gonzalez Merino</v>
      </c>
      <c r="G485" s="4" t="str">
        <f ca="1">IFERROR(__xludf.DUMMYFUNCTION("""COMPUTED_VALUE"""),"CAFE PARROQ VERACRUZ   VERACRUZ VER  MEX")</f>
        <v>CAFE PARROQ VERACRUZ   VERACRUZ VER  MEX</v>
      </c>
      <c r="H485" s="4" t="str">
        <f ca="1">IFERROR(__xludf.DUMMYFUNCTION("""COMPUTED_VALUE"""),"Cafe Parroq Veracruz Veracruz Ver Mex")</f>
        <v>Cafe Parroq Veracruz Veracruz Ver Mex</v>
      </c>
      <c r="I485" s="4" t="str">
        <f ca="1">IFERROR(__xludf.DUMMYFUNCTION("""COMPUTED_VALUE"""),"G&amp;A expenses")</f>
        <v>G&amp;A expenses</v>
      </c>
      <c r="J485" s="4" t="str">
        <f ca="1">IFERROR(__xludf.DUMMYFUNCTION("""COMPUTED_VALUE"""),"PO_2009 ASIPONA_COMIDA")</f>
        <v>PO_2009 ASIPONA_COMIDA</v>
      </c>
      <c r="K485" s="4"/>
      <c r="S485" s="6">
        <v>1951.14</v>
      </c>
      <c r="T485" s="4" t="e">
        <f t="shared" ca="1" si="2"/>
        <v>#N/A</v>
      </c>
    </row>
    <row r="486" spans="1:20" ht="12.5">
      <c r="A486" s="4" t="str">
        <f ca="1">IFERROR(__xludf.DUMMYFUNCTION("""COMPUTED_VALUE"""),"TRX1240")</f>
        <v>TRX1240</v>
      </c>
      <c r="B486" s="4" t="str">
        <f ca="1">IFERROR(__xludf.DUMMYFUNCTION("""COMPUTED_VALUE"""),"#56")</f>
        <v>#56</v>
      </c>
      <c r="C486" s="5">
        <f ca="1">IFERROR(__xludf.DUMMYFUNCTION("""COMPUTED_VALUE"""),46060.4173611111)</f>
        <v>46060.417361111096</v>
      </c>
      <c r="D486" s="6">
        <f ca="1">IFERROR(__xludf.DUMMYFUNCTION("""COMPUTED_VALUE"""),115)</f>
        <v>115</v>
      </c>
      <c r="E486" s="4" t="str">
        <f ca="1">IFERROR(__xludf.DUMMYFUNCTION("""COMPUTED_VALUE"""),"MXN")</f>
        <v>MXN</v>
      </c>
      <c r="F486" s="4" t="str">
        <f ca="1">IFERROR(__xludf.DUMMYFUNCTION("""COMPUTED_VALUE"""),"Carlos Ivan Gonzalez Merino")</f>
        <v>Carlos Ivan Gonzalez Merino</v>
      </c>
      <c r="G486" s="4" t="str">
        <f ca="1">IFERROR(__xludf.DUMMYFUNCTION("""COMPUTED_VALUE"""),"DLO*DIDI RIDES         MEXICO        MEX")</f>
        <v>DLO*DIDI RIDES         MEXICO        MEX</v>
      </c>
      <c r="H486" s="4" t="str">
        <f ca="1">IFERROR(__xludf.DUMMYFUNCTION("""COMPUTED_VALUE"""),"Didi Chuxing")</f>
        <v>Didi Chuxing</v>
      </c>
      <c r="I486" s="4" t="str">
        <f ca="1">IFERROR(__xludf.DUMMYFUNCTION("""COMPUTED_VALUE"""),"G&amp;A expenses")</f>
        <v>G&amp;A expenses</v>
      </c>
      <c r="J486" s="4" t="str">
        <f ca="1">IFERROR(__xludf.DUMMYFUNCTION("""COMPUTED_VALUE"""),"PO_2009 ASIPONA_TRASLADO")</f>
        <v>PO_2009 ASIPONA_TRASLADO</v>
      </c>
      <c r="K486" s="4"/>
      <c r="S486" s="6">
        <v>4368.42</v>
      </c>
      <c r="T486" s="4" t="e">
        <f t="shared" ca="1" si="2"/>
        <v>#N/A</v>
      </c>
    </row>
    <row r="487" spans="1:20" ht="12.5">
      <c r="A487" s="4" t="str">
        <f ca="1">IFERROR(__xludf.DUMMYFUNCTION("""COMPUTED_VALUE"""),"TRX1370")</f>
        <v>TRX1370</v>
      </c>
      <c r="B487" s="4" t="str">
        <f ca="1">IFERROR(__xludf.DUMMYFUNCTION("""COMPUTED_VALUE"""),"#56")</f>
        <v>#56</v>
      </c>
      <c r="C487" s="5">
        <f ca="1">IFERROR(__xludf.DUMMYFUNCTION("""COMPUTED_VALUE"""),46060.4173611111)</f>
        <v>46060.417361111096</v>
      </c>
      <c r="D487" s="6">
        <f ca="1">IFERROR(__xludf.DUMMYFUNCTION("""COMPUTED_VALUE"""),229.68)</f>
        <v>229.68</v>
      </c>
      <c r="E487" s="4" t="str">
        <f ca="1">IFERROR(__xludf.DUMMYFUNCTION("""COMPUTED_VALUE"""),"MXN")</f>
        <v>MXN</v>
      </c>
      <c r="F487" s="4" t="str">
        <f ca="1">IFERROR(__xludf.DUMMYFUNCTION("""COMPUTED_VALUE"""),"Carlos Ivan Gonzalez Merino")</f>
        <v>Carlos Ivan Gonzalez Merino</v>
      </c>
      <c r="G487" s="4" t="str">
        <f ca="1">IFERROR(__xludf.DUMMYFUNCTION("""COMPUTED_VALUE"""),"D LOCAL*REST DIDIFOOD  CIUDAD DE MEX MEX")</f>
        <v>D LOCAL*REST DIDIFOOD  CIUDAD DE MEX MEX</v>
      </c>
      <c r="H487" s="4" t="str">
        <f ca="1">IFERROR(__xludf.DUMMYFUNCTION("""COMPUTED_VALUE"""),"D Local Rest Didifood Ciudad De Mex Mex")</f>
        <v>D Local Rest Didifood Ciudad De Mex Mex</v>
      </c>
      <c r="I487" s="4" t="str">
        <f ca="1">IFERROR(__xludf.DUMMYFUNCTION("""COMPUTED_VALUE"""),"G&amp;A expenses")</f>
        <v>G&amp;A expenses</v>
      </c>
      <c r="J487" s="4" t="str">
        <f ca="1">IFERROR(__xludf.DUMMYFUNCTION("""COMPUTED_VALUE"""),"PO_2009 ASIPONA_COMIDA")</f>
        <v>PO_2009 ASIPONA_COMIDA</v>
      </c>
      <c r="K487" s="4"/>
      <c r="S487" s="6">
        <v>61.2</v>
      </c>
      <c r="T487" s="4" t="str">
        <f t="shared" ca="1" si="2"/>
        <v>Emiliano Cavazos</v>
      </c>
    </row>
    <row r="488" spans="1:20" ht="12.5">
      <c r="A488" s="4" t="str">
        <f ca="1">IFERROR(__xludf.DUMMYFUNCTION("""COMPUTED_VALUE"""),"TRX1113")</f>
        <v>TRX1113</v>
      </c>
      <c r="B488" s="4" t="str">
        <f ca="1">IFERROR(__xludf.DUMMYFUNCTION("""COMPUTED_VALUE"""),"#56")</f>
        <v>#56</v>
      </c>
      <c r="C488" s="5">
        <f ca="1">IFERROR(__xludf.DUMMYFUNCTION("""COMPUTED_VALUE"""),46062.4166666666)</f>
        <v>46062.416666666599</v>
      </c>
      <c r="D488" s="6">
        <f ca="1">IFERROR(__xludf.DUMMYFUNCTION("""COMPUTED_VALUE"""),292.17)</f>
        <v>292.17</v>
      </c>
      <c r="E488" s="4" t="str">
        <f ca="1">IFERROR(__xludf.DUMMYFUNCTION("""COMPUTED_VALUE"""),"MXN")</f>
        <v>MXN</v>
      </c>
      <c r="F488" s="4" t="str">
        <f ca="1">IFERROR(__xludf.DUMMYFUNCTION("""COMPUTED_VALUE"""),"Carlos Ivan Gonzalez Merino")</f>
        <v>Carlos Ivan Gonzalez Merino</v>
      </c>
      <c r="G488" s="4" t="str">
        <f ca="1">IFERROR(__xludf.DUMMYFUNCTION("""COMPUTED_VALUE"""),"UBER * EATS PENDING    CMX           MEX")</f>
        <v>UBER * EATS PENDING    CMX           MEX</v>
      </c>
      <c r="H488" s="4" t="str">
        <f ca="1">IFERROR(__xludf.DUMMYFUNCTION("""COMPUTED_VALUE"""),"Uber Eats")</f>
        <v>Uber Eats</v>
      </c>
      <c r="I488" s="4" t="str">
        <f ca="1">IFERROR(__xludf.DUMMYFUNCTION("""COMPUTED_VALUE"""),"G&amp;A expenses")</f>
        <v>G&amp;A expenses</v>
      </c>
      <c r="J488" s="4" t="str">
        <f ca="1">IFERROR(__xludf.DUMMYFUNCTION("""COMPUTED_VALUE"""),"PO_2009 ASIPONA_COMIDA")</f>
        <v>PO_2009 ASIPONA_COMIDA</v>
      </c>
      <c r="K488" s="4"/>
      <c r="S488" s="6">
        <v>800</v>
      </c>
      <c r="T488" s="4" t="str">
        <f t="shared" ca="1" si="2"/>
        <v>Jose Rosas Ortiz</v>
      </c>
    </row>
    <row r="489" spans="1:20" ht="12.5">
      <c r="A489" s="4" t="str">
        <f ca="1">IFERROR(__xludf.DUMMYFUNCTION("""COMPUTED_VALUE"""),"TRX1505")</f>
        <v>TRX1505</v>
      </c>
      <c r="B489" s="4" t="str">
        <f ca="1">IFERROR(__xludf.DUMMYFUNCTION("""COMPUTED_VALUE"""),"#56")</f>
        <v>#56</v>
      </c>
      <c r="C489" s="5">
        <f ca="1">IFERROR(__xludf.DUMMYFUNCTION("""COMPUTED_VALUE"""),46062.4166666666)</f>
        <v>46062.416666666599</v>
      </c>
      <c r="D489" s="6">
        <f ca="1">IFERROR(__xludf.DUMMYFUNCTION("""COMPUTED_VALUE"""),120)</f>
        <v>120</v>
      </c>
      <c r="E489" s="4" t="str">
        <f ca="1">IFERROR(__xludf.DUMMYFUNCTION("""COMPUTED_VALUE"""),"MXN")</f>
        <v>MXN</v>
      </c>
      <c r="F489" s="4" t="str">
        <f ca="1">IFERROR(__xludf.DUMMYFUNCTION("""COMPUTED_VALUE"""),"Carlos Ivan Gonzalez Merino")</f>
        <v>Carlos Ivan Gonzalez Merino</v>
      </c>
      <c r="G489" s="4" t="str">
        <f ca="1">IFERROR(__xludf.DUMMYFUNCTION("""COMPUTED_VALUE"""),"DLO*DIDI RIDES         MEXICO        MEX")</f>
        <v>DLO*DIDI RIDES         MEXICO        MEX</v>
      </c>
      <c r="H489" s="4" t="str">
        <f ca="1">IFERROR(__xludf.DUMMYFUNCTION("""COMPUTED_VALUE"""),"Didi Chuxing")</f>
        <v>Didi Chuxing</v>
      </c>
      <c r="I489" s="4" t="str">
        <f ca="1">IFERROR(__xludf.DUMMYFUNCTION("""COMPUTED_VALUE"""),"G&amp;A expenses")</f>
        <v>G&amp;A expenses</v>
      </c>
      <c r="J489" s="4" t="str">
        <f ca="1">IFERROR(__xludf.DUMMYFUNCTION("""COMPUTED_VALUE"""),"PO_2009 ASIPONA_TRASLADO")</f>
        <v>PO_2009 ASIPONA_TRASLADO</v>
      </c>
      <c r="K489" s="4"/>
      <c r="S489" s="6">
        <v>85.7</v>
      </c>
      <c r="T489" s="4" t="e">
        <f t="shared" ca="1" si="2"/>
        <v>#N/A</v>
      </c>
    </row>
    <row r="490" spans="1:20" ht="12.5">
      <c r="A490" s="4" t="str">
        <f ca="1">IFERROR(__xludf.DUMMYFUNCTION("""COMPUTED_VALUE"""),"TRX1395")</f>
        <v>TRX1395</v>
      </c>
      <c r="B490" s="4" t="str">
        <f ca="1">IFERROR(__xludf.DUMMYFUNCTION("""COMPUTED_VALUE"""),"#56")</f>
        <v>#56</v>
      </c>
      <c r="C490" s="5">
        <f ca="1">IFERROR(__xludf.DUMMYFUNCTION("""COMPUTED_VALUE"""),46063.4166666666)</f>
        <v>46063.416666666599</v>
      </c>
      <c r="D490" s="6">
        <f ca="1">IFERROR(__xludf.DUMMYFUNCTION("""COMPUTED_VALUE"""),139.2)</f>
        <v>139.19999999999999</v>
      </c>
      <c r="E490" s="4" t="str">
        <f ca="1">IFERROR(__xludf.DUMMYFUNCTION("""COMPUTED_VALUE"""),"MXN")</f>
        <v>MXN</v>
      </c>
      <c r="F490" s="4" t="str">
        <f ca="1">IFERROR(__xludf.DUMMYFUNCTION("""COMPUTED_VALUE"""),"Carlos Ivan Gonzalez Merino")</f>
        <v>Carlos Ivan Gonzalez Merino</v>
      </c>
      <c r="G490" s="4" t="str">
        <f ca="1">IFERROR(__xludf.DUMMYFUNCTION("""COMPUTED_VALUE"""),"ODM ORIZABA            ORIZABA VER   MEX")</f>
        <v>ODM ORIZABA            ORIZABA VER   MEX</v>
      </c>
      <c r="H490" s="4" t="str">
        <f ca="1">IFERROR(__xludf.DUMMYFUNCTION("""COMPUTED_VALUE"""),"Odm Orizaba Orizaba Ver Mex")</f>
        <v>Odm Orizaba Orizaba Ver Mex</v>
      </c>
      <c r="I490" s="4" t="str">
        <f ca="1">IFERROR(__xludf.DUMMYFUNCTION("""COMPUTED_VALUE"""),"G&amp;A expenses")</f>
        <v>G&amp;A expenses</v>
      </c>
      <c r="J490" s="4" t="str">
        <f ca="1">IFERROR(__xludf.DUMMYFUNCTION("""COMPUTED_VALUE"""),"PO_2009 ASIPONA_COMIDA")</f>
        <v>PO_2009 ASIPONA_COMIDA</v>
      </c>
      <c r="K490" s="4"/>
      <c r="S490" s="6">
        <v>1808</v>
      </c>
      <c r="T490" s="4" t="e">
        <f t="shared" ca="1" si="2"/>
        <v>#N/A</v>
      </c>
    </row>
    <row r="491" spans="1:20" ht="12.5">
      <c r="A491" s="4" t="str">
        <f ca="1">IFERROR(__xludf.DUMMYFUNCTION("""COMPUTED_VALUE"""),"TRX1601")</f>
        <v>TRX1601</v>
      </c>
      <c r="B491" s="4" t="str">
        <f ca="1">IFERROR(__xludf.DUMMYFUNCTION("""COMPUTED_VALUE"""),"#56")</f>
        <v>#56</v>
      </c>
      <c r="C491" s="5">
        <f ca="1">IFERROR(__xludf.DUMMYFUNCTION("""COMPUTED_VALUE"""),46063.4166666666)</f>
        <v>46063.416666666599</v>
      </c>
      <c r="D491" s="6">
        <f ca="1">IFERROR(__xludf.DUMMYFUNCTION("""COMPUTED_VALUE"""),282.27)</f>
        <v>282.27</v>
      </c>
      <c r="E491" s="4" t="str">
        <f ca="1">IFERROR(__xludf.DUMMYFUNCTION("""COMPUTED_VALUE"""),"MXN")</f>
        <v>MXN</v>
      </c>
      <c r="F491" s="4" t="str">
        <f ca="1">IFERROR(__xludf.DUMMYFUNCTION("""COMPUTED_VALUE"""),"Carlos Ivan Gonzalez Merino")</f>
        <v>Carlos Ivan Gonzalez Merino</v>
      </c>
      <c r="G491" s="4" t="str">
        <f ca="1">IFERROR(__xludf.DUMMYFUNCTION("""COMPUTED_VALUE"""),"D LOCAL*REST DIDIFOOD  CIUDAD DE MEX MEX")</f>
        <v>D LOCAL*REST DIDIFOOD  CIUDAD DE MEX MEX</v>
      </c>
      <c r="H491" s="4" t="str">
        <f ca="1">IFERROR(__xludf.DUMMYFUNCTION("""COMPUTED_VALUE"""),"D Local Rest Didifood Ciudad De Mex Mex")</f>
        <v>D Local Rest Didifood Ciudad De Mex Mex</v>
      </c>
      <c r="I491" s="4" t="str">
        <f ca="1">IFERROR(__xludf.DUMMYFUNCTION("""COMPUTED_VALUE"""),"G&amp;A expenses")</f>
        <v>G&amp;A expenses</v>
      </c>
      <c r="J491" s="4" t="str">
        <f ca="1">IFERROR(__xludf.DUMMYFUNCTION("""COMPUTED_VALUE"""),"PO_2009 ASIPONA_COMIDA")</f>
        <v>PO_2009 ASIPONA_COMIDA</v>
      </c>
      <c r="K491" s="4"/>
      <c r="S491" s="6">
        <v>60.5</v>
      </c>
      <c r="T491" s="4" t="str">
        <f t="shared" ca="1" si="2"/>
        <v>Jose Ignacio Martinez Flemate</v>
      </c>
    </row>
    <row r="492" spans="1:20" ht="12.5">
      <c r="A492" s="4" t="str">
        <f ca="1">IFERROR(__xludf.DUMMYFUNCTION("""COMPUTED_VALUE"""),"TRX1126")</f>
        <v>TRX1126</v>
      </c>
      <c r="B492" s="4" t="str">
        <f ca="1">IFERROR(__xludf.DUMMYFUNCTION("""COMPUTED_VALUE"""),"#56")</f>
        <v>#56</v>
      </c>
      <c r="C492" s="5">
        <f ca="1">IFERROR(__xludf.DUMMYFUNCTION("""COMPUTED_VALUE"""),46064.4166666666)</f>
        <v>46064.416666666599</v>
      </c>
      <c r="D492" s="6">
        <f ca="1">IFERROR(__xludf.DUMMYFUNCTION("""COMPUTED_VALUE"""),111)</f>
        <v>111</v>
      </c>
      <c r="E492" s="4" t="str">
        <f ca="1">IFERROR(__xludf.DUMMYFUNCTION("""COMPUTED_VALUE"""),"MXN")</f>
        <v>MXN</v>
      </c>
      <c r="F492" s="4" t="str">
        <f ca="1">IFERROR(__xludf.DUMMYFUNCTION("""COMPUTED_VALUE"""),"Carlos Ivan Gonzalez Merino")</f>
        <v>Carlos Ivan Gonzalez Merino</v>
      </c>
      <c r="G492" s="4" t="str">
        <f ca="1">IFERROR(__xludf.DUMMYFUNCTION("""COMPUTED_VALUE"""),"DLO*DIDI RIDES         MEXICO        MEX")</f>
        <v>DLO*DIDI RIDES         MEXICO        MEX</v>
      </c>
      <c r="H492" s="4" t="str">
        <f ca="1">IFERROR(__xludf.DUMMYFUNCTION("""COMPUTED_VALUE"""),"Didi Chuxing")</f>
        <v>Didi Chuxing</v>
      </c>
      <c r="I492" s="4" t="str">
        <f ca="1">IFERROR(__xludf.DUMMYFUNCTION("""COMPUTED_VALUE"""),"G&amp;A expenses")</f>
        <v>G&amp;A expenses</v>
      </c>
      <c r="J492" s="4" t="str">
        <f ca="1">IFERROR(__xludf.DUMMYFUNCTION("""COMPUTED_VALUE"""),"PO_2009 ASIPONA_TRASLADO")</f>
        <v>PO_2009 ASIPONA_TRASLADO</v>
      </c>
      <c r="K492" s="4"/>
      <c r="S492" s="6">
        <v>334</v>
      </c>
      <c r="T492" s="4" t="e">
        <f t="shared" ca="1" si="2"/>
        <v>#N/A</v>
      </c>
    </row>
    <row r="493" spans="1:20" ht="12.5">
      <c r="A493" s="4" t="str">
        <f ca="1">IFERROR(__xludf.DUMMYFUNCTION("""COMPUTED_VALUE"""),"TRX1880")</f>
        <v>TRX1880</v>
      </c>
      <c r="B493" s="4" t="str">
        <f ca="1">IFERROR(__xludf.DUMMYFUNCTION("""COMPUTED_VALUE"""),"#56")</f>
        <v>#56</v>
      </c>
      <c r="C493" s="5">
        <f ca="1">IFERROR(__xludf.DUMMYFUNCTION("""COMPUTED_VALUE"""),46064.4166666666)</f>
        <v>46064.416666666599</v>
      </c>
      <c r="D493" s="6">
        <f ca="1">IFERROR(__xludf.DUMMYFUNCTION("""COMPUTED_VALUE"""),259)</f>
        <v>259</v>
      </c>
      <c r="E493" s="4" t="str">
        <f ca="1">IFERROR(__xludf.DUMMYFUNCTION("""COMPUTED_VALUE"""),"MXN")</f>
        <v>MXN</v>
      </c>
      <c r="F493" s="4" t="str">
        <f ca="1">IFERROR(__xludf.DUMMYFUNCTION("""COMPUTED_VALUE"""),"Carlos Ivan Gonzalez Merino")</f>
        <v>Carlos Ivan Gonzalez Merino</v>
      </c>
      <c r="G493" s="4" t="str">
        <f ca="1">IFERROR(__xludf.DUMMYFUNCTION("""COMPUTED_VALUE"""),"REST GRAN CAFE DE LA P VERACRUZ VER  MEX")</f>
        <v>REST GRAN CAFE DE LA P VERACRUZ VER  MEX</v>
      </c>
      <c r="H493" s="4" t="str">
        <f ca="1">IFERROR(__xludf.DUMMYFUNCTION("""COMPUTED_VALUE"""),"Rest Gran Cafe De La P Veracruz Ver Mex")</f>
        <v>Rest Gran Cafe De La P Veracruz Ver Mex</v>
      </c>
      <c r="I493" s="4" t="str">
        <f ca="1">IFERROR(__xludf.DUMMYFUNCTION("""COMPUTED_VALUE"""),"G&amp;A expenses")</f>
        <v>G&amp;A expenses</v>
      </c>
      <c r="J493" s="4" t="str">
        <f ca="1">IFERROR(__xludf.DUMMYFUNCTION("""COMPUTED_VALUE"""),"PO_2009 ASIPONA_COMIDA")</f>
        <v>PO_2009 ASIPONA_COMIDA</v>
      </c>
      <c r="K493" s="4"/>
      <c r="S493" s="6">
        <v>532.87</v>
      </c>
      <c r="T493" s="4" t="e">
        <f t="shared" ca="1" si="2"/>
        <v>#N/A</v>
      </c>
    </row>
    <row r="494" spans="1:20" ht="12.5">
      <c r="A494" s="4" t="str">
        <f ca="1">IFERROR(__xludf.DUMMYFUNCTION("""COMPUTED_VALUE"""),"TRX1910")</f>
        <v>TRX1910</v>
      </c>
      <c r="B494" s="4" t="str">
        <f ca="1">IFERROR(__xludf.DUMMYFUNCTION("""COMPUTED_VALUE"""),"#56")</f>
        <v>#56</v>
      </c>
      <c r="C494" s="5">
        <f ca="1">IFERROR(__xludf.DUMMYFUNCTION("""COMPUTED_VALUE"""),46064.4166666666)</f>
        <v>46064.416666666599</v>
      </c>
      <c r="D494" s="6">
        <f ca="1">IFERROR(__xludf.DUMMYFUNCTION("""COMPUTED_VALUE"""),74)</f>
        <v>74</v>
      </c>
      <c r="E494" s="4" t="str">
        <f ca="1">IFERROR(__xludf.DUMMYFUNCTION("""COMPUTED_VALUE"""),"MXN")</f>
        <v>MXN</v>
      </c>
      <c r="F494" s="4" t="str">
        <f ca="1">IFERROR(__xludf.DUMMYFUNCTION("""COMPUTED_VALUE"""),"Carlos Ivan Gonzalez Merino")</f>
        <v>Carlos Ivan Gonzalez Merino</v>
      </c>
      <c r="G494" s="4" t="str">
        <f ca="1">IFERROR(__xludf.DUMMYFUNCTION("""COMPUTED_VALUE"""),"DLO*DIDI RIDES         MEXICO        MEX")</f>
        <v>DLO*DIDI RIDES         MEXICO        MEX</v>
      </c>
      <c r="H494" s="4" t="str">
        <f ca="1">IFERROR(__xludf.DUMMYFUNCTION("""COMPUTED_VALUE"""),"Didi Chuxing")</f>
        <v>Didi Chuxing</v>
      </c>
      <c r="I494" s="4" t="str">
        <f ca="1">IFERROR(__xludf.DUMMYFUNCTION("""COMPUTED_VALUE"""),"G&amp;A expenses")</f>
        <v>G&amp;A expenses</v>
      </c>
      <c r="J494" s="4" t="str">
        <f ca="1">IFERROR(__xludf.DUMMYFUNCTION("""COMPUTED_VALUE"""),"PO_2009 ASIPONA_TRASLADO")</f>
        <v>PO_2009 ASIPONA_TRASLADO</v>
      </c>
      <c r="K494" s="4"/>
      <c r="S494" s="6">
        <v>293.25</v>
      </c>
      <c r="T494" s="4" t="e">
        <f t="shared" ca="1" si="2"/>
        <v>#N/A</v>
      </c>
    </row>
    <row r="495" spans="1:20" ht="12.5">
      <c r="A495" s="4" t="str">
        <f ca="1">IFERROR(__xludf.DUMMYFUNCTION("""COMPUTED_VALUE"""),"TRX1492")</f>
        <v>TRX1492</v>
      </c>
      <c r="B495" s="4" t="str">
        <f ca="1">IFERROR(__xludf.DUMMYFUNCTION("""COMPUTED_VALUE"""),"#56")</f>
        <v>#56</v>
      </c>
      <c r="C495" s="5">
        <f ca="1">IFERROR(__xludf.DUMMYFUNCTION("""COMPUTED_VALUE"""),46065.4166666666)</f>
        <v>46065.416666666599</v>
      </c>
      <c r="D495" s="6">
        <f ca="1">IFERROR(__xludf.DUMMYFUNCTION("""COMPUTED_VALUE"""),309.93)</f>
        <v>309.93</v>
      </c>
      <c r="E495" s="4" t="str">
        <f ca="1">IFERROR(__xludf.DUMMYFUNCTION("""COMPUTED_VALUE"""),"MXN")</f>
        <v>MXN</v>
      </c>
      <c r="F495" s="4" t="str">
        <f ca="1">IFERROR(__xludf.DUMMYFUNCTION("""COMPUTED_VALUE"""),"Carlos Ivan Gonzalez Merino")</f>
        <v>Carlos Ivan Gonzalez Merino</v>
      </c>
      <c r="G495" s="4" t="str">
        <f ca="1">IFERROR(__xludf.DUMMYFUNCTION("""COMPUTED_VALUE"""),"UBER * PENDING         CMX           MEX")</f>
        <v>UBER * PENDING         CMX           MEX</v>
      </c>
      <c r="H495" s="4" t="str">
        <f ca="1">IFERROR(__xludf.DUMMYFUNCTION("""COMPUTED_VALUE"""),"Uber")</f>
        <v>Uber</v>
      </c>
      <c r="I495" s="4" t="str">
        <f ca="1">IFERROR(__xludf.DUMMYFUNCTION("""COMPUTED_VALUE"""),"G&amp;A expenses")</f>
        <v>G&amp;A expenses</v>
      </c>
      <c r="J495" s="4" t="str">
        <f ca="1">IFERROR(__xludf.DUMMYFUNCTION("""COMPUTED_VALUE"""),"PO_2009 ASIPONA_TRASLADO")</f>
        <v>PO_2009 ASIPONA_TRASLADO</v>
      </c>
      <c r="K495" s="4"/>
      <c r="S495" s="6">
        <v>304</v>
      </c>
      <c r="T495" s="4" t="str">
        <f t="shared" ca="1" si="2"/>
        <v>Jorge Rojas</v>
      </c>
    </row>
    <row r="496" spans="1:20" ht="12.5">
      <c r="A496" s="4" t="str">
        <f ca="1">IFERROR(__xludf.DUMMYFUNCTION("""COMPUTED_VALUE"""),"TRX1244")</f>
        <v>TRX1244</v>
      </c>
      <c r="B496" s="4" t="str">
        <f ca="1">IFERROR(__xludf.DUMMYFUNCTION("""COMPUTED_VALUE"""),"#56")</f>
        <v>#56</v>
      </c>
      <c r="C496" s="5">
        <f ca="1">IFERROR(__xludf.DUMMYFUNCTION("""COMPUTED_VALUE"""),46065.4173611111)</f>
        <v>46065.417361111096</v>
      </c>
      <c r="D496" s="6">
        <f ca="1">IFERROR(__xludf.DUMMYFUNCTION("""COMPUTED_VALUE"""),104)</f>
        <v>104</v>
      </c>
      <c r="E496" s="4" t="str">
        <f ca="1">IFERROR(__xludf.DUMMYFUNCTION("""COMPUTED_VALUE"""),"MXN")</f>
        <v>MXN</v>
      </c>
      <c r="F496" s="4" t="str">
        <f ca="1">IFERROR(__xludf.DUMMYFUNCTION("""COMPUTED_VALUE"""),"Carlos Ivan Gonzalez Merino")</f>
        <v>Carlos Ivan Gonzalez Merino</v>
      </c>
      <c r="G496" s="4" t="str">
        <f ca="1">IFERROR(__xludf.DUMMYFUNCTION("""COMPUTED_VALUE"""),"DLO*DIDI RIDES         MEXICO        MEX")</f>
        <v>DLO*DIDI RIDES         MEXICO        MEX</v>
      </c>
      <c r="H496" s="4" t="str">
        <f ca="1">IFERROR(__xludf.DUMMYFUNCTION("""COMPUTED_VALUE"""),"Didi Chuxing")</f>
        <v>Didi Chuxing</v>
      </c>
      <c r="I496" s="4" t="str">
        <f ca="1">IFERROR(__xludf.DUMMYFUNCTION("""COMPUTED_VALUE"""),"G&amp;A expenses")</f>
        <v>G&amp;A expenses</v>
      </c>
      <c r="J496" s="4" t="str">
        <f ca="1">IFERROR(__xludf.DUMMYFUNCTION("""COMPUTED_VALUE"""),"PO_2009 ASIPONA_TRASLADO")</f>
        <v>PO_2009 ASIPONA_TRASLADO</v>
      </c>
      <c r="K496" s="4"/>
      <c r="S496" s="6">
        <v>485</v>
      </c>
      <c r="T496" s="4" t="e">
        <f t="shared" ca="1" si="2"/>
        <v>#N/A</v>
      </c>
    </row>
    <row r="497" spans="1:20" ht="12.5">
      <c r="A497" s="4" t="str">
        <f ca="1">IFERROR(__xludf.DUMMYFUNCTION("""COMPUTED_VALUE"""),"TRX1316")</f>
        <v>TRX1316</v>
      </c>
      <c r="B497" s="4" t="str">
        <f ca="1">IFERROR(__xludf.DUMMYFUNCTION("""COMPUTED_VALUE"""),"#56")</f>
        <v>#56</v>
      </c>
      <c r="C497" s="5">
        <f ca="1">IFERROR(__xludf.DUMMYFUNCTION("""COMPUTED_VALUE"""),46065.4173611111)</f>
        <v>46065.417361111096</v>
      </c>
      <c r="D497" s="6">
        <f ca="1">IFERROR(__xludf.DUMMYFUNCTION("""COMPUTED_VALUE"""),1413.5)</f>
        <v>1413.5</v>
      </c>
      <c r="E497" s="4" t="str">
        <f ca="1">IFERROR(__xludf.DUMMYFUNCTION("""COMPUTED_VALUE"""),"MXN")</f>
        <v>MXN</v>
      </c>
      <c r="F497" s="4" t="str">
        <f ca="1">IFERROR(__xludf.DUMMYFUNCTION("""COMPUTED_VALUE"""),"Carlos Ivan Gonzalez Merino")</f>
        <v>Carlos Ivan Gonzalez Merino</v>
      </c>
      <c r="G497" s="4" t="str">
        <f ca="1">IFERROR(__xludf.DUMMYFUNCTION("""COMPUTED_VALUE"""),"GRAN CAFE DE LA PARROQ VERACRUZ VER  MEX")</f>
        <v>GRAN CAFE DE LA PARROQ VERACRUZ VER  MEX</v>
      </c>
      <c r="H497" s="4" t="str">
        <f ca="1">IFERROR(__xludf.DUMMYFUNCTION("""COMPUTED_VALUE"""),"Gran Cafe De La Parroq Veracruz Ver Mex")</f>
        <v>Gran Cafe De La Parroq Veracruz Ver Mex</v>
      </c>
      <c r="I497" s="4" t="str">
        <f ca="1">IFERROR(__xludf.DUMMYFUNCTION("""COMPUTED_VALUE"""),"G&amp;A expenses")</f>
        <v>G&amp;A expenses</v>
      </c>
      <c r="J497" s="4" t="str">
        <f ca="1">IFERROR(__xludf.DUMMYFUNCTION("""COMPUTED_VALUE"""),"PO_2009 ASIPONA_COMIDA")</f>
        <v>PO_2009 ASIPONA_COMIDA</v>
      </c>
      <c r="K497" s="4"/>
      <c r="S497" s="6">
        <v>61.2</v>
      </c>
      <c r="T497" s="4" t="str">
        <f t="shared" ca="1" si="2"/>
        <v>Emiliano Cavazos</v>
      </c>
    </row>
    <row r="498" spans="1:20" ht="12.5">
      <c r="A498" s="4" t="str">
        <f ca="1">IFERROR(__xludf.DUMMYFUNCTION("""COMPUTED_VALUE"""),"TRX1264")</f>
        <v>TRX1264</v>
      </c>
      <c r="B498" s="4" t="str">
        <f ca="1">IFERROR(__xludf.DUMMYFUNCTION("""COMPUTED_VALUE"""),"#56")</f>
        <v>#56</v>
      </c>
      <c r="C498" s="5">
        <f ca="1">IFERROR(__xludf.DUMMYFUNCTION("""COMPUTED_VALUE"""),46065.4173611111)</f>
        <v>46065.417361111096</v>
      </c>
      <c r="D498" s="6">
        <f ca="1">IFERROR(__xludf.DUMMYFUNCTION("""COMPUTED_VALUE"""),110)</f>
        <v>110</v>
      </c>
      <c r="E498" s="4" t="str">
        <f ca="1">IFERROR(__xludf.DUMMYFUNCTION("""COMPUTED_VALUE"""),"MXN")</f>
        <v>MXN</v>
      </c>
      <c r="F498" s="4" t="str">
        <f ca="1">IFERROR(__xludf.DUMMYFUNCTION("""COMPUTED_VALUE"""),"Carlos Ivan Gonzalez Merino")</f>
        <v>Carlos Ivan Gonzalez Merino</v>
      </c>
      <c r="G498" s="4" t="str">
        <f ca="1">IFERROR(__xludf.DUMMYFUNCTION("""COMPUTED_VALUE"""),"DLO*DIDI RIDES         MEXICO        MEX")</f>
        <v>DLO*DIDI RIDES         MEXICO        MEX</v>
      </c>
      <c r="H498" s="4" t="str">
        <f ca="1">IFERROR(__xludf.DUMMYFUNCTION("""COMPUTED_VALUE"""),"Didi Chuxing")</f>
        <v>Didi Chuxing</v>
      </c>
      <c r="I498" s="4" t="str">
        <f ca="1">IFERROR(__xludf.DUMMYFUNCTION("""COMPUTED_VALUE"""),"G&amp;A expenses")</f>
        <v>G&amp;A expenses</v>
      </c>
      <c r="J498" s="4" t="str">
        <f ca="1">IFERROR(__xludf.DUMMYFUNCTION("""COMPUTED_VALUE"""),"PO_2009 ASIPONA_TRASLADO")</f>
        <v>PO_2009 ASIPONA_TRASLADO</v>
      </c>
      <c r="K498" s="4"/>
      <c r="S498" s="6">
        <v>84.65</v>
      </c>
      <c r="T498" s="4" t="e">
        <f t="shared" ca="1" si="2"/>
        <v>#N/A</v>
      </c>
    </row>
    <row r="499" spans="1:20" ht="12.5">
      <c r="A499" s="4" t="str">
        <f ca="1">IFERROR(__xludf.DUMMYFUNCTION("""COMPUTED_VALUE"""),"TRX1033")</f>
        <v>TRX1033</v>
      </c>
      <c r="B499" s="4" t="str">
        <f ca="1">IFERROR(__xludf.DUMMYFUNCTION("""COMPUTED_VALUE"""),"#56")</f>
        <v>#56</v>
      </c>
      <c r="C499" s="5">
        <f ca="1">IFERROR(__xludf.DUMMYFUNCTION("""COMPUTED_VALUE"""),46066.4173611111)</f>
        <v>46066.417361111096</v>
      </c>
      <c r="D499" s="6">
        <f ca="1">IFERROR(__xludf.DUMMYFUNCTION("""COMPUTED_VALUE"""),3599)</f>
        <v>3599</v>
      </c>
      <c r="E499" s="4" t="str">
        <f ca="1">IFERROR(__xludf.DUMMYFUNCTION("""COMPUTED_VALUE"""),"MXN")</f>
        <v>MXN</v>
      </c>
      <c r="F499" s="4" t="str">
        <f ca="1">IFERROR(__xludf.DUMMYFUNCTION("""COMPUTED_VALUE"""),"Carlos Ivan Gonzalez Merino")</f>
        <v>Carlos Ivan Gonzalez Merino</v>
      </c>
      <c r="G499" s="4" t="str">
        <f ca="1">IFERROR(__xludf.DUMMYFUNCTION("""COMPUTED_VALUE"""),"HOME DEPOT I           SN PEDRO GARZ MEX")</f>
        <v>HOME DEPOT I           SN PEDRO GARZ MEX</v>
      </c>
      <c r="H499" s="4" t="str">
        <f ca="1">IFERROR(__xludf.DUMMYFUNCTION("""COMPUTED_VALUE"""),"The Home Depot")</f>
        <v>The Home Depot</v>
      </c>
      <c r="I499" s="4" t="str">
        <f ca="1">IFERROR(__xludf.DUMMYFUNCTION("""COMPUTED_VALUE"""),"G&amp;A expenses")</f>
        <v>G&amp;A expenses</v>
      </c>
      <c r="J499" s="4" t="str">
        <f ca="1">IFERROR(__xludf.DUMMYFUNCTION("""COMPUTED_VALUE"""),"PO_2009 ASIPONA_LUMINARIA")</f>
        <v>PO_2009 ASIPONA_LUMINARIA</v>
      </c>
      <c r="K499" s="4"/>
      <c r="S499" s="6">
        <v>2761.84</v>
      </c>
      <c r="T499" s="4" t="e">
        <f t="shared" ca="1" si="2"/>
        <v>#N/A</v>
      </c>
    </row>
    <row r="500" spans="1:20" ht="12.5">
      <c r="A500" s="4" t="str">
        <f ca="1">IFERROR(__xludf.DUMMYFUNCTION("""COMPUTED_VALUE"""),"TRX1623")</f>
        <v>TRX1623</v>
      </c>
      <c r="B500" s="4" t="str">
        <f ca="1">IFERROR(__xludf.DUMMYFUNCTION("""COMPUTED_VALUE"""),"#56")</f>
        <v>#56</v>
      </c>
      <c r="C500" s="5">
        <f ca="1">IFERROR(__xludf.DUMMYFUNCTION("""COMPUTED_VALUE"""),46066.4173611111)</f>
        <v>46066.417361111096</v>
      </c>
      <c r="D500" s="6">
        <f ca="1">IFERROR(__xludf.DUMMYFUNCTION("""COMPUTED_VALUE"""),362.83)</f>
        <v>362.83</v>
      </c>
      <c r="E500" s="4" t="str">
        <f ca="1">IFERROR(__xludf.DUMMYFUNCTION("""COMPUTED_VALUE"""),"MXN")</f>
        <v>MXN</v>
      </c>
      <c r="F500" s="4" t="str">
        <f ca="1">IFERROR(__xludf.DUMMYFUNCTION("""COMPUTED_VALUE"""),"Carlos Ivan Gonzalez Merino")</f>
        <v>Carlos Ivan Gonzalez Merino</v>
      </c>
      <c r="G500" s="4" t="str">
        <f ca="1">IFERROR(__xludf.DUMMYFUNCTION("""COMPUTED_VALUE"""),"DLO*DIDI FOODS         MEXICO        MEX")</f>
        <v>DLO*DIDI FOODS         MEXICO        MEX</v>
      </c>
      <c r="H500" s="4" t="str">
        <f ca="1">IFERROR(__xludf.DUMMYFUNCTION("""COMPUTED_VALUE"""),"Dlo Didi Foods Mexico Mex")</f>
        <v>Dlo Didi Foods Mexico Mex</v>
      </c>
      <c r="I500" s="4" t="str">
        <f ca="1">IFERROR(__xludf.DUMMYFUNCTION("""COMPUTED_VALUE"""),"G&amp;A expenses")</f>
        <v>G&amp;A expenses</v>
      </c>
      <c r="J500" s="4" t="str">
        <f ca="1">IFERROR(__xludf.DUMMYFUNCTION("""COMPUTED_VALUE"""),"PO_2009 ASIPONA_COMIDA")</f>
        <v>PO_2009 ASIPONA_COMIDA</v>
      </c>
      <c r="K500" s="4"/>
      <c r="S500" s="6">
        <v>146.99</v>
      </c>
      <c r="T500" s="4" t="e">
        <f t="shared" ca="1" si="2"/>
        <v>#N/A</v>
      </c>
    </row>
    <row r="501" spans="1:20" ht="12.5">
      <c r="A501" s="4" t="str">
        <f ca="1">IFERROR(__xludf.DUMMYFUNCTION("""COMPUTED_VALUE"""),"TRX1917")</f>
        <v>TRX1917</v>
      </c>
      <c r="B501" s="4" t="str">
        <f ca="1">IFERROR(__xludf.DUMMYFUNCTION("""COMPUTED_VALUE"""),"#56")</f>
        <v>#56</v>
      </c>
      <c r="C501" s="5">
        <f ca="1">IFERROR(__xludf.DUMMYFUNCTION("""COMPUTED_VALUE"""),46067.4166666666)</f>
        <v>46067.416666666599</v>
      </c>
      <c r="D501" s="6">
        <f ca="1">IFERROR(__xludf.DUMMYFUNCTION("""COMPUTED_VALUE"""),349.99)</f>
        <v>349.99</v>
      </c>
      <c r="E501" s="4" t="str">
        <f ca="1">IFERROR(__xludf.DUMMYFUNCTION("""COMPUTED_VALUE"""),"MXN")</f>
        <v>MXN</v>
      </c>
      <c r="F501" s="4" t="str">
        <f ca="1">IFERROR(__xludf.DUMMYFUNCTION("""COMPUTED_VALUE"""),"Carlos Ivan Gonzalez Merino")</f>
        <v>Carlos Ivan Gonzalez Merino</v>
      </c>
      <c r="G501" s="4" t="str">
        <f ca="1">IFERROR(__xludf.DUMMYFUNCTION("""COMPUTED_VALUE"""),"UBER * PENDING         CMX           MEX")</f>
        <v>UBER * PENDING         CMX           MEX</v>
      </c>
      <c r="H501" s="4" t="str">
        <f ca="1">IFERROR(__xludf.DUMMYFUNCTION("""COMPUTED_VALUE"""),"Uber")</f>
        <v>Uber</v>
      </c>
      <c r="I501" s="4" t="str">
        <f ca="1">IFERROR(__xludf.DUMMYFUNCTION("""COMPUTED_VALUE"""),"G&amp;A expenses")</f>
        <v>G&amp;A expenses</v>
      </c>
      <c r="J501" s="4" t="str">
        <f ca="1">IFERROR(__xludf.DUMMYFUNCTION("""COMPUTED_VALUE"""),"PO_2009 ASIPONA_TRASLADO")</f>
        <v>PO_2009 ASIPONA_TRASLADO</v>
      </c>
      <c r="K501" s="4"/>
      <c r="S501" s="6">
        <v>929.56</v>
      </c>
      <c r="T501" s="4" t="e">
        <f t="shared" ca="1" si="2"/>
        <v>#N/A</v>
      </c>
    </row>
    <row r="502" spans="1:20" ht="12.5">
      <c r="A502" s="4" t="str">
        <f ca="1">IFERROR(__xludf.DUMMYFUNCTION("""COMPUTED_VALUE"""),"TRX1396")</f>
        <v>TRX1396</v>
      </c>
      <c r="B502" s="4" t="str">
        <f ca="1">IFERROR(__xludf.DUMMYFUNCTION("""COMPUTED_VALUE"""),"#56")</f>
        <v>#56</v>
      </c>
      <c r="C502" s="5">
        <f ca="1">IFERROR(__xludf.DUMMYFUNCTION("""COMPUTED_VALUE"""),46067.4166666666)</f>
        <v>46067.416666666599</v>
      </c>
      <c r="D502" s="6">
        <f ca="1">IFERROR(__xludf.DUMMYFUNCTION("""COMPUTED_VALUE"""),189.99)</f>
        <v>189.99</v>
      </c>
      <c r="E502" s="4" t="str">
        <f ca="1">IFERROR(__xludf.DUMMYFUNCTION("""COMPUTED_VALUE"""),"MXN")</f>
        <v>MXN</v>
      </c>
      <c r="F502" s="4" t="str">
        <f ca="1">IFERROR(__xludf.DUMMYFUNCTION("""COMPUTED_VALUE"""),"Carlos Ivan Gonzalez Merino")</f>
        <v>Carlos Ivan Gonzalez Merino</v>
      </c>
      <c r="G502" s="4" t="str">
        <f ca="1">IFERROR(__xludf.DUMMYFUNCTION("""COMPUTED_VALUE"""),"UBER * PENDING         CMX           MEX")</f>
        <v>UBER * PENDING         CMX           MEX</v>
      </c>
      <c r="H502" s="4" t="str">
        <f ca="1">IFERROR(__xludf.DUMMYFUNCTION("""COMPUTED_VALUE"""),"Uber")</f>
        <v>Uber</v>
      </c>
      <c r="I502" s="4" t="str">
        <f ca="1">IFERROR(__xludf.DUMMYFUNCTION("""COMPUTED_VALUE"""),"G&amp;A expenses")</f>
        <v>G&amp;A expenses</v>
      </c>
      <c r="J502" s="4" t="str">
        <f ca="1">IFERROR(__xludf.DUMMYFUNCTION("""COMPUTED_VALUE"""),"PO_2009 ASIPONA_AGUA")</f>
        <v>PO_2009 ASIPONA_AGUA</v>
      </c>
      <c r="K502" s="4"/>
      <c r="S502" s="6">
        <v>90.12</v>
      </c>
      <c r="T502" s="4" t="e">
        <f t="shared" ca="1" si="2"/>
        <v>#N/A</v>
      </c>
    </row>
    <row r="503" spans="1:20" ht="12.5">
      <c r="A503" s="4" t="str">
        <f ca="1">IFERROR(__xludf.DUMMYFUNCTION("""COMPUTED_VALUE"""),"TRX1788")</f>
        <v>TRX1788</v>
      </c>
      <c r="B503" s="4" t="str">
        <f ca="1">IFERROR(__xludf.DUMMYFUNCTION("""COMPUTED_VALUE"""),"#56")</f>
        <v>#56</v>
      </c>
      <c r="C503" s="5">
        <f ca="1">IFERROR(__xludf.DUMMYFUNCTION("""COMPUTED_VALUE"""),46068.4166666666)</f>
        <v>46068.416666666599</v>
      </c>
      <c r="D503" s="6">
        <f ca="1">IFERROR(__xludf.DUMMYFUNCTION("""COMPUTED_VALUE"""),5076.92)</f>
        <v>5076.92</v>
      </c>
      <c r="E503" s="4" t="str">
        <f ca="1">IFERROR(__xludf.DUMMYFUNCTION("""COMPUTED_VALUE"""),"MXN")</f>
        <v>MXN</v>
      </c>
      <c r="F503" s="4" t="str">
        <f ca="1">IFERROR(__xludf.DUMMYFUNCTION("""COMPUTED_VALUE"""),"Carlos Ivan Gonzalez Merino")</f>
        <v>Carlos Ivan Gonzalez Merino</v>
      </c>
      <c r="G503" s="4" t="str">
        <f ca="1">IFERROR(__xludf.DUMMYFUNCTION("""COMPUTED_VALUE"""),"MERCADOPAGO *ESTANCIA  Benito jurez  MEX")</f>
        <v>MERCADOPAGO *ESTANCIA  Benito jurez  MEX</v>
      </c>
      <c r="H503" s="4" t="str">
        <f ca="1">IFERROR(__xludf.DUMMYFUNCTION("""COMPUTED_VALUE"""),"Mercadopago")</f>
        <v>Mercadopago</v>
      </c>
      <c r="I503" s="4" t="str">
        <f ca="1">IFERROR(__xludf.DUMMYFUNCTION("""COMPUTED_VALUE"""),"G&amp;A expenses")</f>
        <v>G&amp;A expenses</v>
      </c>
      <c r="J503" s="4" t="str">
        <f ca="1">IFERROR(__xludf.DUMMYFUNCTION("""COMPUTED_VALUE"""),"PO_2009 ASIPONA_TRASLADO OBRA")</f>
        <v>PO_2009 ASIPONA_TRASLADO OBRA</v>
      </c>
      <c r="K503" s="4"/>
      <c r="S503" s="6">
        <v>93.08</v>
      </c>
      <c r="T503" s="4" t="e">
        <f t="shared" ca="1" si="2"/>
        <v>#N/A</v>
      </c>
    </row>
    <row r="504" spans="1:20" ht="12.5">
      <c r="A504" s="4" t="str">
        <f ca="1">IFERROR(__xludf.DUMMYFUNCTION("""COMPUTED_VALUE"""),"TRX2002")</f>
        <v>TRX2002</v>
      </c>
      <c r="B504" s="4" t="str">
        <f ca="1">IFERROR(__xludf.DUMMYFUNCTION("""COMPUTED_VALUE"""),"#56")</f>
        <v>#56</v>
      </c>
      <c r="C504" s="5">
        <f ca="1">IFERROR(__xludf.DUMMYFUNCTION("""COMPUTED_VALUE"""),46071.4166666666)</f>
        <v>46071.416666666599</v>
      </c>
      <c r="D504" s="6">
        <f ca="1">IFERROR(__xludf.DUMMYFUNCTION("""COMPUTED_VALUE"""),289.99)</f>
        <v>289.99</v>
      </c>
      <c r="E504" s="4" t="str">
        <f ca="1">IFERROR(__xludf.DUMMYFUNCTION("""COMPUTED_VALUE"""),"MXN")</f>
        <v>MXN</v>
      </c>
      <c r="F504" s="4" t="str">
        <f ca="1">IFERROR(__xludf.DUMMYFUNCTION("""COMPUTED_VALUE"""),"Carlos Ivan Gonzalez Merino")</f>
        <v>Carlos Ivan Gonzalez Merino</v>
      </c>
      <c r="G504" s="4" t="str">
        <f ca="1">IFERROR(__xludf.DUMMYFUNCTION("""COMPUTED_VALUE"""),"UBER * PENDING         CMX           MEX")</f>
        <v>UBER * PENDING         CMX           MEX</v>
      </c>
      <c r="H504" s="4" t="str">
        <f ca="1">IFERROR(__xludf.DUMMYFUNCTION("""COMPUTED_VALUE"""),"Uber")</f>
        <v>Uber</v>
      </c>
      <c r="I504" s="4" t="str">
        <f ca="1">IFERROR(__xludf.DUMMYFUNCTION("""COMPUTED_VALUE"""),"G&amp;A expenses")</f>
        <v>G&amp;A expenses</v>
      </c>
      <c r="J504" s="4" t="str">
        <f ca="1">IFERROR(__xludf.DUMMYFUNCTION("""COMPUTED_VALUE"""),"PO_2009 ASIPONA_TRASLADO")</f>
        <v>PO_2009 ASIPONA_TRASLADO</v>
      </c>
      <c r="K504" s="4"/>
      <c r="S504" s="6">
        <v>215</v>
      </c>
      <c r="T504" s="4" t="e">
        <f t="shared" ca="1" si="2"/>
        <v>#N/A</v>
      </c>
    </row>
    <row r="505" spans="1:20" ht="12.5">
      <c r="A505" s="4" t="str">
        <f ca="1">IFERROR(__xludf.DUMMYFUNCTION("""COMPUTED_VALUE"""),"TRX1949")</f>
        <v>TRX1949</v>
      </c>
      <c r="B505" s="4" t="str">
        <f ca="1">IFERROR(__xludf.DUMMYFUNCTION("""COMPUTED_VALUE"""),"#56")</f>
        <v>#56</v>
      </c>
      <c r="C505" s="5">
        <f ca="1">IFERROR(__xludf.DUMMYFUNCTION("""COMPUTED_VALUE"""),46071.4166666666)</f>
        <v>46071.416666666599</v>
      </c>
      <c r="D505" s="6">
        <f ca="1">IFERROR(__xludf.DUMMYFUNCTION("""COMPUTED_VALUE"""),431.2)</f>
        <v>431.2</v>
      </c>
      <c r="E505" s="4" t="str">
        <f ca="1">IFERROR(__xludf.DUMMYFUNCTION("""COMPUTED_VALUE"""),"MXN")</f>
        <v>MXN</v>
      </c>
      <c r="F505" s="4" t="str">
        <f ca="1">IFERROR(__xludf.DUMMYFUNCTION("""COMPUTED_VALUE"""),"Carlos Ivan Gonzalez Merino")</f>
        <v>Carlos Ivan Gonzalez Merino</v>
      </c>
      <c r="G505" s="4" t="str">
        <f ca="1">IFERROR(__xludf.DUMMYFUNCTION("""COMPUTED_VALUE"""),"REST WINGS SALA B      MEXICO DF     MEX")</f>
        <v>REST WINGS SALA B      MEXICO DF     MEX</v>
      </c>
      <c r="H505" s="4" t="str">
        <f ca="1">IFERROR(__xludf.DUMMYFUNCTION("""COMPUTED_VALUE"""),"Rest Wings Sala B Mexico Df Mex")</f>
        <v>Rest Wings Sala B Mexico Df Mex</v>
      </c>
      <c r="I505" s="4" t="str">
        <f ca="1">IFERROR(__xludf.DUMMYFUNCTION("""COMPUTED_VALUE"""),"G&amp;A expenses")</f>
        <v>G&amp;A expenses</v>
      </c>
      <c r="J505" s="4" t="str">
        <f ca="1">IFERROR(__xludf.DUMMYFUNCTION("""COMPUTED_VALUE"""),"PO_2009 ASIPONA_COMIDA")</f>
        <v>PO_2009 ASIPONA_COMIDA</v>
      </c>
      <c r="K505" s="4"/>
      <c r="S505" s="6">
        <v>603.46</v>
      </c>
      <c r="T505" s="4" t="e">
        <f t="shared" ca="1" si="2"/>
        <v>#N/A</v>
      </c>
    </row>
    <row r="506" spans="1:20" ht="12.5">
      <c r="A506" s="4" t="str">
        <f ca="1">IFERROR(__xludf.DUMMYFUNCTION("""COMPUTED_VALUE"""),"TRX1152")</f>
        <v>TRX1152</v>
      </c>
      <c r="B506" s="4" t="str">
        <f ca="1">IFERROR(__xludf.DUMMYFUNCTION("""COMPUTED_VALUE"""),"#56")</f>
        <v>#56</v>
      </c>
      <c r="C506" s="5">
        <f ca="1">IFERROR(__xludf.DUMMYFUNCTION("""COMPUTED_VALUE"""),46071.4173611111)</f>
        <v>46071.417361111096</v>
      </c>
      <c r="D506" s="6">
        <f ca="1">IFERROR(__xludf.DUMMYFUNCTION("""COMPUTED_VALUE"""),280)</f>
        <v>280</v>
      </c>
      <c r="E506" s="4" t="str">
        <f ca="1">IFERROR(__xludf.DUMMYFUNCTION("""COMPUTED_VALUE"""),"MXN")</f>
        <v>MXN</v>
      </c>
      <c r="F506" s="4" t="str">
        <f ca="1">IFERROR(__xludf.DUMMYFUNCTION("""COMPUTED_VALUE"""),"Carlos Ivan Gonzalez Merino")</f>
        <v>Carlos Ivan Gonzalez Merino</v>
      </c>
      <c r="G506" s="4" t="str">
        <f ca="1">IFERROR(__xludf.DUMMYFUNCTION("""COMPUTED_VALUE"""),"TRANS TERR D PASAJ D A BOCA DEL RIO  MEX")</f>
        <v>TRANS TERR D PASAJ D A BOCA DEL RIO  MEX</v>
      </c>
      <c r="H506" s="4" t="str">
        <f ca="1">IFERROR(__xludf.DUMMYFUNCTION("""COMPUTED_VALUE"""),"Trans Terr D Pasaj D A Boca Del Rio Mex")</f>
        <v>Trans Terr D Pasaj D A Boca Del Rio Mex</v>
      </c>
      <c r="I506" s="4" t="str">
        <f ca="1">IFERROR(__xludf.DUMMYFUNCTION("""COMPUTED_VALUE"""),"G&amp;A expenses")</f>
        <v>G&amp;A expenses</v>
      </c>
      <c r="J506" s="4" t="str">
        <f ca="1">IFERROR(__xludf.DUMMYFUNCTION("""COMPUTED_VALUE"""),"PO_2009 ASIPONA_TRASLADO OBRA")</f>
        <v>PO_2009 ASIPONA_TRASLADO OBRA</v>
      </c>
      <c r="K506" s="4"/>
      <c r="S506" s="6">
        <v>287.62</v>
      </c>
      <c r="T506" s="4" t="e">
        <f t="shared" ca="1" si="2"/>
        <v>#N/A</v>
      </c>
    </row>
    <row r="507" spans="1:20" ht="12.5">
      <c r="A507" s="4" t="str">
        <f ca="1">IFERROR(__xludf.DUMMYFUNCTION("""COMPUTED_VALUE"""),"TRX1585")</f>
        <v>TRX1585</v>
      </c>
      <c r="B507" s="4" t="str">
        <f ca="1">IFERROR(__xludf.DUMMYFUNCTION("""COMPUTED_VALUE"""),"#56")</f>
        <v>#56</v>
      </c>
      <c r="C507" s="5">
        <f ca="1">IFERROR(__xludf.DUMMYFUNCTION("""COMPUTED_VALUE"""),46072.4166666666)</f>
        <v>46072.416666666599</v>
      </c>
      <c r="D507" s="6">
        <f ca="1">IFERROR(__xludf.DUMMYFUNCTION("""COMPUTED_VALUE"""),165.01)</f>
        <v>165.01</v>
      </c>
      <c r="E507" s="4" t="str">
        <f ca="1">IFERROR(__xludf.DUMMYFUNCTION("""COMPUTED_VALUE"""),"MXN")</f>
        <v>MXN</v>
      </c>
      <c r="F507" s="4" t="str">
        <f ca="1">IFERROR(__xludf.DUMMYFUNCTION("""COMPUTED_VALUE"""),"Carlos Ivan Gonzalez Merino")</f>
        <v>Carlos Ivan Gonzalez Merino</v>
      </c>
      <c r="G507" s="4" t="str">
        <f ca="1">IFERROR(__xludf.DUMMYFUNCTION("""COMPUTED_VALUE"""),"D LOCAL*REST DIDIFOOD  CIUDAD DE MEX MEX")</f>
        <v>D LOCAL*REST DIDIFOOD  CIUDAD DE MEX MEX</v>
      </c>
      <c r="H507" s="4" t="str">
        <f ca="1">IFERROR(__xludf.DUMMYFUNCTION("""COMPUTED_VALUE"""),"D Local Rest Didifood Ciudad De Mex Mex")</f>
        <v>D Local Rest Didifood Ciudad De Mex Mex</v>
      </c>
      <c r="I507" s="4" t="str">
        <f ca="1">IFERROR(__xludf.DUMMYFUNCTION("""COMPUTED_VALUE"""),"G&amp;A expenses")</f>
        <v>G&amp;A expenses</v>
      </c>
      <c r="J507" s="4" t="str">
        <f ca="1">IFERROR(__xludf.DUMMYFUNCTION("""COMPUTED_VALUE"""),"PO_2009 ASIPONA_COMIDA")</f>
        <v>PO_2009 ASIPONA_COMIDA</v>
      </c>
      <c r="K507" s="4"/>
      <c r="S507" s="6">
        <v>339.96</v>
      </c>
      <c r="T507" s="4" t="e">
        <f t="shared" ca="1" si="2"/>
        <v>#N/A</v>
      </c>
    </row>
    <row r="508" spans="1:20" ht="12.5">
      <c r="A508" s="4" t="str">
        <f ca="1">IFERROR(__xludf.DUMMYFUNCTION("""COMPUTED_VALUE"""),"TRX1356")</f>
        <v>TRX1356</v>
      </c>
      <c r="B508" s="4" t="str">
        <f ca="1">IFERROR(__xludf.DUMMYFUNCTION("""COMPUTED_VALUE"""),"#56")</f>
        <v>#56</v>
      </c>
      <c r="C508" s="5">
        <f ca="1">IFERROR(__xludf.DUMMYFUNCTION("""COMPUTED_VALUE"""),46072.4166666666)</f>
        <v>46072.416666666599</v>
      </c>
      <c r="D508" s="6">
        <f ca="1">IFERROR(__xludf.DUMMYFUNCTION("""COMPUTED_VALUE"""),159)</f>
        <v>159</v>
      </c>
      <c r="E508" s="4" t="str">
        <f ca="1">IFERROR(__xludf.DUMMYFUNCTION("""COMPUTED_VALUE"""),"MXN")</f>
        <v>MXN</v>
      </c>
      <c r="F508" s="4" t="str">
        <f ca="1">IFERROR(__xludf.DUMMYFUNCTION("""COMPUTED_VALUE"""),"Carlos Ivan Gonzalez Merino")</f>
        <v>Carlos Ivan Gonzalez Merino</v>
      </c>
      <c r="G508" s="4" t="str">
        <f ca="1">IFERROR(__xludf.DUMMYFUNCTION("""COMPUTED_VALUE"""),"DLO DIDI RIDES MX      CIUDAD DE MEX MEX")</f>
        <v>DLO DIDI RIDES MX      CIUDAD DE MEX MEX</v>
      </c>
      <c r="H508" s="4" t="str">
        <f ca="1">IFERROR(__xludf.DUMMYFUNCTION("""COMPUTED_VALUE"""),"Didi Chuxing")</f>
        <v>Didi Chuxing</v>
      </c>
      <c r="I508" s="4" t="str">
        <f ca="1">IFERROR(__xludf.DUMMYFUNCTION("""COMPUTED_VALUE"""),"G&amp;A expenses")</f>
        <v>G&amp;A expenses</v>
      </c>
      <c r="J508" s="4" t="str">
        <f ca="1">IFERROR(__xludf.DUMMYFUNCTION("""COMPUTED_VALUE"""),"PO_2009 ASIPONA_TRASLADO")</f>
        <v>PO_2009 ASIPONA_TRASLADO</v>
      </c>
      <c r="K508" s="4"/>
      <c r="S508" s="6">
        <v>249.9</v>
      </c>
      <c r="T508" s="4" t="e">
        <f t="shared" ca="1" si="2"/>
        <v>#N/A</v>
      </c>
    </row>
    <row r="509" spans="1:20" ht="12.5">
      <c r="A509" s="4" t="str">
        <f ca="1">IFERROR(__xludf.DUMMYFUNCTION("""COMPUTED_VALUE"""),"TRX1852")</f>
        <v>TRX1852</v>
      </c>
      <c r="B509" s="4" t="str">
        <f ca="1">IFERROR(__xludf.DUMMYFUNCTION("""COMPUTED_VALUE"""),"#56")</f>
        <v>#56</v>
      </c>
      <c r="C509" s="5">
        <f ca="1">IFERROR(__xludf.DUMMYFUNCTION("""COMPUTED_VALUE"""),46072.4173611111)</f>
        <v>46072.417361111096</v>
      </c>
      <c r="D509" s="6">
        <f ca="1">IFERROR(__xludf.DUMMYFUNCTION("""COMPUTED_VALUE"""),340.93)</f>
        <v>340.93</v>
      </c>
      <c r="E509" s="4" t="str">
        <f ca="1">IFERROR(__xludf.DUMMYFUNCTION("""COMPUTED_VALUE"""),"MXN")</f>
        <v>MXN</v>
      </c>
      <c r="F509" s="4" t="str">
        <f ca="1">IFERROR(__xludf.DUMMYFUNCTION("""COMPUTED_VALUE"""),"Carlos Ivan Gonzalez Merino")</f>
        <v>Carlos Ivan Gonzalez Merino</v>
      </c>
      <c r="G509" s="4" t="str">
        <f ca="1">IFERROR(__xludf.DUMMYFUNCTION("""COMPUTED_VALUE"""),"D LOCAL*REST DIDIFOOD  CIUDAD DE MEX MEX")</f>
        <v>D LOCAL*REST DIDIFOOD  CIUDAD DE MEX MEX</v>
      </c>
      <c r="H509" s="4" t="str">
        <f ca="1">IFERROR(__xludf.DUMMYFUNCTION("""COMPUTED_VALUE"""),"D Local Rest Didifood Ciudad De Mex Mex")</f>
        <v>D Local Rest Didifood Ciudad De Mex Mex</v>
      </c>
      <c r="I509" s="4" t="str">
        <f ca="1">IFERROR(__xludf.DUMMYFUNCTION("""COMPUTED_VALUE"""),"G&amp;A expenses")</f>
        <v>G&amp;A expenses</v>
      </c>
      <c r="J509" s="4" t="str">
        <f ca="1">IFERROR(__xludf.DUMMYFUNCTION("""COMPUTED_VALUE"""),"PO_2009 ASIPONA_COMIDA")</f>
        <v>PO_2009 ASIPONA_COMIDA</v>
      </c>
      <c r="K509" s="4"/>
      <c r="S509" s="6">
        <v>600</v>
      </c>
      <c r="T509" s="4" t="str">
        <f t="shared" ca="1" si="2"/>
        <v>Karen Alexandra Ballesteros Contreras</v>
      </c>
    </row>
    <row r="510" spans="1:20" ht="12.5">
      <c r="A510" s="4" t="str">
        <f ca="1">IFERROR(__xludf.DUMMYFUNCTION("""COMPUTED_VALUE"""),"TRX1488")</f>
        <v>TRX1488</v>
      </c>
      <c r="B510" s="4" t="str">
        <f ca="1">IFERROR(__xludf.DUMMYFUNCTION("""COMPUTED_VALUE"""),"#56")</f>
        <v>#56</v>
      </c>
      <c r="C510" s="5">
        <f ca="1">IFERROR(__xludf.DUMMYFUNCTION("""COMPUTED_VALUE"""),46073.4166666666)</f>
        <v>46073.416666666599</v>
      </c>
      <c r="D510" s="6">
        <f ca="1">IFERROR(__xludf.DUMMYFUNCTION("""COMPUTED_VALUE"""),159)</f>
        <v>159</v>
      </c>
      <c r="E510" s="4" t="str">
        <f ca="1">IFERROR(__xludf.DUMMYFUNCTION("""COMPUTED_VALUE"""),"MXN")</f>
        <v>MXN</v>
      </c>
      <c r="F510" s="4" t="str">
        <f ca="1">IFERROR(__xludf.DUMMYFUNCTION("""COMPUTED_VALUE"""),"Carlos Ivan Gonzalez Merino")</f>
        <v>Carlos Ivan Gonzalez Merino</v>
      </c>
      <c r="G510" s="4" t="str">
        <f ca="1">IFERROR(__xludf.DUMMYFUNCTION("""COMPUTED_VALUE"""),"DLO DIDI RIDES MX      CIUDAD DE MEX MEX")</f>
        <v>DLO DIDI RIDES MX      CIUDAD DE MEX MEX</v>
      </c>
      <c r="H510" s="4" t="str">
        <f ca="1">IFERROR(__xludf.DUMMYFUNCTION("""COMPUTED_VALUE"""),"Didi Chuxing")</f>
        <v>Didi Chuxing</v>
      </c>
      <c r="I510" s="4" t="str">
        <f ca="1">IFERROR(__xludf.DUMMYFUNCTION("""COMPUTED_VALUE"""),"G&amp;A expenses")</f>
        <v>G&amp;A expenses</v>
      </c>
      <c r="J510" s="4" t="str">
        <f ca="1">IFERROR(__xludf.DUMMYFUNCTION("""COMPUTED_VALUE"""),"PO_2009 ASIPONA_TRASLADO")</f>
        <v>PO_2009 ASIPONA_TRASLADO</v>
      </c>
      <c r="K510" s="4"/>
      <c r="S510" s="6">
        <v>20</v>
      </c>
      <c r="T510" s="4" t="str">
        <f t="shared" ca="1" si="2"/>
        <v>Fernanda Sanchez Ruiz</v>
      </c>
    </row>
    <row r="511" spans="1:20" ht="12.5">
      <c r="A511" s="4" t="str">
        <f ca="1">IFERROR(__xludf.DUMMYFUNCTION("""COMPUTED_VALUE"""),"TRX2029")</f>
        <v>TRX2029</v>
      </c>
      <c r="B511" s="4" t="str">
        <f ca="1">IFERROR(__xludf.DUMMYFUNCTION("""COMPUTED_VALUE"""),"#56")</f>
        <v>#56</v>
      </c>
      <c r="C511" s="5">
        <f ca="1">IFERROR(__xludf.DUMMYFUNCTION("""COMPUTED_VALUE"""),46073.4173611111)</f>
        <v>46073.417361111096</v>
      </c>
      <c r="D511" s="6">
        <f ca="1">IFERROR(__xludf.DUMMYFUNCTION("""COMPUTED_VALUE"""),346)</f>
        <v>346</v>
      </c>
      <c r="E511" s="4" t="str">
        <f ca="1">IFERROR(__xludf.DUMMYFUNCTION("""COMPUTED_VALUE"""),"MXN")</f>
        <v>MXN</v>
      </c>
      <c r="F511" s="4" t="str">
        <f ca="1">IFERROR(__xludf.DUMMYFUNCTION("""COMPUTED_VALUE"""),"Carlos Ivan Gonzalez Merino")</f>
        <v>Carlos Ivan Gonzalez Merino</v>
      </c>
      <c r="G511" s="4" t="str">
        <f ca="1">IFERROR(__xludf.DUMMYFUNCTION("""COMPUTED_VALUE"""),"LA PARRILLA VERACRUZAN BOCA DEL RIO  MEX")</f>
        <v>LA PARRILLA VERACRUZAN BOCA DEL RIO  MEX</v>
      </c>
      <c r="H511" s="4" t="str">
        <f ca="1">IFERROR(__xludf.DUMMYFUNCTION("""COMPUTED_VALUE"""),"La Parilla Mexican Restaurant")</f>
        <v>La Parilla Mexican Restaurant</v>
      </c>
      <c r="I511" s="4" t="str">
        <f ca="1">IFERROR(__xludf.DUMMYFUNCTION("""COMPUTED_VALUE"""),"G&amp;A expenses")</f>
        <v>G&amp;A expenses</v>
      </c>
      <c r="J511" s="4" t="str">
        <f ca="1">IFERROR(__xludf.DUMMYFUNCTION("""COMPUTED_VALUE"""),"PO_2009 ASIPONA_COMIDA")</f>
        <v>PO_2009 ASIPONA_COMIDA</v>
      </c>
      <c r="K511" s="4"/>
      <c r="S511" s="6">
        <v>2342.7600000000002</v>
      </c>
      <c r="T511" s="4" t="e">
        <f t="shared" ca="1" si="2"/>
        <v>#N/A</v>
      </c>
    </row>
    <row r="512" spans="1:20" ht="12.5">
      <c r="A512" s="4" t="str">
        <f ca="1">IFERROR(__xludf.DUMMYFUNCTION("""COMPUTED_VALUE"""),"TRX1418")</f>
        <v>TRX1418</v>
      </c>
      <c r="B512" s="4" t="str">
        <f ca="1">IFERROR(__xludf.DUMMYFUNCTION("""COMPUTED_VALUE"""),"#56")</f>
        <v>#56</v>
      </c>
      <c r="C512" s="5">
        <f ca="1">IFERROR(__xludf.DUMMYFUNCTION("""COMPUTED_VALUE"""),46074.4166666666)</f>
        <v>46074.416666666599</v>
      </c>
      <c r="D512" s="6">
        <f ca="1">IFERROR(__xludf.DUMMYFUNCTION("""COMPUTED_VALUE"""),449.95)</f>
        <v>449.95</v>
      </c>
      <c r="E512" s="4" t="str">
        <f ca="1">IFERROR(__xludf.DUMMYFUNCTION("""COMPUTED_VALUE"""),"MXN")</f>
        <v>MXN</v>
      </c>
      <c r="F512" s="4" t="str">
        <f ca="1">IFERROR(__xludf.DUMMYFUNCTION("""COMPUTED_VALUE"""),"Carlos Ivan Gonzalez Merino")</f>
        <v>Carlos Ivan Gonzalez Merino</v>
      </c>
      <c r="G512" s="4" t="str">
        <f ca="1">IFERROR(__xludf.DUMMYFUNCTION("""COMPUTED_VALUE"""),"UBER * PENDING         CMX           MEX")</f>
        <v>UBER * PENDING         CMX           MEX</v>
      </c>
      <c r="H512" s="4" t="str">
        <f ca="1">IFERROR(__xludf.DUMMYFUNCTION("""COMPUTED_VALUE"""),"Uber")</f>
        <v>Uber</v>
      </c>
      <c r="I512" s="4" t="str">
        <f ca="1">IFERROR(__xludf.DUMMYFUNCTION("""COMPUTED_VALUE"""),"G&amp;A expenses")</f>
        <v>G&amp;A expenses</v>
      </c>
      <c r="J512" s="4" t="str">
        <f ca="1">IFERROR(__xludf.DUMMYFUNCTION("""COMPUTED_VALUE"""),"PO_2009 ASIPONA_TRASLADO")</f>
        <v>PO_2009 ASIPONA_TRASLADO</v>
      </c>
      <c r="K512" s="4"/>
      <c r="S512" s="6">
        <v>719</v>
      </c>
      <c r="T512" s="4" t="e">
        <f t="shared" ref="T512:T766" ca="1" si="3">VLOOKUP(S512,D:F,3,FALSE)</f>
        <v>#N/A</v>
      </c>
    </row>
    <row r="513" spans="1:20" ht="12.5">
      <c r="A513" s="4" t="str">
        <f ca="1">IFERROR(__xludf.DUMMYFUNCTION("""COMPUTED_VALUE"""),"TRX1019")</f>
        <v>TRX1019</v>
      </c>
      <c r="B513" s="4" t="str">
        <f ca="1">IFERROR(__xludf.DUMMYFUNCTION("""COMPUTED_VALUE"""),"#56")</f>
        <v>#56</v>
      </c>
      <c r="C513" s="5">
        <f ca="1">IFERROR(__xludf.DUMMYFUNCTION("""COMPUTED_VALUE"""),46074.4166666666)</f>
        <v>46074.416666666599</v>
      </c>
      <c r="D513" s="6">
        <f ca="1">IFERROR(__xludf.DUMMYFUNCTION("""COMPUTED_VALUE"""),254)</f>
        <v>254</v>
      </c>
      <c r="E513" s="4" t="str">
        <f ca="1">IFERROR(__xludf.DUMMYFUNCTION("""COMPUTED_VALUE"""),"MXN")</f>
        <v>MXN</v>
      </c>
      <c r="F513" s="4" t="str">
        <f ca="1">IFERROR(__xludf.DUMMYFUNCTION("""COMPUTED_VALUE"""),"Carlos Ivan Gonzalez Merino")</f>
        <v>Carlos Ivan Gonzalez Merino</v>
      </c>
      <c r="G513" s="4" t="str">
        <f ca="1">IFERROR(__xludf.DUMMYFUNCTION("""COMPUTED_VALUE"""),"CAFE LA PARROQUIA      VERACRUZ VER  MEX")</f>
        <v>CAFE LA PARROQUIA      VERACRUZ VER  MEX</v>
      </c>
      <c r="H513" s="4" t="str">
        <f ca="1">IFERROR(__xludf.DUMMYFUNCTION("""COMPUTED_VALUE"""),"Cafe La Parroquia Veracruz Ver Mex")</f>
        <v>Cafe La Parroquia Veracruz Ver Mex</v>
      </c>
      <c r="I513" s="4" t="str">
        <f ca="1">IFERROR(__xludf.DUMMYFUNCTION("""COMPUTED_VALUE"""),"G&amp;A expenses")</f>
        <v>G&amp;A expenses</v>
      </c>
      <c r="J513" s="4" t="str">
        <f ca="1">IFERROR(__xludf.DUMMYFUNCTION("""COMPUTED_VALUE"""),"PO_2009 ASIPONA_COMIDA")</f>
        <v>PO_2009 ASIPONA_COMIDA</v>
      </c>
      <c r="K513" s="4"/>
      <c r="S513" s="6">
        <v>653.95000000000005</v>
      </c>
      <c r="T513" s="4" t="e">
        <f t="shared" ca="1" si="3"/>
        <v>#N/A</v>
      </c>
    </row>
    <row r="514" spans="1:20" ht="12.5">
      <c r="A514" s="4" t="str">
        <f ca="1">IFERROR(__xludf.DUMMYFUNCTION("""COMPUTED_VALUE"""),"TRX1030")</f>
        <v>TRX1030</v>
      </c>
      <c r="B514" s="4" t="str">
        <f ca="1">IFERROR(__xludf.DUMMYFUNCTION("""COMPUTED_VALUE"""),"#56")</f>
        <v>#56</v>
      </c>
      <c r="C514" s="5">
        <f ca="1">IFERROR(__xludf.DUMMYFUNCTION("""COMPUTED_VALUE"""),46074.4166666666)</f>
        <v>46074.416666666599</v>
      </c>
      <c r="D514" s="6">
        <f ca="1">IFERROR(__xludf.DUMMYFUNCTION("""COMPUTED_VALUE"""),50)</f>
        <v>50</v>
      </c>
      <c r="E514" s="4" t="str">
        <f ca="1">IFERROR(__xludf.DUMMYFUNCTION("""COMPUTED_VALUE"""),"MXN")</f>
        <v>MXN</v>
      </c>
      <c r="F514" s="4" t="str">
        <f ca="1">IFERROR(__xludf.DUMMYFUNCTION("""COMPUTED_VALUE"""),"Carlos Ivan Gonzalez Merino")</f>
        <v>Carlos Ivan Gonzalez Merino</v>
      </c>
      <c r="G514" s="4" t="str">
        <f ca="1">IFERROR(__xludf.DUMMYFUNCTION("""COMPUTED_VALUE"""),"DLO DIDI RIDES MX      CIUDAD DE MEX MEX")</f>
        <v>DLO DIDI RIDES MX      CIUDAD DE MEX MEX</v>
      </c>
      <c r="H514" s="4" t="str">
        <f ca="1">IFERROR(__xludf.DUMMYFUNCTION("""COMPUTED_VALUE"""),"Didi Chuxing")</f>
        <v>Didi Chuxing</v>
      </c>
      <c r="I514" s="4" t="str">
        <f ca="1">IFERROR(__xludf.DUMMYFUNCTION("""COMPUTED_VALUE"""),"G&amp;A expenses")</f>
        <v>G&amp;A expenses</v>
      </c>
      <c r="J514" s="4" t="str">
        <f ca="1">IFERROR(__xludf.DUMMYFUNCTION("""COMPUTED_VALUE"""),"PO_2009 ASIPONA_TRASLADO")</f>
        <v>PO_2009 ASIPONA_TRASLADO</v>
      </c>
      <c r="K514" s="4"/>
      <c r="S514" s="6">
        <v>371.59</v>
      </c>
      <c r="T514" s="4" t="e">
        <f t="shared" ca="1" si="3"/>
        <v>#N/A</v>
      </c>
    </row>
    <row r="515" spans="1:20" ht="12.5">
      <c r="A515" s="4" t="str">
        <f ca="1">IFERROR(__xludf.DUMMYFUNCTION("""COMPUTED_VALUE"""),"TRX1093")</f>
        <v>TRX1093</v>
      </c>
      <c r="B515" s="4" t="str">
        <f ca="1">IFERROR(__xludf.DUMMYFUNCTION("""COMPUTED_VALUE"""),"#56")</f>
        <v>#56</v>
      </c>
      <c r="C515" s="5">
        <f ca="1">IFERROR(__xludf.DUMMYFUNCTION("""COMPUTED_VALUE"""),46074.4166666666)</f>
        <v>46074.416666666599</v>
      </c>
      <c r="D515" s="6">
        <f ca="1">IFERROR(__xludf.DUMMYFUNCTION("""COMPUTED_VALUE"""),181)</f>
        <v>181</v>
      </c>
      <c r="E515" s="4" t="str">
        <f ca="1">IFERROR(__xludf.DUMMYFUNCTION("""COMPUTED_VALUE"""),"MXN")</f>
        <v>MXN</v>
      </c>
      <c r="F515" s="4" t="str">
        <f ca="1">IFERROR(__xludf.DUMMYFUNCTION("""COMPUTED_VALUE"""),"Carlos Ivan Gonzalez Merino")</f>
        <v>Carlos Ivan Gonzalez Merino</v>
      </c>
      <c r="G515" s="4" t="str">
        <f ca="1">IFERROR(__xludf.DUMMYFUNCTION("""COMPUTED_VALUE"""),"DLO DIDI RIDES MX      CIUDAD DE MEX MEX")</f>
        <v>DLO DIDI RIDES MX      CIUDAD DE MEX MEX</v>
      </c>
      <c r="H515" s="4" t="str">
        <f ca="1">IFERROR(__xludf.DUMMYFUNCTION("""COMPUTED_VALUE"""),"Didi Chuxing")</f>
        <v>Didi Chuxing</v>
      </c>
      <c r="I515" s="4" t="str">
        <f ca="1">IFERROR(__xludf.DUMMYFUNCTION("""COMPUTED_VALUE"""),"G&amp;A expenses")</f>
        <v>G&amp;A expenses</v>
      </c>
      <c r="J515" s="4" t="str">
        <f ca="1">IFERROR(__xludf.DUMMYFUNCTION("""COMPUTED_VALUE"""),"PO_2009 ASIPONA_COMIDA")</f>
        <v>PO_2009 ASIPONA_COMIDA</v>
      </c>
      <c r="K515" s="4"/>
      <c r="S515" s="6">
        <v>11097</v>
      </c>
      <c r="T515" s="4" t="e">
        <f t="shared" ca="1" si="3"/>
        <v>#N/A</v>
      </c>
    </row>
    <row r="516" spans="1:20" ht="12.5">
      <c r="A516" s="4" t="str">
        <f ca="1">IFERROR(__xludf.DUMMYFUNCTION("""COMPUTED_VALUE"""),"TRX1074")</f>
        <v>TRX1074</v>
      </c>
      <c r="B516" s="4" t="str">
        <f ca="1">IFERROR(__xludf.DUMMYFUNCTION("""COMPUTED_VALUE"""),"#56")</f>
        <v>#56</v>
      </c>
      <c r="C516" s="5">
        <f ca="1">IFERROR(__xludf.DUMMYFUNCTION("""COMPUTED_VALUE"""),46075.4173611111)</f>
        <v>46075.417361111096</v>
      </c>
      <c r="D516" s="6">
        <f ca="1">IFERROR(__xludf.DUMMYFUNCTION("""COMPUTED_VALUE"""),327.8)</f>
        <v>327.8</v>
      </c>
      <c r="E516" s="4" t="str">
        <f ca="1">IFERROR(__xludf.DUMMYFUNCTION("""COMPUTED_VALUE"""),"MXN")</f>
        <v>MXN</v>
      </c>
      <c r="F516" s="4" t="str">
        <f ca="1">IFERROR(__xludf.DUMMYFUNCTION("""COMPUTED_VALUE"""),"Carlos Ivan Gonzalez Merino")</f>
        <v>Carlos Ivan Gonzalez Merino</v>
      </c>
      <c r="G516" s="4" t="str">
        <f ca="1">IFERROR(__xludf.DUMMYFUNCTION("""COMPUTED_VALUE"""),"DP 11036 LAS AGUILAS   MEXICO DF     MEX")</f>
        <v>DP 11036 LAS AGUILAS   MEXICO DF     MEX</v>
      </c>
      <c r="H516" s="4" t="str">
        <f ca="1">IFERROR(__xludf.DUMMYFUNCTION("""COMPUTED_VALUE"""),"Dp Las Aguilas Mexico Df Mex")</f>
        <v>Dp Las Aguilas Mexico Df Mex</v>
      </c>
      <c r="I516" s="4" t="str">
        <f ca="1">IFERROR(__xludf.DUMMYFUNCTION("""COMPUTED_VALUE"""),"G&amp;A expenses")</f>
        <v>G&amp;A expenses</v>
      </c>
      <c r="J516" s="4" t="str">
        <f ca="1">IFERROR(__xludf.DUMMYFUNCTION("""COMPUTED_VALUE"""),"PO_2009 ASIPONA_COMIDA")</f>
        <v>PO_2009 ASIPONA_COMIDA</v>
      </c>
      <c r="K516" s="4"/>
      <c r="S516" s="6">
        <v>862.54</v>
      </c>
      <c r="T516" s="4" t="e">
        <f t="shared" ca="1" si="3"/>
        <v>#N/A</v>
      </c>
    </row>
    <row r="517" spans="1:20" ht="12.5">
      <c r="A517" s="4" t="str">
        <f ca="1">IFERROR(__xludf.DUMMYFUNCTION("""COMPUTED_VALUE"""),"TRX1131")</f>
        <v>TRX1131</v>
      </c>
      <c r="B517" s="4" t="str">
        <f ca="1">IFERROR(__xludf.DUMMYFUNCTION("""COMPUTED_VALUE"""),"#56")</f>
        <v>#56</v>
      </c>
      <c r="C517" s="5">
        <f ca="1">IFERROR(__xludf.DUMMYFUNCTION("""COMPUTED_VALUE"""),46078.4166666666)</f>
        <v>46078.416666666599</v>
      </c>
      <c r="D517" s="6">
        <f ca="1">IFERROR(__xludf.DUMMYFUNCTION("""COMPUTED_VALUE"""),239.99)</f>
        <v>239.99</v>
      </c>
      <c r="E517" s="4" t="str">
        <f ca="1">IFERROR(__xludf.DUMMYFUNCTION("""COMPUTED_VALUE"""),"MXN")</f>
        <v>MXN</v>
      </c>
      <c r="F517" s="4" t="str">
        <f ca="1">IFERROR(__xludf.DUMMYFUNCTION("""COMPUTED_VALUE"""),"Carlos Ivan Gonzalez Merino")</f>
        <v>Carlos Ivan Gonzalez Merino</v>
      </c>
      <c r="G517" s="4" t="str">
        <f ca="1">IFERROR(__xludf.DUMMYFUNCTION("""COMPUTED_VALUE"""),"UBER * PENDING         CMX           MEX")</f>
        <v>UBER * PENDING         CMX           MEX</v>
      </c>
      <c r="H517" s="4" t="str">
        <f ca="1">IFERROR(__xludf.DUMMYFUNCTION("""COMPUTED_VALUE"""),"Uber")</f>
        <v>Uber</v>
      </c>
      <c r="I517" s="4" t="str">
        <f ca="1">IFERROR(__xludf.DUMMYFUNCTION("""COMPUTED_VALUE"""),"G&amp;A expenses")</f>
        <v>G&amp;A expenses</v>
      </c>
      <c r="J517" s="4" t="str">
        <f ca="1">IFERROR(__xludf.DUMMYFUNCTION("""COMPUTED_VALUE"""),"PO_2009 ASIPONA_TRASLADO")</f>
        <v>PO_2009 ASIPONA_TRASLADO</v>
      </c>
      <c r="K517" s="4"/>
      <c r="S517" s="6">
        <v>1351.68</v>
      </c>
      <c r="T517" s="4" t="e">
        <f t="shared" ca="1" si="3"/>
        <v>#N/A</v>
      </c>
    </row>
    <row r="518" spans="1:20" ht="12.5">
      <c r="A518" s="4" t="str">
        <f ca="1">IFERROR(__xludf.DUMMYFUNCTION("""COMPUTED_VALUE"""),"TRX1134")</f>
        <v>TRX1134</v>
      </c>
      <c r="B518" s="4" t="str">
        <f ca="1">IFERROR(__xludf.DUMMYFUNCTION("""COMPUTED_VALUE"""),"#56")</f>
        <v>#56</v>
      </c>
      <c r="C518" s="5">
        <f ca="1">IFERROR(__xludf.DUMMYFUNCTION("""COMPUTED_VALUE"""),46078.4166666666)</f>
        <v>46078.416666666599</v>
      </c>
      <c r="D518" s="6">
        <f ca="1">IFERROR(__xludf.DUMMYFUNCTION("""COMPUTED_VALUE"""),189.99)</f>
        <v>189.99</v>
      </c>
      <c r="E518" s="4" t="str">
        <f ca="1">IFERROR(__xludf.DUMMYFUNCTION("""COMPUTED_VALUE"""),"MXN")</f>
        <v>MXN</v>
      </c>
      <c r="F518" s="4" t="str">
        <f ca="1">IFERROR(__xludf.DUMMYFUNCTION("""COMPUTED_VALUE"""),"Carlos Ivan Gonzalez Merino")</f>
        <v>Carlos Ivan Gonzalez Merino</v>
      </c>
      <c r="G518" s="4" t="str">
        <f ca="1">IFERROR(__xludf.DUMMYFUNCTION("""COMPUTED_VALUE"""),"UBER * PENDING         CMX           MEX")</f>
        <v>UBER * PENDING         CMX           MEX</v>
      </c>
      <c r="H518" s="4" t="str">
        <f ca="1">IFERROR(__xludf.DUMMYFUNCTION("""COMPUTED_VALUE"""),"Uber")</f>
        <v>Uber</v>
      </c>
      <c r="I518" s="4" t="str">
        <f ca="1">IFERROR(__xludf.DUMMYFUNCTION("""COMPUTED_VALUE"""),"G&amp;A expenses")</f>
        <v>G&amp;A expenses</v>
      </c>
      <c r="J518" s="4" t="str">
        <f ca="1">IFERROR(__xludf.DUMMYFUNCTION("""COMPUTED_VALUE"""),"PO_2009 ASIPONA_TRASLADO")</f>
        <v>PO_2009 ASIPONA_TRASLADO</v>
      </c>
      <c r="K518" s="4"/>
      <c r="S518" s="6">
        <v>3000.78</v>
      </c>
      <c r="T518" s="4" t="e">
        <f t="shared" ca="1" si="3"/>
        <v>#N/A</v>
      </c>
    </row>
    <row r="519" spans="1:20" ht="12.5">
      <c r="A519" s="4" t="str">
        <f ca="1">IFERROR(__xludf.DUMMYFUNCTION("""COMPUTED_VALUE"""),"TRX1142")</f>
        <v>TRX1142</v>
      </c>
      <c r="B519" s="4" t="str">
        <f ca="1">IFERROR(__xludf.DUMMYFUNCTION("""COMPUTED_VALUE"""),"#56")</f>
        <v>#56</v>
      </c>
      <c r="C519" s="5">
        <f ca="1">IFERROR(__xludf.DUMMYFUNCTION("""COMPUTED_VALUE"""),46078.4166666666)</f>
        <v>46078.416666666599</v>
      </c>
      <c r="D519" s="6">
        <f ca="1">IFERROR(__xludf.DUMMYFUNCTION("""COMPUTED_VALUE"""),175.73)</f>
        <v>175.73</v>
      </c>
      <c r="E519" s="4" t="str">
        <f ca="1">IFERROR(__xludf.DUMMYFUNCTION("""COMPUTED_VALUE"""),"MXN")</f>
        <v>MXN</v>
      </c>
      <c r="F519" s="4" t="str">
        <f ca="1">IFERROR(__xludf.DUMMYFUNCTION("""COMPUTED_VALUE"""),"Carlos Ivan Gonzalez Merino")</f>
        <v>Carlos Ivan Gonzalez Merino</v>
      </c>
      <c r="G519" s="4" t="str">
        <f ca="1">IFERROR(__xludf.DUMMYFUNCTION("""COMPUTED_VALUE"""),"UBER * EATS PENDING    CMX           MEX")</f>
        <v>UBER * EATS PENDING    CMX           MEX</v>
      </c>
      <c r="H519" s="4" t="str">
        <f ca="1">IFERROR(__xludf.DUMMYFUNCTION("""COMPUTED_VALUE"""),"Uber Eats")</f>
        <v>Uber Eats</v>
      </c>
      <c r="I519" s="4" t="str">
        <f ca="1">IFERROR(__xludf.DUMMYFUNCTION("""COMPUTED_VALUE"""),"G&amp;A expenses")</f>
        <v>G&amp;A expenses</v>
      </c>
      <c r="J519" s="4" t="str">
        <f ca="1">IFERROR(__xludf.DUMMYFUNCTION("""COMPUTED_VALUE"""),"PO_2009 ASIPONA_COMIDA")</f>
        <v>PO_2009 ASIPONA_COMIDA</v>
      </c>
      <c r="K519" s="4"/>
      <c r="S519" s="6">
        <v>1000</v>
      </c>
      <c r="T519" s="4" t="str">
        <f t="shared" ca="1" si="3"/>
        <v>Fernando Sanchez Toledano</v>
      </c>
    </row>
    <row r="520" spans="1:20" ht="12.5">
      <c r="A520" s="4" t="str">
        <f ca="1">IFERROR(__xludf.DUMMYFUNCTION("""COMPUTED_VALUE"""),"TRX1189")</f>
        <v>TRX1189</v>
      </c>
      <c r="B520" s="4" t="str">
        <f ca="1">IFERROR(__xludf.DUMMYFUNCTION("""COMPUTED_VALUE"""),"#56")</f>
        <v>#56</v>
      </c>
      <c r="C520" s="5">
        <f ca="1">IFERROR(__xludf.DUMMYFUNCTION("""COMPUTED_VALUE"""),46079.4166666666)</f>
        <v>46079.416666666599</v>
      </c>
      <c r="D520" s="6">
        <f ca="1">IFERROR(__xludf.DUMMYFUNCTION("""COMPUTED_VALUE"""),165)</f>
        <v>165</v>
      </c>
      <c r="E520" s="4" t="str">
        <f ca="1">IFERROR(__xludf.DUMMYFUNCTION("""COMPUTED_VALUE"""),"MXN")</f>
        <v>MXN</v>
      </c>
      <c r="F520" s="4" t="str">
        <f ca="1">IFERROR(__xludf.DUMMYFUNCTION("""COMPUTED_VALUE"""),"Carlos Ivan Gonzalez Merino")</f>
        <v>Carlos Ivan Gonzalez Merino</v>
      </c>
      <c r="G520" s="4" t="str">
        <f ca="1">IFERROR(__xludf.DUMMYFUNCTION("""COMPUTED_VALUE"""),"DLO DIDI RIDES MX      CIUDAD DE MEX MEX")</f>
        <v>DLO DIDI RIDES MX      CIUDAD DE MEX MEX</v>
      </c>
      <c r="H520" s="4" t="str">
        <f ca="1">IFERROR(__xludf.DUMMYFUNCTION("""COMPUTED_VALUE"""),"Didi Chuxing")</f>
        <v>Didi Chuxing</v>
      </c>
      <c r="I520" s="4" t="str">
        <f ca="1">IFERROR(__xludf.DUMMYFUNCTION("""COMPUTED_VALUE"""),"G&amp;A expenses")</f>
        <v>G&amp;A expenses</v>
      </c>
      <c r="J520" s="4" t="str">
        <f ca="1">IFERROR(__xludf.DUMMYFUNCTION("""COMPUTED_VALUE"""),"PO_2009 ASIPONA_RENTA UTO")</f>
        <v>PO_2009 ASIPONA_RENTA UTO</v>
      </c>
      <c r="K520" s="4"/>
      <c r="S520" s="6">
        <v>73</v>
      </c>
      <c r="T520" s="4" t="e">
        <f t="shared" ca="1" si="3"/>
        <v>#N/A</v>
      </c>
    </row>
    <row r="521" spans="1:20" ht="12.5">
      <c r="A521" s="4" t="str">
        <f ca="1">IFERROR(__xludf.DUMMYFUNCTION("""COMPUTED_VALUE"""),"TRX1205")</f>
        <v>TRX1205</v>
      </c>
      <c r="B521" s="4" t="str">
        <f ca="1">IFERROR(__xludf.DUMMYFUNCTION("""COMPUTED_VALUE"""),"#56")</f>
        <v>#56</v>
      </c>
      <c r="C521" s="5">
        <f ca="1">IFERROR(__xludf.DUMMYFUNCTION("""COMPUTED_VALUE"""),46079.4166666666)</f>
        <v>46079.416666666599</v>
      </c>
      <c r="D521" s="6">
        <f ca="1">IFERROR(__xludf.DUMMYFUNCTION("""COMPUTED_VALUE"""),179.98)</f>
        <v>179.98</v>
      </c>
      <c r="E521" s="4" t="str">
        <f ca="1">IFERROR(__xludf.DUMMYFUNCTION("""COMPUTED_VALUE"""),"MXN")</f>
        <v>MXN</v>
      </c>
      <c r="F521" s="4" t="str">
        <f ca="1">IFERROR(__xludf.DUMMYFUNCTION("""COMPUTED_VALUE"""),"Carlos Ivan Gonzalez Merino")</f>
        <v>Carlos Ivan Gonzalez Merino</v>
      </c>
      <c r="G521" s="4" t="str">
        <f ca="1">IFERROR(__xludf.DUMMYFUNCTION("""COMPUTED_VALUE"""),"DLO*UBER RIDES         CIUDAD DE MEX MEX")</f>
        <v>DLO*UBER RIDES         CIUDAD DE MEX MEX</v>
      </c>
      <c r="H521" s="4" t="str">
        <f ca="1">IFERROR(__xludf.DUMMYFUNCTION("""COMPUTED_VALUE"""),"Uber")</f>
        <v>Uber</v>
      </c>
      <c r="I521" s="4" t="str">
        <f ca="1">IFERROR(__xludf.DUMMYFUNCTION("""COMPUTED_VALUE"""),"G&amp;A expenses")</f>
        <v>G&amp;A expenses</v>
      </c>
      <c r="J521" s="4" t="str">
        <f ca="1">IFERROR(__xludf.DUMMYFUNCTION("""COMPUTED_VALUE"""),"PO_2009 ASIPONA_DESARMADORES")</f>
        <v>PO_2009 ASIPONA_DESARMADORES</v>
      </c>
      <c r="K521" s="4"/>
      <c r="S521" s="6">
        <v>125</v>
      </c>
      <c r="T521" s="4" t="str">
        <f t="shared" ca="1" si="3"/>
        <v>Karen Alexandra Ballesteros Contreras</v>
      </c>
    </row>
    <row r="522" spans="1:20" ht="12.5">
      <c r="A522" s="4" t="str">
        <f ca="1">IFERROR(__xludf.DUMMYFUNCTION("""COMPUTED_VALUE"""),"TRX1208")</f>
        <v>TRX1208</v>
      </c>
      <c r="B522" s="4" t="str">
        <f ca="1">IFERROR(__xludf.DUMMYFUNCTION("""COMPUTED_VALUE"""),"#56")</f>
        <v>#56</v>
      </c>
      <c r="C522" s="5">
        <f ca="1">IFERROR(__xludf.DUMMYFUNCTION("""COMPUTED_VALUE"""),46079.4173611111)</f>
        <v>46079.417361111096</v>
      </c>
      <c r="D522" s="6">
        <f ca="1">IFERROR(__xludf.DUMMYFUNCTION("""COMPUTED_VALUE"""),329.97)</f>
        <v>329.97</v>
      </c>
      <c r="E522" s="4" t="str">
        <f ca="1">IFERROR(__xludf.DUMMYFUNCTION("""COMPUTED_VALUE"""),"MXN")</f>
        <v>MXN</v>
      </c>
      <c r="F522" s="4" t="str">
        <f ca="1">IFERROR(__xludf.DUMMYFUNCTION("""COMPUTED_VALUE"""),"Carlos Ivan Gonzalez Merino")</f>
        <v>Carlos Ivan Gonzalez Merino</v>
      </c>
      <c r="G522" s="4" t="str">
        <f ca="1">IFERROR(__xludf.DUMMYFUNCTION("""COMPUTED_VALUE"""),"DLO*Uber               CDMX          MEX")</f>
        <v>DLO*Uber               CDMX          MEX</v>
      </c>
      <c r="H522" s="4" t="str">
        <f ca="1">IFERROR(__xludf.DUMMYFUNCTION("""COMPUTED_VALUE"""),"Uber")</f>
        <v>Uber</v>
      </c>
      <c r="I522" s="4" t="str">
        <f ca="1">IFERROR(__xludf.DUMMYFUNCTION("""COMPUTED_VALUE"""),"G&amp;A expenses")</f>
        <v>G&amp;A expenses</v>
      </c>
      <c r="J522" s="4" t="str">
        <f ca="1">IFERROR(__xludf.DUMMYFUNCTION("""COMPUTED_VALUE"""),"PO_2009 ASIPONA_PEAJE")</f>
        <v>PO_2009 ASIPONA_PEAJE</v>
      </c>
      <c r="K522" s="4"/>
      <c r="S522" s="6">
        <v>1164.5999999999999</v>
      </c>
      <c r="T522" s="4" t="e">
        <f t="shared" ca="1" si="3"/>
        <v>#N/A</v>
      </c>
    </row>
    <row r="523" spans="1:20" ht="12.5">
      <c r="A523" s="4" t="str">
        <f ca="1">IFERROR(__xludf.DUMMYFUNCTION("""COMPUTED_VALUE"""),"TRX1240")</f>
        <v>TRX1240</v>
      </c>
      <c r="B523" s="4" t="str">
        <f ca="1">IFERROR(__xludf.DUMMYFUNCTION("""COMPUTED_VALUE"""),"#56")</f>
        <v>#56</v>
      </c>
      <c r="C523" s="5">
        <f ca="1">IFERROR(__xludf.DUMMYFUNCTION("""COMPUTED_VALUE"""),46080.4173611111)</f>
        <v>46080.417361111096</v>
      </c>
      <c r="D523" s="6">
        <f ca="1">IFERROR(__xludf.DUMMYFUNCTION("""COMPUTED_VALUE"""),3663)</f>
        <v>3663</v>
      </c>
      <c r="E523" s="4" t="str">
        <f ca="1">IFERROR(__xludf.DUMMYFUNCTION("""COMPUTED_VALUE"""),"MXN")</f>
        <v>MXN</v>
      </c>
      <c r="F523" s="4" t="str">
        <f ca="1">IFERROR(__xludf.DUMMYFUNCTION("""COMPUTED_VALUE"""),"Carlos Ivan Gonzalez Merino")</f>
        <v>Carlos Ivan Gonzalez Merino</v>
      </c>
      <c r="G523" s="4" t="str">
        <f ca="1">IFERROR(__xludf.DUMMYFUNCTION("""COMPUTED_VALUE"""),"HOME DEPOT             SN PEDRO GARZ MEX")</f>
        <v>HOME DEPOT             SN PEDRO GARZ MEX</v>
      </c>
      <c r="H523" s="4" t="str">
        <f ca="1">IFERROR(__xludf.DUMMYFUNCTION("""COMPUTED_VALUE"""),"The Home Depot")</f>
        <v>The Home Depot</v>
      </c>
      <c r="I523" s="4" t="str">
        <f ca="1">IFERROR(__xludf.DUMMYFUNCTION("""COMPUTED_VALUE"""),"G&amp;A expenses")</f>
        <v>G&amp;A expenses</v>
      </c>
      <c r="J523" s="4" t="str">
        <f ca="1">IFERROR(__xludf.DUMMYFUNCTION("""COMPUTED_VALUE"""),"PO_2009 ASIPONA_PUNTO DE HIDRATACION")</f>
        <v>PO_2009 ASIPONA_PUNTO DE HIDRATACION</v>
      </c>
      <c r="K523" s="4"/>
      <c r="S523" s="6">
        <v>1845.75</v>
      </c>
      <c r="T523" s="4" t="e">
        <f t="shared" ca="1" si="3"/>
        <v>#N/A</v>
      </c>
    </row>
    <row r="524" spans="1:20" ht="12.5">
      <c r="A524" s="4" t="str">
        <f ca="1">IFERROR(__xludf.DUMMYFUNCTION("""COMPUTED_VALUE"""),"TRX1254")</f>
        <v>TRX1254</v>
      </c>
      <c r="B524" s="4" t="str">
        <f ca="1">IFERROR(__xludf.DUMMYFUNCTION("""COMPUTED_VALUE"""),"#56")</f>
        <v>#56</v>
      </c>
      <c r="C524" s="5">
        <f ca="1">IFERROR(__xludf.DUMMYFUNCTION("""COMPUTED_VALUE"""),46081.4166666666)</f>
        <v>46081.416666666599</v>
      </c>
      <c r="D524" s="6">
        <f ca="1">IFERROR(__xludf.DUMMYFUNCTION("""COMPUTED_VALUE"""),289.95)</f>
        <v>289.95</v>
      </c>
      <c r="E524" s="4" t="str">
        <f ca="1">IFERROR(__xludf.DUMMYFUNCTION("""COMPUTED_VALUE"""),"MXN")</f>
        <v>MXN</v>
      </c>
      <c r="F524" s="4" t="str">
        <f ca="1">IFERROR(__xludf.DUMMYFUNCTION("""COMPUTED_VALUE"""),"Carlos Ivan Gonzalez Merino")</f>
        <v>Carlos Ivan Gonzalez Merino</v>
      </c>
      <c r="G524" s="4" t="str">
        <f ca="1">IFERROR(__xludf.DUMMYFUNCTION("""COMPUTED_VALUE"""),"UBER * PENDING         CMX           MEX")</f>
        <v>UBER * PENDING         CMX           MEX</v>
      </c>
      <c r="H524" s="4" t="str">
        <f ca="1">IFERROR(__xludf.DUMMYFUNCTION("""COMPUTED_VALUE"""),"Uber")</f>
        <v>Uber</v>
      </c>
      <c r="I524" s="4" t="str">
        <f ca="1">IFERROR(__xludf.DUMMYFUNCTION("""COMPUTED_VALUE"""),"G&amp;A expenses")</f>
        <v>G&amp;A expenses</v>
      </c>
      <c r="J524" s="4" t="str">
        <f ca="1">IFERROR(__xludf.DUMMYFUNCTION("""COMPUTED_VALUE"""),"PO_2009 ASIPONA_COMIDA")</f>
        <v>PO_2009 ASIPONA_COMIDA</v>
      </c>
      <c r="K524" s="4"/>
      <c r="S524" s="6">
        <v>600</v>
      </c>
      <c r="T524" s="4" t="str">
        <f t="shared" ca="1" si="3"/>
        <v>Karen Alexandra Ballesteros Contreras</v>
      </c>
    </row>
    <row r="525" spans="1:20" ht="12.5">
      <c r="A525" s="4" t="str">
        <f ca="1">IFERROR(__xludf.DUMMYFUNCTION("""COMPUTED_VALUE"""),"TRX1280")</f>
        <v>TRX1280</v>
      </c>
      <c r="B525" s="4" t="str">
        <f ca="1">IFERROR(__xludf.DUMMYFUNCTION("""COMPUTED_VALUE"""),"#56")</f>
        <v>#56</v>
      </c>
      <c r="C525" s="5">
        <f ca="1">IFERROR(__xludf.DUMMYFUNCTION("""COMPUTED_VALUE"""),46081.4173611111)</f>
        <v>46081.417361111096</v>
      </c>
      <c r="D525" s="6">
        <f ca="1">IFERROR(__xludf.DUMMYFUNCTION("""COMPUTED_VALUE"""),129.97)</f>
        <v>129.97</v>
      </c>
      <c r="E525" s="4" t="str">
        <f ca="1">IFERROR(__xludf.DUMMYFUNCTION("""COMPUTED_VALUE"""),"MXN")</f>
        <v>MXN</v>
      </c>
      <c r="F525" s="4" t="str">
        <f ca="1">IFERROR(__xludf.DUMMYFUNCTION("""COMPUTED_VALUE"""),"Carlos Ivan Gonzalez Merino")</f>
        <v>Carlos Ivan Gonzalez Merino</v>
      </c>
      <c r="G525" s="4" t="str">
        <f ca="1">IFERROR(__xludf.DUMMYFUNCTION("""COMPUTED_VALUE"""),"DLO*Uber               CDMX          MEX")</f>
        <v>DLO*Uber               CDMX          MEX</v>
      </c>
      <c r="H525" s="4" t="str">
        <f ca="1">IFERROR(__xludf.DUMMYFUNCTION("""COMPUTED_VALUE"""),"Uber")</f>
        <v>Uber</v>
      </c>
      <c r="I525" s="4" t="str">
        <f ca="1">IFERROR(__xludf.DUMMYFUNCTION("""COMPUTED_VALUE"""),"G&amp;A expenses")</f>
        <v>G&amp;A expenses</v>
      </c>
      <c r="J525" s="4" t="str">
        <f ca="1">IFERROR(__xludf.DUMMYFUNCTION("""COMPUTED_VALUE"""),"PO_2009 ASIPONA_COMIDA")</f>
        <v>PO_2009 ASIPONA_COMIDA</v>
      </c>
      <c r="K525" s="4"/>
      <c r="S525" s="6">
        <v>3151</v>
      </c>
      <c r="T525" s="4" t="e">
        <f t="shared" ca="1" si="3"/>
        <v>#N/A</v>
      </c>
    </row>
    <row r="526" spans="1:20" ht="12.5">
      <c r="A526" s="4" t="str">
        <f ca="1">IFERROR(__xludf.DUMMYFUNCTION("""COMPUTED_VALUE"""),"#N/A")</f>
        <v>#N/A</v>
      </c>
      <c r="B526" s="4"/>
      <c r="C526" s="4"/>
      <c r="D526" s="4" t="str">
        <f ca="1">IFERROR(__xludf.DUMMYFUNCTION("""COMPUTED_VALUE"""),"#N/A")</f>
        <v>#N/A</v>
      </c>
      <c r="E526" s="4" t="str">
        <f ca="1">IFERROR(__xludf.DUMMYFUNCTION("""COMPUTED_VALUE"""),"#N/A")</f>
        <v>#N/A</v>
      </c>
      <c r="F526" s="4" t="str">
        <f ca="1">IFERROR(__xludf.DUMMYFUNCTION("""COMPUTED_VALUE"""),"#N/A")</f>
        <v>#N/A</v>
      </c>
      <c r="G526" s="4" t="str">
        <f ca="1">IFERROR(__xludf.DUMMYFUNCTION("""COMPUTED_VALUE"""),"#N/A")</f>
        <v>#N/A</v>
      </c>
      <c r="H526" s="4"/>
      <c r="I526" s="4" t="str">
        <f ca="1">IFERROR(__xludf.DUMMYFUNCTION("""COMPUTED_VALUE"""),"Recruiting")</f>
        <v>Recruiting</v>
      </c>
      <c r="J526" s="4" t="str">
        <f ca="1">IFERROR(__xludf.DUMMYFUNCTION("""COMPUTED_VALUE"""),"Visita MITSUI PO1579")</f>
        <v>Visita MITSUI PO1579</v>
      </c>
      <c r="K526" s="4"/>
      <c r="S526" s="6">
        <v>601</v>
      </c>
      <c r="T526" s="4" t="e">
        <f t="shared" ca="1" si="3"/>
        <v>#N/A</v>
      </c>
    </row>
    <row r="527" spans="1:20" ht="12.5">
      <c r="A527" s="4" t="str">
        <f ca="1">IFERROR(__xludf.DUMMYFUNCTION("""COMPUTED_VALUE"""),"TRX1297")</f>
        <v>TRX1297</v>
      </c>
      <c r="B527" s="4" t="str">
        <f ca="1">IFERROR(__xludf.DUMMYFUNCTION("""COMPUTED_VALUE"""),"#58")</f>
        <v>#58</v>
      </c>
      <c r="C527" s="5">
        <f ca="1">IFERROR(__xludf.DUMMYFUNCTION("""COMPUTED_VALUE"""),46055.4166666666)</f>
        <v>46055.416666666599</v>
      </c>
      <c r="D527" s="6">
        <f ca="1">IFERROR(__xludf.DUMMYFUNCTION("""COMPUTED_VALUE"""),3230.41)</f>
        <v>3230.41</v>
      </c>
      <c r="E527" s="4" t="str">
        <f ca="1">IFERROR(__xludf.DUMMYFUNCTION("""COMPUTED_VALUE"""),"MXN")</f>
        <v>MXN</v>
      </c>
      <c r="F527" s="4" t="str">
        <f ca="1">IFERROR(__xludf.DUMMYFUNCTION("""COMPUTED_VALUE"""),"Jose Rosas Ortiz")</f>
        <v>Jose Rosas Ortiz</v>
      </c>
      <c r="G527" s="4" t="str">
        <f ca="1">IFERROR(__xludf.DUMMYFUNCTION("""COMPUTED_VALUE"""),"EXPEDIA MEXICO         CIUDAD DE MEX MEX")</f>
        <v>EXPEDIA MEXICO         CIUDAD DE MEX MEX</v>
      </c>
      <c r="H527" s="4" t="str">
        <f ca="1">IFERROR(__xludf.DUMMYFUNCTION("""COMPUTED_VALUE"""),"Expedia")</f>
        <v>Expedia</v>
      </c>
      <c r="I527" s="4" t="str">
        <f ca="1">IFERROR(__xludf.DUMMYFUNCTION("""COMPUTED_VALUE"""),"Sales")</f>
        <v>Sales</v>
      </c>
      <c r="J527" s="4" t="str">
        <f ca="1">IFERROR(__xludf.DUMMYFUNCTION("""COMPUTED_VALUE"""),"IMESA")</f>
        <v>IMESA</v>
      </c>
      <c r="K527" s="4" t="str">
        <f ca="1">IFERROR(__xludf.DUMMYFUNCTION("""COMPUTED_VALUE"""),"Invoice")</f>
        <v>Invoice</v>
      </c>
      <c r="S527" s="6">
        <v>427.5</v>
      </c>
      <c r="T527" s="4" t="e">
        <f t="shared" ca="1" si="3"/>
        <v>#N/A</v>
      </c>
    </row>
    <row r="528" spans="1:20" ht="12.5">
      <c r="A528" s="4" t="str">
        <f ca="1">IFERROR(__xludf.DUMMYFUNCTION("""COMPUTED_VALUE"""),"TRX1281")</f>
        <v>TRX1281</v>
      </c>
      <c r="B528" s="4" t="str">
        <f ca="1">IFERROR(__xludf.DUMMYFUNCTION("""COMPUTED_VALUE"""),"#58")</f>
        <v>#58</v>
      </c>
      <c r="C528" s="5">
        <f ca="1">IFERROR(__xludf.DUMMYFUNCTION("""COMPUTED_VALUE"""),46056.4166666666)</f>
        <v>46056.416666666599</v>
      </c>
      <c r="D528" s="6">
        <f ca="1">IFERROR(__xludf.DUMMYFUNCTION("""COMPUTED_VALUE"""),537.41)</f>
        <v>537.41</v>
      </c>
      <c r="E528" s="4" t="str">
        <f ca="1">IFERROR(__xludf.DUMMYFUNCTION("""COMPUTED_VALUE"""),"MXN")</f>
        <v>MXN</v>
      </c>
      <c r="F528" s="4" t="str">
        <f ca="1">IFERROR(__xludf.DUMMYFUNCTION("""COMPUTED_VALUE"""),"Jose Rosas Ortiz")</f>
        <v>Jose Rosas Ortiz</v>
      </c>
      <c r="G528" s="4" t="str">
        <f ca="1">IFERROR(__xludf.DUMMYFUNCTION("""COMPUTED_VALUE"""),"WELCOME TO LV          LAS VEGAS     USA")</f>
        <v>WELCOME TO LV          LAS VEGAS     USA</v>
      </c>
      <c r="H528" s="4" t="str">
        <f ca="1">IFERROR(__xludf.DUMMYFUNCTION("""COMPUTED_VALUE"""),"Welcome To Lv Las Vegas USA")</f>
        <v>Welcome To Lv Las Vegas USA</v>
      </c>
      <c r="I528" s="4" t="str">
        <f ca="1">IFERROR(__xludf.DUMMYFUNCTION("""COMPUTED_VALUE"""),"Sales")</f>
        <v>Sales</v>
      </c>
      <c r="J528" s="4" t="str">
        <f ca="1">IFERROR(__xludf.DUMMYFUNCTION("""COMPUTED_VALUE"""),"IMESA")</f>
        <v>IMESA</v>
      </c>
      <c r="K528" s="4" t="str">
        <f ca="1">IFERROR(__xludf.DUMMYFUNCTION("""COMPUTED_VALUE"""),"Invoice")</f>
        <v>Invoice</v>
      </c>
      <c r="S528" s="6">
        <v>383.9</v>
      </c>
      <c r="T528" s="4" t="e">
        <f t="shared" ca="1" si="3"/>
        <v>#N/A</v>
      </c>
    </row>
    <row r="529" spans="1:20" ht="12.5">
      <c r="A529" s="4" t="str">
        <f ca="1">IFERROR(__xludf.DUMMYFUNCTION("""COMPUTED_VALUE"""),"TRX1280")</f>
        <v>TRX1280</v>
      </c>
      <c r="B529" s="4" t="str">
        <f ca="1">IFERROR(__xludf.DUMMYFUNCTION("""COMPUTED_VALUE"""),"#58")</f>
        <v>#58</v>
      </c>
      <c r="C529" s="5">
        <f ca="1">IFERROR(__xludf.DUMMYFUNCTION("""COMPUTED_VALUE"""),46056.4166666666)</f>
        <v>46056.416666666599</v>
      </c>
      <c r="D529" s="6">
        <f ca="1">IFERROR(__xludf.DUMMYFUNCTION("""COMPUTED_VALUE"""),453.95)</f>
        <v>453.95</v>
      </c>
      <c r="E529" s="4" t="str">
        <f ca="1">IFERROR(__xludf.DUMMYFUNCTION("""COMPUTED_VALUE"""),"USD")</f>
        <v>USD</v>
      </c>
      <c r="F529" s="4" t="str">
        <f ca="1">IFERROR(__xludf.DUMMYFUNCTION("""COMPUTED_VALUE"""),"Jose Rosas Ortiz")</f>
        <v>Jose Rosas Ortiz</v>
      </c>
      <c r="G529" s="4" t="str">
        <f ca="1">IFERROR(__xludf.DUMMYFUNCTION("""COMPUTED_VALUE"""),"NAYAX PARKING          Reno          USA")</f>
        <v>NAYAX PARKING          Reno          USA</v>
      </c>
      <c r="H529" s="4" t="str">
        <f ca="1">IFERROR(__xludf.DUMMYFUNCTION("""COMPUTED_VALUE"""),"Nayax Parking Reno USA")</f>
        <v>Nayax Parking Reno USA</v>
      </c>
      <c r="I529" s="4" t="str">
        <f ca="1">IFERROR(__xludf.DUMMYFUNCTION("""COMPUTED_VALUE"""),"Sales")</f>
        <v>Sales</v>
      </c>
      <c r="J529" s="4" t="str">
        <f ca="1">IFERROR(__xludf.DUMMYFUNCTION("""COMPUTED_VALUE"""),"IMESA")</f>
        <v>IMESA</v>
      </c>
      <c r="K529" s="4" t="str">
        <f ca="1">IFERROR(__xludf.DUMMYFUNCTION("""COMPUTED_VALUE"""),"Invoice")</f>
        <v>Invoice</v>
      </c>
      <c r="S529" s="6">
        <v>225</v>
      </c>
      <c r="T529" s="4" t="e">
        <f t="shared" ca="1" si="3"/>
        <v>#N/A</v>
      </c>
    </row>
    <row r="530" spans="1:20" ht="12.5">
      <c r="A530" s="4" t="str">
        <f ca="1">IFERROR(__xludf.DUMMYFUNCTION("""COMPUTED_VALUE"""),"TRX1278")</f>
        <v>TRX1278</v>
      </c>
      <c r="B530" s="4" t="str">
        <f ca="1">IFERROR(__xludf.DUMMYFUNCTION("""COMPUTED_VALUE"""),"#58")</f>
        <v>#58</v>
      </c>
      <c r="C530" s="5">
        <f ca="1">IFERROR(__xludf.DUMMYFUNCTION("""COMPUTED_VALUE"""),46056.4166666666)</f>
        <v>46056.416666666599</v>
      </c>
      <c r="D530" s="6">
        <f ca="1">IFERROR(__xludf.DUMMYFUNCTION("""COMPUTED_VALUE"""),1852.27)</f>
        <v>1852.27</v>
      </c>
      <c r="E530" s="4" t="str">
        <f ca="1">IFERROR(__xludf.DUMMYFUNCTION("""COMPUTED_VALUE"""),"USD")</f>
        <v>USD</v>
      </c>
      <c r="F530" s="4" t="str">
        <f ca="1">IFERROR(__xludf.DUMMYFUNCTION("""COMPUTED_VALUE"""),"Jose Rosas Ortiz")</f>
        <v>Jose Rosas Ortiz</v>
      </c>
      <c r="G530" s="4" t="str">
        <f ca="1">IFERROR(__xludf.DUMMYFUNCTION("""COMPUTED_VALUE"""),"VOLARIS                VOLARIS.COM   GBR")</f>
        <v>VOLARIS                VOLARIS.COM   GBR</v>
      </c>
      <c r="H530" s="4" t="str">
        <f ca="1">IFERROR(__xludf.DUMMYFUNCTION("""COMPUTED_VALUE"""),"Volaris")</f>
        <v>Volaris</v>
      </c>
      <c r="I530" s="4" t="str">
        <f ca="1">IFERROR(__xludf.DUMMYFUNCTION("""COMPUTED_VALUE"""),"Sales")</f>
        <v>Sales</v>
      </c>
      <c r="J530" s="4" t="str">
        <f ca="1">IFERROR(__xludf.DUMMYFUNCTION("""COMPUTED_VALUE"""),"IMESA")</f>
        <v>IMESA</v>
      </c>
      <c r="K530" s="4" t="str">
        <f ca="1">IFERROR(__xludf.DUMMYFUNCTION("""COMPUTED_VALUE"""),"Invoice")</f>
        <v>Invoice</v>
      </c>
      <c r="S530" s="6">
        <v>313.5</v>
      </c>
      <c r="T530" s="4" t="e">
        <f t="shared" ca="1" si="3"/>
        <v>#N/A</v>
      </c>
    </row>
    <row r="531" spans="1:20" ht="12.5">
      <c r="A531" s="4" t="str">
        <f ca="1">IFERROR(__xludf.DUMMYFUNCTION("""COMPUTED_VALUE"""),"TRX1273")</f>
        <v>TRX1273</v>
      </c>
      <c r="B531" s="4" t="str">
        <f ca="1">IFERROR(__xludf.DUMMYFUNCTION("""COMPUTED_VALUE"""),"#58")</f>
        <v>#58</v>
      </c>
      <c r="C531" s="5">
        <f ca="1">IFERROR(__xludf.DUMMYFUNCTION("""COMPUTED_VALUE"""),46057.4166666666)</f>
        <v>46057.416666666599</v>
      </c>
      <c r="D531" s="6">
        <f ca="1">IFERROR(__xludf.DUMMYFUNCTION("""COMPUTED_VALUE"""),90.79)</f>
        <v>90.79</v>
      </c>
      <c r="E531" s="4" t="str">
        <f ca="1">IFERROR(__xludf.DUMMYFUNCTION("""COMPUTED_VALUE"""),"USD")</f>
        <v>USD</v>
      </c>
      <c r="F531" s="4" t="str">
        <f ca="1">IFERROR(__xludf.DUMMYFUNCTION("""COMPUTED_VALUE"""),"Jose Rosas Ortiz")</f>
        <v>Jose Rosas Ortiz</v>
      </c>
      <c r="G531" s="4" t="str">
        <f ca="1">IFERROR(__xludf.DUMMYFUNCTION("""COMPUTED_VALUE"""),"4930 LVNPO             LAS VEGAS     USA")</f>
        <v>4930 LVNPO             LAS VEGAS     USA</v>
      </c>
      <c r="H531" s="4" t="str">
        <f ca="1">IFERROR(__xludf.DUMMYFUNCTION("""COMPUTED_VALUE"""),"4930 Lvnpo Las Vegas USA")</f>
        <v>4930 Lvnpo Las Vegas USA</v>
      </c>
      <c r="I531" s="4" t="str">
        <f ca="1">IFERROR(__xludf.DUMMYFUNCTION("""COMPUTED_VALUE"""),"Sales")</f>
        <v>Sales</v>
      </c>
      <c r="J531" s="4" t="str">
        <f ca="1">IFERROR(__xludf.DUMMYFUNCTION("""COMPUTED_VALUE"""),"IMESA")</f>
        <v>IMESA</v>
      </c>
      <c r="K531" s="4" t="str">
        <f ca="1">IFERROR(__xludf.DUMMYFUNCTION("""COMPUTED_VALUE"""),"Invoice")</f>
        <v>Invoice</v>
      </c>
      <c r="S531" s="6">
        <v>1014</v>
      </c>
      <c r="T531" s="4" t="str">
        <f t="shared" ca="1" si="3"/>
        <v>Erik Castillo</v>
      </c>
    </row>
    <row r="532" spans="1:20" ht="12.5">
      <c r="A532" s="4" t="str">
        <f ca="1">IFERROR(__xludf.DUMMYFUNCTION("""COMPUTED_VALUE"""),"TRX1269")</f>
        <v>TRX1269</v>
      </c>
      <c r="B532" s="4" t="str">
        <f ca="1">IFERROR(__xludf.DUMMYFUNCTION("""COMPUTED_VALUE"""),"#58")</f>
        <v>#58</v>
      </c>
      <c r="C532" s="5">
        <f ca="1">IFERROR(__xludf.DUMMYFUNCTION("""COMPUTED_VALUE"""),46057.4166666666)</f>
        <v>46057.416666666599</v>
      </c>
      <c r="D532" s="6">
        <f ca="1">IFERROR(__xludf.DUMMYFUNCTION("""COMPUTED_VALUE"""),181.94)</f>
        <v>181.94</v>
      </c>
      <c r="E532" s="4" t="str">
        <f ca="1">IFERROR(__xludf.DUMMYFUNCTION("""COMPUTED_VALUE"""),"USD")</f>
        <v>USD</v>
      </c>
      <c r="F532" s="4" t="str">
        <f ca="1">IFERROR(__xludf.DUMMYFUNCTION("""COMPUTED_VALUE"""),"Jose Rosas Ortiz")</f>
        <v>Jose Rosas Ortiz</v>
      </c>
      <c r="G532" s="4" t="str">
        <f ca="1">IFERROR(__xludf.DUMMYFUNCTION("""COMPUTED_VALUE"""),"IN-N-OUT LINQ          LAS VEGAS     USA")</f>
        <v>IN-N-OUT LINQ          LAS VEGAS     USA</v>
      </c>
      <c r="H532" s="4" t="str">
        <f ca="1">IFERROR(__xludf.DUMMYFUNCTION("""COMPUTED_VALUE"""),"In N Out Linq Las Vegas USA")</f>
        <v>In N Out Linq Las Vegas USA</v>
      </c>
      <c r="I532" s="4" t="str">
        <f ca="1">IFERROR(__xludf.DUMMYFUNCTION("""COMPUTED_VALUE"""),"Sales")</f>
        <v>Sales</v>
      </c>
      <c r="J532" s="4" t="str">
        <f ca="1">IFERROR(__xludf.DUMMYFUNCTION("""COMPUTED_VALUE"""),"IMESA")</f>
        <v>IMESA</v>
      </c>
      <c r="K532" s="4" t="str">
        <f ca="1">IFERROR(__xludf.DUMMYFUNCTION("""COMPUTED_VALUE"""),"Invoice")</f>
        <v>Invoice</v>
      </c>
      <c r="S532" s="6">
        <v>429</v>
      </c>
      <c r="T532" s="4" t="e">
        <f t="shared" ca="1" si="3"/>
        <v>#N/A</v>
      </c>
    </row>
    <row r="533" spans="1:20" ht="12.5">
      <c r="A533" s="4" t="str">
        <f ca="1">IFERROR(__xludf.DUMMYFUNCTION("""COMPUTED_VALUE"""),"TRX1265")</f>
        <v>TRX1265</v>
      </c>
      <c r="B533" s="4" t="str">
        <f ca="1">IFERROR(__xludf.DUMMYFUNCTION("""COMPUTED_VALUE"""),"#58")</f>
        <v>#58</v>
      </c>
      <c r="C533" s="5">
        <f ca="1">IFERROR(__xludf.DUMMYFUNCTION("""COMPUTED_VALUE"""),46057.4166666666)</f>
        <v>46057.416666666599</v>
      </c>
      <c r="D533" s="6">
        <f ca="1">IFERROR(__xludf.DUMMYFUNCTION("""COMPUTED_VALUE"""),273.27)</f>
        <v>273.27</v>
      </c>
      <c r="E533" s="4" t="str">
        <f ca="1">IFERROR(__xludf.DUMMYFUNCTION("""COMPUTED_VALUE"""),"USD")</f>
        <v>USD</v>
      </c>
      <c r="F533" s="4" t="str">
        <f ca="1">IFERROR(__xludf.DUMMYFUNCTION("""COMPUTED_VALUE"""),"Jose Rosas Ortiz")</f>
        <v>Jose Rosas Ortiz</v>
      </c>
      <c r="G533" s="4" t="str">
        <f ca="1">IFERROR(__xludf.DUMMYFUNCTION("""COMPUTED_VALUE"""),"DOLLAR-GENERAL MKT #12 LAS VEGAS     USA")</f>
        <v>DOLLAR-GENERAL MKT #12 LAS VEGAS     USA</v>
      </c>
      <c r="H533" s="4" t="str">
        <f ca="1">IFERROR(__xludf.DUMMYFUNCTION("""COMPUTED_VALUE"""),"Dollar General")</f>
        <v>Dollar General</v>
      </c>
      <c r="I533" s="4" t="str">
        <f ca="1">IFERROR(__xludf.DUMMYFUNCTION("""COMPUTED_VALUE"""),"Sales")</f>
        <v>Sales</v>
      </c>
      <c r="J533" s="4" t="str">
        <f ca="1">IFERROR(__xludf.DUMMYFUNCTION("""COMPUTED_VALUE"""),"IMESA")</f>
        <v>IMESA</v>
      </c>
      <c r="K533" s="4" t="str">
        <f ca="1">IFERROR(__xludf.DUMMYFUNCTION("""COMPUTED_VALUE"""),"Invoice")</f>
        <v>Invoice</v>
      </c>
      <c r="S533" s="6">
        <v>61.2</v>
      </c>
      <c r="T533" s="4" t="str">
        <f t="shared" ca="1" si="3"/>
        <v>Emiliano Cavazos</v>
      </c>
    </row>
    <row r="534" spans="1:20" ht="12.5">
      <c r="A534" s="4" t="str">
        <f ca="1">IFERROR(__xludf.DUMMYFUNCTION("""COMPUTED_VALUE"""),"TRX1264")</f>
        <v>TRX1264</v>
      </c>
      <c r="B534" s="4" t="str">
        <f ca="1">IFERROR(__xludf.DUMMYFUNCTION("""COMPUTED_VALUE"""),"#58")</f>
        <v>#58</v>
      </c>
      <c r="C534" s="5">
        <f ca="1">IFERROR(__xludf.DUMMYFUNCTION("""COMPUTED_VALUE"""),46057.4166666666)</f>
        <v>46057.416666666599</v>
      </c>
      <c r="D534" s="6">
        <f ca="1">IFERROR(__xludf.DUMMYFUNCTION("""COMPUTED_VALUE"""),604.1)</f>
        <v>604.1</v>
      </c>
      <c r="E534" s="4" t="str">
        <f ca="1">IFERROR(__xludf.DUMMYFUNCTION("""COMPUTED_VALUE"""),"USD")</f>
        <v>USD</v>
      </c>
      <c r="F534" s="4" t="str">
        <f ca="1">IFERROR(__xludf.DUMMYFUNCTION("""COMPUTED_VALUE"""),"Jose Rosas Ortiz")</f>
        <v>Jose Rosas Ortiz</v>
      </c>
      <c r="G534" s="4" t="str">
        <f ca="1">IFERROR(__xludf.DUMMYFUNCTION("""COMPUTED_VALUE"""),"LAS VEGAS CONVENTION C LAS VEGAS     USA")</f>
        <v>LAS VEGAS CONVENTION C LAS VEGAS     USA</v>
      </c>
      <c r="H534" s="4" t="str">
        <f ca="1">IFERROR(__xludf.DUMMYFUNCTION("""COMPUTED_VALUE"""),"Las Vegas Convention C Las Vegas USA")</f>
        <v>Las Vegas Convention C Las Vegas USA</v>
      </c>
      <c r="I534" s="4" t="str">
        <f ca="1">IFERROR(__xludf.DUMMYFUNCTION("""COMPUTED_VALUE"""),"Sales")</f>
        <v>Sales</v>
      </c>
      <c r="J534" s="4" t="str">
        <f ca="1">IFERROR(__xludf.DUMMYFUNCTION("""COMPUTED_VALUE"""),"IMESA")</f>
        <v>IMESA</v>
      </c>
      <c r="K534" s="4" t="str">
        <f ca="1">IFERROR(__xludf.DUMMYFUNCTION("""COMPUTED_VALUE"""),"Invoice")</f>
        <v>Invoice</v>
      </c>
      <c r="S534" s="6">
        <v>471.5</v>
      </c>
      <c r="T534" s="4" t="e">
        <f t="shared" ca="1" si="3"/>
        <v>#N/A</v>
      </c>
    </row>
    <row r="535" spans="1:20" ht="12.5">
      <c r="A535" s="4" t="str">
        <f ca="1">IFERROR(__xludf.DUMMYFUNCTION("""COMPUTED_VALUE"""),"TRX1263")</f>
        <v>TRX1263</v>
      </c>
      <c r="B535" s="4" t="str">
        <f ca="1">IFERROR(__xludf.DUMMYFUNCTION("""COMPUTED_VALUE"""),"#58")</f>
        <v>#58</v>
      </c>
      <c r="C535" s="5">
        <f ca="1">IFERROR(__xludf.DUMMYFUNCTION("""COMPUTED_VALUE"""),46057.4166666666)</f>
        <v>46057.416666666599</v>
      </c>
      <c r="D535" s="6">
        <f ca="1">IFERROR(__xludf.DUMMYFUNCTION("""COMPUTED_VALUE"""),389.66)</f>
        <v>389.66</v>
      </c>
      <c r="E535" s="4" t="str">
        <f ca="1">IFERROR(__xludf.DUMMYFUNCTION("""COMPUTED_VALUE"""),"USD")</f>
        <v>USD</v>
      </c>
      <c r="F535" s="4" t="str">
        <f ca="1">IFERROR(__xludf.DUMMYFUNCTION("""COMPUTED_VALUE"""),"Jose Rosas Ortiz")</f>
        <v>Jose Rosas Ortiz</v>
      </c>
      <c r="G535" s="4" t="str">
        <f ca="1">IFERROR(__xludf.DUMMYFUNCTION("""COMPUTED_VALUE"""),"LAS VEGAS CONVENTION C LAS VEGAS     USA")</f>
        <v>LAS VEGAS CONVENTION C LAS VEGAS     USA</v>
      </c>
      <c r="H535" s="4" t="str">
        <f ca="1">IFERROR(__xludf.DUMMYFUNCTION("""COMPUTED_VALUE"""),"Las Vegas Convention C Las Vegas USA")</f>
        <v>Las Vegas Convention C Las Vegas USA</v>
      </c>
      <c r="I535" s="4" t="str">
        <f ca="1">IFERROR(__xludf.DUMMYFUNCTION("""COMPUTED_VALUE"""),"Sales")</f>
        <v>Sales</v>
      </c>
      <c r="J535" s="4" t="str">
        <f ca="1">IFERROR(__xludf.DUMMYFUNCTION("""COMPUTED_VALUE"""),"IMESA")</f>
        <v>IMESA</v>
      </c>
      <c r="K535" s="4" t="str">
        <f ca="1">IFERROR(__xludf.DUMMYFUNCTION("""COMPUTED_VALUE"""),"Invoice")</f>
        <v>Invoice</v>
      </c>
      <c r="S535" s="6">
        <v>155.1</v>
      </c>
      <c r="T535" s="4" t="e">
        <f t="shared" ca="1" si="3"/>
        <v>#N/A</v>
      </c>
    </row>
    <row r="536" spans="1:20" ht="12.5">
      <c r="A536" s="4" t="str">
        <f ca="1">IFERROR(__xludf.DUMMYFUNCTION("""COMPUTED_VALUE"""),"TRX1195")</f>
        <v>TRX1195</v>
      </c>
      <c r="B536" s="4" t="str">
        <f ca="1">IFERROR(__xludf.DUMMYFUNCTION("""COMPUTED_VALUE"""),"#58")</f>
        <v>#58</v>
      </c>
      <c r="C536" s="5">
        <f ca="1">IFERROR(__xludf.DUMMYFUNCTION("""COMPUTED_VALUE"""),46058.4173611111)</f>
        <v>46058.417361111096</v>
      </c>
      <c r="D536" s="6">
        <f ca="1">IFERROR(__xludf.DUMMYFUNCTION("""COMPUTED_VALUE"""),363.15)</f>
        <v>363.15</v>
      </c>
      <c r="E536" s="4" t="str">
        <f ca="1">IFERROR(__xludf.DUMMYFUNCTION("""COMPUTED_VALUE"""),"USD")</f>
        <v>USD</v>
      </c>
      <c r="F536" s="4" t="str">
        <f ca="1">IFERROR(__xludf.DUMMYFUNCTION("""COMPUTED_VALUE"""),"Jose Rosas Ortiz")</f>
        <v>Jose Rosas Ortiz</v>
      </c>
      <c r="G536" s="4" t="str">
        <f ca="1">IFERROR(__xludf.DUMMYFUNCTION("""COMPUTED_VALUE"""),"COSMOPOL-SELF PARKIN   LAS VEGAS     USA")</f>
        <v>COSMOPOL-SELF PARKIN   LAS VEGAS     USA</v>
      </c>
      <c r="H536" s="4" t="str">
        <f ca="1">IFERROR(__xludf.DUMMYFUNCTION("""COMPUTED_VALUE"""),"Cosmopol Self Parkin Las Vegas USA")</f>
        <v>Cosmopol Self Parkin Las Vegas USA</v>
      </c>
      <c r="I536" s="4" t="str">
        <f ca="1">IFERROR(__xludf.DUMMYFUNCTION("""COMPUTED_VALUE"""),"Sales")</f>
        <v>Sales</v>
      </c>
      <c r="J536" s="4" t="str">
        <f ca="1">IFERROR(__xludf.DUMMYFUNCTION("""COMPUTED_VALUE"""),"IMESA")</f>
        <v>IMESA</v>
      </c>
      <c r="K536" s="4" t="str">
        <f ca="1">IFERROR(__xludf.DUMMYFUNCTION("""COMPUTED_VALUE"""),"Invoice")</f>
        <v>Invoice</v>
      </c>
      <c r="S536" s="6">
        <v>371</v>
      </c>
      <c r="T536" s="4" t="str">
        <f t="shared" ca="1" si="3"/>
        <v>Jorge Armando Ramirez Perez</v>
      </c>
    </row>
    <row r="537" spans="1:20" ht="12.5">
      <c r="A537" s="4" t="str">
        <f ca="1">IFERROR(__xludf.DUMMYFUNCTION("""COMPUTED_VALUE"""),"TRX1192")</f>
        <v>TRX1192</v>
      </c>
      <c r="B537" s="4" t="str">
        <f ca="1">IFERROR(__xludf.DUMMYFUNCTION("""COMPUTED_VALUE"""),"#58")</f>
        <v>#58</v>
      </c>
      <c r="C537" s="5">
        <f ca="1">IFERROR(__xludf.DUMMYFUNCTION("""COMPUTED_VALUE"""),46058.4180555555)</f>
        <v>46058.418055555499</v>
      </c>
      <c r="D537" s="6">
        <f ca="1">IFERROR(__xludf.DUMMYFUNCTION("""COMPUTED_VALUE"""),272.37)</f>
        <v>272.37</v>
      </c>
      <c r="E537" s="4" t="str">
        <f ca="1">IFERROR(__xludf.DUMMYFUNCTION("""COMPUTED_VALUE"""),"USD")</f>
        <v>USD</v>
      </c>
      <c r="F537" s="4" t="str">
        <f ca="1">IFERROR(__xludf.DUMMYFUNCTION("""COMPUTED_VALUE"""),"Jose Rosas Ortiz")</f>
        <v>Jose Rosas Ortiz</v>
      </c>
      <c r="G537" s="4" t="str">
        <f ca="1">IFERROR(__xludf.DUMMYFUNCTION("""COMPUTED_VALUE"""),"SQ *LAS VEGAS CONVENTI Las Vegas     USA")</f>
        <v>SQ *LAS VEGAS CONVENTI Las Vegas     USA</v>
      </c>
      <c r="H537" s="4" t="str">
        <f ca="1">IFERROR(__xludf.DUMMYFUNCTION("""COMPUTED_VALUE"""),"Las Vegas Conventi Las Vegas USA")</f>
        <v>Las Vegas Conventi Las Vegas USA</v>
      </c>
      <c r="I537" s="4" t="str">
        <f ca="1">IFERROR(__xludf.DUMMYFUNCTION("""COMPUTED_VALUE"""),"Sales")</f>
        <v>Sales</v>
      </c>
      <c r="J537" s="4" t="str">
        <f ca="1">IFERROR(__xludf.DUMMYFUNCTION("""COMPUTED_VALUE"""),"IMESA")</f>
        <v>IMESA</v>
      </c>
      <c r="K537" s="4" t="str">
        <f ca="1">IFERROR(__xludf.DUMMYFUNCTION("""COMPUTED_VALUE"""),"Invoice")</f>
        <v>Invoice</v>
      </c>
      <c r="S537" s="6">
        <v>35</v>
      </c>
      <c r="T537" s="4" t="str">
        <f t="shared" ca="1" si="3"/>
        <v>Rodrigo Perea</v>
      </c>
    </row>
    <row r="538" spans="1:20" ht="12.5">
      <c r="A538" s="4" t="str">
        <f ca="1">IFERROR(__xludf.DUMMYFUNCTION("""COMPUTED_VALUE"""),"TRX1190")</f>
        <v>TRX1190</v>
      </c>
      <c r="B538" s="4" t="str">
        <f ca="1">IFERROR(__xludf.DUMMYFUNCTION("""COMPUTED_VALUE"""),"#58")</f>
        <v>#58</v>
      </c>
      <c r="C538" s="5">
        <f ca="1">IFERROR(__xludf.DUMMYFUNCTION("""COMPUTED_VALUE"""),46058.4180555555)</f>
        <v>46058.418055555499</v>
      </c>
      <c r="D538" s="6">
        <f ca="1">IFERROR(__xludf.DUMMYFUNCTION("""COMPUTED_VALUE"""),627.71)</f>
        <v>627.71</v>
      </c>
      <c r="E538" s="4" t="str">
        <f ca="1">IFERROR(__xludf.DUMMYFUNCTION("""COMPUTED_VALUE"""),"USD")</f>
        <v>USD</v>
      </c>
      <c r="F538" s="4" t="str">
        <f ca="1">IFERROR(__xludf.DUMMYFUNCTION("""COMPUTED_VALUE"""),"Jose Rosas Ortiz")</f>
        <v>Jose Rosas Ortiz</v>
      </c>
      <c r="G538" s="4" t="str">
        <f ca="1">IFERROR(__xludf.DUMMYFUNCTION("""COMPUTED_VALUE"""),"TARGET T-0265          LAS VEGAS     USA")</f>
        <v>TARGET T-0265          LAS VEGAS     USA</v>
      </c>
      <c r="H538" s="4" t="str">
        <f ca="1">IFERROR(__xludf.DUMMYFUNCTION("""COMPUTED_VALUE"""),"Target")</f>
        <v>Target</v>
      </c>
      <c r="I538" s="4" t="str">
        <f ca="1">IFERROR(__xludf.DUMMYFUNCTION("""COMPUTED_VALUE"""),"Sales")</f>
        <v>Sales</v>
      </c>
      <c r="J538" s="4" t="str">
        <f ca="1">IFERROR(__xludf.DUMMYFUNCTION("""COMPUTED_VALUE"""),"IMESA")</f>
        <v>IMESA</v>
      </c>
      <c r="K538" s="4" t="str">
        <f ca="1">IFERROR(__xludf.DUMMYFUNCTION("""COMPUTED_VALUE"""),"Invoice")</f>
        <v>Invoice</v>
      </c>
      <c r="S538" s="6">
        <v>40</v>
      </c>
      <c r="T538" s="4" t="str">
        <f t="shared" ca="1" si="3"/>
        <v>Fernanda Sanchez Ruiz</v>
      </c>
    </row>
    <row r="539" spans="1:20" ht="12.5">
      <c r="A539" s="4" t="str">
        <f ca="1">IFERROR(__xludf.DUMMYFUNCTION("""COMPUTED_VALUE"""),"TRX1189")</f>
        <v>TRX1189</v>
      </c>
      <c r="B539" s="4" t="str">
        <f ca="1">IFERROR(__xludf.DUMMYFUNCTION("""COMPUTED_VALUE"""),"#58")</f>
        <v>#58</v>
      </c>
      <c r="C539" s="5">
        <f ca="1">IFERROR(__xludf.DUMMYFUNCTION("""COMPUTED_VALUE"""),46058.4180555555)</f>
        <v>46058.418055555499</v>
      </c>
      <c r="D539" s="6">
        <f ca="1">IFERROR(__xludf.DUMMYFUNCTION("""COMPUTED_VALUE"""),95.88)</f>
        <v>95.88</v>
      </c>
      <c r="E539" s="4" t="str">
        <f ca="1">IFERROR(__xludf.DUMMYFUNCTION("""COMPUTED_VALUE"""),"USD")</f>
        <v>USD</v>
      </c>
      <c r="F539" s="4" t="str">
        <f ca="1">IFERROR(__xludf.DUMMYFUNCTION("""COMPUTED_VALUE"""),"Jose Rosas Ortiz")</f>
        <v>Jose Rosas Ortiz</v>
      </c>
      <c r="G539" s="4" t="str">
        <f ca="1">IFERROR(__xludf.DUMMYFUNCTION("""COMPUTED_VALUE"""),"TARGET T-0265          LAS VEGAS     USA")</f>
        <v>TARGET T-0265          LAS VEGAS     USA</v>
      </c>
      <c r="H539" s="4" t="str">
        <f ca="1">IFERROR(__xludf.DUMMYFUNCTION("""COMPUTED_VALUE"""),"Target")</f>
        <v>Target</v>
      </c>
      <c r="I539" s="4" t="str">
        <f ca="1">IFERROR(__xludf.DUMMYFUNCTION("""COMPUTED_VALUE"""),"Sales")</f>
        <v>Sales</v>
      </c>
      <c r="J539" s="4" t="str">
        <f ca="1">IFERROR(__xludf.DUMMYFUNCTION("""COMPUTED_VALUE"""),"IMESA")</f>
        <v>IMESA</v>
      </c>
      <c r="K539" s="4" t="str">
        <f ca="1">IFERROR(__xludf.DUMMYFUNCTION("""COMPUTED_VALUE"""),"Invoice")</f>
        <v>Invoice</v>
      </c>
      <c r="S539" s="6">
        <v>948.01</v>
      </c>
      <c r="T539" s="4" t="e">
        <f t="shared" ca="1" si="3"/>
        <v>#N/A</v>
      </c>
    </row>
    <row r="540" spans="1:20" ht="12.5">
      <c r="A540" s="4" t="str">
        <f ca="1">IFERROR(__xludf.DUMMYFUNCTION("""COMPUTED_VALUE"""),"TRX1187")</f>
        <v>TRX1187</v>
      </c>
      <c r="B540" s="4" t="str">
        <f ca="1">IFERROR(__xludf.DUMMYFUNCTION("""COMPUTED_VALUE"""),"#58")</f>
        <v>#58</v>
      </c>
      <c r="C540" s="5">
        <f ca="1">IFERROR(__xludf.DUMMYFUNCTION("""COMPUTED_VALUE"""),46058.4180555555)</f>
        <v>46058.418055555499</v>
      </c>
      <c r="D540" s="6">
        <f ca="1">IFERROR(__xludf.DUMMYFUNCTION("""COMPUTED_VALUE"""),363.15)</f>
        <v>363.15</v>
      </c>
      <c r="E540" s="4" t="str">
        <f ca="1">IFERROR(__xludf.DUMMYFUNCTION("""COMPUTED_VALUE"""),"USD")</f>
        <v>USD</v>
      </c>
      <c r="F540" s="4" t="str">
        <f ca="1">IFERROR(__xludf.DUMMYFUNCTION("""COMPUTED_VALUE"""),"Jose Rosas Ortiz")</f>
        <v>Jose Rosas Ortiz</v>
      </c>
      <c r="G540" s="4" t="str">
        <f ca="1">IFERROR(__xludf.DUMMYFUNCTION("""COMPUTED_VALUE"""),"VENETIAN RESORT PARKIN LAS VEGAS     USA")</f>
        <v>VENETIAN RESORT PARKIN LAS VEGAS     USA</v>
      </c>
      <c r="H540" s="4" t="str">
        <f ca="1">IFERROR(__xludf.DUMMYFUNCTION("""COMPUTED_VALUE"""),"Venetian Resort Parkin Las Vegas USA")</f>
        <v>Venetian Resort Parkin Las Vegas USA</v>
      </c>
      <c r="I540" s="4" t="str">
        <f ca="1">IFERROR(__xludf.DUMMYFUNCTION("""COMPUTED_VALUE"""),"Sales")</f>
        <v>Sales</v>
      </c>
      <c r="J540" s="4" t="str">
        <f ca="1">IFERROR(__xludf.DUMMYFUNCTION("""COMPUTED_VALUE"""),"IMESA")</f>
        <v>IMESA</v>
      </c>
      <c r="K540" s="4" t="str">
        <f ca="1">IFERROR(__xludf.DUMMYFUNCTION("""COMPUTED_VALUE"""),"Invoice")</f>
        <v>Invoice</v>
      </c>
      <c r="S540" s="6">
        <v>89.38</v>
      </c>
      <c r="T540" s="4" t="e">
        <f t="shared" ca="1" si="3"/>
        <v>#N/A</v>
      </c>
    </row>
    <row r="541" spans="1:20" ht="12.5">
      <c r="A541" s="4" t="str">
        <f ca="1">IFERROR(__xludf.DUMMYFUNCTION("""COMPUTED_VALUE"""),"TRX1658")</f>
        <v>TRX1658</v>
      </c>
      <c r="B541" s="4" t="str">
        <f ca="1">IFERROR(__xludf.DUMMYFUNCTION("""COMPUTED_VALUE"""),"#58")</f>
        <v>#58</v>
      </c>
      <c r="C541" s="5">
        <f ca="1">IFERROR(__xludf.DUMMYFUNCTION("""COMPUTED_VALUE"""),46059.4173611111)</f>
        <v>46059.417361111096</v>
      </c>
      <c r="D541" s="6">
        <f ca="1">IFERROR(__xludf.DUMMYFUNCTION("""COMPUTED_VALUE"""),1564)</f>
        <v>1564</v>
      </c>
      <c r="E541" s="4" t="str">
        <f ca="1">IFERROR(__xludf.DUMMYFUNCTION("""COMPUTED_VALUE"""),"MXN")</f>
        <v>MXN</v>
      </c>
      <c r="F541" s="4" t="str">
        <f ca="1">IFERROR(__xludf.DUMMYFUNCTION("""COMPUTED_VALUE"""),"Jose Rosas Ortiz")</f>
        <v>Jose Rosas Ortiz</v>
      </c>
      <c r="G541" s="4" t="str">
        <f ca="1">IFERROR(__xludf.DUMMYFUNCTION("""COMPUTED_VALUE"""),"AICM TI 5              CIUDAD DE MEX MEX")</f>
        <v>AICM TI 5              CIUDAD DE MEX MEX</v>
      </c>
      <c r="H541" s="4" t="str">
        <f ca="1">IFERROR(__xludf.DUMMYFUNCTION("""COMPUTED_VALUE"""),"Aicm Ti 5 Ciudad De Mex Mex")</f>
        <v>Aicm Ti 5 Ciudad De Mex Mex</v>
      </c>
      <c r="I541" s="4" t="str">
        <f ca="1">IFERROR(__xludf.DUMMYFUNCTION("""COMPUTED_VALUE"""),"Sales")</f>
        <v>Sales</v>
      </c>
      <c r="J541" s="4" t="str">
        <f ca="1">IFERROR(__xludf.DUMMYFUNCTION("""COMPUTED_VALUE"""),"IMESA")</f>
        <v>IMESA</v>
      </c>
      <c r="K541" s="4" t="str">
        <f ca="1">IFERROR(__xludf.DUMMYFUNCTION("""COMPUTED_VALUE"""),"Invoice")</f>
        <v>Invoice</v>
      </c>
      <c r="S541" s="6">
        <v>223</v>
      </c>
      <c r="T541" s="4" t="e">
        <f t="shared" ca="1" si="3"/>
        <v>#N/A</v>
      </c>
    </row>
    <row r="542" spans="1:20" ht="12.5">
      <c r="A542" s="4" t="str">
        <f ca="1">IFERROR(__xludf.DUMMYFUNCTION("""COMPUTED_VALUE"""),"TRX1495")</f>
        <v>TRX1495</v>
      </c>
      <c r="B542" s="4" t="str">
        <f ca="1">IFERROR(__xludf.DUMMYFUNCTION("""COMPUTED_VALUE"""),"#58")</f>
        <v>#58</v>
      </c>
      <c r="C542" s="5">
        <f ca="1">IFERROR(__xludf.DUMMYFUNCTION("""COMPUTED_VALUE"""),46059.4173611111)</f>
        <v>46059.417361111096</v>
      </c>
      <c r="D542" s="6">
        <f ca="1">IFERROR(__xludf.DUMMYFUNCTION("""COMPUTED_VALUE"""),363.15)</f>
        <v>363.15</v>
      </c>
      <c r="E542" s="4" t="str">
        <f ca="1">IFERROR(__xludf.DUMMYFUNCTION("""COMPUTED_VALUE"""),"USD")</f>
        <v>USD</v>
      </c>
      <c r="F542" s="4" t="str">
        <f ca="1">IFERROR(__xludf.DUMMYFUNCTION("""COMPUTED_VALUE"""),"Jose Rosas Ortiz")</f>
        <v>Jose Rosas Ortiz</v>
      </c>
      <c r="G542" s="4" t="str">
        <f ca="1">IFERROR(__xludf.DUMMYFUNCTION("""COMPUTED_VALUE"""),"COSMOPOL-SELF PARKIN   LAS VEGAS     USA")</f>
        <v>COSMOPOL-SELF PARKIN   LAS VEGAS     USA</v>
      </c>
      <c r="H542" s="4" t="str">
        <f ca="1">IFERROR(__xludf.DUMMYFUNCTION("""COMPUTED_VALUE"""),"Cosmopol Self Parkin Las Vegas USA")</f>
        <v>Cosmopol Self Parkin Las Vegas USA</v>
      </c>
      <c r="I542" s="4" t="str">
        <f ca="1">IFERROR(__xludf.DUMMYFUNCTION("""COMPUTED_VALUE"""),"Sales")</f>
        <v>Sales</v>
      </c>
      <c r="J542" s="4" t="str">
        <f ca="1">IFERROR(__xludf.DUMMYFUNCTION("""COMPUTED_VALUE"""),"IMESA")</f>
        <v>IMESA</v>
      </c>
      <c r="K542" s="4" t="str">
        <f ca="1">IFERROR(__xludf.DUMMYFUNCTION("""COMPUTED_VALUE"""),"Invoice")</f>
        <v>Invoice</v>
      </c>
      <c r="S542" s="6">
        <v>219.92</v>
      </c>
      <c r="T542" s="4" t="e">
        <f t="shared" ca="1" si="3"/>
        <v>#N/A</v>
      </c>
    </row>
    <row r="543" spans="1:20" ht="12.5">
      <c r="A543" s="4" t="str">
        <f ca="1">IFERROR(__xludf.DUMMYFUNCTION("""COMPUTED_VALUE"""),"TRX1089")</f>
        <v>TRX1089</v>
      </c>
      <c r="B543" s="4" t="str">
        <f ca="1">IFERROR(__xludf.DUMMYFUNCTION("""COMPUTED_VALUE"""),"#58")</f>
        <v>#58</v>
      </c>
      <c r="C543" s="5">
        <f ca="1">IFERROR(__xludf.DUMMYFUNCTION("""COMPUTED_VALUE"""),46059.4173611111)</f>
        <v>46059.417361111096</v>
      </c>
      <c r="D543" s="6">
        <f ca="1">IFERROR(__xludf.DUMMYFUNCTION("""COMPUTED_VALUE"""),907.88)</f>
        <v>907.88</v>
      </c>
      <c r="E543" s="4" t="str">
        <f ca="1">IFERROR(__xludf.DUMMYFUNCTION("""COMPUTED_VALUE"""),"USD")</f>
        <v>USD</v>
      </c>
      <c r="F543" s="4" t="str">
        <f ca="1">IFERROR(__xludf.DUMMYFUNCTION("""COMPUTED_VALUE"""),"Jose Rosas Ortiz")</f>
        <v>Jose Rosas Ortiz</v>
      </c>
      <c r="G543" s="4" t="str">
        <f ca="1">IFERROR(__xludf.DUMMYFUNCTION("""COMPUTED_VALUE"""),"SONESTA SIMPLY SUITES  LAS VEGAS     USA")</f>
        <v>SONESTA SIMPLY SUITES  LAS VEGAS     USA</v>
      </c>
      <c r="H543" s="4" t="str">
        <f ca="1">IFERROR(__xludf.DUMMYFUNCTION("""COMPUTED_VALUE"""),"Simply Vegas Real Estate")</f>
        <v>Simply Vegas Real Estate</v>
      </c>
      <c r="I543" s="4" t="str">
        <f ca="1">IFERROR(__xludf.DUMMYFUNCTION("""COMPUTED_VALUE"""),"Sales")</f>
        <v>Sales</v>
      </c>
      <c r="J543" s="4" t="str">
        <f ca="1">IFERROR(__xludf.DUMMYFUNCTION("""COMPUTED_VALUE"""),"IMESA")</f>
        <v>IMESA</v>
      </c>
      <c r="K543" s="4" t="str">
        <f ca="1">IFERROR(__xludf.DUMMYFUNCTION("""COMPUTED_VALUE"""),"Invoice")</f>
        <v>Invoice</v>
      </c>
      <c r="S543" s="6">
        <v>129.34</v>
      </c>
      <c r="T543" s="4" t="e">
        <f t="shared" ca="1" si="3"/>
        <v>#N/A</v>
      </c>
    </row>
    <row r="544" spans="1:20" ht="12.5">
      <c r="A544" s="4" t="str">
        <f ca="1">IFERROR(__xludf.DUMMYFUNCTION("""COMPUTED_VALUE"""),"TRX1485")</f>
        <v>TRX1485</v>
      </c>
      <c r="B544" s="4" t="str">
        <f ca="1">IFERROR(__xludf.DUMMYFUNCTION("""COMPUTED_VALUE"""),"#58")</f>
        <v>#58</v>
      </c>
      <c r="C544" s="5">
        <f ca="1">IFERROR(__xludf.DUMMYFUNCTION("""COMPUTED_VALUE"""),46059.4173611111)</f>
        <v>46059.417361111096</v>
      </c>
      <c r="D544" s="6">
        <f ca="1">IFERROR(__xludf.DUMMYFUNCTION("""COMPUTED_VALUE"""),490.44)</f>
        <v>490.44</v>
      </c>
      <c r="E544" s="4" t="str">
        <f ca="1">IFERROR(__xludf.DUMMYFUNCTION("""COMPUTED_VALUE"""),"USD")</f>
        <v>USD</v>
      </c>
      <c r="F544" s="4" t="str">
        <f ca="1">IFERROR(__xludf.DUMMYFUNCTION("""COMPUTED_VALUE"""),"Jose Rosas Ortiz")</f>
        <v>Jose Rosas Ortiz</v>
      </c>
      <c r="G544" s="4" t="str">
        <f ca="1">IFERROR(__xludf.DUMMYFUNCTION("""COMPUTED_VALUE"""),"CHICK-FIL-A #04666     LAS VEGAS     USA")</f>
        <v>CHICK-FIL-A #04666     LAS VEGAS     USA</v>
      </c>
      <c r="H544" s="4" t="str">
        <f ca="1">IFERROR(__xludf.DUMMYFUNCTION("""COMPUTED_VALUE"""),"Chick-fil-A")</f>
        <v>Chick-fil-A</v>
      </c>
      <c r="I544" s="4" t="str">
        <f ca="1">IFERROR(__xludf.DUMMYFUNCTION("""COMPUTED_VALUE"""),"Sales")</f>
        <v>Sales</v>
      </c>
      <c r="J544" s="4" t="str">
        <f ca="1">IFERROR(__xludf.DUMMYFUNCTION("""COMPUTED_VALUE"""),"IMESA")</f>
        <v>IMESA</v>
      </c>
      <c r="K544" s="4" t="str">
        <f ca="1">IFERROR(__xludf.DUMMYFUNCTION("""COMPUTED_VALUE"""),"Invoice")</f>
        <v>Invoice</v>
      </c>
      <c r="S544" s="6">
        <v>105.4</v>
      </c>
      <c r="T544" s="4" t="e">
        <f t="shared" ca="1" si="3"/>
        <v>#N/A</v>
      </c>
    </row>
    <row r="545" spans="1:20" ht="12.5">
      <c r="A545" s="4" t="str">
        <f ca="1">IFERROR(__xludf.DUMMYFUNCTION("""COMPUTED_VALUE"""),"TRX1661")</f>
        <v>TRX1661</v>
      </c>
      <c r="B545" s="4" t="str">
        <f ca="1">IFERROR(__xludf.DUMMYFUNCTION("""COMPUTED_VALUE"""),"#58")</f>
        <v>#58</v>
      </c>
      <c r="C545" s="5">
        <f ca="1">IFERROR(__xludf.DUMMYFUNCTION("""COMPUTED_VALUE"""),46060.4173611111)</f>
        <v>46060.417361111096</v>
      </c>
      <c r="D545" s="6">
        <f ca="1">IFERROR(__xludf.DUMMYFUNCTION("""COMPUTED_VALUE"""),1615.75)</f>
        <v>1615.75</v>
      </c>
      <c r="E545" s="4" t="str">
        <f ca="1">IFERROR(__xludf.DUMMYFUNCTION("""COMPUTED_VALUE"""),"USD")</f>
        <v>USD</v>
      </c>
      <c r="F545" s="4" t="str">
        <f ca="1">IFERROR(__xludf.DUMMYFUNCTION("""COMPUTED_VALUE"""),"Jose Rosas Ortiz")</f>
        <v>Jose Rosas Ortiz</v>
      </c>
      <c r="G545" s="4" t="str">
        <f ca="1">IFERROR(__xludf.DUMMYFUNCTION("""COMPUTED_VALUE"""),"EVOLVE ST2409          LAS VEGAS     USA")</f>
        <v>EVOLVE ST2409          LAS VEGAS     USA</v>
      </c>
      <c r="H545" s="4" t="str">
        <f ca="1">IFERROR(__xludf.DUMMYFUNCTION("""COMPUTED_VALUE"""),"Evolve St2409 Las Vegas USA")</f>
        <v>Evolve St2409 Las Vegas USA</v>
      </c>
      <c r="I545" s="4" t="str">
        <f ca="1">IFERROR(__xludf.DUMMYFUNCTION("""COMPUTED_VALUE"""),"Sales")</f>
        <v>Sales</v>
      </c>
      <c r="J545" s="4" t="str">
        <f ca="1">IFERROR(__xludf.DUMMYFUNCTION("""COMPUTED_VALUE"""),"IMESA")</f>
        <v>IMESA</v>
      </c>
      <c r="K545" s="4" t="str">
        <f ca="1">IFERROR(__xludf.DUMMYFUNCTION("""COMPUTED_VALUE"""),"Invoice")</f>
        <v>Invoice</v>
      </c>
      <c r="S545" s="6">
        <v>66.86</v>
      </c>
      <c r="T545" s="4" t="e">
        <f t="shared" ca="1" si="3"/>
        <v>#N/A</v>
      </c>
    </row>
    <row r="546" spans="1:20" ht="12.5">
      <c r="A546" s="4" t="str">
        <f ca="1">IFERROR(__xludf.DUMMYFUNCTION("""COMPUTED_VALUE"""),"TRX1275")</f>
        <v>TRX1275</v>
      </c>
      <c r="B546" s="4" t="str">
        <f ca="1">IFERROR(__xludf.DUMMYFUNCTION("""COMPUTED_VALUE"""),"#58")</f>
        <v>#58</v>
      </c>
      <c r="C546" s="5">
        <f ca="1">IFERROR(__xludf.DUMMYFUNCTION("""COMPUTED_VALUE"""),46060.4173611111)</f>
        <v>46060.417361111096</v>
      </c>
      <c r="D546" s="6">
        <f ca="1">IFERROR(__xludf.DUMMYFUNCTION("""COMPUTED_VALUE"""),866.55)</f>
        <v>866.55</v>
      </c>
      <c r="E546" s="4" t="str">
        <f ca="1">IFERROR(__xludf.DUMMYFUNCTION("""COMPUTED_VALUE"""),"USD")</f>
        <v>USD</v>
      </c>
      <c r="F546" s="4" t="str">
        <f ca="1">IFERROR(__xludf.DUMMYFUNCTION("""COMPUTED_VALUE"""),"Jose Rosas Ortiz")</f>
        <v>Jose Rosas Ortiz</v>
      </c>
      <c r="G546" s="4" t="str">
        <f ca="1">IFERROR(__xludf.DUMMYFUNCTION("""COMPUTED_VALUE"""),"20260204T00:00:00/SONESTA SIMPLY SUITES\4034 PARADISE RD\LAS VEGAS    \89169     NV USA")</f>
        <v>20260204T00:00:00/SONESTA SIMPLY SUITES\4034 PARADISE RD\LAS VEGAS    \89169     NV USA</v>
      </c>
      <c r="H546" s="4" t="str">
        <f ca="1">IFERROR(__xludf.DUMMYFUNCTION("""COMPUTED_VALUE"""),"Simply Vegas Real Estate")</f>
        <v>Simply Vegas Real Estate</v>
      </c>
      <c r="I546" s="4" t="str">
        <f ca="1">IFERROR(__xludf.DUMMYFUNCTION("""COMPUTED_VALUE"""),"Sales")</f>
        <v>Sales</v>
      </c>
      <c r="J546" s="4" t="str">
        <f ca="1">IFERROR(__xludf.DUMMYFUNCTION("""COMPUTED_VALUE"""),"IMESA")</f>
        <v>IMESA</v>
      </c>
      <c r="K546" s="4" t="str">
        <f ca="1">IFERROR(__xludf.DUMMYFUNCTION("""COMPUTED_VALUE"""),"Invoice")</f>
        <v>Invoice</v>
      </c>
      <c r="S546" s="6">
        <v>450.84</v>
      </c>
      <c r="T546" s="4" t="e">
        <f t="shared" ca="1" si="3"/>
        <v>#N/A</v>
      </c>
    </row>
    <row r="547" spans="1:20" ht="12.5">
      <c r="A547" s="4" t="str">
        <f ca="1">IFERROR(__xludf.DUMMYFUNCTION("""COMPUTED_VALUE"""),"TRX1507")</f>
        <v>TRX1507</v>
      </c>
      <c r="B547" s="4" t="str">
        <f ca="1">IFERROR(__xludf.DUMMYFUNCTION("""COMPUTED_VALUE"""),"#58")</f>
        <v>#58</v>
      </c>
      <c r="C547" s="5">
        <f ca="1">IFERROR(__xludf.DUMMYFUNCTION("""COMPUTED_VALUE"""),46061.4173611111)</f>
        <v>46061.417361111096</v>
      </c>
      <c r="D547" s="6">
        <f ca="1">IFERROR(__xludf.DUMMYFUNCTION("""COMPUTED_VALUE"""),2407.32)</f>
        <v>2407.3200000000002</v>
      </c>
      <c r="E547" s="4" t="str">
        <f ca="1">IFERROR(__xludf.DUMMYFUNCTION("""COMPUTED_VALUE"""),"USD")</f>
        <v>USD</v>
      </c>
      <c r="F547" s="4" t="str">
        <f ca="1">IFERROR(__xludf.DUMMYFUNCTION("""COMPUTED_VALUE"""),"Jose Rosas Ortiz")</f>
        <v>Jose Rosas Ortiz</v>
      </c>
      <c r="G547" s="4" t="str">
        <f ca="1">IFERROR(__xludf.DUMMYFUNCTION("""COMPUTED_VALUE"""),"SMARTSHEET INC.        BELLEVUE      USA")</f>
        <v>SMARTSHEET INC.        BELLEVUE      USA</v>
      </c>
      <c r="H547" s="4" t="str">
        <f ca="1">IFERROR(__xludf.DUMMYFUNCTION("""COMPUTED_VALUE"""),"Smartsheet")</f>
        <v>Smartsheet</v>
      </c>
      <c r="I547" s="4" t="str">
        <f ca="1">IFERROR(__xludf.DUMMYFUNCTION("""COMPUTED_VALUE"""),"Sales")</f>
        <v>Sales</v>
      </c>
      <c r="J547" s="4" t="str">
        <f ca="1">IFERROR(__xludf.DUMMYFUNCTION("""COMPUTED_VALUE"""),"IMESA")</f>
        <v>IMESA</v>
      </c>
      <c r="K547" s="4" t="str">
        <f ca="1">IFERROR(__xludf.DUMMYFUNCTION("""COMPUTED_VALUE"""),"Invoice")</f>
        <v>Invoice</v>
      </c>
      <c r="S547" s="6">
        <v>1000</v>
      </c>
      <c r="T547" s="4" t="str">
        <f t="shared" ca="1" si="3"/>
        <v>Fernando Sanchez Toledano</v>
      </c>
    </row>
    <row r="548" spans="1:20" ht="12.5">
      <c r="A548" s="4" t="str">
        <f ca="1">IFERROR(__xludf.DUMMYFUNCTION("""COMPUTED_VALUE"""),"TRX1141")</f>
        <v>TRX1141</v>
      </c>
      <c r="B548" s="4" t="str">
        <f ca="1">IFERROR(__xludf.DUMMYFUNCTION("""COMPUTED_VALUE"""),"#58")</f>
        <v>#58</v>
      </c>
      <c r="C548" s="5">
        <f ca="1">IFERROR(__xludf.DUMMYFUNCTION("""COMPUTED_VALUE"""),46062.4166666666)</f>
        <v>46062.416666666599</v>
      </c>
      <c r="D548" s="6">
        <f ca="1">IFERROR(__xludf.DUMMYFUNCTION("""COMPUTED_VALUE"""),2435.67)</f>
        <v>2435.67</v>
      </c>
      <c r="E548" s="4" t="str">
        <f ca="1">IFERROR(__xludf.DUMMYFUNCTION("""COMPUTED_VALUE"""),"USD")</f>
        <v>USD</v>
      </c>
      <c r="F548" s="4" t="str">
        <f ca="1">IFERROR(__xludf.DUMMYFUNCTION("""COMPUTED_VALUE"""),"Jose Rosas Ortiz")</f>
        <v>Jose Rosas Ortiz</v>
      </c>
      <c r="G548" s="4" t="str">
        <f ca="1">IFERROR(__xludf.DUMMYFUNCTION("""COMPUTED_VALUE"""),"SIXT_LV_POS_42299      LAS VEGAS     USA")</f>
        <v>SIXT_LV_POS_42299      LAS VEGAS     USA</v>
      </c>
      <c r="H548" s="4" t="str">
        <f ca="1">IFERROR(__xludf.DUMMYFUNCTION("""COMPUTED_VALUE"""),"Sixt")</f>
        <v>Sixt</v>
      </c>
      <c r="I548" s="4" t="str">
        <f ca="1">IFERROR(__xludf.DUMMYFUNCTION("""COMPUTED_VALUE"""),"Sales")</f>
        <v>Sales</v>
      </c>
      <c r="J548" s="4" t="str">
        <f ca="1">IFERROR(__xludf.DUMMYFUNCTION("""COMPUTED_VALUE"""),"IMESA")</f>
        <v>IMESA</v>
      </c>
      <c r="K548" s="4" t="str">
        <f ca="1">IFERROR(__xludf.DUMMYFUNCTION("""COMPUTED_VALUE"""),"Invoice")</f>
        <v>Invoice</v>
      </c>
      <c r="S548" s="6">
        <v>3369.66</v>
      </c>
      <c r="T548" s="4" t="e">
        <f t="shared" ca="1" si="3"/>
        <v>#N/A</v>
      </c>
    </row>
    <row r="549" spans="1:20" ht="12.5">
      <c r="A549" s="4" t="str">
        <f ca="1">IFERROR(__xludf.DUMMYFUNCTION("""COMPUTED_VALUE"""),"TRX1824")</f>
        <v>TRX1824</v>
      </c>
      <c r="B549" s="4" t="str">
        <f ca="1">IFERROR(__xludf.DUMMYFUNCTION("""COMPUTED_VALUE"""),"#58")</f>
        <v>#58</v>
      </c>
      <c r="C549" s="5">
        <f ca="1">IFERROR(__xludf.DUMMYFUNCTION("""COMPUTED_VALUE"""),46064.4166666666)</f>
        <v>46064.416666666599</v>
      </c>
      <c r="D549" s="6">
        <f ca="1">IFERROR(__xludf.DUMMYFUNCTION("""COMPUTED_VALUE"""),1283.93)</f>
        <v>1283.93</v>
      </c>
      <c r="E549" s="4" t="str">
        <f ca="1">IFERROR(__xludf.DUMMYFUNCTION("""COMPUTED_VALUE"""),"MXN")</f>
        <v>MXN</v>
      </c>
      <c r="F549" s="4" t="str">
        <f ca="1">IFERROR(__xludf.DUMMYFUNCTION("""COMPUTED_VALUE"""),"Jose Rosas Ortiz")</f>
        <v>Jose Rosas Ortiz</v>
      </c>
      <c r="G549" s="4" t="str">
        <f ca="1">IFERROR(__xludf.DUMMYFUNCTION("""COMPUTED_VALUE"""),"GASOL ESTAC MEXIQUEN 2 TOLUCA EM     MEX")</f>
        <v>GASOL ESTAC MEXIQUEN 2 TOLUCA EM     MEX</v>
      </c>
      <c r="H549" s="4" t="str">
        <f ca="1">IFERROR(__xludf.DUMMYFUNCTION("""COMPUTED_VALUE"""),"Gasol Estac Mexiquen 2 Toluca Em Mex")</f>
        <v>Gasol Estac Mexiquen 2 Toluca Em Mex</v>
      </c>
      <c r="I549" s="4" t="str">
        <f ca="1">IFERROR(__xludf.DUMMYFUNCTION("""COMPUTED_VALUE"""),"Sales")</f>
        <v>Sales</v>
      </c>
      <c r="J549" s="4" t="str">
        <f ca="1">IFERROR(__xludf.DUMMYFUNCTION("""COMPUTED_VALUE"""),"IMESA")</f>
        <v>IMESA</v>
      </c>
      <c r="K549" s="4" t="str">
        <f ca="1">IFERROR(__xludf.DUMMYFUNCTION("""COMPUTED_VALUE"""),"Invoice")</f>
        <v>Invoice</v>
      </c>
      <c r="S549" s="6">
        <v>232.8</v>
      </c>
      <c r="T549" s="4" t="e">
        <f t="shared" ca="1" si="3"/>
        <v>#N/A</v>
      </c>
    </row>
    <row r="550" spans="1:20" ht="12.5">
      <c r="A550" s="4" t="str">
        <f ca="1">IFERROR(__xludf.DUMMYFUNCTION("""COMPUTED_VALUE"""),"TRX1010")</f>
        <v>TRX1010</v>
      </c>
      <c r="B550" s="4" t="str">
        <f ca="1">IFERROR(__xludf.DUMMYFUNCTION("""COMPUTED_VALUE"""),"#58")</f>
        <v>#58</v>
      </c>
      <c r="C550" s="5">
        <f ca="1">IFERROR(__xludf.DUMMYFUNCTION("""COMPUTED_VALUE"""),46064.4166666666)</f>
        <v>46064.416666666599</v>
      </c>
      <c r="D550" s="6">
        <f ca="1">IFERROR(__xludf.DUMMYFUNCTION("""COMPUTED_VALUE"""),1000)</f>
        <v>1000</v>
      </c>
      <c r="E550" s="4" t="str">
        <f ca="1">IFERROR(__xludf.DUMMYFUNCTION("""COMPUTED_VALUE"""),"MXN")</f>
        <v>MXN</v>
      </c>
      <c r="F550" s="4" t="str">
        <f ca="1">IFERROR(__xludf.DUMMYFUNCTION("""COMPUTED_VALUE"""),"Jose Rosas Ortiz")</f>
        <v>Jose Rosas Ortiz</v>
      </c>
      <c r="G550" s="4" t="str">
        <f ca="1">IFERROR(__xludf.DUMMYFUNCTION("""COMPUTED_VALUE"""),"RECARGA PASE TUTAG     CIUDAD DE MEX MEX")</f>
        <v>RECARGA PASE TUTAG     CIUDAD DE MEX MEX</v>
      </c>
      <c r="H550" s="4" t="str">
        <f ca="1">IFERROR(__xludf.DUMMYFUNCTION("""COMPUTED_VALUE"""),"Recarga Pase Tutag Ciudad De Mex Mex")</f>
        <v>Recarga Pase Tutag Ciudad De Mex Mex</v>
      </c>
      <c r="I550" s="4" t="str">
        <f ca="1">IFERROR(__xludf.DUMMYFUNCTION("""COMPUTED_VALUE"""),"Sales")</f>
        <v>Sales</v>
      </c>
      <c r="J550" s="4" t="str">
        <f ca="1">IFERROR(__xludf.DUMMYFUNCTION("""COMPUTED_VALUE"""),"IMESA")</f>
        <v>IMESA</v>
      </c>
      <c r="K550" s="4" t="str">
        <f ca="1">IFERROR(__xludf.DUMMYFUNCTION("""COMPUTED_VALUE"""),"NA")</f>
        <v>NA</v>
      </c>
      <c r="S550" s="6">
        <v>500</v>
      </c>
      <c r="T550" s="4" t="str">
        <f t="shared" ca="1" si="3"/>
        <v>Fernando Sanchez Toledano</v>
      </c>
    </row>
    <row r="551" spans="1:20" ht="12.5">
      <c r="A551" s="4" t="str">
        <f ca="1">IFERROR(__xludf.DUMMYFUNCTION("""COMPUTED_VALUE"""),"TRX1992")</f>
        <v>TRX1992</v>
      </c>
      <c r="B551" s="4" t="str">
        <f ca="1">IFERROR(__xludf.DUMMYFUNCTION("""COMPUTED_VALUE"""),"#58")</f>
        <v>#58</v>
      </c>
      <c r="C551" s="5">
        <f ca="1">IFERROR(__xludf.DUMMYFUNCTION("""COMPUTED_VALUE"""),46064.4173611111)</f>
        <v>46064.417361111096</v>
      </c>
      <c r="D551" s="6">
        <f ca="1">IFERROR(__xludf.DUMMYFUNCTION("""COMPUTED_VALUE"""),192.5)</f>
        <v>192.5</v>
      </c>
      <c r="E551" s="4" t="str">
        <f ca="1">IFERROR(__xludf.DUMMYFUNCTION("""COMPUTED_VALUE"""),"MXN")</f>
        <v>MXN</v>
      </c>
      <c r="F551" s="4" t="str">
        <f ca="1">IFERROR(__xludf.DUMMYFUNCTION("""COMPUTED_VALUE"""),"Jose Rosas Ortiz")</f>
        <v>Jose Rosas Ortiz</v>
      </c>
      <c r="G551" s="4" t="str">
        <f ca="1">IFERROR(__xludf.DUMMYFUNCTION("""COMPUTED_VALUE"""),"OLI CAFE NT            CIUDAD DE MEX MEX")</f>
        <v>OLI CAFE NT            CIUDAD DE MEX MEX</v>
      </c>
      <c r="H551" s="4" t="str">
        <f ca="1">IFERROR(__xludf.DUMMYFUNCTION("""COMPUTED_VALUE"""),"Oli Cafe Nt Ciudad De Mex Mex")</f>
        <v>Oli Cafe Nt Ciudad De Mex Mex</v>
      </c>
      <c r="I551" s="4" t="str">
        <f ca="1">IFERROR(__xludf.DUMMYFUNCTION("""COMPUTED_VALUE"""),"Sales")</f>
        <v>Sales</v>
      </c>
      <c r="J551" s="4" t="str">
        <f ca="1">IFERROR(__xludf.DUMMYFUNCTION("""COMPUTED_VALUE"""),"IMESA")</f>
        <v>IMESA</v>
      </c>
      <c r="K551" s="4" t="str">
        <f ca="1">IFERROR(__xludf.DUMMYFUNCTION("""COMPUTED_VALUE"""),"Invoice")</f>
        <v>Invoice</v>
      </c>
      <c r="S551" s="6">
        <v>2190.56</v>
      </c>
      <c r="T551" s="4" t="e">
        <f t="shared" ca="1" si="3"/>
        <v>#N/A</v>
      </c>
    </row>
    <row r="552" spans="1:20" ht="12.5">
      <c r="A552" s="4" t="str">
        <f ca="1">IFERROR(__xludf.DUMMYFUNCTION("""COMPUTED_VALUE"""),"TRX1922")</f>
        <v>TRX1922</v>
      </c>
      <c r="B552" s="4" t="str">
        <f ca="1">IFERROR(__xludf.DUMMYFUNCTION("""COMPUTED_VALUE"""),"#58")</f>
        <v>#58</v>
      </c>
      <c r="C552" s="5">
        <f ca="1">IFERROR(__xludf.DUMMYFUNCTION("""COMPUTED_VALUE"""),46065.4166666666)</f>
        <v>46065.416666666599</v>
      </c>
      <c r="D552" s="6">
        <f ca="1">IFERROR(__xludf.DUMMYFUNCTION("""COMPUTED_VALUE"""),213)</f>
        <v>213</v>
      </c>
      <c r="E552" s="4" t="str">
        <f ca="1">IFERROR(__xludf.DUMMYFUNCTION("""COMPUTED_VALUE"""),"MXN")</f>
        <v>MXN</v>
      </c>
      <c r="F552" s="4" t="str">
        <f ca="1">IFERROR(__xludf.DUMMYFUNCTION("""COMPUTED_VALUE"""),"Jose Rosas Ortiz")</f>
        <v>Jose Rosas Ortiz</v>
      </c>
      <c r="G552" s="4" t="str">
        <f ca="1">IFERROR(__xludf.DUMMYFUNCTION("""COMPUTED_VALUE"""),"SBX Atizapan           CMX           MEX")</f>
        <v>SBX Atizapan           CMX           MEX</v>
      </c>
      <c r="H552" s="4" t="str">
        <f ca="1">IFERROR(__xludf.DUMMYFUNCTION("""COMPUTED_VALUE"""),"Sbx Atizapan Cmx Mex")</f>
        <v>Sbx Atizapan Cmx Mex</v>
      </c>
      <c r="I552" s="4" t="str">
        <f ca="1">IFERROR(__xludf.DUMMYFUNCTION("""COMPUTED_VALUE"""),"Transaction cost")</f>
        <v>Transaction cost</v>
      </c>
      <c r="J552" s="4" t="str">
        <f ca="1">IFERROR(__xludf.DUMMYFUNCTION("""COMPUTED_VALUE"""),"IMESA")</f>
        <v>IMESA</v>
      </c>
      <c r="K552" s="4" t="str">
        <f ca="1">IFERROR(__xludf.DUMMYFUNCTION("""COMPUTED_VALUE"""),"Invoice")</f>
        <v>Invoice</v>
      </c>
      <c r="S552" s="6">
        <v>1390.79</v>
      </c>
      <c r="T552" s="4" t="e">
        <f t="shared" ca="1" si="3"/>
        <v>#N/A</v>
      </c>
    </row>
    <row r="553" spans="1:20" ht="12.5">
      <c r="A553" s="4" t="str">
        <f ca="1">IFERROR(__xludf.DUMMYFUNCTION("""COMPUTED_VALUE"""),"TRX1284")</f>
        <v>TRX1284</v>
      </c>
      <c r="B553" s="4" t="str">
        <f ca="1">IFERROR(__xludf.DUMMYFUNCTION("""COMPUTED_VALUE"""),"#58")</f>
        <v>#58</v>
      </c>
      <c r="C553" s="5">
        <f ca="1">IFERROR(__xludf.DUMMYFUNCTION("""COMPUTED_VALUE"""),46067.4166666666)</f>
        <v>46067.416666666599</v>
      </c>
      <c r="D553" s="6">
        <f ca="1">IFERROR(__xludf.DUMMYFUNCTION("""COMPUTED_VALUE"""),402)</f>
        <v>402</v>
      </c>
      <c r="E553" s="4" t="str">
        <f ca="1">IFERROR(__xludf.DUMMYFUNCTION("""COMPUTED_VALUE"""),"MXN")</f>
        <v>MXN</v>
      </c>
      <c r="F553" s="4" t="str">
        <f ca="1">IFERROR(__xludf.DUMMYFUNCTION("""COMPUTED_VALUE"""),"Jose Rosas Ortiz")</f>
        <v>Jose Rosas Ortiz</v>
      </c>
      <c r="G553" s="4" t="str">
        <f ca="1">IFERROR(__xludf.DUMMYFUNCTION("""COMPUTED_VALUE"""),"STARBUCKS CARR MEX QRO QUE           MEX")</f>
        <v>STARBUCKS CARR MEX QRO QUE           MEX</v>
      </c>
      <c r="H553" s="4" t="str">
        <f ca="1">IFERROR(__xludf.DUMMYFUNCTION("""COMPUTED_VALUE"""),"Starbucks")</f>
        <v>Starbucks</v>
      </c>
      <c r="I553" s="4" t="str">
        <f ca="1">IFERROR(__xludf.DUMMYFUNCTION("""COMPUTED_VALUE"""),"Transaction cost")</f>
        <v>Transaction cost</v>
      </c>
      <c r="J553" s="4" t="str">
        <f ca="1">IFERROR(__xludf.DUMMYFUNCTION("""COMPUTED_VALUE"""),"GAP")</f>
        <v>GAP</v>
      </c>
      <c r="K553" s="4" t="str">
        <f ca="1">IFERROR(__xludf.DUMMYFUNCTION("""COMPUTED_VALUE"""),"SCNBJB 8165")</f>
        <v>SCNBJB 8165</v>
      </c>
      <c r="S553" s="6">
        <v>486.78</v>
      </c>
      <c r="T553" s="4" t="e">
        <f t="shared" ca="1" si="3"/>
        <v>#N/A</v>
      </c>
    </row>
    <row r="554" spans="1:20" ht="12.5">
      <c r="A554" s="4" t="str">
        <f ca="1">IFERROR(__xludf.DUMMYFUNCTION("""COMPUTED_VALUE"""),"TRX1065")</f>
        <v>TRX1065</v>
      </c>
      <c r="B554" s="4" t="str">
        <f ca="1">IFERROR(__xludf.DUMMYFUNCTION("""COMPUTED_VALUE"""),"#58")</f>
        <v>#58</v>
      </c>
      <c r="C554" s="5">
        <f ca="1">IFERROR(__xludf.DUMMYFUNCTION("""COMPUTED_VALUE"""),46067.4166666666)</f>
        <v>46067.416666666599</v>
      </c>
      <c r="D554" s="6">
        <f ca="1">IFERROR(__xludf.DUMMYFUNCTION("""COMPUTED_VALUE"""),1200)</f>
        <v>1200</v>
      </c>
      <c r="E554" s="4" t="str">
        <f ca="1">IFERROR(__xludf.DUMMYFUNCTION("""COMPUTED_VALUE"""),"MXN")</f>
        <v>MXN</v>
      </c>
      <c r="F554" s="4" t="str">
        <f ca="1">IFERROR(__xludf.DUMMYFUNCTION("""COMPUTED_VALUE"""),"Jose Rosas Ortiz")</f>
        <v>Jose Rosas Ortiz</v>
      </c>
      <c r="G554" s="4" t="str">
        <f ca="1">IFERROR(__xludf.DUMMYFUNCTION("""COMPUTED_VALUE"""),"RECARGA PASE TUTAG     CIUDAD DE MEX MEX")</f>
        <v>RECARGA PASE TUTAG     CIUDAD DE MEX MEX</v>
      </c>
      <c r="H554" s="4" t="str">
        <f ca="1">IFERROR(__xludf.DUMMYFUNCTION("""COMPUTED_VALUE"""),"Recarga Pase Tutag Ciudad De Mex Mex")</f>
        <v>Recarga Pase Tutag Ciudad De Mex Mex</v>
      </c>
      <c r="I554" s="4" t="str">
        <f ca="1">IFERROR(__xludf.DUMMYFUNCTION("""COMPUTED_VALUE"""),"Transaction cost")</f>
        <v>Transaction cost</v>
      </c>
      <c r="J554" s="4" t="str">
        <f ca="1">IFERROR(__xludf.DUMMYFUNCTION("""COMPUTED_VALUE"""),"GAP")</f>
        <v>GAP</v>
      </c>
      <c r="K554" s="4" t="str">
        <f ca="1">IFERROR(__xludf.DUMMYFUNCTION("""COMPUTED_VALUE"""),"SCTST 72509")</f>
        <v>SCTST 72509</v>
      </c>
      <c r="S554" s="6">
        <v>1460.87</v>
      </c>
      <c r="T554" s="4" t="e">
        <f t="shared" ca="1" si="3"/>
        <v>#N/A</v>
      </c>
    </row>
    <row r="555" spans="1:20" ht="12.5">
      <c r="A555" s="4" t="str">
        <f ca="1">IFERROR(__xludf.DUMMYFUNCTION("""COMPUTED_VALUE"""),"TRX1530")</f>
        <v>TRX1530</v>
      </c>
      <c r="B555" s="4" t="str">
        <f ca="1">IFERROR(__xludf.DUMMYFUNCTION("""COMPUTED_VALUE"""),"#58")</f>
        <v>#58</v>
      </c>
      <c r="C555" s="5">
        <f ca="1">IFERROR(__xludf.DUMMYFUNCTION("""COMPUTED_VALUE"""),46067.4173611111)</f>
        <v>46067.417361111096</v>
      </c>
      <c r="D555" s="6">
        <f ca="1">IFERROR(__xludf.DUMMYFUNCTION("""COMPUTED_VALUE"""),1130.05)</f>
        <v>1130.05</v>
      </c>
      <c r="E555" s="4" t="str">
        <f ca="1">IFERROR(__xludf.DUMMYFUNCTION("""COMPUTED_VALUE"""),"MXN")</f>
        <v>MXN</v>
      </c>
      <c r="F555" s="4" t="str">
        <f ca="1">IFERROR(__xludf.DUMMYFUNCTION("""COMPUTED_VALUE"""),"Jose Rosas Ortiz")</f>
        <v>Jose Rosas Ortiz</v>
      </c>
      <c r="G555" s="4" t="str">
        <f ca="1">IFERROR(__xludf.DUMMYFUNCTION("""COMPUTED_VALUE"""),"GASOL PARADOR MEX      HUEHUETOCA EM MEX")</f>
        <v>GASOL PARADOR MEX      HUEHUETOCA EM MEX</v>
      </c>
      <c r="H555" s="4" t="str">
        <f ca="1">IFERROR(__xludf.DUMMYFUNCTION("""COMPUTED_VALUE"""),"Gasol Parador Mex Huehuetoca Em Mex")</f>
        <v>Gasol Parador Mex Huehuetoca Em Mex</v>
      </c>
      <c r="I555" s="4" t="str">
        <f ca="1">IFERROR(__xludf.DUMMYFUNCTION("""COMPUTED_VALUE"""),"Transaction cost")</f>
        <v>Transaction cost</v>
      </c>
      <c r="J555" s="4" t="str">
        <f ca="1">IFERROR(__xludf.DUMMYFUNCTION("""COMPUTED_VALUE"""),"GAP")</f>
        <v>GAP</v>
      </c>
      <c r="K555" s="4" t="str">
        <f ca="1">IFERROR(__xludf.DUMMYFUNCTION("""COMPUTED_VALUE"""),"Y 204856")</f>
        <v>Y 204856</v>
      </c>
      <c r="S555" s="6">
        <v>1338.2</v>
      </c>
      <c r="T555" s="4" t="e">
        <f t="shared" ca="1" si="3"/>
        <v>#N/A</v>
      </c>
    </row>
    <row r="556" spans="1:20" ht="12.5">
      <c r="A556" s="4" t="str">
        <f ca="1">IFERROR(__xludf.DUMMYFUNCTION("""COMPUTED_VALUE"""),"TRX1803")</f>
        <v>TRX1803</v>
      </c>
      <c r="B556" s="4" t="str">
        <f ca="1">IFERROR(__xludf.DUMMYFUNCTION("""COMPUTED_VALUE"""),"#58")</f>
        <v>#58</v>
      </c>
      <c r="C556" s="5">
        <f ca="1">IFERROR(__xludf.DUMMYFUNCTION("""COMPUTED_VALUE"""),46069.4166666666)</f>
        <v>46069.416666666599</v>
      </c>
      <c r="D556" s="6">
        <f ca="1">IFERROR(__xludf.DUMMYFUNCTION("""COMPUTED_VALUE"""),47)</f>
        <v>47</v>
      </c>
      <c r="E556" s="4" t="str">
        <f ca="1">IFERROR(__xludf.DUMMYFUNCTION("""COMPUTED_VALUE"""),"MXN")</f>
        <v>MXN</v>
      </c>
      <c r="F556" s="4" t="str">
        <f ca="1">IFERROR(__xludf.DUMMYFUNCTION("""COMPUTED_VALUE"""),"Jose Rosas Ortiz")</f>
        <v>Jose Rosas Ortiz</v>
      </c>
      <c r="G556" s="4" t="str">
        <f ca="1">IFERROR(__xludf.DUMMYFUNCTION("""COMPUTED_VALUE"""),"PARCO                  ZAPOPAN JAL   MEX")</f>
        <v>PARCO                  ZAPOPAN JAL   MEX</v>
      </c>
      <c r="H556" s="4" t="str">
        <f ca="1">IFERROR(__xludf.DUMMYFUNCTION("""COMPUTED_VALUE"""),"Parco Zapopan Jal Mex")</f>
        <v>Parco Zapopan Jal Mex</v>
      </c>
      <c r="I556" s="4" t="str">
        <f ca="1">IFERROR(__xludf.DUMMYFUNCTION("""COMPUTED_VALUE"""),"Transaction cost")</f>
        <v>Transaction cost</v>
      </c>
      <c r="J556" s="4" t="str">
        <f ca="1">IFERROR(__xludf.DUMMYFUNCTION("""COMPUTED_VALUE"""),"VEOLIA - EDI MK5")</f>
        <v>VEOLIA - EDI MK5</v>
      </c>
      <c r="K556" s="4" t="str">
        <f ca="1">IFERROR(__xludf.DUMMYFUNCTION("""COMPUTED_VALUE"""),"603513")</f>
        <v>603513</v>
      </c>
      <c r="S556" s="6">
        <v>320</v>
      </c>
      <c r="T556" s="4" t="str">
        <f t="shared" ca="1" si="3"/>
        <v>Jose Ignacio Martinez Flemate</v>
      </c>
    </row>
    <row r="557" spans="1:20" ht="12.5">
      <c r="A557" s="4" t="str">
        <f ca="1">IFERROR(__xludf.DUMMYFUNCTION("""COMPUTED_VALUE"""),"TRX1211")</f>
        <v>TRX1211</v>
      </c>
      <c r="B557" s="4" t="str">
        <f ca="1">IFERROR(__xludf.DUMMYFUNCTION("""COMPUTED_VALUE"""),"#58")</f>
        <v>#58</v>
      </c>
      <c r="C557" s="5">
        <f ca="1">IFERROR(__xludf.DUMMYFUNCTION("""COMPUTED_VALUE"""),46072.4166666666)</f>
        <v>46072.416666666599</v>
      </c>
      <c r="D557" s="6">
        <f ca="1">IFERROR(__xludf.DUMMYFUNCTION("""COMPUTED_VALUE"""),1000)</f>
        <v>1000</v>
      </c>
      <c r="E557" s="4" t="str">
        <f ca="1">IFERROR(__xludf.DUMMYFUNCTION("""COMPUTED_VALUE"""),"MXN")</f>
        <v>MXN</v>
      </c>
      <c r="F557" s="4" t="str">
        <f ca="1">IFERROR(__xludf.DUMMYFUNCTION("""COMPUTED_VALUE"""),"Jose Rosas Ortiz")</f>
        <v>Jose Rosas Ortiz</v>
      </c>
      <c r="G557" s="4" t="str">
        <f ca="1">IFERROR(__xludf.DUMMYFUNCTION("""COMPUTED_VALUE"""),"RECARGA PASE TUTAG     CIUDAD DE MEX MEX")</f>
        <v>RECARGA PASE TUTAG     CIUDAD DE MEX MEX</v>
      </c>
      <c r="H557" s="4" t="str">
        <f ca="1">IFERROR(__xludf.DUMMYFUNCTION("""COMPUTED_VALUE"""),"Recarga Pase Tutag Ciudad De Mex Mex")</f>
        <v>Recarga Pase Tutag Ciudad De Mex Mex</v>
      </c>
      <c r="I557" s="4" t="str">
        <f ca="1">IFERROR(__xludf.DUMMYFUNCTION("""COMPUTED_VALUE"""),"Transaction cost")</f>
        <v>Transaction cost</v>
      </c>
      <c r="J557" s="4" t="str">
        <f ca="1">IFERROR(__xludf.DUMMYFUNCTION("""COMPUTED_VALUE"""),"VEOLIA - EDI MK5")</f>
        <v>VEOLIA - EDI MK5</v>
      </c>
      <c r="K557" s="4" t="str">
        <f ca="1">IFERROR(__xludf.DUMMYFUNCTION("""COMPUTED_VALUE"""),"NA")</f>
        <v>NA</v>
      </c>
      <c r="S557" s="6">
        <v>1776.59</v>
      </c>
      <c r="T557" s="4" t="e">
        <f t="shared" ca="1" si="3"/>
        <v>#N/A</v>
      </c>
    </row>
    <row r="558" spans="1:20" ht="12.5">
      <c r="A558" s="4" t="str">
        <f ca="1">IFERROR(__xludf.DUMMYFUNCTION("""COMPUTED_VALUE"""),"TRX1587")</f>
        <v>TRX1587</v>
      </c>
      <c r="B558" s="4" t="str">
        <f ca="1">IFERROR(__xludf.DUMMYFUNCTION("""COMPUTED_VALUE"""),"#58")</f>
        <v>#58</v>
      </c>
      <c r="C558" s="5">
        <f ca="1">IFERROR(__xludf.DUMMYFUNCTION("""COMPUTED_VALUE"""),46072.4166666666)</f>
        <v>46072.416666666599</v>
      </c>
      <c r="D558" s="6">
        <f ca="1">IFERROR(__xludf.DUMMYFUNCTION("""COMPUTED_VALUE"""),99.5)</f>
        <v>99.5</v>
      </c>
      <c r="E558" s="4" t="str">
        <f ca="1">IFERROR(__xludf.DUMMYFUNCTION("""COMPUTED_VALUE"""),"MXN")</f>
        <v>MXN</v>
      </c>
      <c r="F558" s="4" t="str">
        <f ca="1">IFERROR(__xludf.DUMMYFUNCTION("""COMPUTED_VALUE"""),"Jose Rosas Ortiz")</f>
        <v>Jose Rosas Ortiz</v>
      </c>
      <c r="G558" s="4" t="str">
        <f ca="1">IFERROR(__xludf.DUMMYFUNCTION("""COMPUTED_VALUE"""),"OXXORELOJ MEX          HUIXQUILUCAN  MEX")</f>
        <v>OXXORELOJ MEX          HUIXQUILUCAN  MEX</v>
      </c>
      <c r="H558" s="4" t="str">
        <f ca="1">IFERROR(__xludf.DUMMYFUNCTION("""COMPUTED_VALUE"""),"Oxxoreloj Mex Huixquilucan Mex")</f>
        <v>Oxxoreloj Mex Huixquilucan Mex</v>
      </c>
      <c r="I558" s="4" t="str">
        <f ca="1">IFERROR(__xludf.DUMMYFUNCTION("""COMPUTED_VALUE"""),"Transaction cost")</f>
        <v>Transaction cost</v>
      </c>
      <c r="J558" s="4" t="str">
        <f ca="1">IFERROR(__xludf.DUMMYFUNCTION("""COMPUTED_VALUE"""),"VEOLIA - UF/CEB")</f>
        <v>VEOLIA - UF/CEB</v>
      </c>
      <c r="K558" s="4" t="str">
        <f ca="1">IFERROR(__xludf.DUMMYFUNCTION("""COMPUTED_VALUE"""),"7515699260225052101625")</f>
        <v>7515699260225052101625</v>
      </c>
      <c r="S558" s="6">
        <v>2190.56</v>
      </c>
      <c r="T558" s="4" t="e">
        <f t="shared" ca="1" si="3"/>
        <v>#N/A</v>
      </c>
    </row>
    <row r="559" spans="1:20" ht="12.5">
      <c r="A559" s="4" t="str">
        <f ca="1">IFERROR(__xludf.DUMMYFUNCTION("""COMPUTED_VALUE"""),"TRX1750")</f>
        <v>TRX1750</v>
      </c>
      <c r="B559" s="4" t="str">
        <f ca="1">IFERROR(__xludf.DUMMYFUNCTION("""COMPUTED_VALUE"""),"#58")</f>
        <v>#58</v>
      </c>
      <c r="C559" s="5">
        <f ca="1">IFERROR(__xludf.DUMMYFUNCTION("""COMPUTED_VALUE"""),46072.4173611111)</f>
        <v>46072.417361111096</v>
      </c>
      <c r="D559" s="6">
        <f ca="1">IFERROR(__xludf.DUMMYFUNCTION("""COMPUTED_VALUE"""),151)</f>
        <v>151</v>
      </c>
      <c r="E559" s="4" t="str">
        <f ca="1">IFERROR(__xludf.DUMMYFUNCTION("""COMPUTED_VALUE"""),"MXN")</f>
        <v>MXN</v>
      </c>
      <c r="F559" s="4" t="str">
        <f ca="1">IFERROR(__xludf.DUMMYFUNCTION("""COMPUTED_VALUE"""),"Jose Rosas Ortiz")</f>
        <v>Jose Rosas Ortiz</v>
      </c>
      <c r="G559" s="4" t="str">
        <f ca="1">IFERROR(__xludf.DUMMYFUNCTION("""COMPUTED_VALUE"""),"SUBWAY INTERLOMAS      HUIXQUILUCAN  MEX")</f>
        <v>SUBWAY INTERLOMAS      HUIXQUILUCAN  MEX</v>
      </c>
      <c r="H559" s="4" t="str">
        <f ca="1">IFERROR(__xludf.DUMMYFUNCTION("""COMPUTED_VALUE"""),"Subway")</f>
        <v>Subway</v>
      </c>
      <c r="I559" s="4" t="str">
        <f ca="1">IFERROR(__xludf.DUMMYFUNCTION("""COMPUTED_VALUE"""),"Transaction cost")</f>
        <v>Transaction cost</v>
      </c>
      <c r="J559" s="4" t="str">
        <f ca="1">IFERROR(__xludf.DUMMYFUNCTION("""COMPUTED_VALUE"""),"VEOLIA - UF/CEB")</f>
        <v>VEOLIA - UF/CEB</v>
      </c>
      <c r="K559" s="4" t="str">
        <f ca="1">IFERROR(__xludf.DUMMYFUNCTION("""COMPUTED_VALUE"""),"BCLOMAS-2588")</f>
        <v>BCLOMAS-2588</v>
      </c>
      <c r="S559" s="6">
        <v>180</v>
      </c>
      <c r="T559" s="4" t="str">
        <f t="shared" ca="1" si="3"/>
        <v>Karen Alexandra Ballesteros Contreras</v>
      </c>
    </row>
    <row r="560" spans="1:20" ht="12.5">
      <c r="A560" s="4" t="str">
        <f ca="1">IFERROR(__xludf.DUMMYFUNCTION("""COMPUTED_VALUE"""),"TRX1921")</f>
        <v>TRX1921</v>
      </c>
      <c r="B560" s="4" t="str">
        <f ca="1">IFERROR(__xludf.DUMMYFUNCTION("""COMPUTED_VALUE"""),"#58")</f>
        <v>#58</v>
      </c>
      <c r="C560" s="5">
        <f ca="1">IFERROR(__xludf.DUMMYFUNCTION("""COMPUTED_VALUE"""),46072.4173611111)</f>
        <v>46072.417361111096</v>
      </c>
      <c r="D560" s="6">
        <f ca="1">IFERROR(__xludf.DUMMYFUNCTION("""COMPUTED_VALUE"""),143.5)</f>
        <v>143.5</v>
      </c>
      <c r="E560" s="4" t="str">
        <f ca="1">IFERROR(__xludf.DUMMYFUNCTION("""COMPUTED_VALUE"""),"MXN")</f>
        <v>MXN</v>
      </c>
      <c r="F560" s="4" t="str">
        <f ca="1">IFERROR(__xludf.DUMMYFUNCTION("""COMPUTED_VALUE"""),"Jose Rosas Ortiz")</f>
        <v>Jose Rosas Ortiz</v>
      </c>
      <c r="G560" s="4" t="str">
        <f ca="1">IFERROR(__xludf.DUMMYFUNCTION("""COMPUTED_VALUE"""),"OXXOSAN ANTONIO 17 MEX CUAUTITLAN EM MEX")</f>
        <v>OXXOSAN ANTONIO 17 MEX CUAUTITLAN EM MEX</v>
      </c>
      <c r="H560" s="4" t="str">
        <f ca="1">IFERROR(__xludf.DUMMYFUNCTION("""COMPUTED_VALUE"""),"Oxxosan Antonio 17 Mex Cuautitlan Em Mex")</f>
        <v>Oxxosan Antonio 17 Mex Cuautitlan Em Mex</v>
      </c>
      <c r="I560" s="4" t="str">
        <f ca="1">IFERROR(__xludf.DUMMYFUNCTION("""COMPUTED_VALUE"""),"Transaction cost")</f>
        <v>Transaction cost</v>
      </c>
      <c r="J560" s="4" t="str">
        <f ca="1">IFERROR(__xludf.DUMMYFUNCTION("""COMPUTED_VALUE"""),"VEOLIA Baseframes")</f>
        <v>VEOLIA Baseframes</v>
      </c>
      <c r="K560" s="4" t="str">
        <f ca="1">IFERROR(__xludf.DUMMYFUNCTION("""COMPUTED_VALUE"""),"101042227042402269")</f>
        <v>101042227042402269</v>
      </c>
      <c r="S560" s="6">
        <v>251.9</v>
      </c>
      <c r="T560" s="4" t="e">
        <f t="shared" ca="1" si="3"/>
        <v>#N/A</v>
      </c>
    </row>
    <row r="561" spans="1:20" ht="12.5">
      <c r="A561" s="4" t="str">
        <f ca="1">IFERROR(__xludf.DUMMYFUNCTION("""COMPUTED_VALUE"""),"TRX1612")</f>
        <v>TRX1612</v>
      </c>
      <c r="B561" s="4" t="str">
        <f ca="1">IFERROR(__xludf.DUMMYFUNCTION("""COMPUTED_VALUE"""),"#58")</f>
        <v>#58</v>
      </c>
      <c r="C561" s="5">
        <f ca="1">IFERROR(__xludf.DUMMYFUNCTION("""COMPUTED_VALUE"""),46074.4166666666)</f>
        <v>46074.416666666599</v>
      </c>
      <c r="D561" s="6">
        <f ca="1">IFERROR(__xludf.DUMMYFUNCTION("""COMPUTED_VALUE"""),115)</f>
        <v>115</v>
      </c>
      <c r="E561" s="4" t="str">
        <f ca="1">IFERROR(__xludf.DUMMYFUNCTION("""COMPUTED_VALUE"""),"MXN")</f>
        <v>MXN</v>
      </c>
      <c r="F561" s="4" t="str">
        <f ca="1">IFERROR(__xludf.DUMMYFUNCTION("""COMPUTED_VALUE"""),"Jose Rosas Ortiz")</f>
        <v>Jose Rosas Ortiz</v>
      </c>
      <c r="G561" s="4" t="str">
        <f ca="1">IFERROR(__xludf.DUMMYFUNCTION("""COMPUTED_VALUE"""),"ABTS G112 VEVEGA       HUIXQUILUCAN  MEX")</f>
        <v>ABTS G112 VEVEGA       HUIXQUILUCAN  MEX</v>
      </c>
      <c r="H561" s="4" t="str">
        <f ca="1">IFERROR(__xludf.DUMMYFUNCTION("""COMPUTED_VALUE"""),"Abts G112 Vevega Huixquilucan Mex")</f>
        <v>Abts G112 Vevega Huixquilucan Mex</v>
      </c>
      <c r="I561" s="4" t="str">
        <f ca="1">IFERROR(__xludf.DUMMYFUNCTION("""COMPUTED_VALUE"""),"Transaction cost")</f>
        <v>Transaction cost</v>
      </c>
      <c r="J561" s="4" t="str">
        <f ca="1">IFERROR(__xludf.DUMMYFUNCTION("""COMPUTED_VALUE"""),"VEOLIA Baseframes")</f>
        <v>VEOLIA Baseframes</v>
      </c>
      <c r="K561" s="4" t="str">
        <f ca="1">IFERROR(__xludf.DUMMYFUNCTION("""COMPUTED_VALUE"""),"PFCCTOAAAI 43713")</f>
        <v>PFCCTOAAAI 43713</v>
      </c>
      <c r="S561" s="6">
        <v>1763</v>
      </c>
      <c r="T561" s="4" t="e">
        <f t="shared" ca="1" si="3"/>
        <v>#N/A</v>
      </c>
    </row>
    <row r="562" spans="1:20" ht="12.5">
      <c r="A562" s="4" t="str">
        <f ca="1">IFERROR(__xludf.DUMMYFUNCTION("""COMPUTED_VALUE"""),"TRX1037")</f>
        <v>TRX1037</v>
      </c>
      <c r="B562" s="4" t="str">
        <f ca="1">IFERROR(__xludf.DUMMYFUNCTION("""COMPUTED_VALUE"""),"#58")</f>
        <v>#58</v>
      </c>
      <c r="C562" s="5">
        <f ca="1">IFERROR(__xludf.DUMMYFUNCTION("""COMPUTED_VALUE"""),46074.4173611111)</f>
        <v>46074.417361111096</v>
      </c>
      <c r="D562" s="6">
        <f ca="1">IFERROR(__xludf.DUMMYFUNCTION("""COMPUTED_VALUE"""),199)</f>
        <v>199</v>
      </c>
      <c r="E562" s="4" t="str">
        <f ca="1">IFERROR(__xludf.DUMMYFUNCTION("""COMPUTED_VALUE"""),"MXN")</f>
        <v>MXN</v>
      </c>
      <c r="F562" s="4" t="str">
        <f ca="1">IFERROR(__xludf.DUMMYFUNCTION("""COMPUTED_VALUE"""),"Jose Rosas Ortiz")</f>
        <v>Jose Rosas Ortiz</v>
      </c>
      <c r="G562" s="4" t="str">
        <f ca="1">IFERROR(__xludf.DUMMYFUNCTION("""COMPUTED_VALUE"""),"SUBWAY VEVEGA          HUIXQUILUCAN  MEX")</f>
        <v>SUBWAY VEVEGA          HUIXQUILUCAN  MEX</v>
      </c>
      <c r="H562" s="4" t="str">
        <f ca="1">IFERROR(__xludf.DUMMYFUNCTION("""COMPUTED_VALUE"""),"Subway")</f>
        <v>Subway</v>
      </c>
      <c r="I562" s="4" t="str">
        <f ca="1">IFERROR(__xludf.DUMMYFUNCTION("""COMPUTED_VALUE"""),"Transaction cost")</f>
        <v>Transaction cost</v>
      </c>
      <c r="J562" s="4" t="str">
        <f ca="1">IFERROR(__xludf.DUMMYFUNCTION("""COMPUTED_VALUE"""),"VEOLIA Baseframes")</f>
        <v>VEOLIA Baseframes</v>
      </c>
      <c r="K562" s="4" t="str">
        <f ca="1">IFERROR(__xludf.DUMMYFUNCTION("""COMPUTED_VALUE"""),"BFVG-4613")</f>
        <v>BFVG-4613</v>
      </c>
      <c r="S562" s="6">
        <v>3565</v>
      </c>
      <c r="T562" s="4" t="e">
        <f t="shared" ca="1" si="3"/>
        <v>#N/A</v>
      </c>
    </row>
    <row r="563" spans="1:20" ht="12.5">
      <c r="A563" s="4" t="str">
        <f ca="1">IFERROR(__xludf.DUMMYFUNCTION("""COMPUTED_VALUE"""),"TRX1047")</f>
        <v>TRX1047</v>
      </c>
      <c r="B563" s="4" t="str">
        <f ca="1">IFERROR(__xludf.DUMMYFUNCTION("""COMPUTED_VALUE"""),"#58")</f>
        <v>#58</v>
      </c>
      <c r="C563" s="5">
        <f ca="1">IFERROR(__xludf.DUMMYFUNCTION("""COMPUTED_VALUE"""),46075.4166666666)</f>
        <v>46075.416666666599</v>
      </c>
      <c r="D563" s="6">
        <f ca="1">IFERROR(__xludf.DUMMYFUNCTION("""COMPUTED_VALUE"""),844.85)</f>
        <v>844.85</v>
      </c>
      <c r="E563" s="4" t="str">
        <f ca="1">IFERROR(__xludf.DUMMYFUNCTION("""COMPUTED_VALUE"""),"MXN")</f>
        <v>MXN</v>
      </c>
      <c r="F563" s="4" t="str">
        <f ca="1">IFERROR(__xludf.DUMMYFUNCTION("""COMPUTED_VALUE"""),"Jose Rosas Ortiz")</f>
        <v>Jose Rosas Ortiz</v>
      </c>
      <c r="G563" s="4" t="str">
        <f ca="1">IFERROR(__xludf.DUMMYFUNCTION("""COMPUTED_VALUE"""),"SUPER SERVICIO CARRETE CIUDAD DE MEX MEX")</f>
        <v>SUPER SERVICIO CARRETE CIUDAD DE MEX MEX</v>
      </c>
      <c r="H563" s="4" t="str">
        <f ca="1">IFERROR(__xludf.DUMMYFUNCTION("""COMPUTED_VALUE"""),"Super Mex")</f>
        <v>Super Mex</v>
      </c>
      <c r="I563" s="4" t="str">
        <f ca="1">IFERROR(__xludf.DUMMYFUNCTION("""COMPUTED_VALUE"""),"Transaction cost")</f>
        <v>Transaction cost</v>
      </c>
      <c r="J563" s="4" t="str">
        <f ca="1">IFERROR(__xludf.DUMMYFUNCTION("""COMPUTED_VALUE"""),"VEOLIA Baseframes")</f>
        <v>VEOLIA Baseframes</v>
      </c>
      <c r="K563" s="4" t="str">
        <f ca="1">IFERROR(__xludf.DUMMYFUNCTION("""COMPUTED_VALUE"""),": 0000030461")</f>
        <v>: 0000030461</v>
      </c>
      <c r="S563" s="6">
        <v>208.15</v>
      </c>
      <c r="T563" s="4" t="e">
        <f t="shared" ca="1" si="3"/>
        <v>#N/A</v>
      </c>
    </row>
    <row r="564" spans="1:20" ht="12.5">
      <c r="A564" s="4" t="str">
        <f ca="1">IFERROR(__xludf.DUMMYFUNCTION("""COMPUTED_VALUE"""),"TRX1070")</f>
        <v>TRX1070</v>
      </c>
      <c r="B564" s="4" t="str">
        <f ca="1">IFERROR(__xludf.DUMMYFUNCTION("""COMPUTED_VALUE"""),"#58")</f>
        <v>#58</v>
      </c>
      <c r="C564" s="5">
        <f ca="1">IFERROR(__xludf.DUMMYFUNCTION("""COMPUTED_VALUE"""),46075.4166666666)</f>
        <v>46075.416666666599</v>
      </c>
      <c r="D564" s="6">
        <f ca="1">IFERROR(__xludf.DUMMYFUNCTION("""COMPUTED_VALUE"""),67)</f>
        <v>67</v>
      </c>
      <c r="E564" s="4" t="str">
        <f ca="1">IFERROR(__xludf.DUMMYFUNCTION("""COMPUTED_VALUE"""),"MXN")</f>
        <v>MXN</v>
      </c>
      <c r="F564" s="4" t="str">
        <f ca="1">IFERROR(__xludf.DUMMYFUNCTION("""COMPUTED_VALUE"""),"Jose Rosas Ortiz")</f>
        <v>Jose Rosas Ortiz</v>
      </c>
      <c r="G564" s="4" t="str">
        <f ca="1">IFERROR(__xludf.DUMMYFUNCTION("""COMPUTED_VALUE"""),"PARCO                  ZAPOPAN JAL   MEX")</f>
        <v>PARCO                  ZAPOPAN JAL   MEX</v>
      </c>
      <c r="H564" s="4" t="str">
        <f ca="1">IFERROR(__xludf.DUMMYFUNCTION("""COMPUTED_VALUE"""),"Parco Zapopan Jal Mex")</f>
        <v>Parco Zapopan Jal Mex</v>
      </c>
      <c r="I564" s="4" t="str">
        <f ca="1">IFERROR(__xludf.DUMMYFUNCTION("""COMPUTED_VALUE"""),"Transaction cost")</f>
        <v>Transaction cost</v>
      </c>
      <c r="J564" s="4" t="str">
        <f ca="1">IFERROR(__xludf.DUMMYFUNCTION("""COMPUTED_VALUE"""),"VEOLIA - UF/CEB")</f>
        <v>VEOLIA - UF/CEB</v>
      </c>
      <c r="K564" s="4" t="str">
        <f ca="1">IFERROR(__xludf.DUMMYFUNCTION("""COMPUTED_VALUE"""),"452105")</f>
        <v>452105</v>
      </c>
      <c r="S564" s="6">
        <v>10</v>
      </c>
      <c r="T564" s="4" t="str">
        <f t="shared" ca="1" si="3"/>
        <v>Patricio Servitje Azcarraga</v>
      </c>
    </row>
    <row r="565" spans="1:20" ht="12.5">
      <c r="A565" s="4" t="str">
        <f ca="1">IFERROR(__xludf.DUMMYFUNCTION("""COMPUTED_VALUE"""),"TRX1072")</f>
        <v>TRX1072</v>
      </c>
      <c r="B565" s="4" t="str">
        <f ca="1">IFERROR(__xludf.DUMMYFUNCTION("""COMPUTED_VALUE"""),"#58")</f>
        <v>#58</v>
      </c>
      <c r="C565" s="5">
        <f ca="1">IFERROR(__xludf.DUMMYFUNCTION("""COMPUTED_VALUE"""),46075.4166666666)</f>
        <v>46075.416666666599</v>
      </c>
      <c r="D565" s="6">
        <f ca="1">IFERROR(__xludf.DUMMYFUNCTION("""COMPUTED_VALUE"""),190)</f>
        <v>190</v>
      </c>
      <c r="E565" s="4" t="str">
        <f ca="1">IFERROR(__xludf.DUMMYFUNCTION("""COMPUTED_VALUE"""),"MXN")</f>
        <v>MXN</v>
      </c>
      <c r="F565" s="4" t="str">
        <f ca="1">IFERROR(__xludf.DUMMYFUNCTION("""COMPUTED_VALUE"""),"Jose Rosas Ortiz")</f>
        <v>Jose Rosas Ortiz</v>
      </c>
      <c r="G565" s="4" t="str">
        <f ca="1">IFERROR(__xludf.DUMMYFUNCTION("""COMPUTED_VALUE"""),"CARL S JR TOWN         METEPEC EM    MEX")</f>
        <v>CARL S JR TOWN         METEPEC EM    MEX</v>
      </c>
      <c r="H565" s="4" t="str">
        <f ca="1">IFERROR(__xludf.DUMMYFUNCTION("""COMPUTED_VALUE"""),"Carls Jr.")</f>
        <v>Carls Jr.</v>
      </c>
      <c r="I565" s="4" t="str">
        <f ca="1">IFERROR(__xludf.DUMMYFUNCTION("""COMPUTED_VALUE"""),"Transaction cost")</f>
        <v>Transaction cost</v>
      </c>
      <c r="J565" s="4" t="str">
        <f ca="1">IFERROR(__xludf.DUMMYFUNCTION("""COMPUTED_VALUE"""),"VEOLIA - UF/CEB")</f>
        <v>VEOLIA - UF/CEB</v>
      </c>
      <c r="K565" s="4" t="str">
        <f ca="1">IFERROR(__xludf.DUMMYFUNCTION("""COMPUTED_VALUE"""),"NA")</f>
        <v>NA</v>
      </c>
      <c r="S565" s="6">
        <v>410</v>
      </c>
      <c r="T565" s="4" t="str">
        <f t="shared" ca="1" si="3"/>
        <v>Karen Alexandra Ballesteros Contreras</v>
      </c>
    </row>
    <row r="566" spans="1:20" ht="12.5">
      <c r="A566" s="4" t="str">
        <f ca="1">IFERROR(__xludf.DUMMYFUNCTION("""COMPUTED_VALUE"""),"TRX1095")</f>
        <v>TRX1095</v>
      </c>
      <c r="B566" s="4" t="str">
        <f ca="1">IFERROR(__xludf.DUMMYFUNCTION("""COMPUTED_VALUE"""),"#58")</f>
        <v>#58</v>
      </c>
      <c r="C566" s="5">
        <f ca="1">IFERROR(__xludf.DUMMYFUNCTION("""COMPUTED_VALUE"""),46076.4166666666)</f>
        <v>46076.416666666599</v>
      </c>
      <c r="D566" s="6">
        <f ca="1">IFERROR(__xludf.DUMMYFUNCTION("""COMPUTED_VALUE"""),429.9)</f>
        <v>429.9</v>
      </c>
      <c r="E566" s="4" t="str">
        <f ca="1">IFERROR(__xludf.DUMMYFUNCTION("""COMPUTED_VALUE"""),"MXN")</f>
        <v>MXN</v>
      </c>
      <c r="F566" s="4" t="str">
        <f ca="1">IFERROR(__xludf.DUMMYFUNCTION("""COMPUTED_VALUE"""),"Jose Rosas Ortiz")</f>
        <v>Jose Rosas Ortiz</v>
      </c>
      <c r="G566" s="4" t="str">
        <f ca="1">IFERROR(__xludf.DUMMYFUNCTION("""COMPUTED_VALUE"""),"DLO*UBER RIDES         CIUDAD DE MEX MEX")</f>
        <v>DLO*UBER RIDES         CIUDAD DE MEX MEX</v>
      </c>
      <c r="H566" s="4" t="str">
        <f ca="1">IFERROR(__xludf.DUMMYFUNCTION("""COMPUTED_VALUE"""),"Uber")</f>
        <v>Uber</v>
      </c>
      <c r="I566" s="4" t="str">
        <f ca="1">IFERROR(__xludf.DUMMYFUNCTION("""COMPUTED_VALUE"""),"Transaction cost")</f>
        <v>Transaction cost</v>
      </c>
      <c r="J566" s="4" t="str">
        <f ca="1">IFERROR(__xludf.DUMMYFUNCTION("""COMPUTED_VALUE"""),"VEOLIA - UF/CEB")</f>
        <v>VEOLIA - UF/CEB</v>
      </c>
      <c r="K566" s="4" t="str">
        <f ca="1">IFERROR(__xludf.DUMMYFUNCTION("""COMPUTED_VALUE"""),"00001000000718655275")</f>
        <v>00001000000718655275</v>
      </c>
      <c r="S566" s="6">
        <v>186</v>
      </c>
      <c r="T566" s="4" t="str">
        <f t="shared" ca="1" si="3"/>
        <v>Fernando Sanchez Toledano</v>
      </c>
    </row>
    <row r="567" spans="1:20" ht="12.5">
      <c r="A567" s="4" t="str">
        <f ca="1">IFERROR(__xludf.DUMMYFUNCTION("""COMPUTED_VALUE"""),"TRX1177")</f>
        <v>TRX1177</v>
      </c>
      <c r="B567" s="4" t="str">
        <f ca="1">IFERROR(__xludf.DUMMYFUNCTION("""COMPUTED_VALUE"""),"#58")</f>
        <v>#58</v>
      </c>
      <c r="C567" s="5">
        <f ca="1">IFERROR(__xludf.DUMMYFUNCTION("""COMPUTED_VALUE"""),46079.4166666666)</f>
        <v>46079.416666666599</v>
      </c>
      <c r="D567" s="6">
        <f ca="1">IFERROR(__xludf.DUMMYFUNCTION("""COMPUTED_VALUE"""),1195.42)</f>
        <v>1195.42</v>
      </c>
      <c r="E567" s="4" t="str">
        <f ca="1">IFERROR(__xludf.DUMMYFUNCTION("""COMPUTED_VALUE"""),"MXN")</f>
        <v>MXN</v>
      </c>
      <c r="F567" s="4" t="str">
        <f ca="1">IFERROR(__xludf.DUMMYFUNCTION("""COMPUTED_VALUE"""),"Jose Rosas Ortiz")</f>
        <v>Jose Rosas Ortiz</v>
      </c>
      <c r="G567" s="4" t="str">
        <f ca="1">IFERROR(__xludf.DUMMYFUNCTION("""COMPUTED_VALUE"""),"GASOL VEVEGA           HUIXQUILUCAN  MEX")</f>
        <v>GASOL VEVEGA           HUIXQUILUCAN  MEX</v>
      </c>
      <c r="H567" s="4" t="str">
        <f ca="1">IFERROR(__xludf.DUMMYFUNCTION("""COMPUTED_VALUE"""),"Gasol Vevega Huixquilucan Mex")</f>
        <v>Gasol Vevega Huixquilucan Mex</v>
      </c>
      <c r="I567" s="4" t="str">
        <f ca="1">IFERROR(__xludf.DUMMYFUNCTION("""COMPUTED_VALUE"""),"Transaction cost")</f>
        <v>Transaction cost</v>
      </c>
      <c r="J567" s="4" t="str">
        <f ca="1">IFERROR(__xludf.DUMMYFUNCTION("""COMPUTED_VALUE"""),"VEOLIA - UF/CEB")</f>
        <v>VEOLIA - UF/CEB</v>
      </c>
      <c r="K567" s="4" t="str">
        <f ca="1">IFERROR(__xludf.DUMMYFUNCTION("""COMPUTED_VALUE"""),"BBA 535846")</f>
        <v>BBA 535846</v>
      </c>
      <c r="S567" s="6">
        <v>1961.55</v>
      </c>
      <c r="T567" s="4" t="e">
        <f t="shared" ca="1" si="3"/>
        <v>#N/A</v>
      </c>
    </row>
    <row r="568" spans="1:20" ht="12.5">
      <c r="A568" s="4" t="str">
        <f ca="1">IFERROR(__xludf.DUMMYFUNCTION("""COMPUTED_VALUE"""),"TRX1203")</f>
        <v>TRX1203</v>
      </c>
      <c r="B568" s="4" t="str">
        <f ca="1">IFERROR(__xludf.DUMMYFUNCTION("""COMPUTED_VALUE"""),"#58")</f>
        <v>#58</v>
      </c>
      <c r="C568" s="5">
        <f ca="1">IFERROR(__xludf.DUMMYFUNCTION("""COMPUTED_VALUE"""),46079.4166666666)</f>
        <v>46079.416666666599</v>
      </c>
      <c r="D568" s="6">
        <f ca="1">IFERROR(__xludf.DUMMYFUNCTION("""COMPUTED_VALUE"""),93.5)</f>
        <v>93.5</v>
      </c>
      <c r="E568" s="4" t="str">
        <f ca="1">IFERROR(__xludf.DUMMYFUNCTION("""COMPUTED_VALUE"""),"MXN")</f>
        <v>MXN</v>
      </c>
      <c r="F568" s="4" t="str">
        <f ca="1">IFERROR(__xludf.DUMMYFUNCTION("""COMPUTED_VALUE"""),"Jose Rosas Ortiz")</f>
        <v>Jose Rosas Ortiz</v>
      </c>
      <c r="G568" s="4" t="str">
        <f ca="1">IFERROR(__xludf.DUMMYFUNCTION("""COMPUTED_VALUE"""),"OXXORELOJ MEX          HUIXQUILUCAN  MEX")</f>
        <v>OXXORELOJ MEX          HUIXQUILUCAN  MEX</v>
      </c>
      <c r="H568" s="4" t="str">
        <f ca="1">IFERROR(__xludf.DUMMYFUNCTION("""COMPUTED_VALUE"""),"Oxxoreloj Mex Huixquilucan Mex")</f>
        <v>Oxxoreloj Mex Huixquilucan Mex</v>
      </c>
      <c r="I568" s="4" t="str">
        <f ca="1">IFERROR(__xludf.DUMMYFUNCTION("""COMPUTED_VALUE"""),"Transaction cost")</f>
        <v>Transaction cost</v>
      </c>
      <c r="J568" s="4" t="str">
        <f ca="1">IFERROR(__xludf.DUMMYFUNCTION("""COMPUTED_VALUE"""),"VEOLIA - UF/CEB")</f>
        <v>VEOLIA - UF/CEB</v>
      </c>
      <c r="K568" s="4" t="str">
        <f ca="1">IFERROR(__xludf.DUMMYFUNCTION("""COMPUTED_VALUE"""),"7536431260301050237191")</f>
        <v>7536431260301050237191</v>
      </c>
      <c r="S568" s="6">
        <v>78</v>
      </c>
      <c r="T568" s="4" t="str">
        <f t="shared" ca="1" si="3"/>
        <v>Karen Alexandra Ballesteros Contreras</v>
      </c>
    </row>
    <row r="569" spans="1:20" ht="12.5">
      <c r="A569" s="4" t="str">
        <f ca="1">IFERROR(__xludf.DUMMYFUNCTION("""COMPUTED_VALUE"""),"TRX1233")</f>
        <v>TRX1233</v>
      </c>
      <c r="B569" s="4" t="str">
        <f ca="1">IFERROR(__xludf.DUMMYFUNCTION("""COMPUTED_VALUE"""),"#58")</f>
        <v>#58</v>
      </c>
      <c r="C569" s="5">
        <f ca="1">IFERROR(__xludf.DUMMYFUNCTION("""COMPUTED_VALUE"""),46080.4166666666)</f>
        <v>46080.416666666599</v>
      </c>
      <c r="D569" s="6">
        <f ca="1">IFERROR(__xludf.DUMMYFUNCTION("""COMPUTED_VALUE"""),137.05)</f>
        <v>137.05000000000001</v>
      </c>
      <c r="E569" s="4" t="str">
        <f ca="1">IFERROR(__xludf.DUMMYFUNCTION("""COMPUTED_VALUE"""),"MXN")</f>
        <v>MXN</v>
      </c>
      <c r="F569" s="4" t="str">
        <f ca="1">IFERROR(__xludf.DUMMYFUNCTION("""COMPUTED_VALUE"""),"Jose Rosas Ortiz")</f>
        <v>Jose Rosas Ortiz</v>
      </c>
      <c r="G569" s="4" t="str">
        <f ca="1">IFERROR(__xludf.DUMMYFUNCTION("""COMPUTED_VALUE"""),"COSTCO ATIZAPAN        ATIZAPAN DE Z MEX")</f>
        <v>COSTCO ATIZAPAN        ATIZAPAN DE Z MEX</v>
      </c>
      <c r="H569" s="4" t="str">
        <f ca="1">IFERROR(__xludf.DUMMYFUNCTION("""COMPUTED_VALUE"""),"Costco")</f>
        <v>Costco</v>
      </c>
      <c r="I569" s="4" t="str">
        <f ca="1">IFERROR(__xludf.DUMMYFUNCTION("""COMPUTED_VALUE"""),"Transaction cost")</f>
        <v>Transaction cost</v>
      </c>
      <c r="J569" s="4" t="str">
        <f ca="1">IFERROR(__xludf.DUMMYFUNCTION("""COMPUTED_VALUE"""),"VEOLIA - UF/CEB")</f>
        <v>VEOLIA - UF/CEB</v>
      </c>
      <c r="K569" s="4" t="str">
        <f ca="1">IFERROR(__xludf.DUMMYFUNCTION("""COMPUTED_VALUE"""),"00001000000718655275")</f>
        <v>00001000000718655275</v>
      </c>
      <c r="S569" s="6">
        <v>1000</v>
      </c>
      <c r="T569" s="4" t="str">
        <f t="shared" ca="1" si="3"/>
        <v>Fernando Sanchez Toledano</v>
      </c>
    </row>
    <row r="570" spans="1:20" ht="12.5">
      <c r="A570" s="4" t="str">
        <f ca="1">IFERROR(__xludf.DUMMYFUNCTION("""COMPUTED_VALUE"""),"TRX1239")</f>
        <v>TRX1239</v>
      </c>
      <c r="B570" s="4" t="str">
        <f ca="1">IFERROR(__xludf.DUMMYFUNCTION("""COMPUTED_VALUE"""),"#58")</f>
        <v>#58</v>
      </c>
      <c r="C570" s="5">
        <f ca="1">IFERROR(__xludf.DUMMYFUNCTION("""COMPUTED_VALUE"""),46080.4173611111)</f>
        <v>46080.417361111096</v>
      </c>
      <c r="D570" s="6">
        <f ca="1">IFERROR(__xludf.DUMMYFUNCTION("""COMPUTED_VALUE"""),231)</f>
        <v>231</v>
      </c>
      <c r="E570" s="4" t="str">
        <f ca="1">IFERROR(__xludf.DUMMYFUNCTION("""COMPUTED_VALUE"""),"MXN")</f>
        <v>MXN</v>
      </c>
      <c r="F570" s="4" t="str">
        <f ca="1">IFERROR(__xludf.DUMMYFUNCTION("""COMPUTED_VALUE"""),"Jose Rosas Ortiz")</f>
        <v>Jose Rosas Ortiz</v>
      </c>
      <c r="G570" s="4" t="str">
        <f ca="1">IFERROR(__xludf.DUMMYFUNCTION("""COMPUTED_VALUE"""),"OLI CAFE NT            CIUDAD DE MEX MEX")</f>
        <v>OLI CAFE NT            CIUDAD DE MEX MEX</v>
      </c>
      <c r="H570" s="4" t="str">
        <f ca="1">IFERROR(__xludf.DUMMYFUNCTION("""COMPUTED_VALUE"""),"Oli Cafe Nt Ciudad De Mex Mex")</f>
        <v>Oli Cafe Nt Ciudad De Mex Mex</v>
      </c>
      <c r="I570" s="4" t="str">
        <f ca="1">IFERROR(__xludf.DUMMYFUNCTION("""COMPUTED_VALUE"""),"Sales")</f>
        <v>Sales</v>
      </c>
      <c r="J570" s="4" t="str">
        <f ca="1">IFERROR(__xludf.DUMMYFUNCTION("""COMPUTED_VALUE"""),"IMESA")</f>
        <v>IMESA</v>
      </c>
      <c r="K570" s="4" t="str">
        <f ca="1">IFERROR(__xludf.DUMMYFUNCTION("""COMPUTED_VALUE"""),"Invoice")</f>
        <v>Invoice</v>
      </c>
      <c r="S570" s="6">
        <v>1148.47</v>
      </c>
      <c r="T570" s="4" t="e">
        <f t="shared" ca="1" si="3"/>
        <v>#N/A</v>
      </c>
    </row>
    <row r="571" spans="1:20" ht="12.5">
      <c r="A571" s="4" t="str">
        <f ca="1">IFERROR(__xludf.DUMMYFUNCTION("""COMPUTED_VALUE"""),"TRX1260")</f>
        <v>TRX1260</v>
      </c>
      <c r="B571" s="4" t="str">
        <f ca="1">IFERROR(__xludf.DUMMYFUNCTION("""COMPUTED_VALUE"""),"#58")</f>
        <v>#58</v>
      </c>
      <c r="C571" s="5">
        <f ca="1">IFERROR(__xludf.DUMMYFUNCTION("""COMPUTED_VALUE"""),46081.4166666666)</f>
        <v>46081.416666666599</v>
      </c>
      <c r="D571" s="6">
        <f ca="1">IFERROR(__xludf.DUMMYFUNCTION("""COMPUTED_VALUE"""),800)</f>
        <v>800</v>
      </c>
      <c r="E571" s="4" t="str">
        <f ca="1">IFERROR(__xludf.DUMMYFUNCTION("""COMPUTED_VALUE"""),"MXN")</f>
        <v>MXN</v>
      </c>
      <c r="F571" s="4" t="str">
        <f ca="1">IFERROR(__xludf.DUMMYFUNCTION("""COMPUTED_VALUE"""),"Jose Rosas Ortiz")</f>
        <v>Jose Rosas Ortiz</v>
      </c>
      <c r="G571" s="4" t="str">
        <f ca="1">IFERROR(__xludf.DUMMYFUNCTION("""COMPUTED_VALUE"""),"RECARGA PASE TUTAG     CIUDAD DE MEX MEX")</f>
        <v>RECARGA PASE TUTAG     CIUDAD DE MEX MEX</v>
      </c>
      <c r="H571" s="4" t="str">
        <f ca="1">IFERROR(__xludf.DUMMYFUNCTION("""COMPUTED_VALUE"""),"Recarga Pase Tutag Ciudad De Mex Mex")</f>
        <v>Recarga Pase Tutag Ciudad De Mex Mex</v>
      </c>
      <c r="I571" s="4" t="str">
        <f ca="1">IFERROR(__xludf.DUMMYFUNCTION("""COMPUTED_VALUE"""),"Transaction cost")</f>
        <v>Transaction cost</v>
      </c>
      <c r="J571" s="4" t="str">
        <f ca="1">IFERROR(__xludf.DUMMYFUNCTION("""COMPUTED_VALUE"""),"IMESA")</f>
        <v>IMESA</v>
      </c>
      <c r="K571" s="4" t="str">
        <f ca="1">IFERROR(__xludf.DUMMYFUNCTION("""COMPUTED_VALUE"""),"NA")</f>
        <v>NA</v>
      </c>
      <c r="S571" s="6">
        <v>280</v>
      </c>
      <c r="T571" s="4" t="str">
        <f t="shared" ca="1" si="3"/>
        <v>Carlos Ivan Gonzalez Merino</v>
      </c>
    </row>
    <row r="572" spans="1:20" ht="12.5">
      <c r="A572" s="4" t="str">
        <f ca="1">IFERROR(__xludf.DUMMYFUNCTION("""COMPUTED_VALUE"""),"TRX1283")</f>
        <v>TRX1283</v>
      </c>
      <c r="B572" s="4" t="str">
        <f ca="1">IFERROR(__xludf.DUMMYFUNCTION("""COMPUTED_VALUE"""),"#58")</f>
        <v>#58</v>
      </c>
      <c r="C572" s="5">
        <f ca="1">IFERROR(__xludf.DUMMYFUNCTION("""COMPUTED_VALUE"""),46081.4173611111)</f>
        <v>46081.417361111096</v>
      </c>
      <c r="D572" s="6">
        <f ca="1">IFERROR(__xludf.DUMMYFUNCTION("""COMPUTED_VALUE"""),196)</f>
        <v>196</v>
      </c>
      <c r="E572" s="4" t="str">
        <f ca="1">IFERROR(__xludf.DUMMYFUNCTION("""COMPUTED_VALUE"""),"MXN")</f>
        <v>MXN</v>
      </c>
      <c r="F572" s="4" t="str">
        <f ca="1">IFERROR(__xludf.DUMMYFUNCTION("""COMPUTED_VALUE"""),"Jose Rosas Ortiz")</f>
        <v>Jose Rosas Ortiz</v>
      </c>
      <c r="G572" s="4" t="str">
        <f ca="1">IFERROR(__xludf.DUMMYFUNCTION("""COMPUTED_VALUE"""),"OXXO CIENTIFICOS MEX   NAUCALPAN DE  MEX")</f>
        <v>OXXO CIENTIFICOS MEX   NAUCALPAN DE  MEX</v>
      </c>
      <c r="H572" s="4" t="str">
        <f ca="1">IFERROR(__xludf.DUMMYFUNCTION("""COMPUTED_VALUE"""),"Oxxo")</f>
        <v>Oxxo</v>
      </c>
      <c r="I572" s="4" t="str">
        <f ca="1">IFERROR(__xludf.DUMMYFUNCTION("""COMPUTED_VALUE"""),"Transaction cost")</f>
        <v>Transaction cost</v>
      </c>
      <c r="J572" s="4" t="str">
        <f ca="1">IFERROR(__xludf.DUMMYFUNCTION("""COMPUTED_VALUE"""),"IMESA")</f>
        <v>IMESA</v>
      </c>
      <c r="K572" s="4" t="str">
        <f ca="1">IFERROR(__xludf.DUMMYFUNCTION("""COMPUTED_VALUE"""),"7536431260301050237191")</f>
        <v>7536431260301050237191</v>
      </c>
      <c r="S572" s="6">
        <v>929.5</v>
      </c>
      <c r="T572" s="4" t="e">
        <f t="shared" ca="1" si="3"/>
        <v>#N/A</v>
      </c>
    </row>
    <row r="573" spans="1:20" ht="12.5">
      <c r="A573" s="4" t="str">
        <f ca="1">IFERROR(__xludf.DUMMYFUNCTION("""COMPUTED_VALUE"""),"TRX1288")</f>
        <v>TRX1288</v>
      </c>
      <c r="B573" s="4" t="str">
        <f ca="1">IFERROR(__xludf.DUMMYFUNCTION("""COMPUTED_VALUE"""),"#58")</f>
        <v>#58</v>
      </c>
      <c r="C573" s="5">
        <f ca="1">IFERROR(__xludf.DUMMYFUNCTION("""COMPUTED_VALUE"""),46081.4173611111)</f>
        <v>46081.417361111096</v>
      </c>
      <c r="D573" s="6">
        <f ca="1">IFERROR(__xludf.DUMMYFUNCTION("""COMPUTED_VALUE"""),561.23)</f>
        <v>561.23</v>
      </c>
      <c r="E573" s="4" t="str">
        <f ca="1">IFERROR(__xludf.DUMMYFUNCTION("""COMPUTED_VALUE"""),"MXN")</f>
        <v>MXN</v>
      </c>
      <c r="F573" s="4" t="str">
        <f ca="1">IFERROR(__xludf.DUMMYFUNCTION("""COMPUTED_VALUE"""),"Jose Rosas Ortiz")</f>
        <v>Jose Rosas Ortiz</v>
      </c>
      <c r="G573" s="4" t="str">
        <f ca="1">IFERROR(__xludf.DUMMYFUNCTION("""COMPUTED_VALUE"""),"WM EXPRESS FNTS DLASLO HUIXQUILUCAN  MEX")</f>
        <v>WM EXPRESS FNTS DLASLO HUIXQUILUCAN  MEX</v>
      </c>
      <c r="H573" s="4" t="str">
        <f ca="1">IFERROR(__xludf.DUMMYFUNCTION("""COMPUTED_VALUE"""),"Wm Express Fnts Dlaslo Huixquilucan Mex")</f>
        <v>Wm Express Fnts Dlaslo Huixquilucan Mex</v>
      </c>
      <c r="I573" s="4" t="str">
        <f ca="1">IFERROR(__xludf.DUMMYFUNCTION("""COMPUTED_VALUE"""),"Transaction cost")</f>
        <v>Transaction cost</v>
      </c>
      <c r="J573" s="4" t="str">
        <f ca="1">IFERROR(__xludf.DUMMYFUNCTION("""COMPUTED_VALUE"""),"IMESA")</f>
        <v>IMESA</v>
      </c>
      <c r="K573" s="4" t="str">
        <f ca="1">IFERROR(__xludf.DUMMYFUNCTION("""COMPUTED_VALUE"""),"Y 204856")</f>
        <v>Y 204856</v>
      </c>
      <c r="S573" s="6">
        <v>436</v>
      </c>
      <c r="T573" s="4" t="e">
        <f t="shared" ca="1" si="3"/>
        <v>#N/A</v>
      </c>
    </row>
    <row r="574" spans="1:20" ht="12.5">
      <c r="A574" s="4" t="str">
        <f ca="1">IFERROR(__xludf.DUMMYFUNCTION("""COMPUTED_VALUE"""),"#N/A")</f>
        <v>#N/A</v>
      </c>
      <c r="B574" s="4"/>
      <c r="C574" s="4"/>
      <c r="D574" s="4" t="str">
        <f ca="1">IFERROR(__xludf.DUMMYFUNCTION("""COMPUTED_VALUE"""),"#N/A")</f>
        <v>#N/A</v>
      </c>
      <c r="E574" s="4" t="str">
        <f ca="1">IFERROR(__xludf.DUMMYFUNCTION("""COMPUTED_VALUE"""),"#N/A")</f>
        <v>#N/A</v>
      </c>
      <c r="F574" s="4" t="str">
        <f ca="1">IFERROR(__xludf.DUMMYFUNCTION("""COMPUTED_VALUE"""),"#N/A")</f>
        <v>#N/A</v>
      </c>
      <c r="G574" s="4" t="str">
        <f ca="1">IFERROR(__xludf.DUMMYFUNCTION("""COMPUTED_VALUE"""),"#N/A")</f>
        <v>#N/A</v>
      </c>
      <c r="H574" s="4"/>
      <c r="I574" s="4" t="str">
        <f ca="1">IFERROR(__xludf.DUMMYFUNCTION("""COMPUTED_VALUE"""),"G&amp;A expenses")</f>
        <v>G&amp;A expenses</v>
      </c>
      <c r="J574" s="4" t="str">
        <f ca="1">IFERROR(__xludf.DUMMYFUNCTION("""COMPUTED_VALUE"""),"PO-1066 Recoleccion de Lavamanos en GAP Tlatelolco")</f>
        <v>PO-1066 Recoleccion de Lavamanos en GAP Tlatelolco</v>
      </c>
      <c r="K574" s="4" t="str">
        <f ca="1">IFERROR(__xludf.DUMMYFUNCTION("""COMPUTED_VALUE"""),"$190.0 reembolso realizado en Jeeves 01 nov 2024")</f>
        <v>$190.0 reembolso realizado en Jeeves 01 nov 2024</v>
      </c>
      <c r="S574" s="6">
        <v>308</v>
      </c>
      <c r="T574" s="4" t="e">
        <f t="shared" ca="1" si="3"/>
        <v>#N/A</v>
      </c>
    </row>
    <row r="575" spans="1:20" ht="12.5">
      <c r="A575" s="4" t="str">
        <f ca="1">IFERROR(__xludf.DUMMYFUNCTION("""COMPUTED_VALUE"""),"#N/A")</f>
        <v>#N/A</v>
      </c>
      <c r="B575" s="4"/>
      <c r="C575" s="4"/>
      <c r="D575" s="4" t="str">
        <f ca="1">IFERROR(__xludf.DUMMYFUNCTION("""COMPUTED_VALUE"""),"#N/A")</f>
        <v>#N/A</v>
      </c>
      <c r="E575" s="4" t="str">
        <f ca="1">IFERROR(__xludf.DUMMYFUNCTION("""COMPUTED_VALUE"""),"#N/A")</f>
        <v>#N/A</v>
      </c>
      <c r="F575" s="4" t="str">
        <f ca="1">IFERROR(__xludf.DUMMYFUNCTION("""COMPUTED_VALUE"""),"#N/A")</f>
        <v>#N/A</v>
      </c>
      <c r="G575" s="4" t="str">
        <f ca="1">IFERROR(__xludf.DUMMYFUNCTION("""COMPUTED_VALUE"""),"#N/A")</f>
        <v>#N/A</v>
      </c>
      <c r="H575" s="4"/>
      <c r="I575" s="4" t="str">
        <f ca="1">IFERROR(__xludf.DUMMYFUNCTION("""COMPUTED_VALUE"""),"Transaction cost")</f>
        <v>Transaction cost</v>
      </c>
      <c r="J575" s="4" t="str">
        <f ca="1">IFERROR(__xludf.DUMMYFUNCTION("""COMPUTED_VALUE"""),"PO1137 - INTERNET OBRA")</f>
        <v>PO1137 - INTERNET OBRA</v>
      </c>
      <c r="K575" s="4" t="str">
        <f ca="1">IFERROR(__xludf.DUMMYFUNCTION("""COMPUTED_VALUE"""),"151")</f>
        <v>151</v>
      </c>
      <c r="S575" s="6">
        <v>100</v>
      </c>
      <c r="T575" s="4" t="str">
        <f t="shared" ca="1" si="3"/>
        <v>Daniel Autrique Echeveste</v>
      </c>
    </row>
    <row r="576" spans="1:20" ht="12.5">
      <c r="A576" s="4" t="str">
        <f ca="1">IFERROR(__xludf.DUMMYFUNCTION("""COMPUTED_VALUE"""),"#N/A")</f>
        <v>#N/A</v>
      </c>
      <c r="B576" s="4"/>
      <c r="C576" s="4"/>
      <c r="D576" s="4" t="str">
        <f ca="1">IFERROR(__xludf.DUMMYFUNCTION("""COMPUTED_VALUE"""),"#N/A")</f>
        <v>#N/A</v>
      </c>
      <c r="E576" s="4" t="str">
        <f ca="1">IFERROR(__xludf.DUMMYFUNCTION("""COMPUTED_VALUE"""),"#N/A")</f>
        <v>#N/A</v>
      </c>
      <c r="F576" s="4" t="str">
        <f ca="1">IFERROR(__xludf.DUMMYFUNCTION("""COMPUTED_VALUE"""),"#N/A")</f>
        <v>#N/A</v>
      </c>
      <c r="G576" s="4" t="str">
        <f ca="1">IFERROR(__xludf.DUMMYFUNCTION("""COMPUTED_VALUE"""),"#N/A")</f>
        <v>#N/A</v>
      </c>
      <c r="H576" s="4"/>
      <c r="I576" s="4"/>
      <c r="J576" s="4"/>
      <c r="K576" s="4" t="str">
        <f ca="1">IFERROR(__xludf.DUMMYFUNCTION("""COMPUTED_VALUE"""),".")</f>
        <v>.</v>
      </c>
      <c r="S576" s="6">
        <v>911.63</v>
      </c>
      <c r="T576" s="4" t="e">
        <f t="shared" ca="1" si="3"/>
        <v>#N/A</v>
      </c>
    </row>
    <row r="577" spans="1:20" ht="12.5">
      <c r="A577" s="4" t="str">
        <f ca="1">IFERROR(__xludf.DUMMYFUNCTION("""COMPUTED_VALUE"""),"TRX1296")</f>
        <v>TRX1296</v>
      </c>
      <c r="B577" s="4" t="str">
        <f ca="1">IFERROR(__xludf.DUMMYFUNCTION("""COMPUTED_VALUE"""),"#64")</f>
        <v>#64</v>
      </c>
      <c r="C577" s="5">
        <f ca="1">IFERROR(__xludf.DUMMYFUNCTION("""COMPUTED_VALUE"""),46055.4166666666)</f>
        <v>46055.416666666599</v>
      </c>
      <c r="D577" s="6">
        <f ca="1">IFERROR(__xludf.DUMMYFUNCTION("""COMPUTED_VALUE"""),12000)</f>
        <v>12000</v>
      </c>
      <c r="E577" s="4" t="str">
        <f ca="1">IFERROR(__xludf.DUMMYFUNCTION("""COMPUTED_VALUE"""),"MXN")</f>
        <v>MXN</v>
      </c>
      <c r="F577" s="4" t="str">
        <f ca="1">IFERROR(__xludf.DUMMYFUNCTION("""COMPUTED_VALUE"""),"Jorge Rojas")</f>
        <v>Jorge Rojas</v>
      </c>
      <c r="G577" s="4" t="str">
        <f ca="1">IFERROR(__xludf.DUMMYFUNCTION("""COMPUTED_VALUE"""),"EUROPCAR WEB 2         BENITO JUAREZ MEX")</f>
        <v>EUROPCAR WEB 2         BENITO JUAREZ MEX</v>
      </c>
      <c r="H577" s="4" t="str">
        <f ca="1">IFERROR(__xludf.DUMMYFUNCTION("""COMPUTED_VALUE"""),"Europcar")</f>
        <v>Europcar</v>
      </c>
      <c r="I577" s="4" t="str">
        <f ca="1">IFERROR(__xludf.DUMMYFUNCTION("""COMPUTED_VALUE"""),"Europcar")</f>
        <v>Europcar</v>
      </c>
      <c r="J577" s="4" t="str">
        <f ca="1">IFERROR(__xludf.DUMMYFUNCTION("""COMPUTED_VALUE"""),"G&amp;A expenses")</f>
        <v>G&amp;A expenses</v>
      </c>
      <c r="K577" s="4" t="str">
        <f ca="1">IFERROR(__xludf.DUMMYFUNCTION("""COMPUTED_VALUE"""),"Alimentos")</f>
        <v>Alimentos</v>
      </c>
      <c r="S577" s="6">
        <v>280.95</v>
      </c>
      <c r="T577" s="4" t="e">
        <f t="shared" ca="1" si="3"/>
        <v>#N/A</v>
      </c>
    </row>
    <row r="578" spans="1:20" ht="12.5">
      <c r="A578" s="4" t="str">
        <f ca="1">IFERROR(__xludf.DUMMYFUNCTION("""COMPUTED_VALUE"""),"TRX1295")</f>
        <v>TRX1295</v>
      </c>
      <c r="B578" s="4" t="str">
        <f ca="1">IFERROR(__xludf.DUMMYFUNCTION("""COMPUTED_VALUE"""),"#64")</f>
        <v>#64</v>
      </c>
      <c r="C578" s="5">
        <f ca="1">IFERROR(__xludf.DUMMYFUNCTION("""COMPUTED_VALUE"""),46055.4166666666)</f>
        <v>46055.416666666599</v>
      </c>
      <c r="D578" s="6">
        <f ca="1">IFERROR(__xludf.DUMMYFUNCTION("""COMPUTED_VALUE"""),128.7)</f>
        <v>128.69999999999999</v>
      </c>
      <c r="E578" s="4" t="str">
        <f ca="1">IFERROR(__xludf.DUMMYFUNCTION("""COMPUTED_VALUE"""),"MXN")</f>
        <v>MXN</v>
      </c>
      <c r="F578" s="4" t="str">
        <f ca="1">IFERROR(__xludf.DUMMYFUNCTION("""COMPUTED_VALUE"""),"Jorge Rojas")</f>
        <v>Jorge Rojas</v>
      </c>
      <c r="G578" s="4" t="str">
        <f ca="1">IFERROR(__xludf.DUMMYFUNCTION("""COMPUTED_VALUE"""),"WALMART LOMAS STA FE   TIJUANA BCN   MEX")</f>
        <v>WALMART LOMAS STA FE   TIJUANA BCN   MEX</v>
      </c>
      <c r="H578" s="4" t="str">
        <f ca="1">IFERROR(__xludf.DUMMYFUNCTION("""COMPUTED_VALUE"""),"Walmart")</f>
        <v>Walmart</v>
      </c>
      <c r="I578" s="4" t="str">
        <f ca="1">IFERROR(__xludf.DUMMYFUNCTION("""COMPUTED_VALUE"""),"Walmart")</f>
        <v>Walmart</v>
      </c>
      <c r="J578" s="4" t="str">
        <f ca="1">IFERROR(__xludf.DUMMYFUNCTION("""COMPUTED_VALUE"""),"G&amp;A expenses")</f>
        <v>G&amp;A expenses</v>
      </c>
      <c r="K578" s="4" t="str">
        <f ca="1">IFERROR(__xludf.DUMMYFUNCTION("""COMPUTED_VALUE"""),"Consumibles")</f>
        <v>Consumibles</v>
      </c>
      <c r="S578" s="6">
        <v>65.83</v>
      </c>
      <c r="T578" s="4" t="e">
        <f t="shared" ca="1" si="3"/>
        <v>#N/A</v>
      </c>
    </row>
    <row r="579" spans="1:20" ht="12.5">
      <c r="A579" s="4" t="str">
        <f ca="1">IFERROR(__xludf.DUMMYFUNCTION("""COMPUTED_VALUE"""),"TRX1293")</f>
        <v>TRX1293</v>
      </c>
      <c r="B579" s="4" t="str">
        <f ca="1">IFERROR(__xludf.DUMMYFUNCTION("""COMPUTED_VALUE"""),"#64")</f>
        <v>#64</v>
      </c>
      <c r="C579" s="5">
        <f ca="1">IFERROR(__xludf.DUMMYFUNCTION("""COMPUTED_VALUE"""),46055.4166666666)</f>
        <v>46055.416666666599</v>
      </c>
      <c r="D579" s="6">
        <f ca="1">IFERROR(__xludf.DUMMYFUNCTION("""COMPUTED_VALUE"""),1537)</f>
        <v>1537</v>
      </c>
      <c r="E579" s="4" t="str">
        <f ca="1">IFERROR(__xludf.DUMMYFUNCTION("""COMPUTED_VALUE"""),"MXN")</f>
        <v>MXN</v>
      </c>
      <c r="F579" s="4" t="str">
        <f ca="1">IFERROR(__xludf.DUMMYFUNCTION("""COMPUTED_VALUE"""),"Jorge Rojas")</f>
        <v>Jorge Rojas</v>
      </c>
      <c r="G579" s="4" t="str">
        <f ca="1">IFERROR(__xludf.DUMMYFUNCTION("""COMPUTED_VALUE"""),"SUPERCENTER TIJUANA HI TIJUANA BCN   MEX")</f>
        <v>SUPERCENTER TIJUANA HI TIJUANA BCN   MEX</v>
      </c>
      <c r="H579" s="4" t="str">
        <f ca="1">IFERROR(__xludf.DUMMYFUNCTION("""COMPUTED_VALUE"""),"Supercenter Tijuana Hi Tijuana Bcn Mex")</f>
        <v>Supercenter Tijuana Hi Tijuana Bcn Mex</v>
      </c>
      <c r="I579" s="4" t="str">
        <f ca="1">IFERROR(__xludf.DUMMYFUNCTION("""COMPUTED_VALUE"""),"Supercenter Tijuana Hi Tijuana Bcn Mex")</f>
        <v>Supercenter Tijuana Hi Tijuana Bcn Mex</v>
      </c>
      <c r="J579" s="4" t="str">
        <f ca="1">IFERROR(__xludf.DUMMYFUNCTION("""COMPUTED_VALUE"""),"G&amp;A expenses")</f>
        <v>G&amp;A expenses</v>
      </c>
      <c r="K579" s="4" t="str">
        <f ca="1">IFERROR(__xludf.DUMMYFUNCTION("""COMPUTED_VALUE"""),"Agua")</f>
        <v>Agua</v>
      </c>
      <c r="S579" s="6">
        <v>160.74</v>
      </c>
      <c r="T579" s="4" t="e">
        <f t="shared" ca="1" si="3"/>
        <v>#N/A</v>
      </c>
    </row>
    <row r="580" spans="1:20" ht="12.5">
      <c r="A580" s="4" t="str">
        <f ca="1">IFERROR(__xludf.DUMMYFUNCTION("""COMPUTED_VALUE"""),"TRX1290")</f>
        <v>TRX1290</v>
      </c>
      <c r="B580" s="4" t="str">
        <f ca="1">IFERROR(__xludf.DUMMYFUNCTION("""COMPUTED_VALUE"""),"#64")</f>
        <v>#64</v>
      </c>
      <c r="C580" s="5">
        <f ca="1">IFERROR(__xludf.DUMMYFUNCTION("""COMPUTED_VALUE"""),46056.4166666666)</f>
        <v>46056.416666666599</v>
      </c>
      <c r="D580" s="6">
        <f ca="1">IFERROR(__xludf.DUMMYFUNCTION("""COMPUTED_VALUE"""),175)</f>
        <v>175</v>
      </c>
      <c r="E580" s="4" t="str">
        <f ca="1">IFERROR(__xludf.DUMMYFUNCTION("""COMPUTED_VALUE"""),"MXN")</f>
        <v>MXN</v>
      </c>
      <c r="F580" s="4" t="str">
        <f ca="1">IFERROR(__xludf.DUMMYFUNCTION("""COMPUTED_VALUE"""),"Jorge Rojas")</f>
        <v>Jorge Rojas</v>
      </c>
      <c r="G580" s="4" t="str">
        <f ca="1">IFERROR(__xludf.DUMMYFUNCTION("""COMPUTED_VALUE"""),"CLIP MX*SUPER BARRA LI TIJUANA       MEX")</f>
        <v>CLIP MX*SUPER BARRA LI TIJUANA       MEX</v>
      </c>
      <c r="H580" s="4" t="str">
        <f ca="1">IFERROR(__xludf.DUMMYFUNCTION("""COMPUTED_VALUE"""),"Super Mex")</f>
        <v>Super Mex</v>
      </c>
      <c r="I580" s="4" t="str">
        <f ca="1">IFERROR(__xludf.DUMMYFUNCTION("""COMPUTED_VALUE"""),"Super Mex")</f>
        <v>Super Mex</v>
      </c>
      <c r="J580" s="4" t="str">
        <f ca="1">IFERROR(__xludf.DUMMYFUNCTION("""COMPUTED_VALUE"""),"G&amp;A expenses")</f>
        <v>G&amp;A expenses</v>
      </c>
      <c r="K580" s="4" t="str">
        <f ca="1">IFERROR(__xludf.DUMMYFUNCTION("""COMPUTED_VALUE"""),"Alimentos")</f>
        <v>Alimentos</v>
      </c>
      <c r="S580" s="6">
        <v>89.93</v>
      </c>
      <c r="T580" s="4" t="e">
        <f t="shared" ca="1" si="3"/>
        <v>#N/A</v>
      </c>
    </row>
    <row r="581" spans="1:20" ht="12.5">
      <c r="A581" s="4" t="str">
        <f ca="1">IFERROR(__xludf.DUMMYFUNCTION("""COMPUTED_VALUE"""),"TRX1287")</f>
        <v>TRX1287</v>
      </c>
      <c r="B581" s="4" t="str">
        <f ca="1">IFERROR(__xludf.DUMMYFUNCTION("""COMPUTED_VALUE"""),"#64")</f>
        <v>#64</v>
      </c>
      <c r="C581" s="5">
        <f ca="1">IFERROR(__xludf.DUMMYFUNCTION("""COMPUTED_VALUE"""),46056.4166666666)</f>
        <v>46056.416666666599</v>
      </c>
      <c r="D581" s="6">
        <f ca="1">IFERROR(__xludf.DUMMYFUNCTION("""COMPUTED_VALUE"""),538.63)</f>
        <v>538.63</v>
      </c>
      <c r="E581" s="4" t="str">
        <f ca="1">IFERROR(__xludf.DUMMYFUNCTION("""COMPUTED_VALUE"""),"MXN")</f>
        <v>MXN</v>
      </c>
      <c r="F581" s="4" t="str">
        <f ca="1">IFERROR(__xludf.DUMMYFUNCTION("""COMPUTED_VALUE"""),"Jorge Rojas")</f>
        <v>Jorge Rojas</v>
      </c>
      <c r="G581" s="4" t="str">
        <f ca="1">IFERROR(__xludf.DUMMYFUNCTION("""COMPUTED_VALUE"""),"DLO*Uber eats          CDMX          MEX")</f>
        <v>DLO*Uber eats          CDMX          MEX</v>
      </c>
      <c r="H581" s="4" t="str">
        <f ca="1">IFERROR(__xludf.DUMMYFUNCTION("""COMPUTED_VALUE"""),"Uber Eats")</f>
        <v>Uber Eats</v>
      </c>
      <c r="I581" s="4" t="str">
        <f ca="1">IFERROR(__xludf.DUMMYFUNCTION("""COMPUTED_VALUE"""),"Uber Eats")</f>
        <v>Uber Eats</v>
      </c>
      <c r="J581" s="4" t="str">
        <f ca="1">IFERROR(__xludf.DUMMYFUNCTION("""COMPUTED_VALUE"""),"G&amp;A expenses")</f>
        <v>G&amp;A expenses</v>
      </c>
      <c r="K581" s="4" t="str">
        <f ca="1">IFERROR(__xludf.DUMMYFUNCTION("""COMPUTED_VALUE"""),"Alimentos")</f>
        <v>Alimentos</v>
      </c>
      <c r="S581" s="6">
        <v>79.97</v>
      </c>
      <c r="T581" s="4" t="e">
        <f t="shared" ca="1" si="3"/>
        <v>#N/A</v>
      </c>
    </row>
    <row r="582" spans="1:20" ht="12.5">
      <c r="A582" s="4" t="str">
        <f ca="1">IFERROR(__xludf.DUMMYFUNCTION("""COMPUTED_VALUE"""),"TRX1284")</f>
        <v>TRX1284</v>
      </c>
      <c r="B582" s="4" t="str">
        <f ca="1">IFERROR(__xludf.DUMMYFUNCTION("""COMPUTED_VALUE"""),"#64")</f>
        <v>#64</v>
      </c>
      <c r="C582" s="5">
        <f ca="1">IFERROR(__xludf.DUMMYFUNCTION("""COMPUTED_VALUE"""),46056.4166666666)</f>
        <v>46056.416666666599</v>
      </c>
      <c r="D582" s="6">
        <f ca="1">IFERROR(__xludf.DUMMYFUNCTION("""COMPUTED_VALUE"""),3626.74)</f>
        <v>3626.74</v>
      </c>
      <c r="E582" s="4" t="str">
        <f ca="1">IFERROR(__xludf.DUMMYFUNCTION("""COMPUTED_VALUE"""),"MXN")</f>
        <v>MXN</v>
      </c>
      <c r="F582" s="4" t="str">
        <f ca="1">IFERROR(__xludf.DUMMYFUNCTION("""COMPUTED_VALUE"""),"Jorge Rojas")</f>
        <v>Jorge Rojas</v>
      </c>
      <c r="G582" s="4" t="str">
        <f ca="1">IFERROR(__xludf.DUMMYFUNCTION("""COMPUTED_VALUE"""),"AIRBNB * HM4BMJSNK4    LONDON        GBR")</f>
        <v>AIRBNB * HM4BMJSNK4    LONDON        GBR</v>
      </c>
      <c r="H582" s="4" t="str">
        <f ca="1">IFERROR(__xludf.DUMMYFUNCTION("""COMPUTED_VALUE"""),"Airbnb")</f>
        <v>Airbnb</v>
      </c>
      <c r="I582" s="4" t="str">
        <f ca="1">IFERROR(__xludf.DUMMYFUNCTION("""COMPUTED_VALUE"""),"Airbnb")</f>
        <v>Airbnb</v>
      </c>
      <c r="J582" s="4" t="str">
        <f ca="1">IFERROR(__xludf.DUMMYFUNCTION("""COMPUTED_VALUE"""),"Recruiting")</f>
        <v>Recruiting</v>
      </c>
      <c r="K582" s="4" t="str">
        <f ca="1">IFERROR(__xludf.DUMMYFUNCTION("""COMPUTED_VALUE"""),"Consumibles")</f>
        <v>Consumibles</v>
      </c>
      <c r="S582" s="6">
        <v>1712.37</v>
      </c>
      <c r="T582" s="4" t="e">
        <f t="shared" ca="1" si="3"/>
        <v>#N/A</v>
      </c>
    </row>
    <row r="583" spans="1:20" ht="12.5">
      <c r="A583" s="4" t="str">
        <f ca="1">IFERROR(__xludf.DUMMYFUNCTION("""COMPUTED_VALUE"""),"TRX1276")</f>
        <v>TRX1276</v>
      </c>
      <c r="B583" s="4" t="str">
        <f ca="1">IFERROR(__xludf.DUMMYFUNCTION("""COMPUTED_VALUE"""),"#64")</f>
        <v>#64</v>
      </c>
      <c r="C583" s="5">
        <f ca="1">IFERROR(__xludf.DUMMYFUNCTION("""COMPUTED_VALUE"""),46057.4166666666)</f>
        <v>46057.416666666599</v>
      </c>
      <c r="D583" s="6">
        <f ca="1">IFERROR(__xludf.DUMMYFUNCTION("""COMPUTED_VALUE"""),529.97)</f>
        <v>529.97</v>
      </c>
      <c r="E583" s="4" t="str">
        <f ca="1">IFERROR(__xludf.DUMMYFUNCTION("""COMPUTED_VALUE"""),"MXN")</f>
        <v>MXN</v>
      </c>
      <c r="F583" s="4" t="str">
        <f ca="1">IFERROR(__xludf.DUMMYFUNCTION("""COMPUTED_VALUE"""),"Jorge Rojas")</f>
        <v>Jorge Rojas</v>
      </c>
      <c r="G583" s="4" t="str">
        <f ca="1">IFERROR(__xludf.DUMMYFUNCTION("""COMPUTED_VALUE"""),"UBER * EATS PENDING    CMX           MEX")</f>
        <v>UBER * EATS PENDING    CMX           MEX</v>
      </c>
      <c r="H583" s="4" t="str">
        <f ca="1">IFERROR(__xludf.DUMMYFUNCTION("""COMPUTED_VALUE"""),"Uber Eats")</f>
        <v>Uber Eats</v>
      </c>
      <c r="I583" s="4" t="str">
        <f ca="1">IFERROR(__xludf.DUMMYFUNCTION("""COMPUTED_VALUE"""),"Uber Eats")</f>
        <v>Uber Eats</v>
      </c>
      <c r="J583" s="4" t="str">
        <f ca="1">IFERROR(__xludf.DUMMYFUNCTION("""COMPUTED_VALUE"""),"Recruiting")</f>
        <v>Recruiting</v>
      </c>
      <c r="K583" s="4" t="str">
        <f ca="1">IFERROR(__xludf.DUMMYFUNCTION("""COMPUTED_VALUE"""),"Alimentos")</f>
        <v>Alimentos</v>
      </c>
      <c r="S583" s="6">
        <v>207</v>
      </c>
      <c r="T583" s="4" t="e">
        <f t="shared" ca="1" si="3"/>
        <v>#N/A</v>
      </c>
    </row>
    <row r="584" spans="1:20" ht="12.5">
      <c r="A584" s="4" t="str">
        <f ca="1">IFERROR(__xludf.DUMMYFUNCTION("""COMPUTED_VALUE"""),"TRX1218")</f>
        <v>TRX1218</v>
      </c>
      <c r="B584" s="4" t="str">
        <f ca="1">IFERROR(__xludf.DUMMYFUNCTION("""COMPUTED_VALUE"""),"#64")</f>
        <v>#64</v>
      </c>
      <c r="C584" s="5">
        <f ca="1">IFERROR(__xludf.DUMMYFUNCTION("""COMPUTED_VALUE"""),46058.4173611111)</f>
        <v>46058.417361111096</v>
      </c>
      <c r="D584" s="6">
        <f ca="1">IFERROR(__xludf.DUMMYFUNCTION("""COMPUTED_VALUE"""),380)</f>
        <v>380</v>
      </c>
      <c r="E584" s="4" t="str">
        <f ca="1">IFERROR(__xludf.DUMMYFUNCTION("""COMPUTED_VALUE"""),"MXN")</f>
        <v>MXN</v>
      </c>
      <c r="F584" s="4" t="str">
        <f ca="1">IFERROR(__xludf.DUMMYFUNCTION("""COMPUTED_VALUE"""),"Jorge Rojas")</f>
        <v>Jorge Rojas</v>
      </c>
      <c r="G584" s="4" t="str">
        <f ca="1">IFERROR(__xludf.DUMMYFUNCTION("""COMPUTED_VALUE"""),"CLIP MX*SUPER BARRA LI TIJUANA       MEX")</f>
        <v>CLIP MX*SUPER BARRA LI TIJUANA       MEX</v>
      </c>
      <c r="H584" s="4" t="str">
        <f ca="1">IFERROR(__xludf.DUMMYFUNCTION("""COMPUTED_VALUE"""),"Super Mex")</f>
        <v>Super Mex</v>
      </c>
      <c r="I584" s="4" t="str">
        <f ca="1">IFERROR(__xludf.DUMMYFUNCTION("""COMPUTED_VALUE"""),"Super Mex")</f>
        <v>Super Mex</v>
      </c>
      <c r="J584" s="4" t="str">
        <f ca="1">IFERROR(__xludf.DUMMYFUNCTION("""COMPUTED_VALUE"""),"Recruiting")</f>
        <v>Recruiting</v>
      </c>
      <c r="K584" s="4" t="str">
        <f ca="1">IFERROR(__xludf.DUMMYFUNCTION("""COMPUTED_VALUE"""),"Consumibles")</f>
        <v>Consumibles</v>
      </c>
      <c r="S584" s="6">
        <v>253.41</v>
      </c>
      <c r="T584" s="4" t="e">
        <f t="shared" ca="1" si="3"/>
        <v>#N/A</v>
      </c>
    </row>
    <row r="585" spans="1:20" ht="12.5">
      <c r="A585" s="4" t="str">
        <f ca="1">IFERROR(__xludf.DUMMYFUNCTION("""COMPUTED_VALUE"""),"TRX1215")</f>
        <v>TRX1215</v>
      </c>
      <c r="B585" s="4" t="str">
        <f ca="1">IFERROR(__xludf.DUMMYFUNCTION("""COMPUTED_VALUE"""),"#64")</f>
        <v>#64</v>
      </c>
      <c r="C585" s="5">
        <f ca="1">IFERROR(__xludf.DUMMYFUNCTION("""COMPUTED_VALUE"""),46058.4173611111)</f>
        <v>46058.417361111096</v>
      </c>
      <c r="D585" s="6">
        <f ca="1">IFERROR(__xludf.DUMMYFUNCTION("""COMPUTED_VALUE"""),233.15)</f>
        <v>233.15</v>
      </c>
      <c r="E585" s="4" t="str">
        <f ca="1">IFERROR(__xludf.DUMMYFUNCTION("""COMPUTED_VALUE"""),"MXN")</f>
        <v>MXN</v>
      </c>
      <c r="F585" s="4" t="str">
        <f ca="1">IFERROR(__xludf.DUMMYFUNCTION("""COMPUTED_VALUE"""),"Jorge Rojas")</f>
        <v>Jorge Rojas</v>
      </c>
      <c r="G585" s="4" t="str">
        <f ca="1">IFERROR(__xludf.DUMMYFUNCTION("""COMPUTED_VALUE"""),"WALMART LOMAS STA FE   TIJUANA BCN   MEX")</f>
        <v>WALMART LOMAS STA FE   TIJUANA BCN   MEX</v>
      </c>
      <c r="H585" s="4" t="str">
        <f ca="1">IFERROR(__xludf.DUMMYFUNCTION("""COMPUTED_VALUE"""),"Walmart")</f>
        <v>Walmart</v>
      </c>
      <c r="I585" s="4" t="str">
        <f ca="1">IFERROR(__xludf.DUMMYFUNCTION("""COMPUTED_VALUE"""),"Walmart")</f>
        <v>Walmart</v>
      </c>
      <c r="J585" s="4" t="str">
        <f ca="1">IFERROR(__xludf.DUMMYFUNCTION("""COMPUTED_VALUE"""),"Recruiting")</f>
        <v>Recruiting</v>
      </c>
      <c r="K585" s="4" t="str">
        <f ca="1">IFERROR(__xludf.DUMMYFUNCTION("""COMPUTED_VALUE"""),"Alimentos")</f>
        <v>Alimentos</v>
      </c>
      <c r="S585" s="6">
        <v>3697.25</v>
      </c>
      <c r="T585" s="4" t="e">
        <f t="shared" ca="1" si="3"/>
        <v>#N/A</v>
      </c>
    </row>
    <row r="586" spans="1:20" ht="12.5">
      <c r="A586" s="4" t="str">
        <f ca="1">IFERROR(__xludf.DUMMYFUNCTION("""COMPUTED_VALUE"""),"TRX1205")</f>
        <v>TRX1205</v>
      </c>
      <c r="B586" s="4" t="str">
        <f ca="1">IFERROR(__xludf.DUMMYFUNCTION("""COMPUTED_VALUE"""),"#64")</f>
        <v>#64</v>
      </c>
      <c r="C586" s="5">
        <f ca="1">IFERROR(__xludf.DUMMYFUNCTION("""COMPUTED_VALUE"""),46058.4173611111)</f>
        <v>46058.417361111096</v>
      </c>
      <c r="D586" s="6">
        <f ca="1">IFERROR(__xludf.DUMMYFUNCTION("""COMPUTED_VALUE"""),54)</f>
        <v>54</v>
      </c>
      <c r="E586" s="4" t="str">
        <f ca="1">IFERROR(__xludf.DUMMYFUNCTION("""COMPUTED_VALUE"""),"MXN")</f>
        <v>MXN</v>
      </c>
      <c r="F586" s="4" t="str">
        <f ca="1">IFERROR(__xludf.DUMMYFUNCTION("""COMPUTED_VALUE"""),"Jorge Rojas")</f>
        <v>Jorge Rojas</v>
      </c>
      <c r="G586" s="4" t="str">
        <f ca="1">IFERROR(__xludf.DUMMYFUNCTION("""COMPUTED_VALUE"""),"WALMART LOMAS STA FE   TIJUANA BCN   MEX")</f>
        <v>WALMART LOMAS STA FE   TIJUANA BCN   MEX</v>
      </c>
      <c r="H586" s="4" t="str">
        <f ca="1">IFERROR(__xludf.DUMMYFUNCTION("""COMPUTED_VALUE"""),"Walmart")</f>
        <v>Walmart</v>
      </c>
      <c r="I586" s="4" t="str">
        <f ca="1">IFERROR(__xludf.DUMMYFUNCTION("""COMPUTED_VALUE"""),"Walmart")</f>
        <v>Walmart</v>
      </c>
      <c r="J586" s="4" t="str">
        <f ca="1">IFERROR(__xludf.DUMMYFUNCTION("""COMPUTED_VALUE"""),"Recruiting")</f>
        <v>Recruiting</v>
      </c>
      <c r="K586" s="4" t="str">
        <f ca="1">IFERROR(__xludf.DUMMYFUNCTION("""COMPUTED_VALUE"""),"Transporte")</f>
        <v>Transporte</v>
      </c>
      <c r="S586" s="6">
        <v>410</v>
      </c>
      <c r="T586" s="4" t="str">
        <f t="shared" ca="1" si="3"/>
        <v>Karen Alexandra Ballesteros Contreras</v>
      </c>
    </row>
    <row r="587" spans="1:20" ht="12.5">
      <c r="A587" s="4" t="str">
        <f ca="1">IFERROR(__xludf.DUMMYFUNCTION("""COMPUTED_VALUE"""),"TRX1196")</f>
        <v>TRX1196</v>
      </c>
      <c r="B587" s="4" t="str">
        <f ca="1">IFERROR(__xludf.DUMMYFUNCTION("""COMPUTED_VALUE"""),"#64")</f>
        <v>#64</v>
      </c>
      <c r="C587" s="5">
        <f ca="1">IFERROR(__xludf.DUMMYFUNCTION("""COMPUTED_VALUE"""),46058.4173611111)</f>
        <v>46058.417361111096</v>
      </c>
      <c r="D587" s="6">
        <f ca="1">IFERROR(__xludf.DUMMYFUNCTION("""COMPUTED_VALUE"""),2290)</f>
        <v>2290</v>
      </c>
      <c r="E587" s="4" t="str">
        <f ca="1">IFERROR(__xludf.DUMMYFUNCTION("""COMPUTED_VALUE"""),"MXN")</f>
        <v>MXN</v>
      </c>
      <c r="F587" s="4" t="str">
        <f ca="1">IFERROR(__xludf.DUMMYFUNCTION("""COMPUTED_VALUE"""),"Jorge Rojas")</f>
        <v>Jorge Rojas</v>
      </c>
      <c r="G587" s="4" t="str">
        <f ca="1">IFERROR(__xludf.DUMMYFUNCTION("""COMPUTED_VALUE"""),"FERR EXPRESS CEDROS    TIJUANA BCN   MEX")</f>
        <v>FERR EXPRESS CEDROS    TIJUANA BCN   MEX</v>
      </c>
      <c r="H587" s="4" t="str">
        <f ca="1">IFERROR(__xludf.DUMMYFUNCTION("""COMPUTED_VALUE"""),"Ferr Express Cedros Tijuana Bcn Mex")</f>
        <v>Ferr Express Cedros Tijuana Bcn Mex</v>
      </c>
      <c r="I587" s="4" t="str">
        <f ca="1">IFERROR(__xludf.DUMMYFUNCTION("""COMPUTED_VALUE"""),"Ferr Express Cedros Tijuana Bcn Mex")</f>
        <v>Ferr Express Cedros Tijuana Bcn Mex</v>
      </c>
      <c r="J587" s="4" t="str">
        <f ca="1">IFERROR(__xludf.DUMMYFUNCTION("""COMPUTED_VALUE"""),"Capex")</f>
        <v>Capex</v>
      </c>
      <c r="K587" s="4" t="str">
        <f ca="1">IFERROR(__xludf.DUMMYFUNCTION("""COMPUTED_VALUE"""),"Alimentos")</f>
        <v>Alimentos</v>
      </c>
      <c r="S587" s="6">
        <v>348.65</v>
      </c>
      <c r="T587" s="4" t="e">
        <f t="shared" ca="1" si="3"/>
        <v>#N/A</v>
      </c>
    </row>
    <row r="588" spans="1:20" ht="12.5">
      <c r="A588" s="4" t="str">
        <f ca="1">IFERROR(__xludf.DUMMYFUNCTION("""COMPUTED_VALUE"""),"TRX1153")</f>
        <v>TRX1153</v>
      </c>
      <c r="B588" s="4" t="str">
        <f ca="1">IFERROR(__xludf.DUMMYFUNCTION("""COMPUTED_VALUE"""),"#64")</f>
        <v>#64</v>
      </c>
      <c r="C588" s="5">
        <f ca="1">IFERROR(__xludf.DUMMYFUNCTION("""COMPUTED_VALUE"""),46059.4173611111)</f>
        <v>46059.417361111096</v>
      </c>
      <c r="D588" s="6">
        <f ca="1">IFERROR(__xludf.DUMMYFUNCTION("""COMPUTED_VALUE"""),300)</f>
        <v>300</v>
      </c>
      <c r="E588" s="4" t="str">
        <f ca="1">IFERROR(__xludf.DUMMYFUNCTION("""COMPUTED_VALUE"""),"MXN")</f>
        <v>MXN</v>
      </c>
      <c r="F588" s="4" t="str">
        <f ca="1">IFERROR(__xludf.DUMMYFUNCTION("""COMPUTED_VALUE"""),"Jorge Rojas")</f>
        <v>Jorge Rojas</v>
      </c>
      <c r="G588" s="4" t="str">
        <f ca="1">IFERROR(__xludf.DUMMYFUNCTION("""COMPUTED_VALUE"""),"CLIP MX*SUPER BARRA LI TIJUANA       MEX")</f>
        <v>CLIP MX*SUPER BARRA LI TIJUANA       MEX</v>
      </c>
      <c r="H588" s="4" t="str">
        <f ca="1">IFERROR(__xludf.DUMMYFUNCTION("""COMPUTED_VALUE"""),"Super Mex")</f>
        <v>Super Mex</v>
      </c>
      <c r="I588" s="4" t="str">
        <f ca="1">IFERROR(__xludf.DUMMYFUNCTION("""COMPUTED_VALUE"""),"Super Mex")</f>
        <v>Super Mex</v>
      </c>
      <c r="J588" s="4" t="str">
        <f ca="1">IFERROR(__xludf.DUMMYFUNCTION("""COMPUTED_VALUE"""),"Recruiting")</f>
        <v>Recruiting</v>
      </c>
      <c r="K588" s="4" t="str">
        <f ca="1">IFERROR(__xludf.DUMMYFUNCTION("""COMPUTED_VALUE"""),"Comida con equipo emacsa")</f>
        <v>Comida con equipo emacsa</v>
      </c>
      <c r="S588" s="6">
        <v>372.72</v>
      </c>
      <c r="T588" s="4" t="e">
        <f t="shared" ca="1" si="3"/>
        <v>#N/A</v>
      </c>
    </row>
    <row r="589" spans="1:20" ht="12.5">
      <c r="A589" s="4" t="str">
        <f ca="1">IFERROR(__xludf.DUMMYFUNCTION("""COMPUTED_VALUE"""),"TRX1547")</f>
        <v>TRX1547</v>
      </c>
      <c r="B589" s="4" t="str">
        <f ca="1">IFERROR(__xludf.DUMMYFUNCTION("""COMPUTED_VALUE"""),"#64")</f>
        <v>#64</v>
      </c>
      <c r="C589" s="5">
        <f ca="1">IFERROR(__xludf.DUMMYFUNCTION("""COMPUTED_VALUE"""),46059.4173611111)</f>
        <v>46059.417361111096</v>
      </c>
      <c r="D589" s="6">
        <f ca="1">IFERROR(__xludf.DUMMYFUNCTION("""COMPUTED_VALUE"""),37.9)</f>
        <v>37.9</v>
      </c>
      <c r="E589" s="4" t="str">
        <f ca="1">IFERROR(__xludf.DUMMYFUNCTION("""COMPUTED_VALUE"""),"MXN")</f>
        <v>MXN</v>
      </c>
      <c r="F589" s="4" t="str">
        <f ca="1">IFERROR(__xludf.DUMMYFUNCTION("""COMPUTED_VALUE"""),"Jorge Rojas")</f>
        <v>Jorge Rojas</v>
      </c>
      <c r="G589" s="4" t="str">
        <f ca="1">IFERROR(__xludf.DUMMYFUNCTION("""COMPUTED_VALUE"""),"WALMART LOMAS STA FE   TIJUANA BCN   MEX")</f>
        <v>WALMART LOMAS STA FE   TIJUANA BCN   MEX</v>
      </c>
      <c r="H589" s="4" t="str">
        <f ca="1">IFERROR(__xludf.DUMMYFUNCTION("""COMPUTED_VALUE"""),"Walmart")</f>
        <v>Walmart</v>
      </c>
      <c r="I589" s="4" t="str">
        <f ca="1">IFERROR(__xludf.DUMMYFUNCTION("""COMPUTED_VALUE"""),"Walmart")</f>
        <v>Walmart</v>
      </c>
      <c r="J589" s="4" t="str">
        <f ca="1">IFERROR(__xludf.DUMMYFUNCTION("""COMPUTED_VALUE"""),"Recruiting")</f>
        <v>Recruiting</v>
      </c>
      <c r="K589" s="4" t="str">
        <f ca="1">IFERROR(__xludf.DUMMYFUNCTION("""COMPUTED_VALUE"""),"Alimentos")</f>
        <v>Alimentos</v>
      </c>
      <c r="S589" s="6">
        <v>239.96</v>
      </c>
      <c r="T589" s="4" t="e">
        <f t="shared" ca="1" si="3"/>
        <v>#N/A</v>
      </c>
    </row>
    <row r="590" spans="1:20" ht="12.5">
      <c r="A590" s="4" t="str">
        <f ca="1">IFERROR(__xludf.DUMMYFUNCTION("""COMPUTED_VALUE"""),"TRX1470")</f>
        <v>TRX1470</v>
      </c>
      <c r="B590" s="4" t="str">
        <f ca="1">IFERROR(__xludf.DUMMYFUNCTION("""COMPUTED_VALUE"""),"#64")</f>
        <v>#64</v>
      </c>
      <c r="C590" s="5">
        <f ca="1">IFERROR(__xludf.DUMMYFUNCTION("""COMPUTED_VALUE"""),46059.4173611111)</f>
        <v>46059.417361111096</v>
      </c>
      <c r="D590" s="6">
        <f ca="1">IFERROR(__xludf.DUMMYFUNCTION("""COMPUTED_VALUE"""),110)</f>
        <v>110</v>
      </c>
      <c r="E590" s="4" t="str">
        <f ca="1">IFERROR(__xludf.DUMMYFUNCTION("""COMPUTED_VALUE"""),"MXN")</f>
        <v>MXN</v>
      </c>
      <c r="F590" s="4" t="str">
        <f ca="1">IFERROR(__xludf.DUMMYFUNCTION("""COMPUTED_VALUE"""),"Jorge Rojas")</f>
        <v>Jorge Rojas</v>
      </c>
      <c r="G590" s="4" t="str">
        <f ca="1">IFERROR(__xludf.DUMMYFUNCTION("""COMPUTED_VALUE"""),"WALMART LOMAS STA FE   TIJUANA BCN   MEX")</f>
        <v>WALMART LOMAS STA FE   TIJUANA BCN   MEX</v>
      </c>
      <c r="H590" s="4" t="str">
        <f ca="1">IFERROR(__xludf.DUMMYFUNCTION("""COMPUTED_VALUE"""),"Walmart")</f>
        <v>Walmart</v>
      </c>
      <c r="I590" s="4" t="str">
        <f ca="1">IFERROR(__xludf.DUMMYFUNCTION("""COMPUTED_VALUE"""),"Walmart")</f>
        <v>Walmart</v>
      </c>
      <c r="J590" s="4" t="str">
        <f ca="1">IFERROR(__xludf.DUMMYFUNCTION("""COMPUTED_VALUE"""),"G&amp;A expenses")</f>
        <v>G&amp;A expenses</v>
      </c>
      <c r="K590" s="4" t="str">
        <f ca="1">IFERROR(__xludf.DUMMYFUNCTION("""COMPUTED_VALUE"""),"Alimentos")</f>
        <v>Alimentos</v>
      </c>
      <c r="S590" s="6">
        <v>387.14</v>
      </c>
      <c r="T590" s="4" t="e">
        <f t="shared" ca="1" si="3"/>
        <v>#N/A</v>
      </c>
    </row>
    <row r="591" spans="1:20" ht="12.5">
      <c r="A591" s="4" t="str">
        <f ca="1">IFERROR(__xludf.DUMMYFUNCTION("""COMPUTED_VALUE"""),"TRX1950")</f>
        <v>TRX1950</v>
      </c>
      <c r="B591" s="4" t="str">
        <f ca="1">IFERROR(__xludf.DUMMYFUNCTION("""COMPUTED_VALUE"""),"#64")</f>
        <v>#64</v>
      </c>
      <c r="C591" s="5">
        <f ca="1">IFERROR(__xludf.DUMMYFUNCTION("""COMPUTED_VALUE"""),46060.4166666666)</f>
        <v>46060.416666666599</v>
      </c>
      <c r="D591" s="6">
        <f ca="1">IFERROR(__xludf.DUMMYFUNCTION("""COMPUTED_VALUE"""),627.73)</f>
        <v>627.73</v>
      </c>
      <c r="E591" s="4" t="str">
        <f ca="1">IFERROR(__xludf.DUMMYFUNCTION("""COMPUTED_VALUE"""),"MXN")</f>
        <v>MXN</v>
      </c>
      <c r="F591" s="4" t="str">
        <f ca="1">IFERROR(__xludf.DUMMYFUNCTION("""COMPUTED_VALUE"""),"Jorge Rojas")</f>
        <v>Jorge Rojas</v>
      </c>
      <c r="G591" s="4" t="str">
        <f ca="1">IFERROR(__xludf.DUMMYFUNCTION("""COMPUTED_VALUE"""),"UBER * EATS PENDING    CMX           MEX")</f>
        <v>UBER * EATS PENDING    CMX           MEX</v>
      </c>
      <c r="H591" s="4" t="str">
        <f ca="1">IFERROR(__xludf.DUMMYFUNCTION("""COMPUTED_VALUE"""),"Uber Eats")</f>
        <v>Uber Eats</v>
      </c>
      <c r="I591" s="4" t="str">
        <f ca="1">IFERROR(__xludf.DUMMYFUNCTION("""COMPUTED_VALUE"""),"Uber Eats")</f>
        <v>Uber Eats</v>
      </c>
      <c r="J591" s="4" t="str">
        <f ca="1">IFERROR(__xludf.DUMMYFUNCTION("""COMPUTED_VALUE"""),"Office expenses")</f>
        <v>Office expenses</v>
      </c>
      <c r="K591" s="4" t="str">
        <f ca="1">IFERROR(__xludf.DUMMYFUNCTION("""COMPUTED_VALUE"""),"Alimentos")</f>
        <v>Alimentos</v>
      </c>
      <c r="S591" s="6">
        <v>1829</v>
      </c>
      <c r="T591" s="4" t="e">
        <f t="shared" ca="1" si="3"/>
        <v>#N/A</v>
      </c>
    </row>
    <row r="592" spans="1:20" ht="12.5">
      <c r="A592" s="4" t="str">
        <f ca="1">IFERROR(__xludf.DUMMYFUNCTION("""COMPUTED_VALUE"""),"TRX1528")</f>
        <v>TRX1528</v>
      </c>
      <c r="B592" s="4" t="str">
        <f ca="1">IFERROR(__xludf.DUMMYFUNCTION("""COMPUTED_VALUE"""),"#64")</f>
        <v>#64</v>
      </c>
      <c r="C592" s="5">
        <f ca="1">IFERROR(__xludf.DUMMYFUNCTION("""COMPUTED_VALUE"""),46060.4173611111)</f>
        <v>46060.417361111096</v>
      </c>
      <c r="D592" s="6">
        <f ca="1">IFERROR(__xludf.DUMMYFUNCTION("""COMPUTED_VALUE"""),408.1)</f>
        <v>408.1</v>
      </c>
      <c r="E592" s="4" t="str">
        <f ca="1">IFERROR(__xludf.DUMMYFUNCTION("""COMPUTED_VALUE"""),"MXN")</f>
        <v>MXN</v>
      </c>
      <c r="F592" s="4" t="str">
        <f ca="1">IFERROR(__xludf.DUMMYFUNCTION("""COMPUTED_VALUE"""),"Jorge Rojas")</f>
        <v>Jorge Rojas</v>
      </c>
      <c r="G592" s="4" t="str">
        <f ca="1">IFERROR(__xludf.DUMMYFUNCTION("""COMPUTED_VALUE"""),"VIPS MACROPLAZA TIJUAN TIJUANA BCN   MEX")</f>
        <v>VIPS MACROPLAZA TIJUAN TIJUANA BCN   MEX</v>
      </c>
      <c r="H592" s="4" t="str">
        <f ca="1">IFERROR(__xludf.DUMMYFUNCTION("""COMPUTED_VALUE"""),"Vips Macroplaza Tijuan Tijuana Bcn Mex")</f>
        <v>Vips Macroplaza Tijuan Tijuana Bcn Mex</v>
      </c>
      <c r="I592" s="4" t="str">
        <f ca="1">IFERROR(__xludf.DUMMYFUNCTION("""COMPUTED_VALUE"""),"Vips Macroplaza Tijuan Tijuana Bcn Mex")</f>
        <v>Vips Macroplaza Tijuan Tijuana Bcn Mex</v>
      </c>
      <c r="J592" s="4" t="str">
        <f ca="1">IFERROR(__xludf.DUMMYFUNCTION("""COMPUTED_VALUE"""),"Recruiting")</f>
        <v>Recruiting</v>
      </c>
      <c r="K592" s="4" t="str">
        <f ca="1">IFERROR(__xludf.DUMMYFUNCTION("""COMPUTED_VALUE"""),"Comida con equipo emacsa")</f>
        <v>Comida con equipo emacsa</v>
      </c>
      <c r="S592" s="6">
        <v>263.17</v>
      </c>
      <c r="T592" s="4" t="e">
        <f t="shared" ca="1" si="3"/>
        <v>#N/A</v>
      </c>
    </row>
    <row r="593" spans="1:20" ht="12.5">
      <c r="A593" s="4" t="str">
        <f ca="1">IFERROR(__xludf.DUMMYFUNCTION("""COMPUTED_VALUE"""),"TRX1571")</f>
        <v>TRX1571</v>
      </c>
      <c r="B593" s="4" t="str">
        <f ca="1">IFERROR(__xludf.DUMMYFUNCTION("""COMPUTED_VALUE"""),"#64")</f>
        <v>#64</v>
      </c>
      <c r="C593" s="5">
        <f ca="1">IFERROR(__xludf.DUMMYFUNCTION("""COMPUTED_VALUE"""),46060.4173611111)</f>
        <v>46060.417361111096</v>
      </c>
      <c r="D593" s="6">
        <f ca="1">IFERROR(__xludf.DUMMYFUNCTION("""COMPUTED_VALUE"""),1050)</f>
        <v>1050</v>
      </c>
      <c r="E593" s="4" t="str">
        <f ca="1">IFERROR(__xludf.DUMMYFUNCTION("""COMPUTED_VALUE"""),"MXN")</f>
        <v>MXN</v>
      </c>
      <c r="F593" s="4" t="str">
        <f ca="1">IFERROR(__xludf.DUMMYFUNCTION("""COMPUTED_VALUE"""),"Jorge Rojas")</f>
        <v>Jorge Rojas</v>
      </c>
      <c r="G593" s="4" t="str">
        <f ca="1">IFERROR(__xludf.DUMMYFUNCTION("""COMPUTED_VALUE"""),"ESTACION PORTICOS      TIJUANA BCN   MEX")</f>
        <v>ESTACION PORTICOS      TIJUANA BCN   MEX</v>
      </c>
      <c r="H593" s="4" t="str">
        <f ca="1">IFERROR(__xludf.DUMMYFUNCTION("""COMPUTED_VALUE"""),"Estacion Porticos Tijuana Bcn Mex")</f>
        <v>Estacion Porticos Tijuana Bcn Mex</v>
      </c>
      <c r="I593" s="4" t="str">
        <f ca="1">IFERROR(__xludf.DUMMYFUNCTION("""COMPUTED_VALUE"""),"Estacion Porticos Tijuana Bcn Mex")</f>
        <v>Estacion Porticos Tijuana Bcn Mex</v>
      </c>
      <c r="J593" s="4" t="str">
        <f ca="1">IFERROR(__xludf.DUMMYFUNCTION("""COMPUTED_VALUE"""),"Recruiting")</f>
        <v>Recruiting</v>
      </c>
      <c r="K593" s="4" t="str">
        <f ca="1">IFERROR(__xludf.DUMMYFUNCTION("""COMPUTED_VALUE"""),"Gasolina")</f>
        <v>Gasolina</v>
      </c>
      <c r="S593" s="6">
        <v>443.15</v>
      </c>
      <c r="T593" s="4" t="e">
        <f t="shared" ca="1" si="3"/>
        <v>#N/A</v>
      </c>
    </row>
    <row r="594" spans="1:20" ht="12.5">
      <c r="A594" s="4" t="str">
        <f ca="1">IFERROR(__xludf.DUMMYFUNCTION("""COMPUTED_VALUE"""),"TRX1260")</f>
        <v>TRX1260</v>
      </c>
      <c r="B594" s="4" t="str">
        <f ca="1">IFERROR(__xludf.DUMMYFUNCTION("""COMPUTED_VALUE"""),"#64")</f>
        <v>#64</v>
      </c>
      <c r="C594" s="5">
        <f ca="1">IFERROR(__xludf.DUMMYFUNCTION("""COMPUTED_VALUE"""),46060.4173611111)</f>
        <v>46060.417361111096</v>
      </c>
      <c r="D594" s="6">
        <f ca="1">IFERROR(__xludf.DUMMYFUNCTION("""COMPUTED_VALUE"""),16155.48)</f>
        <v>16155.48</v>
      </c>
      <c r="E594" s="4" t="str">
        <f ca="1">IFERROR(__xludf.DUMMYFUNCTION("""COMPUTED_VALUE"""),"MXN")</f>
        <v>MXN</v>
      </c>
      <c r="F594" s="4" t="str">
        <f ca="1">IFERROR(__xludf.DUMMYFUNCTION("""COMPUTED_VALUE"""),"Jorge Rojas")</f>
        <v>Jorge Rojas</v>
      </c>
      <c r="G594" s="4" t="str">
        <f ca="1">IFERROR(__xludf.DUMMYFUNCTION("""COMPUTED_VALUE"""),"AIRBNB * HM4BMJSNK4    LONDON        GBR")</f>
        <v>AIRBNB * HM4BMJSNK4    LONDON        GBR</v>
      </c>
      <c r="H594" s="4" t="str">
        <f ca="1">IFERROR(__xludf.DUMMYFUNCTION("""COMPUTED_VALUE"""),"Airbnb")</f>
        <v>Airbnb</v>
      </c>
      <c r="I594" s="4" t="str">
        <f ca="1">IFERROR(__xludf.DUMMYFUNCTION("""COMPUTED_VALUE"""),"Airbnb")</f>
        <v>Airbnb</v>
      </c>
      <c r="J594" s="4" t="str">
        <f ca="1">IFERROR(__xludf.DUMMYFUNCTION("""COMPUTED_VALUE"""),"G&amp;A expenses")</f>
        <v>G&amp;A expenses</v>
      </c>
      <c r="K594" s="4" t="str">
        <f ca="1">IFERROR(__xludf.DUMMYFUNCTION("""COMPUTED_VALUE"""),"Comida con equipo emacsa")</f>
        <v>Comida con equipo emacsa</v>
      </c>
      <c r="S594" s="6">
        <v>221</v>
      </c>
      <c r="T594" s="4" t="e">
        <f t="shared" ca="1" si="3"/>
        <v>#N/A</v>
      </c>
    </row>
    <row r="595" spans="1:20" ht="12.5">
      <c r="A595" s="4" t="str">
        <f ca="1">IFERROR(__xludf.DUMMYFUNCTION("""COMPUTED_VALUE"""),"TRX1687")</f>
        <v>TRX1687</v>
      </c>
      <c r="B595" s="4" t="str">
        <f ca="1">IFERROR(__xludf.DUMMYFUNCTION("""COMPUTED_VALUE"""),"#64")</f>
        <v>#64</v>
      </c>
      <c r="C595" s="5">
        <f ca="1">IFERROR(__xludf.DUMMYFUNCTION("""COMPUTED_VALUE"""),46061.4166666666)</f>
        <v>46061.416666666599</v>
      </c>
      <c r="D595" s="6">
        <f ca="1">IFERROR(__xludf.DUMMYFUNCTION("""COMPUTED_VALUE"""),223.18)</f>
        <v>223.18</v>
      </c>
      <c r="E595" s="4" t="str">
        <f ca="1">IFERROR(__xludf.DUMMYFUNCTION("""COMPUTED_VALUE"""),"MXN")</f>
        <v>MXN</v>
      </c>
      <c r="F595" s="4" t="str">
        <f ca="1">IFERROR(__xludf.DUMMYFUNCTION("""COMPUTED_VALUE"""),"Jorge Rojas")</f>
        <v>Jorge Rojas</v>
      </c>
      <c r="G595" s="4" t="str">
        <f ca="1">IFERROR(__xludf.DUMMYFUNCTION("""COMPUTED_VALUE"""),"UBER * EATS PENDING    CMX           MEX")</f>
        <v>UBER * EATS PENDING    CMX           MEX</v>
      </c>
      <c r="H595" s="4" t="str">
        <f ca="1">IFERROR(__xludf.DUMMYFUNCTION("""COMPUTED_VALUE"""),"Uber Eats")</f>
        <v>Uber Eats</v>
      </c>
      <c r="I595" s="4" t="str">
        <f ca="1">IFERROR(__xludf.DUMMYFUNCTION("""COMPUTED_VALUE"""),"Uber Eats")</f>
        <v>Uber Eats</v>
      </c>
      <c r="J595" s="4" t="str">
        <f ca="1">IFERROR(__xludf.DUMMYFUNCTION("""COMPUTED_VALUE"""),"Recruiting")</f>
        <v>Recruiting</v>
      </c>
      <c r="K595" s="4" t="str">
        <f ca="1">IFERROR(__xludf.DUMMYFUNCTION("""COMPUTED_VALUE"""),"Agua")</f>
        <v>Agua</v>
      </c>
      <c r="S595" s="6">
        <v>350</v>
      </c>
      <c r="T595" s="4" t="str">
        <f t="shared" ca="1" si="3"/>
        <v>Erik Castillo</v>
      </c>
    </row>
    <row r="596" spans="1:20" ht="12.5">
      <c r="A596" s="4" t="str">
        <f ca="1">IFERROR(__xludf.DUMMYFUNCTION("""COMPUTED_VALUE"""),"TRX1651")</f>
        <v>TRX1651</v>
      </c>
      <c r="B596" s="4" t="str">
        <f ca="1">IFERROR(__xludf.DUMMYFUNCTION("""COMPUTED_VALUE"""),"#64")</f>
        <v>#64</v>
      </c>
      <c r="C596" s="5">
        <f ca="1">IFERROR(__xludf.DUMMYFUNCTION("""COMPUTED_VALUE"""),46061.4166666666)</f>
        <v>46061.416666666599</v>
      </c>
      <c r="D596" s="6">
        <f ca="1">IFERROR(__xludf.DUMMYFUNCTION("""COMPUTED_VALUE"""),179)</f>
        <v>179</v>
      </c>
      <c r="E596" s="4" t="str">
        <f ca="1">IFERROR(__xludf.DUMMYFUNCTION("""COMPUTED_VALUE"""),"MXN")</f>
        <v>MXN</v>
      </c>
      <c r="F596" s="4" t="str">
        <f ca="1">IFERROR(__xludf.DUMMYFUNCTION("""COMPUTED_VALUE"""),"Jorge Rojas")</f>
        <v>Jorge Rojas</v>
      </c>
      <c r="G596" s="4" t="str">
        <f ca="1">IFERROR(__xludf.DUMMYFUNCTION("""COMPUTED_VALUE"""),"MERCADOPAGO *ELANTOJO  Tijuana       MEX")</f>
        <v>MERCADOPAGO *ELANTOJO  Tijuana       MEX</v>
      </c>
      <c r="H596" s="4" t="str">
        <f ca="1">IFERROR(__xludf.DUMMYFUNCTION("""COMPUTED_VALUE"""),"Mercadopago")</f>
        <v>Mercadopago</v>
      </c>
      <c r="I596" s="4" t="str">
        <f ca="1">IFERROR(__xludf.DUMMYFUNCTION("""COMPUTED_VALUE"""),"Mercadopago")</f>
        <v>Mercadopago</v>
      </c>
      <c r="J596" s="4" t="str">
        <f ca="1">IFERROR(__xludf.DUMMYFUNCTION("""COMPUTED_VALUE"""),"Capex")</f>
        <v>Capex</v>
      </c>
      <c r="K596" s="4" t="str">
        <f ca="1">IFERROR(__xludf.DUMMYFUNCTION("""COMPUTED_VALUE"""),"Alimentos")</f>
        <v>Alimentos</v>
      </c>
      <c r="S596" s="6">
        <v>3658.07</v>
      </c>
      <c r="T596" s="4" t="e">
        <f t="shared" ca="1" si="3"/>
        <v>#N/A</v>
      </c>
    </row>
    <row r="597" spans="1:20" ht="12.5">
      <c r="A597" s="4" t="str">
        <f ca="1">IFERROR(__xludf.DUMMYFUNCTION("""COMPUTED_VALUE"""),"TRX1221")</f>
        <v>TRX1221</v>
      </c>
      <c r="B597" s="4" t="str">
        <f ca="1">IFERROR(__xludf.DUMMYFUNCTION("""COMPUTED_VALUE"""),"#64")</f>
        <v>#64</v>
      </c>
      <c r="C597" s="5">
        <f ca="1">IFERROR(__xludf.DUMMYFUNCTION("""COMPUTED_VALUE"""),46061.4173611111)</f>
        <v>46061.417361111096</v>
      </c>
      <c r="D597" s="6">
        <f ca="1">IFERROR(__xludf.DUMMYFUNCTION("""COMPUTED_VALUE"""),44)</f>
        <v>44</v>
      </c>
      <c r="E597" s="4" t="str">
        <f ca="1">IFERROR(__xludf.DUMMYFUNCTION("""COMPUTED_VALUE"""),"MXN")</f>
        <v>MXN</v>
      </c>
      <c r="F597" s="4" t="str">
        <f ca="1">IFERROR(__xludf.DUMMYFUNCTION("""COMPUTED_VALUE"""),"Jorge Rojas")</f>
        <v>Jorge Rojas</v>
      </c>
      <c r="G597" s="4" t="str">
        <f ca="1">IFERROR(__xludf.DUMMYFUNCTION("""COMPUTED_VALUE"""),"FERR EXPRESS CEDROS    TIJUANA BCN   MEX")</f>
        <v>FERR EXPRESS CEDROS    TIJUANA BCN   MEX</v>
      </c>
      <c r="H597" s="4" t="str">
        <f ca="1">IFERROR(__xludf.DUMMYFUNCTION("""COMPUTED_VALUE"""),"Ferr Express Cedros Tijuana Bcn Mex")</f>
        <v>Ferr Express Cedros Tijuana Bcn Mex</v>
      </c>
      <c r="I597" s="4" t="str">
        <f ca="1">IFERROR(__xludf.DUMMYFUNCTION("""COMPUTED_VALUE"""),"Ferr Express Cedros Tijuana Bcn Mex")</f>
        <v>Ferr Express Cedros Tijuana Bcn Mex</v>
      </c>
      <c r="J597" s="4" t="str">
        <f ca="1">IFERROR(__xludf.DUMMYFUNCTION("""COMPUTED_VALUE"""),"Recruiting")</f>
        <v>Recruiting</v>
      </c>
      <c r="K597" s="4" t="str">
        <f ca="1">IFERROR(__xludf.DUMMYFUNCTION("""COMPUTED_VALUE"""),"Comida ocn residente y segurista emacsa")</f>
        <v>Comida ocn residente y segurista emacsa</v>
      </c>
      <c r="S597" s="6">
        <v>138.25</v>
      </c>
      <c r="T597" s="4" t="e">
        <f t="shared" ca="1" si="3"/>
        <v>#N/A</v>
      </c>
    </row>
    <row r="598" spans="1:20" ht="12.5">
      <c r="A598" s="4" t="str">
        <f ca="1">IFERROR(__xludf.DUMMYFUNCTION("""COMPUTED_VALUE"""),"TRX1383")</f>
        <v>TRX1383</v>
      </c>
      <c r="B598" s="4" t="str">
        <f ca="1">IFERROR(__xludf.DUMMYFUNCTION("""COMPUTED_VALUE"""),"#64")</f>
        <v>#64</v>
      </c>
      <c r="C598" s="5">
        <f ca="1">IFERROR(__xludf.DUMMYFUNCTION("""COMPUTED_VALUE"""),46061.4173611111)</f>
        <v>46061.417361111096</v>
      </c>
      <c r="D598" s="6">
        <f ca="1">IFERROR(__xludf.DUMMYFUNCTION("""COMPUTED_VALUE"""),37.9)</f>
        <v>37.9</v>
      </c>
      <c r="E598" s="4" t="str">
        <f ca="1">IFERROR(__xludf.DUMMYFUNCTION("""COMPUTED_VALUE"""),"MXN")</f>
        <v>MXN</v>
      </c>
      <c r="F598" s="4" t="str">
        <f ca="1">IFERROR(__xludf.DUMMYFUNCTION("""COMPUTED_VALUE"""),"Jorge Rojas")</f>
        <v>Jorge Rojas</v>
      </c>
      <c r="G598" s="4" t="str">
        <f ca="1">IFERROR(__xludf.DUMMYFUNCTION("""COMPUTED_VALUE"""),"WALMART LOMAS STA FE   TIJUANA BCN   MEX")</f>
        <v>WALMART LOMAS STA FE   TIJUANA BCN   MEX</v>
      </c>
      <c r="H598" s="4" t="str">
        <f ca="1">IFERROR(__xludf.DUMMYFUNCTION("""COMPUTED_VALUE"""),"Walmart")</f>
        <v>Walmart</v>
      </c>
      <c r="I598" s="4" t="str">
        <f ca="1">IFERROR(__xludf.DUMMYFUNCTION("""COMPUTED_VALUE"""),"Walmart")</f>
        <v>Walmart</v>
      </c>
      <c r="J598" s="4" t="str">
        <f ca="1">IFERROR(__xludf.DUMMYFUNCTION("""COMPUTED_VALUE"""),"Recruiting")</f>
        <v>Recruiting</v>
      </c>
      <c r="K598" s="4" t="str">
        <f ca="1">IFERROR(__xludf.DUMMYFUNCTION("""COMPUTED_VALUE"""),"Comida con equipo operativo")</f>
        <v>Comida con equipo operativo</v>
      </c>
      <c r="S598" s="6">
        <v>1045.9000000000001</v>
      </c>
      <c r="T598" s="4" t="e">
        <f t="shared" ca="1" si="3"/>
        <v>#N/A</v>
      </c>
    </row>
    <row r="599" spans="1:20" ht="12.5">
      <c r="A599" s="4" t="str">
        <f ca="1">IFERROR(__xludf.DUMMYFUNCTION("""COMPUTED_VALUE"""),"TRX1995")</f>
        <v>TRX1995</v>
      </c>
      <c r="B599" s="4" t="str">
        <f ca="1">IFERROR(__xludf.DUMMYFUNCTION("""COMPUTED_VALUE"""),"#64")</f>
        <v>#64</v>
      </c>
      <c r="C599" s="5">
        <f ca="1">IFERROR(__xludf.DUMMYFUNCTION("""COMPUTED_VALUE"""),46061.4173611111)</f>
        <v>46061.417361111096</v>
      </c>
      <c r="D599" s="6">
        <f ca="1">IFERROR(__xludf.DUMMYFUNCTION("""COMPUTED_VALUE"""),803)</f>
        <v>803</v>
      </c>
      <c r="E599" s="4" t="str">
        <f ca="1">IFERROR(__xludf.DUMMYFUNCTION("""COMPUTED_VALUE"""),"MXN")</f>
        <v>MXN</v>
      </c>
      <c r="F599" s="4" t="str">
        <f ca="1">IFERROR(__xludf.DUMMYFUNCTION("""COMPUTED_VALUE"""),"Jorge Rojas")</f>
        <v>Jorge Rojas</v>
      </c>
      <c r="G599" s="4" t="str">
        <f ca="1">IFERROR(__xludf.DUMMYFUNCTION("""COMPUTED_VALUE"""),"AGUACHILES CULICHI     TIJUANA BCN   MEX")</f>
        <v>AGUACHILES CULICHI     TIJUANA BCN   MEX</v>
      </c>
      <c r="H599" s="4" t="str">
        <f ca="1">IFERROR(__xludf.DUMMYFUNCTION("""COMPUTED_VALUE"""),"Aguachiles Culichi Tijuana Bcn Mex")</f>
        <v>Aguachiles Culichi Tijuana Bcn Mex</v>
      </c>
      <c r="I599" s="4" t="str">
        <f ca="1">IFERROR(__xludf.DUMMYFUNCTION("""COMPUTED_VALUE"""),"Aguachiles Culichi Tijuana Bcn Mex")</f>
        <v>Aguachiles Culichi Tijuana Bcn Mex</v>
      </c>
      <c r="J599" s="4" t="str">
        <f ca="1">IFERROR(__xludf.DUMMYFUNCTION("""COMPUTED_VALUE"""),"Recruiting")</f>
        <v>Recruiting</v>
      </c>
      <c r="K599" s="4" t="str">
        <f ca="1">IFERROR(__xludf.DUMMYFUNCTION("""COMPUTED_VALUE"""),"Agua")</f>
        <v>Agua</v>
      </c>
      <c r="S599" s="6">
        <v>158.4</v>
      </c>
      <c r="T599" s="4" t="e">
        <f t="shared" ca="1" si="3"/>
        <v>#N/A</v>
      </c>
    </row>
    <row r="600" spans="1:20" ht="12.5">
      <c r="A600" s="4" t="str">
        <f ca="1">IFERROR(__xludf.DUMMYFUNCTION("""COMPUTED_VALUE"""),"TRX1573")</f>
        <v>TRX1573</v>
      </c>
      <c r="B600" s="4" t="str">
        <f ca="1">IFERROR(__xludf.DUMMYFUNCTION("""COMPUTED_VALUE"""),"#64")</f>
        <v>#64</v>
      </c>
      <c r="C600" s="5">
        <f ca="1">IFERROR(__xludf.DUMMYFUNCTION("""COMPUTED_VALUE"""),46062.4166666666)</f>
        <v>46062.416666666599</v>
      </c>
      <c r="D600" s="6">
        <f ca="1">IFERROR(__xludf.DUMMYFUNCTION("""COMPUTED_VALUE"""),402.22)</f>
        <v>402.22</v>
      </c>
      <c r="E600" s="4" t="str">
        <f ca="1">IFERROR(__xludf.DUMMYFUNCTION("""COMPUTED_VALUE"""),"MXN")</f>
        <v>MXN</v>
      </c>
      <c r="F600" s="4" t="str">
        <f ca="1">IFERROR(__xludf.DUMMYFUNCTION("""COMPUTED_VALUE"""),"Jorge Rojas")</f>
        <v>Jorge Rojas</v>
      </c>
      <c r="G600" s="4" t="str">
        <f ca="1">IFERROR(__xludf.DUMMYFUNCTION("""COMPUTED_VALUE"""),"UBER * EATS PENDING    CMX           MEX")</f>
        <v>UBER * EATS PENDING    CMX           MEX</v>
      </c>
      <c r="H600" s="4" t="str">
        <f ca="1">IFERROR(__xludf.DUMMYFUNCTION("""COMPUTED_VALUE"""),"Uber Eats")</f>
        <v>Uber Eats</v>
      </c>
      <c r="I600" s="4" t="str">
        <f ca="1">IFERROR(__xludf.DUMMYFUNCTION("""COMPUTED_VALUE"""),"Uber Eats")</f>
        <v>Uber Eats</v>
      </c>
      <c r="J600" s="4" t="str">
        <f ca="1">IFERROR(__xludf.DUMMYFUNCTION("""COMPUTED_VALUE"""),"G&amp;A expenses")</f>
        <v>G&amp;A expenses</v>
      </c>
      <c r="K600" s="4" t="str">
        <f ca="1">IFERROR(__xludf.DUMMYFUNCTION("""COMPUTED_VALUE"""),"Alimentos")</f>
        <v>Alimentos</v>
      </c>
      <c r="S600" s="6">
        <v>850</v>
      </c>
      <c r="T600" s="4" t="e">
        <f t="shared" ca="1" si="3"/>
        <v>#N/A</v>
      </c>
    </row>
    <row r="601" spans="1:20" ht="12.5">
      <c r="A601" s="4" t="str">
        <f ca="1">IFERROR(__xludf.DUMMYFUNCTION("""COMPUTED_VALUE"""),"TRX1545")</f>
        <v>TRX1545</v>
      </c>
      <c r="B601" s="4" t="str">
        <f ca="1">IFERROR(__xludf.DUMMYFUNCTION("""COMPUTED_VALUE"""),"#64")</f>
        <v>#64</v>
      </c>
      <c r="C601" s="5">
        <f ca="1">IFERROR(__xludf.DUMMYFUNCTION("""COMPUTED_VALUE"""),46062.4166666666)</f>
        <v>46062.416666666599</v>
      </c>
      <c r="D601" s="6">
        <f ca="1">IFERROR(__xludf.DUMMYFUNCTION("""COMPUTED_VALUE"""),354.98)</f>
        <v>354.98</v>
      </c>
      <c r="E601" s="4" t="str">
        <f ca="1">IFERROR(__xludf.DUMMYFUNCTION("""COMPUTED_VALUE"""),"MXN")</f>
        <v>MXN</v>
      </c>
      <c r="F601" s="4" t="str">
        <f ca="1">IFERROR(__xludf.DUMMYFUNCTION("""COMPUTED_VALUE"""),"Jorge Rojas")</f>
        <v>Jorge Rojas</v>
      </c>
      <c r="G601" s="4" t="str">
        <f ca="1">IFERROR(__xludf.DUMMYFUNCTION("""COMPUTED_VALUE"""),"UBER * EATS PENDING    CMX           MEX")</f>
        <v>UBER * EATS PENDING    CMX           MEX</v>
      </c>
      <c r="H601" s="4" t="str">
        <f ca="1">IFERROR(__xludf.DUMMYFUNCTION("""COMPUTED_VALUE"""),"Uber Eats")</f>
        <v>Uber Eats</v>
      </c>
      <c r="I601" s="4" t="str">
        <f ca="1">IFERROR(__xludf.DUMMYFUNCTION("""COMPUTED_VALUE"""),"Uber Eats")</f>
        <v>Uber Eats</v>
      </c>
      <c r="J601" s="4" t="str">
        <f ca="1">IFERROR(__xludf.DUMMYFUNCTION("""COMPUTED_VALUE"""),"G&amp;A expenses")</f>
        <v>G&amp;A expenses</v>
      </c>
      <c r="K601" s="4" t="str">
        <f ca="1">IFERROR(__xludf.DUMMYFUNCTION("""COMPUTED_VALUE"""),"Alimentos")</f>
        <v>Alimentos</v>
      </c>
      <c r="S601" s="6">
        <v>317.89999999999998</v>
      </c>
      <c r="T601" s="4" t="e">
        <f t="shared" ca="1" si="3"/>
        <v>#N/A</v>
      </c>
    </row>
    <row r="602" spans="1:20" ht="12.5">
      <c r="A602" s="4" t="str">
        <f ca="1">IFERROR(__xludf.DUMMYFUNCTION("""COMPUTED_VALUE"""),"TRX1929")</f>
        <v>TRX1929</v>
      </c>
      <c r="B602" s="4" t="str">
        <f ca="1">IFERROR(__xludf.DUMMYFUNCTION("""COMPUTED_VALUE"""),"#64")</f>
        <v>#64</v>
      </c>
      <c r="C602" s="5">
        <f ca="1">IFERROR(__xludf.DUMMYFUNCTION("""COMPUTED_VALUE"""),46062.4166666666)</f>
        <v>46062.416666666599</v>
      </c>
      <c r="D602" s="6">
        <f ca="1">IFERROR(__xludf.DUMMYFUNCTION("""COMPUTED_VALUE"""),333)</f>
        <v>333</v>
      </c>
      <c r="E602" s="4" t="str">
        <f ca="1">IFERROR(__xludf.DUMMYFUNCTION("""COMPUTED_VALUE"""),"MXN")</f>
        <v>MXN</v>
      </c>
      <c r="F602" s="4" t="str">
        <f ca="1">IFERROR(__xludf.DUMMYFUNCTION("""COMPUTED_VALUE"""),"Jorge Rojas")</f>
        <v>Jorge Rojas</v>
      </c>
      <c r="G602" s="4" t="str">
        <f ca="1">IFERROR(__xludf.DUMMYFUNCTION("""COMPUTED_VALUE"""),"7ELEVEN T2843 BANDERAS TIJUANA BCN   MEX")</f>
        <v>7ELEVEN T2843 BANDERAS TIJUANA BCN   MEX</v>
      </c>
      <c r="H602" s="4" t="str">
        <f ca="1">IFERROR(__xludf.DUMMYFUNCTION("""COMPUTED_VALUE"""),"7 Eleven")</f>
        <v>7 Eleven</v>
      </c>
      <c r="I602" s="4" t="str">
        <f ca="1">IFERROR(__xludf.DUMMYFUNCTION("""COMPUTED_VALUE"""),"7 Eleven")</f>
        <v>7 Eleven</v>
      </c>
      <c r="J602" s="4" t="str">
        <f ca="1">IFERROR(__xludf.DUMMYFUNCTION("""COMPUTED_VALUE"""),"Recruiting")</f>
        <v>Recruiting</v>
      </c>
      <c r="K602" s="4" t="str">
        <f ca="1">IFERROR(__xludf.DUMMYFUNCTION("""COMPUTED_VALUE"""),"Pastillas dolor de estomago")</f>
        <v>Pastillas dolor de estomago</v>
      </c>
      <c r="S602" s="6">
        <v>100.01</v>
      </c>
      <c r="T602" s="4" t="e">
        <f t="shared" ca="1" si="3"/>
        <v>#N/A</v>
      </c>
    </row>
    <row r="603" spans="1:20" ht="12.5">
      <c r="A603" s="4" t="str">
        <f ca="1">IFERROR(__xludf.DUMMYFUNCTION("""COMPUTED_VALUE"""),"TRX1720")</f>
        <v>TRX1720</v>
      </c>
      <c r="B603" s="4" t="str">
        <f ca="1">IFERROR(__xludf.DUMMYFUNCTION("""COMPUTED_VALUE"""),"#64")</f>
        <v>#64</v>
      </c>
      <c r="C603" s="5">
        <f ca="1">IFERROR(__xludf.DUMMYFUNCTION("""COMPUTED_VALUE"""),46063.4166666666)</f>
        <v>46063.416666666599</v>
      </c>
      <c r="D603" s="6">
        <f ca="1">IFERROR(__xludf.DUMMYFUNCTION("""COMPUTED_VALUE"""),1912.17)</f>
        <v>1912.17</v>
      </c>
      <c r="E603" s="4" t="str">
        <f ca="1">IFERROR(__xludf.DUMMYFUNCTION("""COMPUTED_VALUE"""),"MXN")</f>
        <v>MXN</v>
      </c>
      <c r="F603" s="4" t="str">
        <f ca="1">IFERROR(__xludf.DUMMYFUNCTION("""COMPUTED_VALUE"""),"Jorge Rojas")</f>
        <v>Jorge Rojas</v>
      </c>
      <c r="G603" s="4" t="str">
        <f ca="1">IFERROR(__xludf.DUMMYFUNCTION("""COMPUTED_VALUE"""),"MERPAGO*MERCADOLIBRE   Ciudad de Mex MEX")</f>
        <v>MERPAGO*MERCADOLIBRE   Ciudad de Mex MEX</v>
      </c>
      <c r="H603" s="4" t="str">
        <f ca="1">IFERROR(__xludf.DUMMYFUNCTION("""COMPUTED_VALUE"""),"Merpago Mercadolibre Ciudad De Mex Mex")</f>
        <v>Merpago Mercadolibre Ciudad De Mex Mex</v>
      </c>
      <c r="I603" s="4" t="str">
        <f ca="1">IFERROR(__xludf.DUMMYFUNCTION("""COMPUTED_VALUE"""),"Merpago Mercadolibre Ciudad De Mex Mex")</f>
        <v>Merpago Mercadolibre Ciudad De Mex Mex</v>
      </c>
      <c r="J603" s="4" t="str">
        <f ca="1">IFERROR(__xludf.DUMMYFUNCTION("""COMPUTED_VALUE"""),"Recruiting")</f>
        <v>Recruiting</v>
      </c>
      <c r="K603" s="4" t="str">
        <f ca="1">IFERROR(__xludf.DUMMYFUNCTION("""COMPUTED_VALUE"""),"Alimentos")</f>
        <v>Alimentos</v>
      </c>
      <c r="S603" s="6">
        <v>2145.91</v>
      </c>
      <c r="T603" s="4" t="e">
        <f t="shared" ca="1" si="3"/>
        <v>#N/A</v>
      </c>
    </row>
    <row r="604" spans="1:20" ht="12.5">
      <c r="A604" s="4" t="str">
        <f ca="1">IFERROR(__xludf.DUMMYFUNCTION("""COMPUTED_VALUE"""),"TRX1186")</f>
        <v>TRX1186</v>
      </c>
      <c r="B604" s="4" t="str">
        <f ca="1">IFERROR(__xludf.DUMMYFUNCTION("""COMPUTED_VALUE"""),"#64")</f>
        <v>#64</v>
      </c>
      <c r="C604" s="5">
        <f ca="1">IFERROR(__xludf.DUMMYFUNCTION("""COMPUTED_VALUE"""),46063.4166666666)</f>
        <v>46063.416666666599</v>
      </c>
      <c r="D604" s="6">
        <f ca="1">IFERROR(__xludf.DUMMYFUNCTION("""COMPUTED_VALUE"""),571.15)</f>
        <v>571.15</v>
      </c>
      <c r="E604" s="4" t="str">
        <f ca="1">IFERROR(__xludf.DUMMYFUNCTION("""COMPUTED_VALUE"""),"MXN")</f>
        <v>MXN</v>
      </c>
      <c r="F604" s="4" t="str">
        <f ca="1">IFERROR(__xludf.DUMMYFUNCTION("""COMPUTED_VALUE"""),"Jorge Rojas")</f>
        <v>Jorge Rojas</v>
      </c>
      <c r="G604" s="4" t="str">
        <f ca="1">IFERROR(__xludf.DUMMYFUNCTION("""COMPUTED_VALUE"""),"UBER * EATS PENDING    CMX           MEX")</f>
        <v>UBER * EATS PENDING    CMX           MEX</v>
      </c>
      <c r="H604" s="4" t="str">
        <f ca="1">IFERROR(__xludf.DUMMYFUNCTION("""COMPUTED_VALUE"""),"Uber Eats")</f>
        <v>Uber Eats</v>
      </c>
      <c r="I604" s="4" t="str">
        <f ca="1">IFERROR(__xludf.DUMMYFUNCTION("""COMPUTED_VALUE"""),"Uber Eats")</f>
        <v>Uber Eats</v>
      </c>
      <c r="J604" s="4" t="str">
        <f ca="1">IFERROR(__xludf.DUMMYFUNCTION("""COMPUTED_VALUE"""),"G&amp;A expenses")</f>
        <v>G&amp;A expenses</v>
      </c>
      <c r="K604" s="4" t="str">
        <f ca="1">IFERROR(__xludf.DUMMYFUNCTION("""COMPUTED_VALUE"""),"Hospedaje en TJ")</f>
        <v>Hospedaje en TJ</v>
      </c>
      <c r="S604" s="6">
        <v>216</v>
      </c>
      <c r="T604" s="4" t="str">
        <f t="shared" ca="1" si="3"/>
        <v>Karen Alexandra Ballesteros Contreras</v>
      </c>
    </row>
    <row r="605" spans="1:20" ht="12.5">
      <c r="A605" s="4" t="str">
        <f ca="1">IFERROR(__xludf.DUMMYFUNCTION("""COMPUTED_VALUE"""),"TRX1107")</f>
        <v>TRX1107</v>
      </c>
      <c r="B605" s="4" t="str">
        <f ca="1">IFERROR(__xludf.DUMMYFUNCTION("""COMPUTED_VALUE"""),"#64")</f>
        <v>#64</v>
      </c>
      <c r="C605" s="5">
        <f ca="1">IFERROR(__xludf.DUMMYFUNCTION("""COMPUTED_VALUE"""),46063.4166666666)</f>
        <v>46063.416666666599</v>
      </c>
      <c r="D605" s="6">
        <f ca="1">IFERROR(__xludf.DUMMYFUNCTION("""COMPUTED_VALUE"""),722.85)</f>
        <v>722.85</v>
      </c>
      <c r="E605" s="4" t="str">
        <f ca="1">IFERROR(__xludf.DUMMYFUNCTION("""COMPUTED_VALUE"""),"MXN")</f>
        <v>MXN</v>
      </c>
      <c r="F605" s="4" t="str">
        <f ca="1">IFERROR(__xludf.DUMMYFUNCTION("""COMPUTED_VALUE"""),"Jorge Rojas")</f>
        <v>Jorge Rojas</v>
      </c>
      <c r="G605" s="4" t="str">
        <f ca="1">IFERROR(__xludf.DUMMYFUNCTION("""COMPUTED_VALUE"""),"UBER * EATS PENDING    CMX           MEX")</f>
        <v>UBER * EATS PENDING    CMX           MEX</v>
      </c>
      <c r="H605" s="4" t="str">
        <f ca="1">IFERROR(__xludf.DUMMYFUNCTION("""COMPUTED_VALUE"""),"Uber Eats")</f>
        <v>Uber Eats</v>
      </c>
      <c r="I605" s="4" t="str">
        <f ca="1">IFERROR(__xludf.DUMMYFUNCTION("""COMPUTED_VALUE"""),"Uber Eats")</f>
        <v>Uber Eats</v>
      </c>
      <c r="J605" s="4" t="str">
        <f ca="1">IFERROR(__xludf.DUMMYFUNCTION("""COMPUTED_VALUE"""),"Recruiting")</f>
        <v>Recruiting</v>
      </c>
      <c r="K605" s="4" t="str">
        <f ca="1">IFERROR(__xludf.DUMMYFUNCTION("""COMPUTED_VALUE"""),"Agua")</f>
        <v>Agua</v>
      </c>
      <c r="S605" s="6">
        <v>308</v>
      </c>
      <c r="T605" s="4" t="e">
        <f t="shared" ca="1" si="3"/>
        <v>#N/A</v>
      </c>
    </row>
    <row r="606" spans="1:20" ht="12.5">
      <c r="A606" s="4" t="str">
        <f ca="1">IFERROR(__xludf.DUMMYFUNCTION("""COMPUTED_VALUE"""),"TRX1805")</f>
        <v>TRX1805</v>
      </c>
      <c r="B606" s="4" t="str">
        <f ca="1">IFERROR(__xludf.DUMMYFUNCTION("""COMPUTED_VALUE"""),"#64")</f>
        <v>#64</v>
      </c>
      <c r="C606" s="5">
        <f ca="1">IFERROR(__xludf.DUMMYFUNCTION("""COMPUTED_VALUE"""),46063.4166666666)</f>
        <v>46063.416666666599</v>
      </c>
      <c r="D606" s="6">
        <f ca="1">IFERROR(__xludf.DUMMYFUNCTION("""COMPUTED_VALUE"""),248)</f>
        <v>248</v>
      </c>
      <c r="E606" s="4" t="str">
        <f ca="1">IFERROR(__xludf.DUMMYFUNCTION("""COMPUTED_VALUE"""),"MXN")</f>
        <v>MXN</v>
      </c>
      <c r="F606" s="4" t="str">
        <f ca="1">IFERROR(__xludf.DUMMYFUNCTION("""COMPUTED_VALUE"""),"Jorge Rojas")</f>
        <v>Jorge Rojas</v>
      </c>
      <c r="G606" s="4" t="str">
        <f ca="1">IFERROR(__xludf.DUMMYFUNCTION("""COMPUTED_VALUE"""),"7ELEVEN T2843 BANDERAS TIJUANA BCN   MEX")</f>
        <v>7ELEVEN T2843 BANDERAS TIJUANA BCN   MEX</v>
      </c>
      <c r="H606" s="4" t="str">
        <f ca="1">IFERROR(__xludf.DUMMYFUNCTION("""COMPUTED_VALUE"""),"7 Eleven")</f>
        <v>7 Eleven</v>
      </c>
      <c r="I606" s="4" t="str">
        <f ca="1">IFERROR(__xludf.DUMMYFUNCTION("""COMPUTED_VALUE"""),"7 Eleven")</f>
        <v>7 Eleven</v>
      </c>
      <c r="J606" s="4" t="str">
        <f ca="1">IFERROR(__xludf.DUMMYFUNCTION("""COMPUTED_VALUE"""),"G&amp;A expenses")</f>
        <v>G&amp;A expenses</v>
      </c>
      <c r="K606" s="4" t="str">
        <f ca="1">IFERROR(__xludf.DUMMYFUNCTION("""COMPUTED_VALUE"""),"Alimentos")</f>
        <v>Alimentos</v>
      </c>
      <c r="S606" s="6">
        <v>620.4</v>
      </c>
      <c r="T606" s="4" t="e">
        <f t="shared" ca="1" si="3"/>
        <v>#N/A</v>
      </c>
    </row>
    <row r="607" spans="1:20" ht="12.5">
      <c r="A607" s="4" t="str">
        <f ca="1">IFERROR(__xludf.DUMMYFUNCTION("""COMPUTED_VALUE"""),"TRX2023")</f>
        <v>TRX2023</v>
      </c>
      <c r="B607" s="4" t="str">
        <f ca="1">IFERROR(__xludf.DUMMYFUNCTION("""COMPUTED_VALUE"""),"#64")</f>
        <v>#64</v>
      </c>
      <c r="C607" s="5">
        <f ca="1">IFERROR(__xludf.DUMMYFUNCTION("""COMPUTED_VALUE"""),46064.4166666666)</f>
        <v>46064.416666666599</v>
      </c>
      <c r="D607" s="6">
        <f ca="1">IFERROR(__xludf.DUMMYFUNCTION("""COMPUTED_VALUE"""),259.22)</f>
        <v>259.22000000000003</v>
      </c>
      <c r="E607" s="4" t="str">
        <f ca="1">IFERROR(__xludf.DUMMYFUNCTION("""COMPUTED_VALUE"""),"MXN")</f>
        <v>MXN</v>
      </c>
      <c r="F607" s="4" t="str">
        <f ca="1">IFERROR(__xludf.DUMMYFUNCTION("""COMPUTED_VALUE"""),"Jorge Rojas")</f>
        <v>Jorge Rojas</v>
      </c>
      <c r="G607" s="4" t="str">
        <f ca="1">IFERROR(__xludf.DUMMYFUNCTION("""COMPUTED_VALUE"""),"UBER * EATS PENDING    CMX           MEX")</f>
        <v>UBER * EATS PENDING    CMX           MEX</v>
      </c>
      <c r="H607" s="4" t="str">
        <f ca="1">IFERROR(__xludf.DUMMYFUNCTION("""COMPUTED_VALUE"""),"Uber Eats")</f>
        <v>Uber Eats</v>
      </c>
      <c r="I607" s="4" t="str">
        <f ca="1">IFERROR(__xludf.DUMMYFUNCTION("""COMPUTED_VALUE"""),"Uber Eats")</f>
        <v>Uber Eats</v>
      </c>
      <c r="J607" s="4" t="str">
        <f ca="1">IFERROR(__xludf.DUMMYFUNCTION("""COMPUTED_VALUE"""),"Recruiting")</f>
        <v>Recruiting</v>
      </c>
      <c r="K607" s="4" t="str">
        <f ca="1">IFERROR(__xludf.DUMMYFUNCTION("""COMPUTED_VALUE"""),"alimentos")</f>
        <v>alimentos</v>
      </c>
      <c r="S607" s="6">
        <v>1254</v>
      </c>
      <c r="T607" s="4" t="e">
        <f t="shared" ca="1" si="3"/>
        <v>#N/A</v>
      </c>
    </row>
    <row r="608" spans="1:20" ht="12.5">
      <c r="A608" s="4" t="str">
        <f ca="1">IFERROR(__xludf.DUMMYFUNCTION("""COMPUTED_VALUE"""),"TRX1419")</f>
        <v>TRX1419</v>
      </c>
      <c r="B608" s="4" t="str">
        <f ca="1">IFERROR(__xludf.DUMMYFUNCTION("""COMPUTED_VALUE"""),"#64")</f>
        <v>#64</v>
      </c>
      <c r="C608" s="5">
        <f ca="1">IFERROR(__xludf.DUMMYFUNCTION("""COMPUTED_VALUE"""),46064.4166666666)</f>
        <v>46064.416666666599</v>
      </c>
      <c r="D608" s="6">
        <f ca="1">IFERROR(__xludf.DUMMYFUNCTION("""COMPUTED_VALUE"""),158.3)</f>
        <v>158.30000000000001</v>
      </c>
      <c r="E608" s="4" t="str">
        <f ca="1">IFERROR(__xludf.DUMMYFUNCTION("""COMPUTED_VALUE"""),"MXN")</f>
        <v>MXN</v>
      </c>
      <c r="F608" s="4" t="str">
        <f ca="1">IFERROR(__xludf.DUMMYFUNCTION("""COMPUTED_VALUE"""),"Jorge Rojas")</f>
        <v>Jorge Rojas</v>
      </c>
      <c r="G608" s="4" t="str">
        <f ca="1">IFERROR(__xludf.DUMMYFUNCTION("""COMPUTED_VALUE"""),"WALMART LOMAS STA FE   TIJUANA BCN   MEX")</f>
        <v>WALMART LOMAS STA FE   TIJUANA BCN   MEX</v>
      </c>
      <c r="H608" s="4" t="str">
        <f ca="1">IFERROR(__xludf.DUMMYFUNCTION("""COMPUTED_VALUE"""),"Walmart")</f>
        <v>Walmart</v>
      </c>
      <c r="I608" s="4" t="str">
        <f ca="1">IFERROR(__xludf.DUMMYFUNCTION("""COMPUTED_VALUE"""),"Walmart")</f>
        <v>Walmart</v>
      </c>
      <c r="J608" s="4"/>
      <c r="K608" s="4" t="str">
        <f ca="1">IFERROR(__xludf.DUMMYFUNCTION("""COMPUTED_VALUE"""),"Comida para trabajadores")</f>
        <v>Comida para trabajadores</v>
      </c>
      <c r="S608" s="6">
        <v>700</v>
      </c>
      <c r="T608" s="4" t="str">
        <f t="shared" ca="1" si="3"/>
        <v>Jose Maria Garcia Hernandez</v>
      </c>
    </row>
    <row r="609" spans="1:20" ht="12.5">
      <c r="A609" s="4" t="str">
        <f ca="1">IFERROR(__xludf.DUMMYFUNCTION("""COMPUTED_VALUE"""),"TRX1159")</f>
        <v>TRX1159</v>
      </c>
      <c r="B609" s="4" t="str">
        <f ca="1">IFERROR(__xludf.DUMMYFUNCTION("""COMPUTED_VALUE"""),"#64")</f>
        <v>#64</v>
      </c>
      <c r="C609" s="5">
        <f ca="1">IFERROR(__xludf.DUMMYFUNCTION("""COMPUTED_VALUE"""),46064.4173611111)</f>
        <v>46064.417361111096</v>
      </c>
      <c r="D609" s="6">
        <f ca="1">IFERROR(__xludf.DUMMYFUNCTION("""COMPUTED_VALUE"""),27)</f>
        <v>27</v>
      </c>
      <c r="E609" s="4" t="str">
        <f ca="1">IFERROR(__xludf.DUMMYFUNCTION("""COMPUTED_VALUE"""),"MXN")</f>
        <v>MXN</v>
      </c>
      <c r="F609" s="4" t="str">
        <f ca="1">IFERROR(__xludf.DUMMYFUNCTION("""COMPUTED_VALUE"""),"Jorge Rojas")</f>
        <v>Jorge Rojas</v>
      </c>
      <c r="G609" s="4" t="str">
        <f ca="1">IFERROR(__xludf.DUMMYFUNCTION("""COMPUTED_VALUE"""),"7ELEVEN T2843 BANDERAS TIJUANA BCN   MEX")</f>
        <v>7ELEVEN T2843 BANDERAS TIJUANA BCN   MEX</v>
      </c>
      <c r="H609" s="4" t="str">
        <f ca="1">IFERROR(__xludf.DUMMYFUNCTION("""COMPUTED_VALUE"""),"7 Eleven")</f>
        <v>7 Eleven</v>
      </c>
      <c r="I609" s="4" t="str">
        <f ca="1">IFERROR(__xludf.DUMMYFUNCTION("""COMPUTED_VALUE"""),"7 Eleven")</f>
        <v>7 Eleven</v>
      </c>
      <c r="J609" s="4"/>
      <c r="K609" s="4" t="str">
        <f ca="1">IFERROR(__xludf.DUMMYFUNCTION("""COMPUTED_VALUE"""),"Alimentos")</f>
        <v>Alimentos</v>
      </c>
      <c r="S609" s="6">
        <v>190</v>
      </c>
      <c r="T609" s="4" t="str">
        <f t="shared" ca="1" si="3"/>
        <v>Fernando Sanchez Toledano</v>
      </c>
    </row>
    <row r="610" spans="1:20" ht="12.5">
      <c r="A610" s="4" t="str">
        <f ca="1">IFERROR(__xludf.DUMMYFUNCTION("""COMPUTED_VALUE"""),"TRX1581")</f>
        <v>TRX1581</v>
      </c>
      <c r="B610" s="4" t="str">
        <f ca="1">IFERROR(__xludf.DUMMYFUNCTION("""COMPUTED_VALUE"""),"#64")</f>
        <v>#64</v>
      </c>
      <c r="C610" s="5">
        <f ca="1">IFERROR(__xludf.DUMMYFUNCTION("""COMPUTED_VALUE"""),46064.4173611111)</f>
        <v>46064.417361111096</v>
      </c>
      <c r="D610" s="6">
        <f ca="1">IFERROR(__xludf.DUMMYFUNCTION("""COMPUTED_VALUE"""),200.29)</f>
        <v>200.29</v>
      </c>
      <c r="E610" s="4" t="str">
        <f ca="1">IFERROR(__xludf.DUMMYFUNCTION("""COMPUTED_VALUE"""),"MXN")</f>
        <v>MXN</v>
      </c>
      <c r="F610" s="4" t="str">
        <f ca="1">IFERROR(__xludf.DUMMYFUNCTION("""COMPUTED_VALUE"""),"Jorge Rojas")</f>
        <v>Jorge Rojas</v>
      </c>
      <c r="G610" s="4" t="str">
        <f ca="1">IFERROR(__xludf.DUMMYFUNCTION("""COMPUTED_VALUE"""),"WALMART LOMAS STA FE   TIJUANA BCN   MEX")</f>
        <v>WALMART LOMAS STA FE   TIJUANA BCN   MEX</v>
      </c>
      <c r="H610" s="4" t="str">
        <f ca="1">IFERROR(__xludf.DUMMYFUNCTION("""COMPUTED_VALUE"""),"Walmart")</f>
        <v>Walmart</v>
      </c>
      <c r="I610" s="4" t="str">
        <f ca="1">IFERROR(__xludf.DUMMYFUNCTION("""COMPUTED_VALUE"""),"Walmart")</f>
        <v>Walmart</v>
      </c>
      <c r="J610" s="4"/>
      <c r="K610" s="4" t="str">
        <f ca="1">IFERROR(__xludf.DUMMYFUNCTION("""COMPUTED_VALUE"""),"Herramienta menor para obra")</f>
        <v>Herramienta menor para obra</v>
      </c>
      <c r="S610" s="6">
        <v>1809.5</v>
      </c>
      <c r="T610" s="4" t="e">
        <f t="shared" ca="1" si="3"/>
        <v>#N/A</v>
      </c>
    </row>
    <row r="611" spans="1:20" ht="12.5">
      <c r="A611" s="4" t="str">
        <f ca="1">IFERROR(__xludf.DUMMYFUNCTION("""COMPUTED_VALUE"""),"TRX1569")</f>
        <v>TRX1569</v>
      </c>
      <c r="B611" s="4" t="str">
        <f ca="1">IFERROR(__xludf.DUMMYFUNCTION("""COMPUTED_VALUE"""),"#64")</f>
        <v>#64</v>
      </c>
      <c r="C611" s="5">
        <f ca="1">IFERROR(__xludf.DUMMYFUNCTION("""COMPUTED_VALUE"""),46064.4173611111)</f>
        <v>46064.417361111096</v>
      </c>
      <c r="D611" s="6">
        <f ca="1">IFERROR(__xludf.DUMMYFUNCTION("""COMPUTED_VALUE"""),96.16)</f>
        <v>96.16</v>
      </c>
      <c r="E611" s="4" t="str">
        <f ca="1">IFERROR(__xludf.DUMMYFUNCTION("""COMPUTED_VALUE"""),"MXN")</f>
        <v>MXN</v>
      </c>
      <c r="F611" s="4" t="str">
        <f ca="1">IFERROR(__xludf.DUMMYFUNCTION("""COMPUTED_VALUE"""),"Jorge Rojas")</f>
        <v>Jorge Rojas</v>
      </c>
      <c r="G611" s="4" t="str">
        <f ca="1">IFERROR(__xludf.DUMMYFUNCTION("""COMPUTED_VALUE"""),"WALMART LOMAS STA FE   TIJUANA BCN   MEX")</f>
        <v>WALMART LOMAS STA FE   TIJUANA BCN   MEX</v>
      </c>
      <c r="H611" s="4" t="str">
        <f ca="1">IFERROR(__xludf.DUMMYFUNCTION("""COMPUTED_VALUE"""),"Walmart")</f>
        <v>Walmart</v>
      </c>
      <c r="I611" s="4" t="str">
        <f ca="1">IFERROR(__xludf.DUMMYFUNCTION("""COMPUTED_VALUE"""),"Walmart")</f>
        <v>Walmart</v>
      </c>
      <c r="J611" s="4"/>
      <c r="K611" s="4" t="str">
        <f ca="1">IFERROR(__xludf.DUMMYFUNCTION("""COMPUTED_VALUE"""),"alimentos")</f>
        <v>alimentos</v>
      </c>
      <c r="S611" s="6">
        <v>55</v>
      </c>
      <c r="T611" s="4" t="str">
        <f t="shared" ca="1" si="3"/>
        <v>Jose Ignacio Martinez Flemate</v>
      </c>
    </row>
    <row r="612" spans="1:20" ht="12.5">
      <c r="A612" s="4" t="str">
        <f ca="1">IFERROR(__xludf.DUMMYFUNCTION("""COMPUTED_VALUE"""),"TRX1267")</f>
        <v>TRX1267</v>
      </c>
      <c r="B612" s="4" t="str">
        <f ca="1">IFERROR(__xludf.DUMMYFUNCTION("""COMPUTED_VALUE"""),"#64")</f>
        <v>#64</v>
      </c>
      <c r="C612" s="5">
        <f ca="1">IFERROR(__xludf.DUMMYFUNCTION("""COMPUTED_VALUE"""),46065.4166666666)</f>
        <v>46065.416666666599</v>
      </c>
      <c r="D612" s="6">
        <f ca="1">IFERROR(__xludf.DUMMYFUNCTION("""COMPUTED_VALUE"""),338.46)</f>
        <v>338.46</v>
      </c>
      <c r="E612" s="4" t="str">
        <f ca="1">IFERROR(__xludf.DUMMYFUNCTION("""COMPUTED_VALUE"""),"MXN")</f>
        <v>MXN</v>
      </c>
      <c r="F612" s="4" t="str">
        <f ca="1">IFERROR(__xludf.DUMMYFUNCTION("""COMPUTED_VALUE"""),"Jorge Rojas")</f>
        <v>Jorge Rojas</v>
      </c>
      <c r="G612" s="4" t="str">
        <f ca="1">IFERROR(__xludf.DUMMYFUNCTION("""COMPUTED_VALUE"""),"UBER * EATS PENDING    CMX           MEX")</f>
        <v>UBER * EATS PENDING    CMX           MEX</v>
      </c>
      <c r="H612" s="4" t="str">
        <f ca="1">IFERROR(__xludf.DUMMYFUNCTION("""COMPUTED_VALUE"""),"Uber Eats")</f>
        <v>Uber Eats</v>
      </c>
      <c r="I612" s="4" t="str">
        <f ca="1">IFERROR(__xludf.DUMMYFUNCTION("""COMPUTED_VALUE"""),"Uber Eats")</f>
        <v>Uber Eats</v>
      </c>
      <c r="J612" s="4"/>
      <c r="K612" s="4" t="str">
        <f ca="1">IFERROR(__xludf.DUMMYFUNCTION("""COMPUTED_VALUE"""),"Traslados")</f>
        <v>Traslados</v>
      </c>
      <c r="S612" s="6">
        <v>1171</v>
      </c>
      <c r="T612" s="4" t="e">
        <f t="shared" ca="1" si="3"/>
        <v>#N/A</v>
      </c>
    </row>
    <row r="613" spans="1:20" ht="12.5">
      <c r="A613" s="4" t="str">
        <f ca="1">IFERROR(__xludf.DUMMYFUNCTION("""COMPUTED_VALUE"""),"TRX2012")</f>
        <v>TRX2012</v>
      </c>
      <c r="B613" s="4" t="str">
        <f ca="1">IFERROR(__xludf.DUMMYFUNCTION("""COMPUTED_VALUE"""),"#64")</f>
        <v>#64</v>
      </c>
      <c r="C613" s="5">
        <f ca="1">IFERROR(__xludf.DUMMYFUNCTION("""COMPUTED_VALUE"""),46065.4166666666)</f>
        <v>46065.416666666599</v>
      </c>
      <c r="D613" s="6">
        <f ca="1">IFERROR(__xludf.DUMMYFUNCTION("""COMPUTED_VALUE"""),266)</f>
        <v>266</v>
      </c>
      <c r="E613" s="4" t="str">
        <f ca="1">IFERROR(__xludf.DUMMYFUNCTION("""COMPUTED_VALUE"""),"MXN")</f>
        <v>MXN</v>
      </c>
      <c r="F613" s="4" t="str">
        <f ca="1">IFERROR(__xludf.DUMMYFUNCTION("""COMPUTED_VALUE"""),"Jorge Rojas")</f>
        <v>Jorge Rojas</v>
      </c>
      <c r="G613" s="4" t="str">
        <f ca="1">IFERROR(__xludf.DUMMYFUNCTION("""COMPUTED_VALUE"""),"CINEPOLIS DULCERIA     MORELIA MICH  MEX")</f>
        <v>CINEPOLIS DULCERIA     MORELIA MICH  MEX</v>
      </c>
      <c r="H613" s="4" t="str">
        <f ca="1">IFERROR(__xludf.DUMMYFUNCTION("""COMPUTED_VALUE"""),"CinÃ©polis")</f>
        <v>CinÃ©polis</v>
      </c>
      <c r="I613" s="4" t="str">
        <f ca="1">IFERROR(__xludf.DUMMYFUNCTION("""COMPUTED_VALUE"""),"CinÃ©polis")</f>
        <v>CinÃ©polis</v>
      </c>
      <c r="J613" s="4" t="str">
        <f ca="1">IFERROR(__xludf.DUMMYFUNCTION("""COMPUTED_VALUE"""),"Recruiting")</f>
        <v>Recruiting</v>
      </c>
      <c r="K613" s="4" t="str">
        <f ca="1">IFERROR(__xludf.DUMMYFUNCTION("""COMPUTED_VALUE"""),"EPP")</f>
        <v>EPP</v>
      </c>
      <c r="S613" s="6">
        <v>349.23</v>
      </c>
      <c r="T613" s="4" t="e">
        <f t="shared" ca="1" si="3"/>
        <v>#N/A</v>
      </c>
    </row>
    <row r="614" spans="1:20" ht="12.5">
      <c r="A614" s="4" t="str">
        <f ca="1">IFERROR(__xludf.DUMMYFUNCTION("""COMPUTED_VALUE"""),"TRX1626")</f>
        <v>TRX1626</v>
      </c>
      <c r="B614" s="4" t="str">
        <f ca="1">IFERROR(__xludf.DUMMYFUNCTION("""COMPUTED_VALUE"""),"#64")</f>
        <v>#64</v>
      </c>
      <c r="C614" s="5">
        <f ca="1">IFERROR(__xludf.DUMMYFUNCTION("""COMPUTED_VALUE"""),46065.4173611111)</f>
        <v>46065.417361111096</v>
      </c>
      <c r="D614" s="6">
        <f ca="1">IFERROR(__xludf.DUMMYFUNCTION("""COMPUTED_VALUE"""),22.9)</f>
        <v>22.9</v>
      </c>
      <c r="E614" s="4" t="str">
        <f ca="1">IFERROR(__xludf.DUMMYFUNCTION("""COMPUTED_VALUE"""),"MXN")</f>
        <v>MXN</v>
      </c>
      <c r="F614" s="4" t="str">
        <f ca="1">IFERROR(__xludf.DUMMYFUNCTION("""COMPUTED_VALUE"""),"Jorge Rojas")</f>
        <v>Jorge Rojas</v>
      </c>
      <c r="G614" s="4" t="str">
        <f ca="1">IFERROR(__xludf.DUMMYFUNCTION("""COMPUTED_VALUE"""),"WALMART LOMAS STA FE   TIJUANA BCN   MEX")</f>
        <v>WALMART LOMAS STA FE   TIJUANA BCN   MEX</v>
      </c>
      <c r="H614" s="4" t="str">
        <f ca="1">IFERROR(__xludf.DUMMYFUNCTION("""COMPUTED_VALUE"""),"Walmart")</f>
        <v>Walmart</v>
      </c>
      <c r="I614" s="4" t="str">
        <f ca="1">IFERROR(__xludf.DUMMYFUNCTION("""COMPUTED_VALUE"""),"Walmart")</f>
        <v>Walmart</v>
      </c>
      <c r="J614" s="4"/>
      <c r="K614" s="4" t="str">
        <f ca="1">IFERROR(__xludf.DUMMYFUNCTION("""COMPUTED_VALUE"""),"Impermeable para obra")</f>
        <v>Impermeable para obra</v>
      </c>
      <c r="S614" s="6">
        <v>174.61</v>
      </c>
      <c r="T614" s="4" t="e">
        <f t="shared" ca="1" si="3"/>
        <v>#N/A</v>
      </c>
    </row>
    <row r="615" spans="1:20" ht="12.5">
      <c r="A615" s="4" t="str">
        <f ca="1">IFERROR(__xludf.DUMMYFUNCTION("""COMPUTED_VALUE"""),"TRX1428")</f>
        <v>TRX1428</v>
      </c>
      <c r="B615" s="4" t="str">
        <f ca="1">IFERROR(__xludf.DUMMYFUNCTION("""COMPUTED_VALUE"""),"#64")</f>
        <v>#64</v>
      </c>
      <c r="C615" s="5">
        <f ca="1">IFERROR(__xludf.DUMMYFUNCTION("""COMPUTED_VALUE"""),46065.4173611111)</f>
        <v>46065.417361111096</v>
      </c>
      <c r="D615" s="6">
        <f ca="1">IFERROR(__xludf.DUMMYFUNCTION("""COMPUTED_VALUE"""),320.82)</f>
        <v>320.82</v>
      </c>
      <c r="E615" s="4" t="str">
        <f ca="1">IFERROR(__xludf.DUMMYFUNCTION("""COMPUTED_VALUE"""),"MXN")</f>
        <v>MXN</v>
      </c>
      <c r="F615" s="4" t="str">
        <f ca="1">IFERROR(__xludf.DUMMYFUNCTION("""COMPUTED_VALUE"""),"Jorge Rojas")</f>
        <v>Jorge Rojas</v>
      </c>
      <c r="G615" s="4" t="str">
        <f ca="1">IFERROR(__xludf.DUMMYFUNCTION("""COMPUTED_VALUE"""),"DLO*Uber eats          CDMX          MEX")</f>
        <v>DLO*Uber eats          CDMX          MEX</v>
      </c>
      <c r="H615" s="4" t="str">
        <f ca="1">IFERROR(__xludf.DUMMYFUNCTION("""COMPUTED_VALUE"""),"Uber Eats")</f>
        <v>Uber Eats</v>
      </c>
      <c r="I615" s="4" t="str">
        <f ca="1">IFERROR(__xludf.DUMMYFUNCTION("""COMPUTED_VALUE"""),"Uber Eats")</f>
        <v>Uber Eats</v>
      </c>
      <c r="J615" s="4"/>
      <c r="K615" s="4" t="str">
        <f ca="1">IFERROR(__xludf.DUMMYFUNCTION("""COMPUTED_VALUE"""),"Bandana")</f>
        <v>Bandana</v>
      </c>
      <c r="S615" s="6">
        <v>873.91</v>
      </c>
      <c r="T615" s="4" t="e">
        <f t="shared" ca="1" si="3"/>
        <v>#N/A</v>
      </c>
    </row>
    <row r="616" spans="1:20" ht="12.5">
      <c r="A616" s="4" t="str">
        <f ca="1">IFERROR(__xludf.DUMMYFUNCTION("""COMPUTED_VALUE"""),"TRX1239")</f>
        <v>TRX1239</v>
      </c>
      <c r="B616" s="4" t="str">
        <f ca="1">IFERROR(__xludf.DUMMYFUNCTION("""COMPUTED_VALUE"""),"#64")</f>
        <v>#64</v>
      </c>
      <c r="C616" s="5">
        <f ca="1">IFERROR(__xludf.DUMMYFUNCTION("""COMPUTED_VALUE"""),46065.4173611111)</f>
        <v>46065.417361111096</v>
      </c>
      <c r="D616" s="6">
        <f ca="1">IFERROR(__xludf.DUMMYFUNCTION("""COMPUTED_VALUE"""),819)</f>
        <v>819</v>
      </c>
      <c r="E616" s="4" t="str">
        <f ca="1">IFERROR(__xludf.DUMMYFUNCTION("""COMPUTED_VALUE"""),"MXN")</f>
        <v>MXN</v>
      </c>
      <c r="F616" s="4" t="str">
        <f ca="1">IFERROR(__xludf.DUMMYFUNCTION("""COMPUTED_VALUE"""),"Jorge Rojas")</f>
        <v>Jorge Rojas</v>
      </c>
      <c r="G616" s="4" t="str">
        <f ca="1">IFERROR(__xludf.DUMMYFUNCTION("""COMPUTED_VALUE"""),"DAX LA PAJARITA        TIJUANA BCN   MEX")</f>
        <v>DAX LA PAJARITA        TIJUANA BCN   MEX</v>
      </c>
      <c r="H616" s="4" t="str">
        <f ca="1">IFERROR(__xludf.DUMMYFUNCTION("""COMPUTED_VALUE"""),"Dax La Pajarita Tijuana Bcn Mex")</f>
        <v>Dax La Pajarita Tijuana Bcn Mex</v>
      </c>
      <c r="I616" s="4" t="str">
        <f ca="1">IFERROR(__xludf.DUMMYFUNCTION("""COMPUTED_VALUE"""),"Dax La Pajarita Tijuana Bcn Mex")</f>
        <v>Dax La Pajarita Tijuana Bcn Mex</v>
      </c>
      <c r="J616" s="4" t="str">
        <f ca="1">IFERROR(__xludf.DUMMYFUNCTION("""COMPUTED_VALUE"""),"Recruiting")</f>
        <v>Recruiting</v>
      </c>
      <c r="K616" s="4" t="str">
        <f ca="1">IFERROR(__xludf.DUMMYFUNCTION("""COMPUTED_VALUE"""),"Alimentos")</f>
        <v>Alimentos</v>
      </c>
      <c r="S616" s="6">
        <v>322.25</v>
      </c>
      <c r="T616" s="4" t="e">
        <f t="shared" ca="1" si="3"/>
        <v>#N/A</v>
      </c>
    </row>
    <row r="617" spans="1:20" ht="12.5">
      <c r="A617" s="4" t="str">
        <f ca="1">IFERROR(__xludf.DUMMYFUNCTION("""COMPUTED_VALUE"""),"TRX1769")</f>
        <v>TRX1769</v>
      </c>
      <c r="B617" s="4" t="str">
        <f ca="1">IFERROR(__xludf.DUMMYFUNCTION("""COMPUTED_VALUE"""),"#64")</f>
        <v>#64</v>
      </c>
      <c r="C617" s="5">
        <f ca="1">IFERROR(__xludf.DUMMYFUNCTION("""COMPUTED_VALUE"""),46066.4173611111)</f>
        <v>46066.417361111096</v>
      </c>
      <c r="D617" s="6">
        <f ca="1">IFERROR(__xludf.DUMMYFUNCTION("""COMPUTED_VALUE"""),460)</f>
        <v>460</v>
      </c>
      <c r="E617" s="4" t="str">
        <f ca="1">IFERROR(__xludf.DUMMYFUNCTION("""COMPUTED_VALUE"""),"MXN")</f>
        <v>MXN</v>
      </c>
      <c r="F617" s="4" t="str">
        <f ca="1">IFERROR(__xludf.DUMMYFUNCTION("""COMPUTED_VALUE"""),"Jorge Rojas")</f>
        <v>Jorge Rojas</v>
      </c>
      <c r="G617" s="4" t="str">
        <f ca="1">IFERROR(__xludf.DUMMYFUNCTION("""COMPUTED_VALUE"""),"CLIP MX*SUPER BARRA LI TIJUANA       MEX")</f>
        <v>CLIP MX*SUPER BARRA LI TIJUANA       MEX</v>
      </c>
      <c r="H617" s="4" t="str">
        <f ca="1">IFERROR(__xludf.DUMMYFUNCTION("""COMPUTED_VALUE"""),"Super Mex")</f>
        <v>Super Mex</v>
      </c>
      <c r="I617" s="4" t="str">
        <f ca="1">IFERROR(__xludf.DUMMYFUNCTION("""COMPUTED_VALUE"""),"Super Mex")</f>
        <v>Super Mex</v>
      </c>
      <c r="J617" s="4"/>
      <c r="K617" s="4" t="str">
        <f ca="1">IFERROR(__xludf.DUMMYFUNCTION("""COMPUTED_VALUE"""),"Consumibles")</f>
        <v>Consumibles</v>
      </c>
      <c r="S617" s="6">
        <v>397.69</v>
      </c>
      <c r="T617" s="4" t="e">
        <f t="shared" ca="1" si="3"/>
        <v>#N/A</v>
      </c>
    </row>
    <row r="618" spans="1:20" ht="12.5">
      <c r="A618" s="4" t="str">
        <f ca="1">IFERROR(__xludf.DUMMYFUNCTION("""COMPUTED_VALUE"""),"TRX1646")</f>
        <v>TRX1646</v>
      </c>
      <c r="B618" s="4" t="str">
        <f ca="1">IFERROR(__xludf.DUMMYFUNCTION("""COMPUTED_VALUE"""),"#64")</f>
        <v>#64</v>
      </c>
      <c r="C618" s="5">
        <f ca="1">IFERROR(__xludf.DUMMYFUNCTION("""COMPUTED_VALUE"""),46066.4173611111)</f>
        <v>46066.417361111096</v>
      </c>
      <c r="D618" s="6">
        <f ca="1">IFERROR(__xludf.DUMMYFUNCTION("""COMPUTED_VALUE"""),92.9)</f>
        <v>92.9</v>
      </c>
      <c r="E618" s="4" t="str">
        <f ca="1">IFERROR(__xludf.DUMMYFUNCTION("""COMPUTED_VALUE"""),"MXN")</f>
        <v>MXN</v>
      </c>
      <c r="F618" s="4" t="str">
        <f ca="1">IFERROR(__xludf.DUMMYFUNCTION("""COMPUTED_VALUE"""),"Jorge Rojas")</f>
        <v>Jorge Rojas</v>
      </c>
      <c r="G618" s="4" t="str">
        <f ca="1">IFERROR(__xludf.DUMMYFUNCTION("""COMPUTED_VALUE"""),"WALMART LOMAS STA FE   TIJUANA BCN   MEX")</f>
        <v>WALMART LOMAS STA FE   TIJUANA BCN   MEX</v>
      </c>
      <c r="H618" s="4" t="str">
        <f ca="1">IFERROR(__xludf.DUMMYFUNCTION("""COMPUTED_VALUE"""),"Walmart")</f>
        <v>Walmart</v>
      </c>
      <c r="I618" s="4" t="str">
        <f ca="1">IFERROR(__xludf.DUMMYFUNCTION("""COMPUTED_VALUE"""),"Walmart")</f>
        <v>Walmart</v>
      </c>
      <c r="J618" s="4"/>
      <c r="K618" s="4" t="str">
        <f ca="1">IFERROR(__xludf.DUMMYFUNCTION("""COMPUTED_VALUE"""),"Misceláneos para trabajadores")</f>
        <v>Misceláneos para trabajadores</v>
      </c>
      <c r="S618" s="6">
        <v>1194.5</v>
      </c>
      <c r="T618" s="4" t="e">
        <f t="shared" ca="1" si="3"/>
        <v>#N/A</v>
      </c>
    </row>
    <row r="619" spans="1:20" ht="12.5">
      <c r="A619" s="4" t="str">
        <f ca="1">IFERROR(__xludf.DUMMYFUNCTION("""COMPUTED_VALUE"""),"TRX1780")</f>
        <v>TRX1780</v>
      </c>
      <c r="B619" s="4" t="str">
        <f ca="1">IFERROR(__xludf.DUMMYFUNCTION("""COMPUTED_VALUE"""),"#64")</f>
        <v>#64</v>
      </c>
      <c r="C619" s="5">
        <f ca="1">IFERROR(__xludf.DUMMYFUNCTION("""COMPUTED_VALUE"""),46067.4166666666)</f>
        <v>46067.416666666599</v>
      </c>
      <c r="D619" s="6">
        <f ca="1">IFERROR(__xludf.DUMMYFUNCTION("""COMPUTED_VALUE"""),621.87)</f>
        <v>621.87</v>
      </c>
      <c r="E619" s="4" t="str">
        <f ca="1">IFERROR(__xludf.DUMMYFUNCTION("""COMPUTED_VALUE"""),"MXN")</f>
        <v>MXN</v>
      </c>
      <c r="F619" s="4" t="str">
        <f ca="1">IFERROR(__xludf.DUMMYFUNCTION("""COMPUTED_VALUE"""),"Jorge Rojas")</f>
        <v>Jorge Rojas</v>
      </c>
      <c r="G619" s="4" t="str">
        <f ca="1">IFERROR(__xludf.DUMMYFUNCTION("""COMPUTED_VALUE"""),"UBER * EATS PENDING    CMX           MEX")</f>
        <v>UBER * EATS PENDING    CMX           MEX</v>
      </c>
      <c r="H619" s="4" t="str">
        <f ca="1">IFERROR(__xludf.DUMMYFUNCTION("""COMPUTED_VALUE"""),"Uber Eats")</f>
        <v>Uber Eats</v>
      </c>
      <c r="I619" s="4" t="str">
        <f ca="1">IFERROR(__xludf.DUMMYFUNCTION("""COMPUTED_VALUE"""),"Uber Eats")</f>
        <v>Uber Eats</v>
      </c>
      <c r="J619" s="4"/>
      <c r="K619" s="4" t="str">
        <f ca="1">IFERROR(__xludf.DUMMYFUNCTION("""COMPUTED_VALUE"""),"Comida equipo ")</f>
        <v xml:space="preserve">Comida equipo </v>
      </c>
      <c r="S619" s="6">
        <v>186</v>
      </c>
      <c r="T619" s="4" t="str">
        <f t="shared" ca="1" si="3"/>
        <v>Fernando Sanchez Toledano</v>
      </c>
    </row>
    <row r="620" spans="1:20" ht="12.5">
      <c r="A620" s="4" t="str">
        <f ca="1">IFERROR(__xludf.DUMMYFUNCTION("""COMPUTED_VALUE"""),"TRX1374")</f>
        <v>TRX1374</v>
      </c>
      <c r="B620" s="4" t="str">
        <f ca="1">IFERROR(__xludf.DUMMYFUNCTION("""COMPUTED_VALUE"""),"#64")</f>
        <v>#64</v>
      </c>
      <c r="C620" s="5">
        <f ca="1">IFERROR(__xludf.DUMMYFUNCTION("""COMPUTED_VALUE"""),46067.4166666666)</f>
        <v>46067.416666666599</v>
      </c>
      <c r="D620" s="6">
        <f ca="1">IFERROR(__xludf.DUMMYFUNCTION("""COMPUTED_VALUE"""),199.95)</f>
        <v>199.95</v>
      </c>
      <c r="E620" s="4" t="str">
        <f ca="1">IFERROR(__xludf.DUMMYFUNCTION("""COMPUTED_VALUE"""),"MXN")</f>
        <v>MXN</v>
      </c>
      <c r="F620" s="4" t="str">
        <f ca="1">IFERROR(__xludf.DUMMYFUNCTION("""COMPUTED_VALUE"""),"Jorge Rojas")</f>
        <v>Jorge Rojas</v>
      </c>
      <c r="G620" s="4" t="str">
        <f ca="1">IFERROR(__xludf.DUMMYFUNCTION("""COMPUTED_VALUE"""),"UBER * PENDING         CMX           MEX")</f>
        <v>UBER * PENDING         CMX           MEX</v>
      </c>
      <c r="H620" s="4" t="str">
        <f ca="1">IFERROR(__xludf.DUMMYFUNCTION("""COMPUTED_VALUE"""),"Uber")</f>
        <v>Uber</v>
      </c>
      <c r="I620" s="4" t="str">
        <f ca="1">IFERROR(__xludf.DUMMYFUNCTION("""COMPUTED_VALUE"""),"Uber")</f>
        <v>Uber</v>
      </c>
      <c r="J620" s="4"/>
      <c r="K620" s="4" t="str">
        <f ca="1">IFERROR(__xludf.DUMMYFUNCTION("""COMPUTED_VALUE"""),"alimentos")</f>
        <v>alimentos</v>
      </c>
      <c r="S620" s="6">
        <v>329.84</v>
      </c>
      <c r="T620" s="4" t="e">
        <f t="shared" ca="1" si="3"/>
        <v>#N/A</v>
      </c>
    </row>
    <row r="621" spans="1:20" ht="12.5">
      <c r="A621" s="4" t="str">
        <f ca="1">IFERROR(__xludf.DUMMYFUNCTION("""COMPUTED_VALUE"""),"TRX1236")</f>
        <v>TRX1236</v>
      </c>
      <c r="B621" s="4" t="str">
        <f ca="1">IFERROR(__xludf.DUMMYFUNCTION("""COMPUTED_VALUE"""),"#64")</f>
        <v>#64</v>
      </c>
      <c r="C621" s="5">
        <f ca="1">IFERROR(__xludf.DUMMYFUNCTION("""COMPUTED_VALUE"""),46067.4173611111)</f>
        <v>46067.417361111096</v>
      </c>
      <c r="D621" s="6">
        <f ca="1">IFERROR(__xludf.DUMMYFUNCTION("""COMPUTED_VALUE"""),590.7)</f>
        <v>590.70000000000005</v>
      </c>
      <c r="E621" s="4" t="str">
        <f ca="1">IFERROR(__xludf.DUMMYFUNCTION("""COMPUTED_VALUE"""),"MXN")</f>
        <v>MXN</v>
      </c>
      <c r="F621" s="4" t="str">
        <f ca="1">IFERROR(__xludf.DUMMYFUNCTION("""COMPUTED_VALUE"""),"Jorge Rojas")</f>
        <v>Jorge Rojas</v>
      </c>
      <c r="G621" s="4" t="str">
        <f ca="1">IFERROR(__xludf.DUMMYFUNCTION("""COMPUTED_VALUE"""),"VIPS TIJUANA 81121     TIJUANA BCN   MEX")</f>
        <v>VIPS TIJUANA 81121     TIJUANA BCN   MEX</v>
      </c>
      <c r="H621" s="4" t="str">
        <f ca="1">IFERROR(__xludf.DUMMYFUNCTION("""COMPUTED_VALUE"""),"Vips Tijuana Tijuana Bcn Mex")</f>
        <v>Vips Tijuana Tijuana Bcn Mex</v>
      </c>
      <c r="I621" s="4" t="str">
        <f ca="1">IFERROR(__xludf.DUMMYFUNCTION("""COMPUTED_VALUE"""),"Vips Tijuana Tijuana Bcn Mex")</f>
        <v>Vips Tijuana Tijuana Bcn Mex</v>
      </c>
      <c r="J621" s="4" t="str">
        <f ca="1">IFERROR(__xludf.DUMMYFUNCTION("""COMPUTED_VALUE"""),"Recruiting")</f>
        <v>Recruiting</v>
      </c>
      <c r="K621" s="4" t="str">
        <f ca="1">IFERROR(__xludf.DUMMYFUNCTION("""COMPUTED_VALUE"""),"Combustibles para equipos operativos")</f>
        <v>Combustibles para equipos operativos</v>
      </c>
      <c r="S621" s="6">
        <v>645.04999999999995</v>
      </c>
      <c r="T621" s="4" t="e">
        <f t="shared" ca="1" si="3"/>
        <v>#N/A</v>
      </c>
    </row>
    <row r="622" spans="1:20" ht="12.5">
      <c r="A622" s="4" t="str">
        <f ca="1">IFERROR(__xludf.DUMMYFUNCTION("""COMPUTED_VALUE"""),"TRX2020")</f>
        <v>TRX2020</v>
      </c>
      <c r="B622" s="4" t="str">
        <f ca="1">IFERROR(__xludf.DUMMYFUNCTION("""COMPUTED_VALUE"""),"#64")</f>
        <v>#64</v>
      </c>
      <c r="C622" s="5">
        <f ca="1">IFERROR(__xludf.DUMMYFUNCTION("""COMPUTED_VALUE"""),46067.4173611111)</f>
        <v>46067.417361111096</v>
      </c>
      <c r="D622" s="6">
        <f ca="1">IFERROR(__xludf.DUMMYFUNCTION("""COMPUTED_VALUE"""),301.27)</f>
        <v>301.27</v>
      </c>
      <c r="E622" s="4" t="str">
        <f ca="1">IFERROR(__xludf.DUMMYFUNCTION("""COMPUTED_VALUE"""),"MXN")</f>
        <v>MXN</v>
      </c>
      <c r="F622" s="4" t="str">
        <f ca="1">IFERROR(__xludf.DUMMYFUNCTION("""COMPUTED_VALUE"""),"Jorge Rojas")</f>
        <v>Jorge Rojas</v>
      </c>
      <c r="G622" s="4" t="str">
        <f ca="1">IFERROR(__xludf.DUMMYFUNCTION("""COMPUTED_VALUE"""),"WALMART LOMAS STA FE   TIJUANA BCN   MEX")</f>
        <v>WALMART LOMAS STA FE   TIJUANA BCN   MEX</v>
      </c>
      <c r="H622" s="4" t="str">
        <f ca="1">IFERROR(__xludf.DUMMYFUNCTION("""COMPUTED_VALUE"""),"Walmart")</f>
        <v>Walmart</v>
      </c>
      <c r="I622" s="4" t="str">
        <f ca="1">IFERROR(__xludf.DUMMYFUNCTION("""COMPUTED_VALUE"""),"Walmart")</f>
        <v>Walmart</v>
      </c>
      <c r="J622" s="4" t="str">
        <f ca="1">IFERROR(__xludf.DUMMYFUNCTION("""COMPUTED_VALUE"""),"Recruiting")</f>
        <v>Recruiting</v>
      </c>
      <c r="K622" s="4" t="str">
        <f ca="1">IFERROR(__xludf.DUMMYFUNCTION("""COMPUTED_VALUE"""),"Cena equipo PRIMA")</f>
        <v>Cena equipo PRIMA</v>
      </c>
      <c r="S622" s="6">
        <v>258</v>
      </c>
      <c r="T622" s="4" t="str">
        <f t="shared" ca="1" si="3"/>
        <v>Daniel Alejandro Castillo Rivera</v>
      </c>
    </row>
    <row r="623" spans="1:20" ht="12.5">
      <c r="A623" s="4" t="str">
        <f ca="1">IFERROR(__xludf.DUMMYFUNCTION("""COMPUTED_VALUE"""),"TRX1933")</f>
        <v>TRX1933</v>
      </c>
      <c r="B623" s="4" t="str">
        <f ca="1">IFERROR(__xludf.DUMMYFUNCTION("""COMPUTED_VALUE"""),"#64")</f>
        <v>#64</v>
      </c>
      <c r="C623" s="5">
        <f ca="1">IFERROR(__xludf.DUMMYFUNCTION("""COMPUTED_VALUE"""),46068.4166666666)</f>
        <v>46068.416666666599</v>
      </c>
      <c r="D623" s="6">
        <f ca="1">IFERROR(__xludf.DUMMYFUNCTION("""COMPUTED_VALUE"""),266.42)</f>
        <v>266.42</v>
      </c>
      <c r="E623" s="4" t="str">
        <f ca="1">IFERROR(__xludf.DUMMYFUNCTION("""COMPUTED_VALUE"""),"MXN")</f>
        <v>MXN</v>
      </c>
      <c r="F623" s="4" t="str">
        <f ca="1">IFERROR(__xludf.DUMMYFUNCTION("""COMPUTED_VALUE"""),"Jorge Rojas")</f>
        <v>Jorge Rojas</v>
      </c>
      <c r="G623" s="4" t="str">
        <f ca="1">IFERROR(__xludf.DUMMYFUNCTION("""COMPUTED_VALUE"""),"UBER * EATS PENDING    CMX           MEX")</f>
        <v>UBER * EATS PENDING    CMX           MEX</v>
      </c>
      <c r="H623" s="4" t="str">
        <f ca="1">IFERROR(__xludf.DUMMYFUNCTION("""COMPUTED_VALUE"""),"Uber Eats")</f>
        <v>Uber Eats</v>
      </c>
      <c r="I623" s="4" t="str">
        <f ca="1">IFERROR(__xludf.DUMMYFUNCTION("""COMPUTED_VALUE"""),"Uber Eats")</f>
        <v>Uber Eats</v>
      </c>
      <c r="J623" s="4" t="str">
        <f ca="1">IFERROR(__xludf.DUMMYFUNCTION("""COMPUTED_VALUE"""),"G&amp;A expenses")</f>
        <v>G&amp;A expenses</v>
      </c>
      <c r="K623" s="4" t="str">
        <f ca="1">IFERROR(__xludf.DUMMYFUNCTION("""COMPUTED_VALUE"""),"Cancelacion")</f>
        <v>Cancelacion</v>
      </c>
      <c r="S623" s="6">
        <v>19.68</v>
      </c>
      <c r="T623" s="4" t="e">
        <f t="shared" ca="1" si="3"/>
        <v>#N/A</v>
      </c>
    </row>
    <row r="624" spans="1:20" ht="12.5">
      <c r="A624" s="4" t="str">
        <f ca="1">IFERROR(__xludf.DUMMYFUNCTION("""COMPUTED_VALUE"""),"TRX1657")</f>
        <v>TRX1657</v>
      </c>
      <c r="B624" s="4" t="str">
        <f ca="1">IFERROR(__xludf.DUMMYFUNCTION("""COMPUTED_VALUE"""),"#64")</f>
        <v>#64</v>
      </c>
      <c r="C624" s="5">
        <f ca="1">IFERROR(__xludf.DUMMYFUNCTION("""COMPUTED_VALUE"""),46068.4166666666)</f>
        <v>46068.416666666599</v>
      </c>
      <c r="D624" s="6">
        <f ca="1">IFERROR(__xludf.DUMMYFUNCTION("""COMPUTED_VALUE"""),836)</f>
        <v>836</v>
      </c>
      <c r="E624" s="4" t="str">
        <f ca="1">IFERROR(__xludf.DUMMYFUNCTION("""COMPUTED_VALUE"""),"MXN")</f>
        <v>MXN</v>
      </c>
      <c r="F624" s="4" t="str">
        <f ca="1">IFERROR(__xludf.DUMMYFUNCTION("""COMPUTED_VALUE"""),"Jorge Rojas")</f>
        <v>Jorge Rojas</v>
      </c>
      <c r="G624" s="4" t="str">
        <f ca="1">IFERROR(__xludf.DUMMYFUNCTION("""COMPUTED_VALUE"""),"MERCADOPAGO *ITALIA    Tijuana       MEX")</f>
        <v>MERCADOPAGO *ITALIA    Tijuana       MEX</v>
      </c>
      <c r="H624" s="4" t="str">
        <f ca="1">IFERROR(__xludf.DUMMYFUNCTION("""COMPUTED_VALUE"""),"Mercadopago")</f>
        <v>Mercadopago</v>
      </c>
      <c r="I624" s="4" t="str">
        <f ca="1">IFERROR(__xludf.DUMMYFUNCTION("""COMPUTED_VALUE"""),"Mercadopago")</f>
        <v>Mercadopago</v>
      </c>
      <c r="J624" s="4"/>
      <c r="K624" s="4" t="str">
        <f ca="1">IFERROR(__xludf.DUMMYFUNCTION("""COMPUTED_VALUE"""),"Traslados")</f>
        <v>Traslados</v>
      </c>
      <c r="S624" s="6">
        <v>429.06</v>
      </c>
      <c r="T624" s="4" t="e">
        <f t="shared" ca="1" si="3"/>
        <v>#N/A</v>
      </c>
    </row>
    <row r="625" spans="1:20" ht="12.5">
      <c r="A625" s="4" t="str">
        <f ca="1">IFERROR(__xludf.DUMMYFUNCTION("""COMPUTED_VALUE"""),"TRX1048")</f>
        <v>TRX1048</v>
      </c>
      <c r="B625" s="4" t="str">
        <f ca="1">IFERROR(__xludf.DUMMYFUNCTION("""COMPUTED_VALUE"""),"#64")</f>
        <v>#64</v>
      </c>
      <c r="C625" s="5">
        <f ca="1">IFERROR(__xludf.DUMMYFUNCTION("""COMPUTED_VALUE"""),46068.4166666666)</f>
        <v>46068.416666666599</v>
      </c>
      <c r="D625" s="6">
        <f ca="1">IFERROR(__xludf.DUMMYFUNCTION("""COMPUTED_VALUE"""),970)</f>
        <v>970</v>
      </c>
      <c r="E625" s="4" t="str">
        <f ca="1">IFERROR(__xludf.DUMMYFUNCTION("""COMPUTED_VALUE"""),"MXN")</f>
        <v>MXN</v>
      </c>
      <c r="F625" s="4" t="str">
        <f ca="1">IFERROR(__xludf.DUMMYFUNCTION("""COMPUTED_VALUE"""),"Jorge Rojas")</f>
        <v>Jorge Rojas</v>
      </c>
      <c r="G625" s="4" t="str">
        <f ca="1">IFERROR(__xludf.DUMMYFUNCTION("""COMPUTED_VALUE"""),"RCH SANTA FE           TIJUANA BCN   MEX")</f>
        <v>RCH SANTA FE           TIJUANA BCN   MEX</v>
      </c>
      <c r="H625" s="4" t="str">
        <f ca="1">IFERROR(__xludf.DUMMYFUNCTION("""COMPUTED_VALUE"""),"Rch Santa Fe Tijuana Bcn Mex")</f>
        <v>Rch Santa Fe Tijuana Bcn Mex</v>
      </c>
      <c r="I625" s="4" t="str">
        <f ca="1">IFERROR(__xludf.DUMMYFUNCTION("""COMPUTED_VALUE"""),"Rch Santa Fe Tijuana Bcn Mex")</f>
        <v>Rch Santa Fe Tijuana Bcn Mex</v>
      </c>
      <c r="J625" s="4"/>
      <c r="K625" s="4" t="str">
        <f ca="1">IFERROR(__xludf.DUMMYFUNCTION("""COMPUTED_VALUE"""),"Traslados")</f>
        <v>Traslados</v>
      </c>
      <c r="S625" s="6">
        <v>163.5</v>
      </c>
      <c r="T625" s="4" t="e">
        <f t="shared" ca="1" si="3"/>
        <v>#N/A</v>
      </c>
    </row>
    <row r="626" spans="1:20" ht="12.5">
      <c r="A626" s="4" t="str">
        <f ca="1">IFERROR(__xludf.DUMMYFUNCTION("""COMPUTED_VALUE"""),"TRX1609")</f>
        <v>TRX1609</v>
      </c>
      <c r="B626" s="4" t="str">
        <f ca="1">IFERROR(__xludf.DUMMYFUNCTION("""COMPUTED_VALUE"""),"#64")</f>
        <v>#64</v>
      </c>
      <c r="C626" s="5">
        <f ca="1">IFERROR(__xludf.DUMMYFUNCTION("""COMPUTED_VALUE"""),46068.4173611111)</f>
        <v>46068.417361111096</v>
      </c>
      <c r="D626" s="6">
        <f ca="1">IFERROR(__xludf.DUMMYFUNCTION("""COMPUTED_VALUE"""),717)</f>
        <v>717</v>
      </c>
      <c r="E626" s="4" t="str">
        <f ca="1">IFERROR(__xludf.DUMMYFUNCTION("""COMPUTED_VALUE"""),"MXN")</f>
        <v>MXN</v>
      </c>
      <c r="F626" s="4" t="str">
        <f ca="1">IFERROR(__xludf.DUMMYFUNCTION("""COMPUTED_VALUE"""),"Jorge Rojas")</f>
        <v>Jorge Rojas</v>
      </c>
      <c r="G626" s="4" t="str">
        <f ca="1">IFERROR(__xludf.DUMMYFUNCTION("""COMPUTED_VALUE"""),"TACOS EL CHINO 2       ROSARITO BCN  MEX")</f>
        <v>TACOS EL CHINO 2       ROSARITO BCN  MEX</v>
      </c>
      <c r="H626" s="4" t="str">
        <f ca="1">IFERROR(__xludf.DUMMYFUNCTION("""COMPUTED_VALUE"""),"Tacos El Chino 2 Rosarito Bcn Mex")</f>
        <v>Tacos El Chino 2 Rosarito Bcn Mex</v>
      </c>
      <c r="I626" s="4" t="str">
        <f ca="1">IFERROR(__xludf.DUMMYFUNCTION("""COMPUTED_VALUE"""),"Tacos El Chino 2 Rosarito Bcn Mex")</f>
        <v>Tacos El Chino 2 Rosarito Bcn Mex</v>
      </c>
      <c r="J626" s="4" t="str">
        <f ca="1">IFERROR(__xludf.DUMMYFUNCTION("""COMPUTED_VALUE"""),"Recruiting")</f>
        <v>Recruiting</v>
      </c>
      <c r="K626" s="4" t="str">
        <f ca="1">IFERROR(__xludf.DUMMYFUNCTION("""COMPUTED_VALUE"""),"Renta auto equipo PRIMA")</f>
        <v>Renta auto equipo PRIMA</v>
      </c>
      <c r="S626" s="6">
        <v>6017</v>
      </c>
      <c r="T626" s="4" t="e">
        <f t="shared" ca="1" si="3"/>
        <v>#N/A</v>
      </c>
    </row>
    <row r="627" spans="1:20" ht="12.5">
      <c r="A627" s="4" t="str">
        <f ca="1">IFERROR(__xludf.DUMMYFUNCTION("""COMPUTED_VALUE"""),"TRX1204")</f>
        <v>TRX1204</v>
      </c>
      <c r="B627" s="4" t="str">
        <f ca="1">IFERROR(__xludf.DUMMYFUNCTION("""COMPUTED_VALUE"""),"#64")</f>
        <v>#64</v>
      </c>
      <c r="C627" s="5">
        <f ca="1">IFERROR(__xludf.DUMMYFUNCTION("""COMPUTED_VALUE"""),46068.4173611111)</f>
        <v>46068.417361111096</v>
      </c>
      <c r="D627" s="6">
        <f ca="1">IFERROR(__xludf.DUMMYFUNCTION("""COMPUTED_VALUE"""),2214.85)</f>
        <v>2214.85</v>
      </c>
      <c r="E627" s="4" t="str">
        <f ca="1">IFERROR(__xludf.DUMMYFUNCTION("""COMPUTED_VALUE"""),"MXN")</f>
        <v>MXN</v>
      </c>
      <c r="F627" s="4" t="str">
        <f ca="1">IFERROR(__xludf.DUMMYFUNCTION("""COMPUTED_VALUE"""),"Jorge Rojas")</f>
        <v>Jorge Rojas</v>
      </c>
      <c r="G627" s="4" t="str">
        <f ca="1">IFERROR(__xludf.DUMMYFUNCTION("""COMPUTED_VALUE"""),"LIV TIJUANA            TIJUANA BCN   MEX")</f>
        <v>LIV TIJUANA            TIJUANA BCN   MEX</v>
      </c>
      <c r="H627" s="4" t="str">
        <f ca="1">IFERROR(__xludf.DUMMYFUNCTION("""COMPUTED_VALUE"""),"Liv Tijuana Tijuana Bcn Mex")</f>
        <v>Liv Tijuana Tijuana Bcn Mex</v>
      </c>
      <c r="I627" s="4" t="str">
        <f ca="1">IFERROR(__xludf.DUMMYFUNCTION("""COMPUTED_VALUE"""),"Liv Tijuana Tijuana Bcn Mex")</f>
        <v>Liv Tijuana Tijuana Bcn Mex</v>
      </c>
      <c r="J627" s="4"/>
      <c r="K627" s="4" t="str">
        <f ca="1">IFERROR(__xludf.DUMMYFUNCTION("""COMPUTED_VALUE"""),"Alimentos")</f>
        <v>Alimentos</v>
      </c>
      <c r="S627" s="6">
        <v>573.21</v>
      </c>
      <c r="T627" s="4" t="e">
        <f t="shared" ca="1" si="3"/>
        <v>#N/A</v>
      </c>
    </row>
    <row r="628" spans="1:20" ht="12.5">
      <c r="A628" s="4" t="str">
        <f ca="1">IFERROR(__xludf.DUMMYFUNCTION("""COMPUTED_VALUE"""),"TRX1539")</f>
        <v>TRX1539</v>
      </c>
      <c r="B628" s="4" t="str">
        <f ca="1">IFERROR(__xludf.DUMMYFUNCTION("""COMPUTED_VALUE"""),"#64")</f>
        <v>#64</v>
      </c>
      <c r="C628" s="5">
        <f ca="1">IFERROR(__xludf.DUMMYFUNCTION("""COMPUTED_VALUE"""),46069.4166666666)</f>
        <v>46069.416666666599</v>
      </c>
      <c r="D628" s="6">
        <f ca="1">IFERROR(__xludf.DUMMYFUNCTION("""COMPUTED_VALUE"""),304)</f>
        <v>304</v>
      </c>
      <c r="E628" s="4" t="str">
        <f ca="1">IFERROR(__xludf.DUMMYFUNCTION("""COMPUTED_VALUE"""),"MXN")</f>
        <v>MXN</v>
      </c>
      <c r="F628" s="4" t="str">
        <f ca="1">IFERROR(__xludf.DUMMYFUNCTION("""COMPUTED_VALUE"""),"Jorge Rojas")</f>
        <v>Jorge Rojas</v>
      </c>
      <c r="G628" s="4" t="str">
        <f ca="1">IFERROR(__xludf.DUMMYFUNCTION("""COMPUTED_VALUE"""),"7ELEVEN T2843 BANDERAS TIJUANA BCN   MEX")</f>
        <v>7ELEVEN T2843 BANDERAS TIJUANA BCN   MEX</v>
      </c>
      <c r="H628" s="4" t="str">
        <f ca="1">IFERROR(__xludf.DUMMYFUNCTION("""COMPUTED_VALUE"""),"7 Eleven")</f>
        <v>7 Eleven</v>
      </c>
      <c r="I628" s="4" t="str">
        <f ca="1">IFERROR(__xludf.DUMMYFUNCTION("""COMPUTED_VALUE"""),"7 Eleven")</f>
        <v>7 Eleven</v>
      </c>
      <c r="J628" s="4" t="str">
        <f ca="1">IFERROR(__xludf.DUMMYFUNCTION("""COMPUTED_VALUE"""),"Recruiting")</f>
        <v>Recruiting</v>
      </c>
      <c r="K628" s="4" t="str">
        <f ca="1">IFERROR(__xludf.DUMMYFUNCTION("""COMPUTED_VALUE"""),"Oxigeno para equipo de oxicorte")</f>
        <v>Oxigeno para equipo de oxicorte</v>
      </c>
      <c r="S628" s="6">
        <v>1445.13</v>
      </c>
      <c r="T628" s="4" t="e">
        <f t="shared" ca="1" si="3"/>
        <v>#N/A</v>
      </c>
    </row>
    <row r="629" spans="1:20" ht="12.5">
      <c r="A629" s="4" t="str">
        <f ca="1">IFERROR(__xludf.DUMMYFUNCTION("""COMPUTED_VALUE"""),"TRX1685")</f>
        <v>TRX1685</v>
      </c>
      <c r="B629" s="4" t="str">
        <f ca="1">IFERROR(__xludf.DUMMYFUNCTION("""COMPUTED_VALUE"""),"#64")</f>
        <v>#64</v>
      </c>
      <c r="C629" s="5">
        <f ca="1">IFERROR(__xludf.DUMMYFUNCTION("""COMPUTED_VALUE"""),46069.4166666666)</f>
        <v>46069.416666666599</v>
      </c>
      <c r="D629" s="6">
        <f ca="1">IFERROR(__xludf.DUMMYFUNCTION("""COMPUTED_VALUE"""),522.34)</f>
        <v>522.34</v>
      </c>
      <c r="E629" s="4" t="str">
        <f ca="1">IFERROR(__xludf.DUMMYFUNCTION("""COMPUTED_VALUE"""),"USD")</f>
        <v>USD</v>
      </c>
      <c r="F629" s="4" t="str">
        <f ca="1">IFERROR(__xludf.DUMMYFUNCTION("""COMPUTED_VALUE"""),"Jorge Rojas")</f>
        <v>Jorge Rojas</v>
      </c>
      <c r="G629" s="4" t="str">
        <f ca="1">IFERROR(__xludf.DUMMYFUNCTION("""COMPUTED_VALUE"""),"MCDONALD'S F32595      LAS VEGAS     USA")</f>
        <v>MCDONALD'S F32595      LAS VEGAS     USA</v>
      </c>
      <c r="H629" s="4" t="str">
        <f ca="1">IFERROR(__xludf.DUMMYFUNCTION("""COMPUTED_VALUE"""),"McDonald's")</f>
        <v>McDonald's</v>
      </c>
      <c r="I629" s="4" t="str">
        <f ca="1">IFERROR(__xludf.DUMMYFUNCTION("""COMPUTED_VALUE"""),"McDonald's")</f>
        <v>McDonald's</v>
      </c>
      <c r="J629" s="4" t="str">
        <f ca="1">IFERROR(__xludf.DUMMYFUNCTION("""COMPUTED_VALUE"""),"Recruiting")</f>
        <v>Recruiting</v>
      </c>
      <c r="K629" s="4" t="str">
        <f ca="1">IFERROR(__xludf.DUMMYFUNCTION("""COMPUTED_VALUE"""),"Hospedaje de dos personas TJ")</f>
        <v>Hospedaje de dos personas TJ</v>
      </c>
      <c r="S629" s="6">
        <v>1601.75</v>
      </c>
      <c r="T629" s="4" t="e">
        <f t="shared" ca="1" si="3"/>
        <v>#N/A</v>
      </c>
    </row>
    <row r="630" spans="1:20" ht="12.5">
      <c r="A630" s="4" t="str">
        <f ca="1">IFERROR(__xludf.DUMMYFUNCTION("""COMPUTED_VALUE"""),"TRX1506")</f>
        <v>TRX1506</v>
      </c>
      <c r="B630" s="4" t="str">
        <f ca="1">IFERROR(__xludf.DUMMYFUNCTION("""COMPUTED_VALUE"""),"#64")</f>
        <v>#64</v>
      </c>
      <c r="C630" s="5">
        <f ca="1">IFERROR(__xludf.DUMMYFUNCTION("""COMPUTED_VALUE"""),46069.4166666666)</f>
        <v>46069.416666666599</v>
      </c>
      <c r="D630" s="6">
        <f ca="1">IFERROR(__xludf.DUMMYFUNCTION("""COMPUTED_VALUE"""),5442.41)</f>
        <v>5442.41</v>
      </c>
      <c r="E630" s="4" t="str">
        <f ca="1">IFERROR(__xludf.DUMMYFUNCTION("""COMPUTED_VALUE"""),"MXN")</f>
        <v>MXN</v>
      </c>
      <c r="F630" s="4" t="str">
        <f ca="1">IFERROR(__xludf.DUMMYFUNCTION("""COMPUTED_VALUE"""),"Jorge Rojas")</f>
        <v>Jorge Rojas</v>
      </c>
      <c r="G630" s="4" t="str">
        <f ca="1">IFERROR(__xludf.DUMMYFUNCTION("""COMPUTED_VALUE"""),"AIRBNB * HMR2YBXSEE    LONDON        GBR")</f>
        <v>AIRBNB * HMR2YBXSEE    LONDON        GBR</v>
      </c>
      <c r="H630" s="4" t="str">
        <f ca="1">IFERROR(__xludf.DUMMYFUNCTION("""COMPUTED_VALUE"""),"Airbnb")</f>
        <v>Airbnb</v>
      </c>
      <c r="I630" s="4" t="str">
        <f ca="1">IFERROR(__xludf.DUMMYFUNCTION("""COMPUTED_VALUE"""),"Airbnb")</f>
        <v>Airbnb</v>
      </c>
      <c r="J630" s="4" t="str">
        <f ca="1">IFERROR(__xludf.DUMMYFUNCTION("""COMPUTED_VALUE"""),"Recruiting")</f>
        <v>Recruiting</v>
      </c>
      <c r="K630" s="4" t="str">
        <f ca="1">IFERROR(__xludf.DUMMYFUNCTION("""COMPUTED_VALUE"""),"Materiales para ejecución")</f>
        <v>Materiales para ejecución</v>
      </c>
      <c r="S630" s="6">
        <v>73.400000000000006</v>
      </c>
      <c r="T630" s="4" t="e">
        <f t="shared" ca="1" si="3"/>
        <v>#N/A</v>
      </c>
    </row>
    <row r="631" spans="1:20" ht="12.5">
      <c r="A631" s="4" t="str">
        <f ca="1">IFERROR(__xludf.DUMMYFUNCTION("""COMPUTED_VALUE"""),"TRX1348")</f>
        <v>TRX1348</v>
      </c>
      <c r="B631" s="4" t="str">
        <f ca="1">IFERROR(__xludf.DUMMYFUNCTION("""COMPUTED_VALUE"""),"#64")</f>
        <v>#64</v>
      </c>
      <c r="C631" s="5">
        <f ca="1">IFERROR(__xludf.DUMMYFUNCTION("""COMPUTED_VALUE"""),46069.4166666666)</f>
        <v>46069.416666666599</v>
      </c>
      <c r="D631" s="6">
        <f ca="1">IFERROR(__xludf.DUMMYFUNCTION("""COMPUTED_VALUE"""),5215.38)</f>
        <v>5215.38</v>
      </c>
      <c r="E631" s="4" t="str">
        <f ca="1">IFERROR(__xludf.DUMMYFUNCTION("""COMPUTED_VALUE"""),"MXN")</f>
        <v>MXN</v>
      </c>
      <c r="F631" s="4" t="str">
        <f ca="1">IFERROR(__xludf.DUMMYFUNCTION("""COMPUTED_VALUE"""),"Jorge Rojas")</f>
        <v>Jorge Rojas</v>
      </c>
      <c r="G631" s="4" t="str">
        <f ca="1">IFERROR(__xludf.DUMMYFUNCTION("""COMPUTED_VALUE"""),"AIRBNB * HMN35WN38E    LONDON        GBR")</f>
        <v>AIRBNB * HMN35WN38E    LONDON        GBR</v>
      </c>
      <c r="H631" s="4" t="str">
        <f ca="1">IFERROR(__xludf.DUMMYFUNCTION("""COMPUTED_VALUE"""),"Airbnb")</f>
        <v>Airbnb</v>
      </c>
      <c r="I631" s="4" t="str">
        <f ca="1">IFERROR(__xludf.DUMMYFUNCTION("""COMPUTED_VALUE"""),"Airbnb")</f>
        <v>Airbnb</v>
      </c>
      <c r="J631" s="4"/>
      <c r="K631" s="4"/>
      <c r="S631" s="6">
        <v>825.52</v>
      </c>
      <c r="T631" s="4" t="e">
        <f t="shared" ca="1" si="3"/>
        <v>#N/A</v>
      </c>
    </row>
    <row r="632" spans="1:20" ht="12.5">
      <c r="A632" s="4" t="str">
        <f ca="1">IFERROR(__xludf.DUMMYFUNCTION("""COMPUTED_VALUE"""),"TRX1633")</f>
        <v>TRX1633</v>
      </c>
      <c r="B632" s="4" t="str">
        <f ca="1">IFERROR(__xludf.DUMMYFUNCTION("""COMPUTED_VALUE"""),"#64")</f>
        <v>#64</v>
      </c>
      <c r="C632" s="5">
        <f ca="1">IFERROR(__xludf.DUMMYFUNCTION("""COMPUTED_VALUE"""),46070.4166666666)</f>
        <v>46070.416666666599</v>
      </c>
      <c r="D632" s="6">
        <f ca="1">IFERROR(__xludf.DUMMYFUNCTION("""COMPUTED_VALUE"""),562.1)</f>
        <v>562.1</v>
      </c>
      <c r="E632" s="4" t="str">
        <f ca="1">IFERROR(__xludf.DUMMYFUNCTION("""COMPUTED_VALUE"""),"MXN")</f>
        <v>MXN</v>
      </c>
      <c r="F632" s="4" t="str">
        <f ca="1">IFERROR(__xludf.DUMMYFUNCTION("""COMPUTED_VALUE"""),"Jorge Rojas")</f>
        <v>Jorge Rojas</v>
      </c>
      <c r="G632" s="4" t="str">
        <f ca="1">IFERROR(__xludf.DUMMYFUNCTION("""COMPUTED_VALUE"""),"REST TIJUANAZO RIO     TIJUANA BCN   MEX")</f>
        <v>REST TIJUANAZO RIO     TIJUANA BCN   MEX</v>
      </c>
      <c r="H632" s="4" t="str">
        <f ca="1">IFERROR(__xludf.DUMMYFUNCTION("""COMPUTED_VALUE"""),"Rest Tijuanazo Rio Tijuana Bcn Mex")</f>
        <v>Rest Tijuanazo Rio Tijuana Bcn Mex</v>
      </c>
      <c r="I632" s="4" t="str">
        <f ca="1">IFERROR(__xludf.DUMMYFUNCTION("""COMPUTED_VALUE"""),"Rest Tijuanazo Rio Tijuana Bcn Mex")</f>
        <v>Rest Tijuanazo Rio Tijuana Bcn Mex</v>
      </c>
      <c r="J632" s="4"/>
      <c r="K632" s="4"/>
      <c r="S632" s="6">
        <v>95.48</v>
      </c>
      <c r="T632" s="4" t="e">
        <f t="shared" ca="1" si="3"/>
        <v>#N/A</v>
      </c>
    </row>
    <row r="633" spans="1:20" ht="12.5">
      <c r="A633" s="4" t="str">
        <f ca="1">IFERROR(__xludf.DUMMYFUNCTION("""COMPUTED_VALUE"""),"TRX1163")</f>
        <v>TRX1163</v>
      </c>
      <c r="B633" s="4" t="str">
        <f ca="1">IFERROR(__xludf.DUMMYFUNCTION("""COMPUTED_VALUE"""),"#64")</f>
        <v>#64</v>
      </c>
      <c r="C633" s="5">
        <f ca="1">IFERROR(__xludf.DUMMYFUNCTION("""COMPUTED_VALUE"""),46071.4166666666)</f>
        <v>46071.416666666599</v>
      </c>
      <c r="D633" s="6">
        <f ca="1">IFERROR(__xludf.DUMMYFUNCTION("""COMPUTED_VALUE"""),531.81)</f>
        <v>531.80999999999995</v>
      </c>
      <c r="E633" s="4" t="str">
        <f ca="1">IFERROR(__xludf.DUMMYFUNCTION("""COMPUTED_VALUE"""),"MXN")</f>
        <v>MXN</v>
      </c>
      <c r="F633" s="4" t="str">
        <f ca="1">IFERROR(__xludf.DUMMYFUNCTION("""COMPUTED_VALUE"""),"Jorge Rojas")</f>
        <v>Jorge Rojas</v>
      </c>
      <c r="G633" s="4" t="str">
        <f ca="1">IFERROR(__xludf.DUMMYFUNCTION("""COMPUTED_VALUE"""),"UBER * EATS PENDING    CMX           MEX")</f>
        <v>UBER * EATS PENDING    CMX           MEX</v>
      </c>
      <c r="H633" s="4" t="str">
        <f ca="1">IFERROR(__xludf.DUMMYFUNCTION("""COMPUTED_VALUE"""),"Uber Eats")</f>
        <v>Uber Eats</v>
      </c>
      <c r="I633" s="4" t="str">
        <f ca="1">IFERROR(__xludf.DUMMYFUNCTION("""COMPUTED_VALUE"""),"Uber Eats")</f>
        <v>Uber Eats</v>
      </c>
      <c r="J633" s="4"/>
      <c r="K633" s="4"/>
      <c r="S633" s="6">
        <v>334.44</v>
      </c>
      <c r="T633" s="4" t="e">
        <f t="shared" ca="1" si="3"/>
        <v>#N/A</v>
      </c>
    </row>
    <row r="634" spans="1:20" ht="12.5">
      <c r="A634" s="4" t="str">
        <f ca="1">IFERROR(__xludf.DUMMYFUNCTION("""COMPUTED_VALUE"""),"TRX1607")</f>
        <v>TRX1607</v>
      </c>
      <c r="B634" s="4" t="str">
        <f ca="1">IFERROR(__xludf.DUMMYFUNCTION("""COMPUTED_VALUE"""),"#64")</f>
        <v>#64</v>
      </c>
      <c r="C634" s="5">
        <f ca="1">IFERROR(__xludf.DUMMYFUNCTION("""COMPUTED_VALUE"""),46071.4166666666)</f>
        <v>46071.416666666599</v>
      </c>
      <c r="D634" s="6">
        <f ca="1">IFERROR(__xludf.DUMMYFUNCTION("""COMPUTED_VALUE"""),800)</f>
        <v>800</v>
      </c>
      <c r="E634" s="4" t="str">
        <f ca="1">IFERROR(__xludf.DUMMYFUNCTION("""COMPUTED_VALUE"""),"MXN")</f>
        <v>MXN</v>
      </c>
      <c r="F634" s="4" t="str">
        <f ca="1">IFERROR(__xludf.DUMMYFUNCTION("""COMPUTED_VALUE"""),"Jorge Rojas")</f>
        <v>Jorge Rojas</v>
      </c>
      <c r="G634" s="4" t="str">
        <f ca="1">IFERROR(__xludf.DUMMYFUNCTION("""COMPUTED_VALUE"""),"EUROPCAR WEB 2         BENITO JUAREZ MEX")</f>
        <v>EUROPCAR WEB 2         BENITO JUAREZ MEX</v>
      </c>
      <c r="H634" s="4" t="str">
        <f ca="1">IFERROR(__xludf.DUMMYFUNCTION("""COMPUTED_VALUE"""),"Europcar")</f>
        <v>Europcar</v>
      </c>
      <c r="I634" s="4" t="str">
        <f ca="1">IFERROR(__xludf.DUMMYFUNCTION("""COMPUTED_VALUE"""),"Europcar")</f>
        <v>Europcar</v>
      </c>
      <c r="J634" s="4"/>
      <c r="K634" s="4"/>
      <c r="S634" s="6">
        <v>181</v>
      </c>
      <c r="T634" s="4" t="str">
        <f t="shared" ca="1" si="3"/>
        <v>Carlos Ivan Gonzalez Merino</v>
      </c>
    </row>
    <row r="635" spans="1:20" ht="12.5">
      <c r="A635" s="4" t="str">
        <f ca="1">IFERROR(__xludf.DUMMYFUNCTION("""COMPUTED_VALUE"""),"TRX1868")</f>
        <v>TRX1868</v>
      </c>
      <c r="B635" s="4" t="str">
        <f ca="1">IFERROR(__xludf.DUMMYFUNCTION("""COMPUTED_VALUE"""),"#64")</f>
        <v>#64</v>
      </c>
      <c r="C635" s="5">
        <f ca="1">IFERROR(__xludf.DUMMYFUNCTION("""COMPUTED_VALUE"""),46071.4166666666)</f>
        <v>46071.416666666599</v>
      </c>
      <c r="D635" s="6">
        <f ca="1">IFERROR(__xludf.DUMMYFUNCTION("""COMPUTED_VALUE"""),4800)</f>
        <v>4800</v>
      </c>
      <c r="E635" s="4" t="str">
        <f ca="1">IFERROR(__xludf.DUMMYFUNCTION("""COMPUTED_VALUE"""),"MXN")</f>
        <v>MXN</v>
      </c>
      <c r="F635" s="4" t="str">
        <f ca="1">IFERROR(__xludf.DUMMYFUNCTION("""COMPUTED_VALUE"""),"Jorge Rojas")</f>
        <v>Jorge Rojas</v>
      </c>
      <c r="G635" s="4" t="str">
        <f ca="1">IFERROR(__xludf.DUMMYFUNCTION("""COMPUTED_VALUE"""),"EUROPCAR WEB 2         BENITO JUAREZ MEX")</f>
        <v>EUROPCAR WEB 2         BENITO JUAREZ MEX</v>
      </c>
      <c r="H635" s="4" t="str">
        <f ca="1">IFERROR(__xludf.DUMMYFUNCTION("""COMPUTED_VALUE"""),"Europcar")</f>
        <v>Europcar</v>
      </c>
      <c r="I635" s="4" t="str">
        <f ca="1">IFERROR(__xludf.DUMMYFUNCTION("""COMPUTED_VALUE"""),"Europcar")</f>
        <v>Europcar</v>
      </c>
      <c r="J635" s="4"/>
      <c r="K635" s="4"/>
      <c r="S635" s="6">
        <v>242.65</v>
      </c>
      <c r="T635" s="4" t="e">
        <f t="shared" ca="1" si="3"/>
        <v>#N/A</v>
      </c>
    </row>
    <row r="636" spans="1:20" ht="12.5">
      <c r="A636" s="4" t="str">
        <f ca="1">IFERROR(__xludf.DUMMYFUNCTION("""COMPUTED_VALUE"""),"TRX1020")</f>
        <v>TRX1020</v>
      </c>
      <c r="B636" s="4" t="str">
        <f ca="1">IFERROR(__xludf.DUMMYFUNCTION("""COMPUTED_VALUE"""),"#64")</f>
        <v>#64</v>
      </c>
      <c r="C636" s="5">
        <f ca="1">IFERROR(__xludf.DUMMYFUNCTION("""COMPUTED_VALUE"""),46071.4173611111)</f>
        <v>46071.417361111096</v>
      </c>
      <c r="D636" s="6">
        <f ca="1">IFERROR(__xludf.DUMMYFUNCTION("""COMPUTED_VALUE"""),90)</f>
        <v>90</v>
      </c>
      <c r="E636" s="4" t="str">
        <f ca="1">IFERROR(__xludf.DUMMYFUNCTION("""COMPUTED_VALUE"""),"MXN")</f>
        <v>MXN</v>
      </c>
      <c r="F636" s="4" t="str">
        <f ca="1">IFERROR(__xludf.DUMMYFUNCTION("""COMPUTED_VALUE"""),"Jorge Rojas")</f>
        <v>Jorge Rojas</v>
      </c>
      <c r="G636" s="4" t="str">
        <f ca="1">IFERROR(__xludf.DUMMYFUNCTION("""COMPUTED_VALUE"""),"7ELEVEN T2843 BANDERAS TIJUANA BCN   MEX")</f>
        <v>7ELEVEN T2843 BANDERAS TIJUANA BCN   MEX</v>
      </c>
      <c r="H636" s="4" t="str">
        <f ca="1">IFERROR(__xludf.DUMMYFUNCTION("""COMPUTED_VALUE"""),"7 Eleven")</f>
        <v>7 Eleven</v>
      </c>
      <c r="I636" s="4" t="str">
        <f ca="1">IFERROR(__xludf.DUMMYFUNCTION("""COMPUTED_VALUE"""),"7 Eleven")</f>
        <v>7 Eleven</v>
      </c>
      <c r="J636" s="4"/>
      <c r="K636" s="4"/>
      <c r="S636" s="6">
        <v>99</v>
      </c>
      <c r="T636" s="4" t="e">
        <f t="shared" ca="1" si="3"/>
        <v>#N/A</v>
      </c>
    </row>
    <row r="637" spans="1:20" ht="12.5">
      <c r="A637" s="4" t="str">
        <f ca="1">IFERROR(__xludf.DUMMYFUNCTION("""COMPUTED_VALUE"""),"TRX1475")</f>
        <v>TRX1475</v>
      </c>
      <c r="B637" s="4" t="str">
        <f ca="1">IFERROR(__xludf.DUMMYFUNCTION("""COMPUTED_VALUE"""),"#64")</f>
        <v>#64</v>
      </c>
      <c r="C637" s="5">
        <f ca="1">IFERROR(__xludf.DUMMYFUNCTION("""COMPUTED_VALUE"""),46071.4173611111)</f>
        <v>46071.417361111096</v>
      </c>
      <c r="D637" s="6">
        <f ca="1">IFERROR(__xludf.DUMMYFUNCTION("""COMPUTED_VALUE"""),540)</f>
        <v>540</v>
      </c>
      <c r="E637" s="4" t="str">
        <f ca="1">IFERROR(__xludf.DUMMYFUNCTION("""COMPUTED_VALUE"""),"MXN")</f>
        <v>MXN</v>
      </c>
      <c r="F637" s="4" t="str">
        <f ca="1">IFERROR(__xludf.DUMMYFUNCTION("""COMPUTED_VALUE"""),"Jorge Rojas")</f>
        <v>Jorge Rojas</v>
      </c>
      <c r="G637" s="4" t="str">
        <f ca="1">IFERROR(__xludf.DUMMYFUNCTION("""COMPUTED_VALUE"""),"EUROPCAR WEB 2         BENITO JUAREZ MEX")</f>
        <v>EUROPCAR WEB 2         BENITO JUAREZ MEX</v>
      </c>
      <c r="H637" s="4" t="str">
        <f ca="1">IFERROR(__xludf.DUMMYFUNCTION("""COMPUTED_VALUE"""),"Europcar")</f>
        <v>Europcar</v>
      </c>
      <c r="I637" s="4" t="str">
        <f ca="1">IFERROR(__xludf.DUMMYFUNCTION("""COMPUTED_VALUE"""),"Europcar")</f>
        <v>Europcar</v>
      </c>
      <c r="J637" s="4"/>
      <c r="K637" s="4"/>
      <c r="S637" s="6">
        <v>565</v>
      </c>
      <c r="T637" s="4" t="e">
        <f t="shared" ca="1" si="3"/>
        <v>#N/A</v>
      </c>
    </row>
    <row r="638" spans="1:20" ht="12.5">
      <c r="A638" s="4" t="str">
        <f ca="1">IFERROR(__xludf.DUMMYFUNCTION("""COMPUTED_VALUE"""),"TRX1524")</f>
        <v>TRX1524</v>
      </c>
      <c r="B638" s="4" t="str">
        <f ca="1">IFERROR(__xludf.DUMMYFUNCTION("""COMPUTED_VALUE"""),"#64")</f>
        <v>#64</v>
      </c>
      <c r="C638" s="5">
        <f ca="1">IFERROR(__xludf.DUMMYFUNCTION("""COMPUTED_VALUE"""),46071.4173611111)</f>
        <v>46071.417361111096</v>
      </c>
      <c r="D638" s="6">
        <f ca="1">IFERROR(__xludf.DUMMYFUNCTION("""COMPUTED_VALUE"""),184.36)</f>
        <v>184.36</v>
      </c>
      <c r="E638" s="4" t="str">
        <f ca="1">IFERROR(__xludf.DUMMYFUNCTION("""COMPUTED_VALUE"""),"MXN")</f>
        <v>MXN</v>
      </c>
      <c r="F638" s="4" t="str">
        <f ca="1">IFERROR(__xludf.DUMMYFUNCTION("""COMPUTED_VALUE"""),"Jorge Rojas")</f>
        <v>Jorge Rojas</v>
      </c>
      <c r="G638" s="4" t="str">
        <f ca="1">IFERROR(__xludf.DUMMYFUNCTION("""COMPUTED_VALUE"""),"FERR EXPRESS CEDROS    TIJUANA BCN   MEX")</f>
        <v>FERR EXPRESS CEDROS    TIJUANA BCN   MEX</v>
      </c>
      <c r="H638" s="4" t="str">
        <f ca="1">IFERROR(__xludf.DUMMYFUNCTION("""COMPUTED_VALUE"""),"Ferr Express Cedros Tijuana Bcn Mex")</f>
        <v>Ferr Express Cedros Tijuana Bcn Mex</v>
      </c>
      <c r="I638" s="4" t="str">
        <f ca="1">IFERROR(__xludf.DUMMYFUNCTION("""COMPUTED_VALUE"""),"Ferr Express Cedros Tijuana Bcn Mex")</f>
        <v>Ferr Express Cedros Tijuana Bcn Mex</v>
      </c>
      <c r="J638" s="4"/>
      <c r="K638" s="4"/>
      <c r="S638" s="6">
        <v>259</v>
      </c>
      <c r="T638" s="4" t="str">
        <f t="shared" ca="1" si="3"/>
        <v>Carlos Ivan Gonzalez Merino</v>
      </c>
    </row>
    <row r="639" spans="1:20" ht="12.5">
      <c r="A639" s="4" t="str">
        <f ca="1">IFERROR(__xludf.DUMMYFUNCTION("""COMPUTED_VALUE"""),"TRX1962")</f>
        <v>TRX1962</v>
      </c>
      <c r="B639" s="4" t="str">
        <f ca="1">IFERROR(__xludf.DUMMYFUNCTION("""COMPUTED_VALUE"""),"#64")</f>
        <v>#64</v>
      </c>
      <c r="C639" s="5">
        <f ca="1">IFERROR(__xludf.DUMMYFUNCTION("""COMPUTED_VALUE"""),46071.4173611111)</f>
        <v>46071.417361111096</v>
      </c>
      <c r="D639" s="6">
        <f ca="1">IFERROR(__xludf.DUMMYFUNCTION("""COMPUTED_VALUE"""),1084.28)</f>
        <v>1084.28</v>
      </c>
      <c r="E639" s="4" t="str">
        <f ca="1">IFERROR(__xludf.DUMMYFUNCTION("""COMPUTED_VALUE"""),"USD")</f>
        <v>USD</v>
      </c>
      <c r="F639" s="4" t="str">
        <f ca="1">IFERROR(__xludf.DUMMYFUNCTION("""COMPUTED_VALUE"""),"Jorge Rojas")</f>
        <v>Jorge Rojas</v>
      </c>
      <c r="G639" s="4" t="str">
        <f ca="1">IFERROR(__xludf.DUMMYFUNCTION("""COMPUTED_VALUE"""),"IHOP 3684              LAS VEGAS     USA")</f>
        <v>IHOP 3684              LAS VEGAS     USA</v>
      </c>
      <c r="H639" s="4" t="str">
        <f ca="1">IFERROR(__xludf.DUMMYFUNCTION("""COMPUTED_VALUE"""),"Ihop")</f>
        <v>Ihop</v>
      </c>
      <c r="I639" s="4" t="str">
        <f ca="1">IFERROR(__xludf.DUMMYFUNCTION("""COMPUTED_VALUE"""),"Ihop")</f>
        <v>Ihop</v>
      </c>
      <c r="J639" s="4"/>
      <c r="K639" s="4"/>
      <c r="S639" s="6">
        <v>1250</v>
      </c>
      <c r="T639" s="4" t="e">
        <f t="shared" ca="1" si="3"/>
        <v>#N/A</v>
      </c>
    </row>
    <row r="640" spans="1:20" ht="12.5">
      <c r="A640" s="4" t="str">
        <f ca="1">IFERROR(__xludf.DUMMYFUNCTION("""COMPUTED_VALUE"""),"TRX1200")</f>
        <v>TRX1200</v>
      </c>
      <c r="B640" s="4" t="str">
        <f ca="1">IFERROR(__xludf.DUMMYFUNCTION("""COMPUTED_VALUE"""),"#64")</f>
        <v>#64</v>
      </c>
      <c r="C640" s="5">
        <f ca="1">IFERROR(__xludf.DUMMYFUNCTION("""COMPUTED_VALUE"""),46072.4166666666)</f>
        <v>46072.416666666599</v>
      </c>
      <c r="D640" s="6">
        <f ca="1">IFERROR(__xludf.DUMMYFUNCTION("""COMPUTED_VALUE"""),536.01)</f>
        <v>536.01</v>
      </c>
      <c r="E640" s="4" t="str">
        <f ca="1">IFERROR(__xludf.DUMMYFUNCTION("""COMPUTED_VALUE"""),"MXN")</f>
        <v>MXN</v>
      </c>
      <c r="F640" s="4" t="str">
        <f ca="1">IFERROR(__xludf.DUMMYFUNCTION("""COMPUTED_VALUE"""),"Jorge Rojas")</f>
        <v>Jorge Rojas</v>
      </c>
      <c r="G640" s="4" t="str">
        <f ca="1">IFERROR(__xludf.DUMMYFUNCTION("""COMPUTED_VALUE"""),"UBER * EATS PENDING    CMX           MEX")</f>
        <v>UBER * EATS PENDING    CMX           MEX</v>
      </c>
      <c r="H640" s="4" t="str">
        <f ca="1">IFERROR(__xludf.DUMMYFUNCTION("""COMPUTED_VALUE"""),"Uber Eats")</f>
        <v>Uber Eats</v>
      </c>
      <c r="I640" s="4" t="str">
        <f ca="1">IFERROR(__xludf.DUMMYFUNCTION("""COMPUTED_VALUE"""),"Uber Eats")</f>
        <v>Uber Eats</v>
      </c>
      <c r="J640" s="4"/>
      <c r="K640" s="4"/>
      <c r="S640" s="6">
        <v>1000</v>
      </c>
      <c r="T640" s="4" t="str">
        <f t="shared" ca="1" si="3"/>
        <v>Fernando Sanchez Toledano</v>
      </c>
    </row>
    <row r="641" spans="1:20" ht="12.5">
      <c r="A641" s="4" t="str">
        <f ca="1">IFERROR(__xludf.DUMMYFUNCTION("""COMPUTED_VALUE"""),"TRX1652")</f>
        <v>TRX1652</v>
      </c>
      <c r="B641" s="4" t="str">
        <f ca="1">IFERROR(__xludf.DUMMYFUNCTION("""COMPUTED_VALUE"""),"#64")</f>
        <v>#64</v>
      </c>
      <c r="C641" s="5">
        <f ca="1">IFERROR(__xludf.DUMMYFUNCTION("""COMPUTED_VALUE"""),46072.4166666666)</f>
        <v>46072.416666666599</v>
      </c>
      <c r="D641" s="6">
        <f ca="1">IFERROR(__xludf.DUMMYFUNCTION("""COMPUTED_VALUE"""),292.37)</f>
        <v>292.37</v>
      </c>
      <c r="E641" s="4" t="str">
        <f ca="1">IFERROR(__xludf.DUMMYFUNCTION("""COMPUTED_VALUE"""),"MXN")</f>
        <v>MXN</v>
      </c>
      <c r="F641" s="4" t="str">
        <f ca="1">IFERROR(__xludf.DUMMYFUNCTION("""COMPUTED_VALUE"""),"Jorge Rojas")</f>
        <v>Jorge Rojas</v>
      </c>
      <c r="G641" s="4" t="str">
        <f ca="1">IFERROR(__xludf.DUMMYFUNCTION("""COMPUTED_VALUE"""),"UBER * EATS PENDING    CMX           MEX")</f>
        <v>UBER * EATS PENDING    CMX           MEX</v>
      </c>
      <c r="H641" s="4" t="str">
        <f ca="1">IFERROR(__xludf.DUMMYFUNCTION("""COMPUTED_VALUE"""),"Uber Eats")</f>
        <v>Uber Eats</v>
      </c>
      <c r="I641" s="4" t="str">
        <f ca="1">IFERROR(__xludf.DUMMYFUNCTION("""COMPUTED_VALUE"""),"Uber Eats")</f>
        <v>Uber Eats</v>
      </c>
      <c r="J641" s="4"/>
      <c r="K641" s="4"/>
      <c r="S641" s="6">
        <v>812.19</v>
      </c>
      <c r="T641" s="4" t="e">
        <f t="shared" ca="1" si="3"/>
        <v>#N/A</v>
      </c>
    </row>
    <row r="642" spans="1:20" ht="12.5">
      <c r="A642" s="4" t="str">
        <f ca="1">IFERROR(__xludf.DUMMYFUNCTION("""COMPUTED_VALUE"""),"TRX1898")</f>
        <v>TRX1898</v>
      </c>
      <c r="B642" s="4" t="str">
        <f ca="1">IFERROR(__xludf.DUMMYFUNCTION("""COMPUTED_VALUE"""),"#64")</f>
        <v>#64</v>
      </c>
      <c r="C642" s="5">
        <f ca="1">IFERROR(__xludf.DUMMYFUNCTION("""COMPUTED_VALUE"""),46072.4166666666)</f>
        <v>46072.416666666599</v>
      </c>
      <c r="D642" s="6">
        <f ca="1">IFERROR(__xludf.DUMMYFUNCTION("""COMPUTED_VALUE"""),249)</f>
        <v>249</v>
      </c>
      <c r="E642" s="4" t="str">
        <f ca="1">IFERROR(__xludf.DUMMYFUNCTION("""COMPUTED_VALUE"""),"MXN")</f>
        <v>MXN</v>
      </c>
      <c r="F642" s="4" t="str">
        <f ca="1">IFERROR(__xludf.DUMMYFUNCTION("""COMPUTED_VALUE"""),"Jorge Rojas")</f>
        <v>Jorge Rojas</v>
      </c>
      <c r="G642" s="4" t="str">
        <f ca="1">IFERROR(__xludf.DUMMYFUNCTION("""COMPUTED_VALUE"""),"KFC 837 TIJUANA SANTA  TIJUANA BCN   MEX")</f>
        <v>KFC 837 TIJUANA SANTA  TIJUANA BCN   MEX</v>
      </c>
      <c r="H642" s="4" t="str">
        <f ca="1">IFERROR(__xludf.DUMMYFUNCTION("""COMPUTED_VALUE"""),"Kentucky Fried Chicken")</f>
        <v>Kentucky Fried Chicken</v>
      </c>
      <c r="I642" s="4" t="str">
        <f ca="1">IFERROR(__xludf.DUMMYFUNCTION("""COMPUTED_VALUE"""),"Kentucky Fried Chicken")</f>
        <v>Kentucky Fried Chicken</v>
      </c>
      <c r="J642" s="4"/>
      <c r="K642" s="4"/>
      <c r="S642" s="6">
        <v>244.77</v>
      </c>
      <c r="T642" s="4" t="e">
        <f t="shared" ca="1" si="3"/>
        <v>#N/A</v>
      </c>
    </row>
    <row r="643" spans="1:20" ht="12.5">
      <c r="A643" s="4" t="str">
        <f ca="1">IFERROR(__xludf.DUMMYFUNCTION("""COMPUTED_VALUE"""),"TRX1344")</f>
        <v>TRX1344</v>
      </c>
      <c r="B643" s="4" t="str">
        <f ca="1">IFERROR(__xludf.DUMMYFUNCTION("""COMPUTED_VALUE"""),"#64")</f>
        <v>#64</v>
      </c>
      <c r="C643" s="5">
        <f ca="1">IFERROR(__xludf.DUMMYFUNCTION("""COMPUTED_VALUE"""),46073.4166666666)</f>
        <v>46073.416666666599</v>
      </c>
      <c r="D643" s="6">
        <f ca="1">IFERROR(__xludf.DUMMYFUNCTION("""COMPUTED_VALUE"""),981.22)</f>
        <v>981.22</v>
      </c>
      <c r="E643" s="4" t="str">
        <f ca="1">IFERROR(__xludf.DUMMYFUNCTION("""COMPUTED_VALUE"""),"MXN")</f>
        <v>MXN</v>
      </c>
      <c r="F643" s="4" t="str">
        <f ca="1">IFERROR(__xludf.DUMMYFUNCTION("""COMPUTED_VALUE"""),"Jorge Rojas")</f>
        <v>Jorge Rojas</v>
      </c>
      <c r="G643" s="4" t="str">
        <f ca="1">IFERROR(__xludf.DUMMYFUNCTION("""COMPUTED_VALUE"""),"RCH SANTA FE           TIJUANA BCN   MEX")</f>
        <v>RCH SANTA FE           TIJUANA BCN   MEX</v>
      </c>
      <c r="H643" s="4" t="str">
        <f ca="1">IFERROR(__xludf.DUMMYFUNCTION("""COMPUTED_VALUE"""),"Rch Santa Fe Tijuana Bcn Mex")</f>
        <v>Rch Santa Fe Tijuana Bcn Mex</v>
      </c>
      <c r="I643" s="4" t="str">
        <f ca="1">IFERROR(__xludf.DUMMYFUNCTION("""COMPUTED_VALUE"""),"Rch Santa Fe Tijuana Bcn Mex")</f>
        <v>Rch Santa Fe Tijuana Bcn Mex</v>
      </c>
      <c r="J643" s="4"/>
      <c r="K643" s="4"/>
      <c r="S643" s="6">
        <v>7383.15</v>
      </c>
      <c r="T643" s="4" t="e">
        <f t="shared" ca="1" si="3"/>
        <v>#N/A</v>
      </c>
    </row>
    <row r="644" spans="1:20" ht="12.5">
      <c r="A644" s="4" t="str">
        <f ca="1">IFERROR(__xludf.DUMMYFUNCTION("""COMPUTED_VALUE"""),"TRX1572")</f>
        <v>TRX1572</v>
      </c>
      <c r="B644" s="4" t="str">
        <f ca="1">IFERROR(__xludf.DUMMYFUNCTION("""COMPUTED_VALUE"""),"#64")</f>
        <v>#64</v>
      </c>
      <c r="C644" s="5">
        <f ca="1">IFERROR(__xludf.DUMMYFUNCTION("""COMPUTED_VALUE"""),46073.4166666666)</f>
        <v>46073.416666666599</v>
      </c>
      <c r="D644" s="6">
        <f ca="1">IFERROR(__xludf.DUMMYFUNCTION("""COMPUTED_VALUE"""),321.92)</f>
        <v>321.92</v>
      </c>
      <c r="E644" s="4" t="str">
        <f ca="1">IFERROR(__xludf.DUMMYFUNCTION("""COMPUTED_VALUE"""),"MXN")</f>
        <v>MXN</v>
      </c>
      <c r="F644" s="4" t="str">
        <f ca="1">IFERROR(__xludf.DUMMYFUNCTION("""COMPUTED_VALUE"""),"Jorge Rojas")</f>
        <v>Jorge Rojas</v>
      </c>
      <c r="G644" s="4" t="str">
        <f ca="1">IFERROR(__xludf.DUMMYFUNCTION("""COMPUTED_VALUE"""),"UBER * EATS PENDING    CMX           MEX")</f>
        <v>UBER * EATS PENDING    CMX           MEX</v>
      </c>
      <c r="H644" s="4" t="str">
        <f ca="1">IFERROR(__xludf.DUMMYFUNCTION("""COMPUTED_VALUE"""),"Uber Eats")</f>
        <v>Uber Eats</v>
      </c>
      <c r="I644" s="4" t="str">
        <f ca="1">IFERROR(__xludf.DUMMYFUNCTION("""COMPUTED_VALUE"""),"Uber Eats")</f>
        <v>Uber Eats</v>
      </c>
      <c r="J644" s="4"/>
      <c r="K644" s="4"/>
      <c r="S644" s="6">
        <v>3418.92</v>
      </c>
      <c r="T644" s="4" t="e">
        <f t="shared" ca="1" si="3"/>
        <v>#N/A</v>
      </c>
    </row>
    <row r="645" spans="1:20" ht="12.5">
      <c r="A645" s="4" t="str">
        <f ca="1">IFERROR(__xludf.DUMMYFUNCTION("""COMPUTED_VALUE"""),"TRX1171")</f>
        <v>TRX1171</v>
      </c>
      <c r="B645" s="4" t="str">
        <f ca="1">IFERROR(__xludf.DUMMYFUNCTION("""COMPUTED_VALUE"""),"#64")</f>
        <v>#64</v>
      </c>
      <c r="C645" s="5">
        <f ca="1">IFERROR(__xludf.DUMMYFUNCTION("""COMPUTED_VALUE"""),46073.4173611111)</f>
        <v>46073.417361111096</v>
      </c>
      <c r="D645" s="6">
        <f ca="1">IFERROR(__xludf.DUMMYFUNCTION("""COMPUTED_VALUE"""),500)</f>
        <v>500</v>
      </c>
      <c r="E645" s="4" t="str">
        <f ca="1">IFERROR(__xludf.DUMMYFUNCTION("""COMPUTED_VALUE"""),"MXN")</f>
        <v>MXN</v>
      </c>
      <c r="F645" s="4" t="str">
        <f ca="1">IFERROR(__xludf.DUMMYFUNCTION("""COMPUTED_VALUE"""),"Jorge Rojas")</f>
        <v>Jorge Rojas</v>
      </c>
      <c r="G645" s="4" t="str">
        <f ca="1">IFERROR(__xludf.DUMMYFUNCTION("""COMPUTED_VALUE"""),"REST IHOP MINARETE     TIJUANA BCN   MEX")</f>
        <v>REST IHOP MINARETE     TIJUANA BCN   MEX</v>
      </c>
      <c r="H645" s="4" t="str">
        <f ca="1">IFERROR(__xludf.DUMMYFUNCTION("""COMPUTED_VALUE"""),"Ihop")</f>
        <v>Ihop</v>
      </c>
      <c r="I645" s="4" t="str">
        <f ca="1">IFERROR(__xludf.DUMMYFUNCTION("""COMPUTED_VALUE"""),"Ihop")</f>
        <v>Ihop</v>
      </c>
      <c r="J645" s="4"/>
      <c r="K645" s="4"/>
      <c r="S645" s="6">
        <v>126.28</v>
      </c>
      <c r="T645" s="4" t="e">
        <f t="shared" ca="1" si="3"/>
        <v>#N/A</v>
      </c>
    </row>
    <row r="646" spans="1:20" ht="12.5">
      <c r="A646" s="4" t="str">
        <f ca="1">IFERROR(__xludf.DUMMYFUNCTION("""COMPUTED_VALUE"""),"TRX1391")</f>
        <v>TRX1391</v>
      </c>
      <c r="B646" s="4" t="str">
        <f ca="1">IFERROR(__xludf.DUMMYFUNCTION("""COMPUTED_VALUE"""),"#64")</f>
        <v>#64</v>
      </c>
      <c r="C646" s="5">
        <f ca="1">IFERROR(__xludf.DUMMYFUNCTION("""COMPUTED_VALUE"""),46073.4173611111)</f>
        <v>46073.417361111096</v>
      </c>
      <c r="D646" s="6">
        <f ca="1">IFERROR(__xludf.DUMMYFUNCTION("""COMPUTED_VALUE"""),89)</f>
        <v>89</v>
      </c>
      <c r="E646" s="4" t="str">
        <f ca="1">IFERROR(__xludf.DUMMYFUNCTION("""COMPUTED_VALUE"""),"MXN")</f>
        <v>MXN</v>
      </c>
      <c r="F646" s="4" t="str">
        <f ca="1">IFERROR(__xludf.DUMMYFUNCTION("""COMPUTED_VALUE"""),"Jorge Rojas")</f>
        <v>Jorge Rojas</v>
      </c>
      <c r="G646" s="4" t="str">
        <f ca="1">IFERROR(__xludf.DUMMYFUNCTION("""COMPUTED_VALUE"""),"4038 TIJUANA SUR       TIJUANA BCN   MEX")</f>
        <v>4038 TIJUANA SUR       TIJUANA BCN   MEX</v>
      </c>
      <c r="H646" s="4" t="str">
        <f ca="1">IFERROR(__xludf.DUMMYFUNCTION("""COMPUTED_VALUE"""),"4038 Tijuana Sur Tijuana Bcn Mex")</f>
        <v>4038 Tijuana Sur Tijuana Bcn Mex</v>
      </c>
      <c r="I646" s="4"/>
      <c r="J646" s="4"/>
      <c r="K646" s="4"/>
      <c r="S646" s="6">
        <v>506.52</v>
      </c>
      <c r="T646" s="4" t="e">
        <f t="shared" ca="1" si="3"/>
        <v>#N/A</v>
      </c>
    </row>
    <row r="647" spans="1:20" ht="12.5">
      <c r="A647" s="4" t="str">
        <f ca="1">IFERROR(__xludf.DUMMYFUNCTION("""COMPUTED_VALUE"""),"TRX1867")</f>
        <v>TRX1867</v>
      </c>
      <c r="B647" s="4" t="str">
        <f ca="1">IFERROR(__xludf.DUMMYFUNCTION("""COMPUTED_VALUE"""),"#64")</f>
        <v>#64</v>
      </c>
      <c r="C647" s="5">
        <f ca="1">IFERROR(__xludf.DUMMYFUNCTION("""COMPUTED_VALUE"""),46073.4173611111)</f>
        <v>46073.417361111096</v>
      </c>
      <c r="D647" s="6">
        <f ca="1">IFERROR(__xludf.DUMMYFUNCTION("""COMPUTED_VALUE"""),58)</f>
        <v>58</v>
      </c>
      <c r="E647" s="4" t="str">
        <f ca="1">IFERROR(__xludf.DUMMYFUNCTION("""COMPUTED_VALUE"""),"MXN")</f>
        <v>MXN</v>
      </c>
      <c r="F647" s="4" t="str">
        <f ca="1">IFERROR(__xludf.DUMMYFUNCTION("""COMPUTED_VALUE"""),"Jorge Rojas")</f>
        <v>Jorge Rojas</v>
      </c>
      <c r="G647" s="4" t="str">
        <f ca="1">IFERROR(__xludf.DUMMYFUNCTION("""COMPUTED_VALUE"""),"7ELEVEN T2724 VINAS    TIJUANA BCN   MEX")</f>
        <v>7ELEVEN T2724 VINAS    TIJUANA BCN   MEX</v>
      </c>
      <c r="H647" s="4" t="str">
        <f ca="1">IFERROR(__xludf.DUMMYFUNCTION("""COMPUTED_VALUE"""),"7 Eleven")</f>
        <v>7 Eleven</v>
      </c>
      <c r="I647" s="4"/>
      <c r="J647" s="4"/>
      <c r="K647" s="4"/>
      <c r="S647" s="6">
        <v>75.430000000000007</v>
      </c>
      <c r="T647" s="4" t="e">
        <f t="shared" ca="1" si="3"/>
        <v>#N/A</v>
      </c>
    </row>
    <row r="648" spans="1:20" ht="12.5">
      <c r="A648" s="4" t="str">
        <f ca="1">IFERROR(__xludf.DUMMYFUNCTION("""COMPUTED_VALUE"""),"TRX1782")</f>
        <v>TRX1782</v>
      </c>
      <c r="B648" s="4" t="str">
        <f ca="1">IFERROR(__xludf.DUMMYFUNCTION("""COMPUTED_VALUE"""),"#64")</f>
        <v>#64</v>
      </c>
      <c r="C648" s="5">
        <f ca="1">IFERROR(__xludf.DUMMYFUNCTION("""COMPUTED_VALUE"""),46074.4173611111)</f>
        <v>46074.417361111096</v>
      </c>
      <c r="D648" s="6">
        <f ca="1">IFERROR(__xludf.DUMMYFUNCTION("""COMPUTED_VALUE"""),211)</f>
        <v>211</v>
      </c>
      <c r="E648" s="4" t="str">
        <f ca="1">IFERROR(__xludf.DUMMYFUNCTION("""COMPUTED_VALUE"""),"MXN")</f>
        <v>MXN</v>
      </c>
      <c r="F648" s="4" t="str">
        <f ca="1">IFERROR(__xludf.DUMMYFUNCTION("""COMPUTED_VALUE"""),"Jorge Rojas")</f>
        <v>Jorge Rojas</v>
      </c>
      <c r="G648" s="4" t="str">
        <f ca="1">IFERROR(__xludf.DUMMYFUNCTION("""COMPUTED_VALUE"""),"CARLS JR P ALONDRAS    TIJUANA BCN   MEX")</f>
        <v>CARLS JR P ALONDRAS    TIJUANA BCN   MEX</v>
      </c>
      <c r="H648" s="4" t="str">
        <f ca="1">IFERROR(__xludf.DUMMYFUNCTION("""COMPUTED_VALUE"""),"Carls Jr.")</f>
        <v>Carls Jr.</v>
      </c>
      <c r="I648" s="4"/>
      <c r="J648" s="4"/>
      <c r="K648" s="4"/>
      <c r="S648" s="6">
        <v>86.61</v>
      </c>
      <c r="T648" s="4" t="e">
        <f t="shared" ca="1" si="3"/>
        <v>#N/A</v>
      </c>
    </row>
    <row r="649" spans="1:20" ht="12.5">
      <c r="A649" s="4" t="str">
        <f ca="1">IFERROR(__xludf.DUMMYFUNCTION("""COMPUTED_VALUE"""),"TRX1029")</f>
        <v>TRX1029</v>
      </c>
      <c r="B649" s="4" t="str">
        <f ca="1">IFERROR(__xludf.DUMMYFUNCTION("""COMPUTED_VALUE"""),"#64")</f>
        <v>#64</v>
      </c>
      <c r="C649" s="5">
        <f ca="1">IFERROR(__xludf.DUMMYFUNCTION("""COMPUTED_VALUE"""),46074.4173611111)</f>
        <v>46074.417361111096</v>
      </c>
      <c r="D649" s="6">
        <f ca="1">IFERROR(__xludf.DUMMYFUNCTION("""COMPUTED_VALUE"""),299)</f>
        <v>299</v>
      </c>
      <c r="E649" s="4" t="str">
        <f ca="1">IFERROR(__xludf.DUMMYFUNCTION("""COMPUTED_VALUE"""),"MXN")</f>
        <v>MXN</v>
      </c>
      <c r="F649" s="4" t="str">
        <f ca="1">IFERROR(__xludf.DUMMYFUNCTION("""COMPUTED_VALUE"""),"Jorge Rojas")</f>
        <v>Jorge Rojas</v>
      </c>
      <c r="G649" s="4" t="str">
        <f ca="1">IFERROR(__xludf.DUMMYFUNCTION("""COMPUTED_VALUE"""),"APPLE.COM/BILL         CUPERTINO     USA")</f>
        <v>APPLE.COM/BILL         CUPERTINO     USA</v>
      </c>
      <c r="H649" s="4" t="str">
        <f ca="1">IFERROR(__xludf.DUMMYFUNCTION("""COMPUTED_VALUE"""),"Apple")</f>
        <v>Apple</v>
      </c>
      <c r="I649" s="4"/>
      <c r="J649" s="4"/>
      <c r="K649" s="4"/>
      <c r="S649" s="6">
        <v>659.3</v>
      </c>
      <c r="T649" s="4" t="e">
        <f t="shared" ca="1" si="3"/>
        <v>#N/A</v>
      </c>
    </row>
    <row r="650" spans="1:20" ht="12.5">
      <c r="A650" s="4" t="str">
        <f ca="1">IFERROR(__xludf.DUMMYFUNCTION("""COMPUTED_VALUE"""),"TRX1036")</f>
        <v>TRX1036</v>
      </c>
      <c r="B650" s="4" t="str">
        <f ca="1">IFERROR(__xludf.DUMMYFUNCTION("""COMPUTED_VALUE"""),"#64")</f>
        <v>#64</v>
      </c>
      <c r="C650" s="5">
        <f ca="1">IFERROR(__xludf.DUMMYFUNCTION("""COMPUTED_VALUE"""),46074.4173611111)</f>
        <v>46074.417361111096</v>
      </c>
      <c r="D650" s="6">
        <f ca="1">IFERROR(__xludf.DUMMYFUNCTION("""COMPUTED_VALUE"""),61)</f>
        <v>61</v>
      </c>
      <c r="E650" s="4" t="str">
        <f ca="1">IFERROR(__xludf.DUMMYFUNCTION("""COMPUTED_VALUE"""),"MXN")</f>
        <v>MXN</v>
      </c>
      <c r="F650" s="4" t="str">
        <f ca="1">IFERROR(__xludf.DUMMYFUNCTION("""COMPUTED_VALUE"""),"Jorge Rojas")</f>
        <v>Jorge Rojas</v>
      </c>
      <c r="G650" s="4" t="str">
        <f ca="1">IFERROR(__xludf.DUMMYFUNCTION("""COMPUTED_VALUE"""),"7ELEVEN T2843 BANDERAS TIJUANA BCN   MEX")</f>
        <v>7ELEVEN T2843 BANDERAS TIJUANA BCN   MEX</v>
      </c>
      <c r="H650" s="4" t="str">
        <f ca="1">IFERROR(__xludf.DUMMYFUNCTION("""COMPUTED_VALUE"""),"7 Eleven")</f>
        <v>7 Eleven</v>
      </c>
      <c r="I650" s="4"/>
      <c r="J650" s="4"/>
      <c r="K650" s="4"/>
      <c r="S650" s="6">
        <v>151.56</v>
      </c>
      <c r="T650" s="4" t="e">
        <f t="shared" ca="1" si="3"/>
        <v>#N/A</v>
      </c>
    </row>
    <row r="651" spans="1:20" ht="12.5">
      <c r="A651" s="4" t="str">
        <f ca="1">IFERROR(__xludf.DUMMYFUNCTION("""COMPUTED_VALUE"""),"TRX1056")</f>
        <v>TRX1056</v>
      </c>
      <c r="B651" s="4" t="str">
        <f ca="1">IFERROR(__xludf.DUMMYFUNCTION("""COMPUTED_VALUE"""),"#64")</f>
        <v>#64</v>
      </c>
      <c r="C651" s="5">
        <f ca="1">IFERROR(__xludf.DUMMYFUNCTION("""COMPUTED_VALUE"""),46075.4166666666)</f>
        <v>46075.416666666599</v>
      </c>
      <c r="D651" s="6">
        <f ca="1">IFERROR(__xludf.DUMMYFUNCTION("""COMPUTED_VALUE"""),275.43)</f>
        <v>275.43</v>
      </c>
      <c r="E651" s="4" t="str">
        <f ca="1">IFERROR(__xludf.DUMMYFUNCTION("""COMPUTED_VALUE"""),"MXN")</f>
        <v>MXN</v>
      </c>
      <c r="F651" s="4" t="str">
        <f ca="1">IFERROR(__xludf.DUMMYFUNCTION("""COMPUTED_VALUE"""),"Jorge Rojas")</f>
        <v>Jorge Rojas</v>
      </c>
      <c r="G651" s="4" t="str">
        <f ca="1">IFERROR(__xludf.DUMMYFUNCTION("""COMPUTED_VALUE"""),"UBER * EATS PENDING    CMX           MEX")</f>
        <v>UBER * EATS PENDING    CMX           MEX</v>
      </c>
      <c r="H651" s="4" t="str">
        <f ca="1">IFERROR(__xludf.DUMMYFUNCTION("""COMPUTED_VALUE"""),"Uber Eats")</f>
        <v>Uber Eats</v>
      </c>
      <c r="I651" s="4"/>
      <c r="J651" s="4"/>
      <c r="K651" s="4"/>
      <c r="S651" s="6">
        <v>321.5</v>
      </c>
      <c r="T651" s="4" t="e">
        <f t="shared" ca="1" si="3"/>
        <v>#N/A</v>
      </c>
    </row>
    <row r="652" spans="1:20" ht="12.5">
      <c r="A652" s="4" t="str">
        <f ca="1">IFERROR(__xludf.DUMMYFUNCTION("""COMPUTED_VALUE"""),"TRX1071")</f>
        <v>TRX1071</v>
      </c>
      <c r="B652" s="4" t="str">
        <f ca="1">IFERROR(__xludf.DUMMYFUNCTION("""COMPUTED_VALUE"""),"#64")</f>
        <v>#64</v>
      </c>
      <c r="C652" s="5">
        <f ca="1">IFERROR(__xludf.DUMMYFUNCTION("""COMPUTED_VALUE"""),46075.4166666666)</f>
        <v>46075.416666666599</v>
      </c>
      <c r="D652" s="6">
        <f ca="1">IFERROR(__xludf.DUMMYFUNCTION("""COMPUTED_VALUE"""),307.41)</f>
        <v>307.41000000000003</v>
      </c>
      <c r="E652" s="4" t="str">
        <f ca="1">IFERROR(__xludf.DUMMYFUNCTION("""COMPUTED_VALUE"""),"MXN")</f>
        <v>MXN</v>
      </c>
      <c r="F652" s="4" t="str">
        <f ca="1">IFERROR(__xludf.DUMMYFUNCTION("""COMPUTED_VALUE"""),"Jorge Rojas")</f>
        <v>Jorge Rojas</v>
      </c>
      <c r="G652" s="4" t="str">
        <f ca="1">IFERROR(__xludf.DUMMYFUNCTION("""COMPUTED_VALUE"""),"DLO*UBER               CIUDAD DE MEX MEX")</f>
        <v>DLO*UBER               CIUDAD DE MEX MEX</v>
      </c>
      <c r="H652" s="4" t="str">
        <f ca="1">IFERROR(__xludf.DUMMYFUNCTION("""COMPUTED_VALUE"""),"Uber")</f>
        <v>Uber</v>
      </c>
      <c r="I652" s="4"/>
      <c r="J652" s="4"/>
      <c r="K652" s="4"/>
      <c r="S652" s="6">
        <v>4778</v>
      </c>
      <c r="T652" s="4" t="e">
        <f t="shared" ca="1" si="3"/>
        <v>#N/A</v>
      </c>
    </row>
    <row r="653" spans="1:20" ht="12.5">
      <c r="A653" s="4" t="str">
        <f ca="1">IFERROR(__xludf.DUMMYFUNCTION("""COMPUTED_VALUE"""),"TRX1079")</f>
        <v>TRX1079</v>
      </c>
      <c r="B653" s="4" t="str">
        <f ca="1">IFERROR(__xludf.DUMMYFUNCTION("""COMPUTED_VALUE"""),"#64")</f>
        <v>#64</v>
      </c>
      <c r="C653" s="5">
        <f ca="1">IFERROR(__xludf.DUMMYFUNCTION("""COMPUTED_VALUE"""),46075.4173611111)</f>
        <v>46075.417361111096</v>
      </c>
      <c r="D653" s="6">
        <f ca="1">IFERROR(__xludf.DUMMYFUNCTION("""COMPUTED_VALUE"""),352.3)</f>
        <v>352.3</v>
      </c>
      <c r="E653" s="4" t="str">
        <f ca="1">IFERROR(__xludf.DUMMYFUNCTION("""COMPUTED_VALUE"""),"MXN")</f>
        <v>MXN</v>
      </c>
      <c r="F653" s="4" t="str">
        <f ca="1">IFERROR(__xludf.DUMMYFUNCTION("""COMPUTED_VALUE"""),"Jorge Rojas")</f>
        <v>Jorge Rojas</v>
      </c>
      <c r="G653" s="4" t="str">
        <f ca="1">IFERROR(__xludf.DUMMYFUNCTION("""COMPUTED_VALUE"""),"WALMART LOMAS STA FE   TIJUANA BCN   MEX")</f>
        <v>WALMART LOMAS STA FE   TIJUANA BCN   MEX</v>
      </c>
      <c r="H653" s="4" t="str">
        <f ca="1">IFERROR(__xludf.DUMMYFUNCTION("""COMPUTED_VALUE"""),"Walmart")</f>
        <v>Walmart</v>
      </c>
      <c r="I653" s="4"/>
      <c r="J653" s="4"/>
      <c r="K653" s="4"/>
      <c r="S653" s="6">
        <v>4778</v>
      </c>
      <c r="T653" s="4" t="e">
        <f t="shared" ca="1" si="3"/>
        <v>#N/A</v>
      </c>
    </row>
    <row r="654" spans="1:20" ht="12.5">
      <c r="A654" s="4" t="str">
        <f ca="1">IFERROR(__xludf.DUMMYFUNCTION("""COMPUTED_VALUE"""),"TRX1096")</f>
        <v>TRX1096</v>
      </c>
      <c r="B654" s="4" t="str">
        <f ca="1">IFERROR(__xludf.DUMMYFUNCTION("""COMPUTED_VALUE"""),"#64")</f>
        <v>#64</v>
      </c>
      <c r="C654" s="5">
        <f ca="1">IFERROR(__xludf.DUMMYFUNCTION("""COMPUTED_VALUE"""),46076.4166666666)</f>
        <v>46076.416666666599</v>
      </c>
      <c r="D654" s="6">
        <f ca="1">IFERROR(__xludf.DUMMYFUNCTION("""COMPUTED_VALUE"""),37.9)</f>
        <v>37.9</v>
      </c>
      <c r="E654" s="4" t="str">
        <f ca="1">IFERROR(__xludf.DUMMYFUNCTION("""COMPUTED_VALUE"""),"MXN")</f>
        <v>MXN</v>
      </c>
      <c r="F654" s="4" t="str">
        <f ca="1">IFERROR(__xludf.DUMMYFUNCTION("""COMPUTED_VALUE"""),"Jorge Rojas")</f>
        <v>Jorge Rojas</v>
      </c>
      <c r="G654" s="4" t="str">
        <f ca="1">IFERROR(__xludf.DUMMYFUNCTION("""COMPUTED_VALUE"""),"WALMART LOMAS STA FE   TIJUANA BCN   MEX")</f>
        <v>WALMART LOMAS STA FE   TIJUANA BCN   MEX</v>
      </c>
      <c r="H654" s="4" t="str">
        <f ca="1">IFERROR(__xludf.DUMMYFUNCTION("""COMPUTED_VALUE"""),"Walmart")</f>
        <v>Walmart</v>
      </c>
      <c r="I654" s="4"/>
      <c r="J654" s="4"/>
      <c r="K654" s="4"/>
      <c r="S654" s="6">
        <v>520</v>
      </c>
      <c r="T654" s="4" t="str">
        <f t="shared" ca="1" si="3"/>
        <v>Karen Alexandra Ballesteros Contreras</v>
      </c>
    </row>
    <row r="655" spans="1:20" ht="12.5">
      <c r="A655" s="4" t="str">
        <f ca="1">IFERROR(__xludf.DUMMYFUNCTION("""COMPUTED_VALUE"""),"TRX1099")</f>
        <v>TRX1099</v>
      </c>
      <c r="B655" s="4" t="str">
        <f ca="1">IFERROR(__xludf.DUMMYFUNCTION("""COMPUTED_VALUE"""),"#64")</f>
        <v>#64</v>
      </c>
      <c r="C655" s="5">
        <f ca="1">IFERROR(__xludf.DUMMYFUNCTION("""COMPUTED_VALUE"""),46076.4166666666)</f>
        <v>46076.416666666599</v>
      </c>
      <c r="D655" s="6">
        <f ca="1">IFERROR(__xludf.DUMMYFUNCTION("""COMPUTED_VALUE"""),174)</f>
        <v>174</v>
      </c>
      <c r="E655" s="4" t="str">
        <f ca="1">IFERROR(__xludf.DUMMYFUNCTION("""COMPUTED_VALUE"""),"MXN")</f>
        <v>MXN</v>
      </c>
      <c r="F655" s="4" t="str">
        <f ca="1">IFERROR(__xludf.DUMMYFUNCTION("""COMPUTED_VALUE"""),"Jorge Rojas")</f>
        <v>Jorge Rojas</v>
      </c>
      <c r="G655" s="4" t="str">
        <f ca="1">IFERROR(__xludf.DUMMYFUNCTION("""COMPUTED_VALUE"""),"7 ELEVEN T3038 OCEANOS TIJUANA BCN   MEX")</f>
        <v>7 ELEVEN T3038 OCEANOS TIJUANA BCN   MEX</v>
      </c>
      <c r="H655" s="4" t="str">
        <f ca="1">IFERROR(__xludf.DUMMYFUNCTION("""COMPUTED_VALUE"""),"7 Eleven")</f>
        <v>7 Eleven</v>
      </c>
      <c r="I655" s="4"/>
      <c r="J655" s="4"/>
      <c r="K655" s="4"/>
      <c r="S655" s="6">
        <v>94</v>
      </c>
      <c r="T655" s="4" t="e">
        <f t="shared" ca="1" si="3"/>
        <v>#N/A</v>
      </c>
    </row>
    <row r="656" spans="1:20" ht="12.5">
      <c r="A656" s="4" t="str">
        <f ca="1">IFERROR(__xludf.DUMMYFUNCTION("""COMPUTED_VALUE"""),"TRX1106")</f>
        <v>TRX1106</v>
      </c>
      <c r="B656" s="4" t="str">
        <f ca="1">IFERROR(__xludf.DUMMYFUNCTION("""COMPUTED_VALUE"""),"#64")</f>
        <v>#64</v>
      </c>
      <c r="C656" s="5">
        <f ca="1">IFERROR(__xludf.DUMMYFUNCTION("""COMPUTED_VALUE"""),46076.4166666666)</f>
        <v>46076.416666666599</v>
      </c>
      <c r="D656" s="6">
        <f ca="1">IFERROR(__xludf.DUMMYFUNCTION("""COMPUTED_VALUE"""),7068.03)</f>
        <v>7068.03</v>
      </c>
      <c r="E656" s="4" t="str">
        <f ca="1">IFERROR(__xludf.DUMMYFUNCTION("""COMPUTED_VALUE"""),"MXN")</f>
        <v>MXN</v>
      </c>
      <c r="F656" s="4" t="str">
        <f ca="1">IFERROR(__xludf.DUMMYFUNCTION("""COMPUTED_VALUE"""),"Jorge Rojas")</f>
        <v>Jorge Rojas</v>
      </c>
      <c r="G656" s="4" t="str">
        <f ca="1">IFERROR(__xludf.DUMMYFUNCTION("""COMPUTED_VALUE"""),"AIRBNB * HM4BMJSNK4    LONDON        GBR")</f>
        <v>AIRBNB * HM4BMJSNK4    LONDON        GBR</v>
      </c>
      <c r="H656" s="4" t="str">
        <f ca="1">IFERROR(__xludf.DUMMYFUNCTION("""COMPUTED_VALUE"""),"Airbnb")</f>
        <v>Airbnb</v>
      </c>
      <c r="I656" s="4"/>
      <c r="J656" s="4"/>
      <c r="K656" s="4"/>
      <c r="S656" s="6">
        <v>139.97999999999999</v>
      </c>
      <c r="T656" s="4" t="e">
        <f t="shared" ca="1" si="3"/>
        <v>#N/A</v>
      </c>
    </row>
    <row r="657" spans="1:20" ht="12.5">
      <c r="A657" s="4" t="str">
        <f ca="1">IFERROR(__xludf.DUMMYFUNCTION("""COMPUTED_VALUE"""),"TRX1116")</f>
        <v>TRX1116</v>
      </c>
      <c r="B657" s="4" t="str">
        <f ca="1">IFERROR(__xludf.DUMMYFUNCTION("""COMPUTED_VALUE"""),"#64")</f>
        <v>#64</v>
      </c>
      <c r="C657" s="5">
        <f ca="1">IFERROR(__xludf.DUMMYFUNCTION("""COMPUTED_VALUE"""),46077.4166666666)</f>
        <v>46077.416666666599</v>
      </c>
      <c r="D657" s="6">
        <f ca="1">IFERROR(__xludf.DUMMYFUNCTION("""COMPUTED_VALUE"""),1122.18)</f>
        <v>1122.18</v>
      </c>
      <c r="E657" s="4" t="str">
        <f ca="1">IFERROR(__xludf.DUMMYFUNCTION("""COMPUTED_VALUE"""),"MXN")</f>
        <v>MXN</v>
      </c>
      <c r="F657" s="4" t="str">
        <f ca="1">IFERROR(__xludf.DUMMYFUNCTION("""COMPUTED_VALUE"""),"Jorge Rojas")</f>
        <v>Jorge Rojas</v>
      </c>
      <c r="G657" s="4" t="str">
        <f ca="1">IFERROR(__xludf.DUMMYFUNCTION("""COMPUTED_VALUE"""),"COSTCO TIJUANA II      TIJUANA BCN   MEX")</f>
        <v>COSTCO TIJUANA II      TIJUANA BCN   MEX</v>
      </c>
      <c r="H657" s="4" t="str">
        <f ca="1">IFERROR(__xludf.DUMMYFUNCTION("""COMPUTED_VALUE"""),"Costco")</f>
        <v>Costco</v>
      </c>
      <c r="I657" s="4"/>
      <c r="J657" s="4"/>
      <c r="K657" s="4"/>
      <c r="S657" s="6">
        <v>79.94</v>
      </c>
      <c r="T657" s="4" t="e">
        <f t="shared" ca="1" si="3"/>
        <v>#N/A</v>
      </c>
    </row>
    <row r="658" spans="1:20" ht="12.5">
      <c r="A658" s="4" t="str">
        <f ca="1">IFERROR(__xludf.DUMMYFUNCTION("""COMPUTED_VALUE"""),"TRX1117")</f>
        <v>TRX1117</v>
      </c>
      <c r="B658" s="4" t="str">
        <f ca="1">IFERROR(__xludf.DUMMYFUNCTION("""COMPUTED_VALUE"""),"#64")</f>
        <v>#64</v>
      </c>
      <c r="C658" s="5">
        <f ca="1">IFERROR(__xludf.DUMMYFUNCTION("""COMPUTED_VALUE"""),46077.4166666666)</f>
        <v>46077.416666666599</v>
      </c>
      <c r="D658" s="6">
        <f ca="1">IFERROR(__xludf.DUMMYFUNCTION("""COMPUTED_VALUE"""),138.05)</f>
        <v>138.05000000000001</v>
      </c>
      <c r="E658" s="4" t="str">
        <f ca="1">IFERROR(__xludf.DUMMYFUNCTION("""COMPUTED_VALUE"""),"MXN")</f>
        <v>MXN</v>
      </c>
      <c r="F658" s="4" t="str">
        <f ca="1">IFERROR(__xludf.DUMMYFUNCTION("""COMPUTED_VALUE"""),"Jorge Rojas")</f>
        <v>Jorge Rojas</v>
      </c>
      <c r="G658" s="4" t="str">
        <f ca="1">IFERROR(__xludf.DUMMYFUNCTION("""COMPUTED_VALUE"""),"COSTCO TIJUANA II      TIJUANA BCN   MEX")</f>
        <v>COSTCO TIJUANA II      TIJUANA BCN   MEX</v>
      </c>
      <c r="H658" s="4" t="str">
        <f ca="1">IFERROR(__xludf.DUMMYFUNCTION("""COMPUTED_VALUE"""),"Costco")</f>
        <v>Costco</v>
      </c>
      <c r="I658" s="4"/>
      <c r="J658" s="4"/>
      <c r="K658" s="4"/>
      <c r="S658" s="6">
        <v>4269</v>
      </c>
      <c r="T658" s="4" t="str">
        <f t="shared" ca="1" si="3"/>
        <v>Monserrat Benitez</v>
      </c>
    </row>
    <row r="659" spans="1:20" ht="12.5">
      <c r="A659" s="4" t="str">
        <f ca="1">IFERROR(__xludf.DUMMYFUNCTION("""COMPUTED_VALUE"""),"TRX1120")</f>
        <v>TRX1120</v>
      </c>
      <c r="B659" s="4" t="str">
        <f ca="1">IFERROR(__xludf.DUMMYFUNCTION("""COMPUTED_VALUE"""),"#64")</f>
        <v>#64</v>
      </c>
      <c r="C659" s="5">
        <f ca="1">IFERROR(__xludf.DUMMYFUNCTION("""COMPUTED_VALUE"""),46077.4166666666)</f>
        <v>46077.416666666599</v>
      </c>
      <c r="D659" s="6">
        <f ca="1">IFERROR(__xludf.DUMMYFUNCTION("""COMPUTED_VALUE"""),5600)</f>
        <v>5600</v>
      </c>
      <c r="E659" s="4" t="str">
        <f ca="1">IFERROR(__xludf.DUMMYFUNCTION("""COMPUTED_VALUE"""),"MXN")</f>
        <v>MXN</v>
      </c>
      <c r="F659" s="4" t="str">
        <f ca="1">IFERROR(__xludf.DUMMYFUNCTION("""COMPUTED_VALUE"""),"Jorge Rojas")</f>
        <v>Jorge Rojas</v>
      </c>
      <c r="G659" s="4" t="str">
        <f ca="1">IFERROR(__xludf.DUMMYFUNCTION("""COMPUTED_VALUE"""),"EUROPCAR WEB 2         BENITO JUAREZ MEX")</f>
        <v>EUROPCAR WEB 2         BENITO JUAREZ MEX</v>
      </c>
      <c r="H659" s="4" t="str">
        <f ca="1">IFERROR(__xludf.DUMMYFUNCTION("""COMPUTED_VALUE"""),"Europcar")</f>
        <v>Europcar</v>
      </c>
      <c r="I659" s="4"/>
      <c r="J659" s="4"/>
      <c r="K659" s="4"/>
      <c r="S659" s="6">
        <v>1494.72</v>
      </c>
      <c r="T659" s="4" t="e">
        <f t="shared" ca="1" si="3"/>
        <v>#N/A</v>
      </c>
    </row>
    <row r="660" spans="1:20" ht="12.5">
      <c r="A660" s="4" t="str">
        <f ca="1">IFERROR(__xludf.DUMMYFUNCTION("""COMPUTED_VALUE"""),"TRX1121")</f>
        <v>TRX1121</v>
      </c>
      <c r="B660" s="4" t="str">
        <f ca="1">IFERROR(__xludf.DUMMYFUNCTION("""COMPUTED_VALUE"""),"#64")</f>
        <v>#64</v>
      </c>
      <c r="C660" s="5">
        <f ca="1">IFERROR(__xludf.DUMMYFUNCTION("""COMPUTED_VALUE"""),46077.4166666666)</f>
        <v>46077.416666666599</v>
      </c>
      <c r="D660" s="6">
        <f ca="1">IFERROR(__xludf.DUMMYFUNCTION("""COMPUTED_VALUE"""),380)</f>
        <v>380</v>
      </c>
      <c r="E660" s="4" t="str">
        <f ca="1">IFERROR(__xludf.DUMMYFUNCTION("""COMPUTED_VALUE"""),"MXN")</f>
        <v>MXN</v>
      </c>
      <c r="F660" s="4" t="str">
        <f ca="1">IFERROR(__xludf.DUMMYFUNCTION("""COMPUTED_VALUE"""),"Jorge Rojas")</f>
        <v>Jorge Rojas</v>
      </c>
      <c r="G660" s="4" t="str">
        <f ca="1">IFERROR(__xludf.DUMMYFUNCTION("""COMPUTED_VALUE"""),"AGUACHILES CULICHI     TIJUANA BCN   MEX")</f>
        <v>AGUACHILES CULICHI     TIJUANA BCN   MEX</v>
      </c>
      <c r="H660" s="4" t="str">
        <f ca="1">IFERROR(__xludf.DUMMYFUNCTION("""COMPUTED_VALUE"""),"Aguachiles Culichi Tijuana Bcn Mex")</f>
        <v>Aguachiles Culichi Tijuana Bcn Mex</v>
      </c>
      <c r="I660" s="4"/>
      <c r="J660" s="4"/>
      <c r="K660" s="4"/>
      <c r="S660" s="6">
        <v>2949.25</v>
      </c>
      <c r="T660" s="4" t="e">
        <f t="shared" ca="1" si="3"/>
        <v>#N/A</v>
      </c>
    </row>
    <row r="661" spans="1:20" ht="12.5">
      <c r="A661" s="4" t="str">
        <f ca="1">IFERROR(__xludf.DUMMYFUNCTION("""COMPUTED_VALUE"""),"TRX1123")</f>
        <v>TRX1123</v>
      </c>
      <c r="B661" s="4" t="str">
        <f ca="1">IFERROR(__xludf.DUMMYFUNCTION("""COMPUTED_VALUE"""),"#64")</f>
        <v>#64</v>
      </c>
      <c r="C661" s="5">
        <f ca="1">IFERROR(__xludf.DUMMYFUNCTION("""COMPUTED_VALUE"""),46077.4166666666)</f>
        <v>46077.416666666599</v>
      </c>
      <c r="D661" s="6">
        <f ca="1">IFERROR(__xludf.DUMMYFUNCTION("""COMPUTED_VALUE"""),380)</f>
        <v>380</v>
      </c>
      <c r="E661" s="4" t="str">
        <f ca="1">IFERROR(__xludf.DUMMYFUNCTION("""COMPUTED_VALUE"""),"MXN")</f>
        <v>MXN</v>
      </c>
      <c r="F661" s="4" t="str">
        <f ca="1">IFERROR(__xludf.DUMMYFUNCTION("""COMPUTED_VALUE"""),"Jorge Rojas")</f>
        <v>Jorge Rojas</v>
      </c>
      <c r="G661" s="4" t="str">
        <f ca="1">IFERROR(__xludf.DUMMYFUNCTION("""COMPUTED_VALUE"""),"CLIP MX*SUPER BARRA LI TIJUANA       MEX")</f>
        <v>CLIP MX*SUPER BARRA LI TIJUANA       MEX</v>
      </c>
      <c r="H661" s="4" t="str">
        <f ca="1">IFERROR(__xludf.DUMMYFUNCTION("""COMPUTED_VALUE"""),"Super Mex")</f>
        <v>Super Mex</v>
      </c>
      <c r="I661" s="4"/>
      <c r="J661" s="4"/>
      <c r="K661" s="4"/>
      <c r="S661" s="6">
        <v>2758.39</v>
      </c>
      <c r="T661" s="4" t="e">
        <f t="shared" ca="1" si="3"/>
        <v>#N/A</v>
      </c>
    </row>
    <row r="662" spans="1:20" ht="12.5">
      <c r="A662" s="4" t="str">
        <f ca="1">IFERROR(__xludf.DUMMYFUNCTION("""COMPUTED_VALUE"""),"TRX1125")</f>
        <v>TRX1125</v>
      </c>
      <c r="B662" s="4" t="str">
        <f ca="1">IFERROR(__xludf.DUMMYFUNCTION("""COMPUTED_VALUE"""),"#64")</f>
        <v>#64</v>
      </c>
      <c r="C662" s="5">
        <f ca="1">IFERROR(__xludf.DUMMYFUNCTION("""COMPUTED_VALUE"""),46077.4166666666)</f>
        <v>46077.416666666599</v>
      </c>
      <c r="D662" s="6">
        <f ca="1">IFERROR(__xludf.DUMMYFUNCTION("""COMPUTED_VALUE"""),4800)</f>
        <v>4800</v>
      </c>
      <c r="E662" s="4" t="str">
        <f ca="1">IFERROR(__xludf.DUMMYFUNCTION("""COMPUTED_VALUE"""),"MXN")</f>
        <v>MXN</v>
      </c>
      <c r="F662" s="4" t="str">
        <f ca="1">IFERROR(__xludf.DUMMYFUNCTION("""COMPUTED_VALUE"""),"Jorge Rojas")</f>
        <v>Jorge Rojas</v>
      </c>
      <c r="G662" s="4" t="str">
        <f ca="1">IFERROR(__xludf.DUMMYFUNCTION("""COMPUTED_VALUE"""),"EUROPCAR WEB 2         BENITO JUAREZ MEX")</f>
        <v>EUROPCAR WEB 2         BENITO JUAREZ MEX</v>
      </c>
      <c r="H662" s="4" t="str">
        <f ca="1">IFERROR(__xludf.DUMMYFUNCTION("""COMPUTED_VALUE"""),"Europcar")</f>
        <v>Europcar</v>
      </c>
      <c r="I662" s="4"/>
      <c r="J662" s="4"/>
      <c r="K662" s="4"/>
      <c r="S662" s="6">
        <v>8277.2900000000009</v>
      </c>
      <c r="T662" s="4" t="e">
        <f t="shared" ca="1" si="3"/>
        <v>#N/A</v>
      </c>
    </row>
    <row r="663" spans="1:20" ht="12.5">
      <c r="A663" s="4" t="str">
        <f ca="1">IFERROR(__xludf.DUMMYFUNCTION("""COMPUTED_VALUE"""),"TRX1126")</f>
        <v>TRX1126</v>
      </c>
      <c r="B663" s="4" t="str">
        <f ca="1">IFERROR(__xludf.DUMMYFUNCTION("""COMPUTED_VALUE"""),"#64")</f>
        <v>#64</v>
      </c>
      <c r="C663" s="5">
        <f ca="1">IFERROR(__xludf.DUMMYFUNCTION("""COMPUTED_VALUE"""),46077.4166666666)</f>
        <v>46077.416666666599</v>
      </c>
      <c r="D663" s="6">
        <f ca="1">IFERROR(__xludf.DUMMYFUNCTION("""COMPUTED_VALUE"""),385)</f>
        <v>385</v>
      </c>
      <c r="E663" s="4" t="str">
        <f ca="1">IFERROR(__xludf.DUMMYFUNCTION("""COMPUTED_VALUE"""),"MXN")</f>
        <v>MXN</v>
      </c>
      <c r="F663" s="4" t="str">
        <f ca="1">IFERROR(__xludf.DUMMYFUNCTION("""COMPUTED_VALUE"""),"Jorge Rojas")</f>
        <v>Jorge Rojas</v>
      </c>
      <c r="G663" s="4" t="str">
        <f ca="1">IFERROR(__xludf.DUMMYFUNCTION("""COMPUTED_VALUE"""),"SUPERCENTER PACIFICO   TIJUANA BCN   MEX")</f>
        <v>SUPERCENTER PACIFICO   TIJUANA BCN   MEX</v>
      </c>
      <c r="H663" s="4" t="str">
        <f ca="1">IFERROR(__xludf.DUMMYFUNCTION("""COMPUTED_VALUE"""),"Supercenter Pacifico Tijuana Bcn Mex")</f>
        <v>Supercenter Pacifico Tijuana Bcn Mex</v>
      </c>
      <c r="I663" s="4"/>
      <c r="J663" s="4"/>
      <c r="K663" s="4"/>
      <c r="S663" s="6">
        <v>280</v>
      </c>
      <c r="T663" s="4" t="str">
        <f t="shared" ca="1" si="3"/>
        <v>Carlos Ivan Gonzalez Merino</v>
      </c>
    </row>
    <row r="664" spans="1:20" ht="12.5">
      <c r="A664" s="4" t="str">
        <f ca="1">IFERROR(__xludf.DUMMYFUNCTION("""COMPUTED_VALUE"""),"TRX1133")</f>
        <v>TRX1133</v>
      </c>
      <c r="B664" s="4" t="str">
        <f ca="1">IFERROR(__xludf.DUMMYFUNCTION("""COMPUTED_VALUE"""),"#64")</f>
        <v>#64</v>
      </c>
      <c r="C664" s="5">
        <f ca="1">IFERROR(__xludf.DUMMYFUNCTION("""COMPUTED_VALUE"""),46078.4166666666)</f>
        <v>46078.416666666599</v>
      </c>
      <c r="D664" s="6">
        <f ca="1">IFERROR(__xludf.DUMMYFUNCTION("""COMPUTED_VALUE"""),48.62)</f>
        <v>48.62</v>
      </c>
      <c r="E664" s="4" t="str">
        <f ca="1">IFERROR(__xludf.DUMMYFUNCTION("""COMPUTED_VALUE"""),"MXN")</f>
        <v>MXN</v>
      </c>
      <c r="F664" s="4" t="str">
        <f ca="1">IFERROR(__xludf.DUMMYFUNCTION("""COMPUTED_VALUE"""),"Jorge Rojas")</f>
        <v>Jorge Rojas</v>
      </c>
      <c r="G664" s="4" t="str">
        <f ca="1">IFERROR(__xludf.DUMMYFUNCTION("""COMPUTED_VALUE"""),"UBER *TRIP HELP.UBER.C CMX           MEX")</f>
        <v>UBER *TRIP HELP.UBER.C CMX           MEX</v>
      </c>
      <c r="H664" s="4" t="str">
        <f ca="1">IFERROR(__xludf.DUMMYFUNCTION("""COMPUTED_VALUE"""),"Uber")</f>
        <v>Uber</v>
      </c>
      <c r="I664" s="4"/>
      <c r="J664" s="4"/>
      <c r="K664" s="4"/>
      <c r="S664" s="6">
        <v>258.5</v>
      </c>
      <c r="T664" s="4" t="e">
        <f t="shared" ca="1" si="3"/>
        <v>#N/A</v>
      </c>
    </row>
    <row r="665" spans="1:20" ht="12.5">
      <c r="A665" s="4" t="str">
        <f ca="1">IFERROR(__xludf.DUMMYFUNCTION("""COMPUTED_VALUE"""),"TRX1135")</f>
        <v>TRX1135</v>
      </c>
      <c r="B665" s="4" t="str">
        <f ca="1">IFERROR(__xludf.DUMMYFUNCTION("""COMPUTED_VALUE"""),"#64")</f>
        <v>#64</v>
      </c>
      <c r="C665" s="5">
        <f ca="1">IFERROR(__xludf.DUMMYFUNCTION("""COMPUTED_VALUE"""),46078.4166666666)</f>
        <v>46078.416666666599</v>
      </c>
      <c r="D665" s="6">
        <f ca="1">IFERROR(__xludf.DUMMYFUNCTION("""COMPUTED_VALUE"""),475.43)</f>
        <v>475.43</v>
      </c>
      <c r="E665" s="4" t="str">
        <f ca="1">IFERROR(__xludf.DUMMYFUNCTION("""COMPUTED_VALUE"""),"MXN")</f>
        <v>MXN</v>
      </c>
      <c r="F665" s="4" t="str">
        <f ca="1">IFERROR(__xludf.DUMMYFUNCTION("""COMPUTED_VALUE"""),"Jorge Rojas")</f>
        <v>Jorge Rojas</v>
      </c>
      <c r="G665" s="4" t="str">
        <f ca="1">IFERROR(__xludf.DUMMYFUNCTION("""COMPUTED_VALUE"""),"UBER * EATS PENDING    CMX           MEX")</f>
        <v>UBER * EATS PENDING    CMX           MEX</v>
      </c>
      <c r="H665" s="4" t="str">
        <f ca="1">IFERROR(__xludf.DUMMYFUNCTION("""COMPUTED_VALUE"""),"Uber Eats")</f>
        <v>Uber Eats</v>
      </c>
      <c r="I665" s="4"/>
      <c r="J665" s="4"/>
      <c r="K665" s="4"/>
      <c r="S665" s="6">
        <v>378.4</v>
      </c>
      <c r="T665" s="4" t="e">
        <f t="shared" ca="1" si="3"/>
        <v>#N/A</v>
      </c>
    </row>
    <row r="666" spans="1:20" ht="12.5">
      <c r="A666" s="4" t="str">
        <f ca="1">IFERROR(__xludf.DUMMYFUNCTION("""COMPUTED_VALUE"""),"TRX1146")</f>
        <v>TRX1146</v>
      </c>
      <c r="B666" s="4" t="str">
        <f ca="1">IFERROR(__xludf.DUMMYFUNCTION("""COMPUTED_VALUE"""),"#64")</f>
        <v>#64</v>
      </c>
      <c r="C666" s="5">
        <f ca="1">IFERROR(__xludf.DUMMYFUNCTION("""COMPUTED_VALUE"""),46078.4166666666)</f>
        <v>46078.416666666599</v>
      </c>
      <c r="D666" s="6">
        <f ca="1">IFERROR(__xludf.DUMMYFUNCTION("""COMPUTED_VALUE"""),184.99)</f>
        <v>184.99</v>
      </c>
      <c r="E666" s="4" t="str">
        <f ca="1">IFERROR(__xludf.DUMMYFUNCTION("""COMPUTED_VALUE"""),"MXN")</f>
        <v>MXN</v>
      </c>
      <c r="F666" s="4" t="str">
        <f ca="1">IFERROR(__xludf.DUMMYFUNCTION("""COMPUTED_VALUE"""),"Jorge Rojas")</f>
        <v>Jorge Rojas</v>
      </c>
      <c r="G666" s="4" t="str">
        <f ca="1">IFERROR(__xludf.DUMMYFUNCTION("""COMPUTED_VALUE"""),"Microsoft*Microsoft 36 CMX           MEX")</f>
        <v>Microsoft*Microsoft 36 CMX           MEX</v>
      </c>
      <c r="H666" s="4" t="str">
        <f ca="1">IFERROR(__xludf.DUMMYFUNCTION("""COMPUTED_VALUE"""),"Microsoft")</f>
        <v>Microsoft</v>
      </c>
      <c r="I666" s="4"/>
      <c r="J666" s="4"/>
      <c r="K666" s="4"/>
      <c r="S666" s="6">
        <v>389.67</v>
      </c>
      <c r="T666" s="4" t="e">
        <f t="shared" ca="1" si="3"/>
        <v>#N/A</v>
      </c>
    </row>
    <row r="667" spans="1:20" ht="12.5">
      <c r="A667" s="4" t="str">
        <f ca="1">IFERROR(__xludf.DUMMYFUNCTION("""COMPUTED_VALUE"""),"TRX1157")</f>
        <v>TRX1157</v>
      </c>
      <c r="B667" s="4" t="str">
        <f ca="1">IFERROR(__xludf.DUMMYFUNCTION("""COMPUTED_VALUE"""),"#64")</f>
        <v>#64</v>
      </c>
      <c r="C667" s="5">
        <f ca="1">IFERROR(__xludf.DUMMYFUNCTION("""COMPUTED_VALUE"""),46078.4173611111)</f>
        <v>46078.417361111096</v>
      </c>
      <c r="D667" s="6">
        <f ca="1">IFERROR(__xludf.DUMMYFUNCTION("""COMPUTED_VALUE"""),444)</f>
        <v>444</v>
      </c>
      <c r="E667" s="4" t="str">
        <f ca="1">IFERROR(__xludf.DUMMYFUNCTION("""COMPUTED_VALUE"""),"MXN")</f>
        <v>MXN</v>
      </c>
      <c r="F667" s="4" t="str">
        <f ca="1">IFERROR(__xludf.DUMMYFUNCTION("""COMPUTED_VALUE"""),"Jorge Rojas")</f>
        <v>Jorge Rojas</v>
      </c>
      <c r="G667" s="4" t="str">
        <f ca="1">IFERROR(__xludf.DUMMYFUNCTION("""COMPUTED_VALUE"""),"VIPS TIJUANA 81121     TIJUANA BCN   MEX")</f>
        <v>VIPS TIJUANA 81121     TIJUANA BCN   MEX</v>
      </c>
      <c r="H667" s="4" t="str">
        <f ca="1">IFERROR(__xludf.DUMMYFUNCTION("""COMPUTED_VALUE"""),"Vips Tijuana Tijuana Bcn Mex")</f>
        <v>Vips Tijuana Tijuana Bcn Mex</v>
      </c>
      <c r="I667" s="4"/>
      <c r="J667" s="4"/>
      <c r="K667" s="4"/>
      <c r="S667" s="6">
        <v>4116.37</v>
      </c>
      <c r="T667" s="4" t="e">
        <f t="shared" ca="1" si="3"/>
        <v>#N/A</v>
      </c>
    </row>
    <row r="668" spans="1:20" ht="12.5">
      <c r="A668" s="4" t="str">
        <f ca="1">IFERROR(__xludf.DUMMYFUNCTION("""COMPUTED_VALUE"""),"TRX1160")</f>
        <v>TRX1160</v>
      </c>
      <c r="B668" s="4" t="str">
        <f ca="1">IFERROR(__xludf.DUMMYFUNCTION("""COMPUTED_VALUE"""),"#64")</f>
        <v>#64</v>
      </c>
      <c r="C668" s="5">
        <f ca="1">IFERROR(__xludf.DUMMYFUNCTION("""COMPUTED_VALUE"""),46078.4173611111)</f>
        <v>46078.417361111096</v>
      </c>
      <c r="D668" s="6">
        <f ca="1">IFERROR(__xludf.DUMMYFUNCTION("""COMPUTED_VALUE"""),53.5)</f>
        <v>53.5</v>
      </c>
      <c r="E668" s="4" t="str">
        <f ca="1">IFERROR(__xludf.DUMMYFUNCTION("""COMPUTED_VALUE"""),"MXN")</f>
        <v>MXN</v>
      </c>
      <c r="F668" s="4" t="str">
        <f ca="1">IFERROR(__xludf.DUMMYFUNCTION("""COMPUTED_VALUE"""),"Jorge Rojas")</f>
        <v>Jorge Rojas</v>
      </c>
      <c r="G668" s="4" t="str">
        <f ca="1">IFERROR(__xludf.DUMMYFUNCTION("""COMPUTED_VALUE"""),"7ELEVEN T2843 BANDERAS TIJUANA BCN   MEX")</f>
        <v>7ELEVEN T2843 BANDERAS TIJUANA BCN   MEX</v>
      </c>
      <c r="H668" s="4" t="str">
        <f ca="1">IFERROR(__xludf.DUMMYFUNCTION("""COMPUTED_VALUE"""),"7 Eleven")</f>
        <v>7 Eleven</v>
      </c>
      <c r="I668" s="4"/>
      <c r="J668" s="4"/>
      <c r="K668" s="4"/>
      <c r="S668" s="6">
        <v>349.61</v>
      </c>
      <c r="T668" s="4" t="e">
        <f t="shared" ca="1" si="3"/>
        <v>#N/A</v>
      </c>
    </row>
    <row r="669" spans="1:20" ht="12.5">
      <c r="A669" s="4" t="str">
        <f ca="1">IFERROR(__xludf.DUMMYFUNCTION("""COMPUTED_VALUE"""),"TRX1194")</f>
        <v>TRX1194</v>
      </c>
      <c r="B669" s="4" t="str">
        <f ca="1">IFERROR(__xludf.DUMMYFUNCTION("""COMPUTED_VALUE"""),"#64")</f>
        <v>#64</v>
      </c>
      <c r="C669" s="5">
        <f ca="1">IFERROR(__xludf.DUMMYFUNCTION("""COMPUTED_VALUE"""),46079.4166666666)</f>
        <v>46079.416666666599</v>
      </c>
      <c r="D669" s="6">
        <f ca="1">IFERROR(__xludf.DUMMYFUNCTION("""COMPUTED_VALUE"""),278)</f>
        <v>278</v>
      </c>
      <c r="E669" s="4" t="str">
        <f ca="1">IFERROR(__xludf.DUMMYFUNCTION("""COMPUTED_VALUE"""),"MXN")</f>
        <v>MXN</v>
      </c>
      <c r="F669" s="4" t="str">
        <f ca="1">IFERROR(__xludf.DUMMYFUNCTION("""COMPUTED_VALUE"""),"Jorge Rojas")</f>
        <v>Jorge Rojas</v>
      </c>
      <c r="G669" s="4" t="str">
        <f ca="1">IFERROR(__xludf.DUMMYFUNCTION("""COMPUTED_VALUE"""),"CARLS JR P ALONDRAS    TIJUANA BCN   MEX")</f>
        <v>CARLS JR P ALONDRAS    TIJUANA BCN   MEX</v>
      </c>
      <c r="H669" s="4" t="str">
        <f ca="1">IFERROR(__xludf.DUMMYFUNCTION("""COMPUTED_VALUE"""),"Carls Jr.")</f>
        <v>Carls Jr.</v>
      </c>
      <c r="I669" s="4"/>
      <c r="J669" s="4"/>
      <c r="K669" s="4"/>
      <c r="S669" s="6">
        <v>94</v>
      </c>
      <c r="T669" s="4" t="e">
        <f t="shared" ca="1" si="3"/>
        <v>#N/A</v>
      </c>
    </row>
    <row r="670" spans="1:20" ht="12.5">
      <c r="A670" s="4" t="str">
        <f ca="1">IFERROR(__xludf.DUMMYFUNCTION("""COMPUTED_VALUE"""),"TRX1198")</f>
        <v>TRX1198</v>
      </c>
      <c r="B670" s="4" t="str">
        <f ca="1">IFERROR(__xludf.DUMMYFUNCTION("""COMPUTED_VALUE"""),"#64")</f>
        <v>#64</v>
      </c>
      <c r="C670" s="5">
        <f ca="1">IFERROR(__xludf.DUMMYFUNCTION("""COMPUTED_VALUE"""),46079.4166666666)</f>
        <v>46079.416666666599</v>
      </c>
      <c r="D670" s="6">
        <f ca="1">IFERROR(__xludf.DUMMYFUNCTION("""COMPUTED_VALUE"""),470.18)</f>
        <v>470.18</v>
      </c>
      <c r="E670" s="4" t="str">
        <f ca="1">IFERROR(__xludf.DUMMYFUNCTION("""COMPUTED_VALUE"""),"MXN")</f>
        <v>MXN</v>
      </c>
      <c r="F670" s="4" t="str">
        <f ca="1">IFERROR(__xludf.DUMMYFUNCTION("""COMPUTED_VALUE"""),"Jorge Rojas")</f>
        <v>Jorge Rojas</v>
      </c>
      <c r="G670" s="4" t="str">
        <f ca="1">IFERROR(__xludf.DUMMYFUNCTION("""COMPUTED_VALUE"""),"DLO*UBER               CIUDAD DE MEX MEX")</f>
        <v>DLO*UBER               CIUDAD DE MEX MEX</v>
      </c>
      <c r="H670" s="4" t="str">
        <f ca="1">IFERROR(__xludf.DUMMYFUNCTION("""COMPUTED_VALUE"""),"Uber")</f>
        <v>Uber</v>
      </c>
      <c r="I670" s="4"/>
      <c r="J670" s="4"/>
      <c r="K670" s="4"/>
      <c r="S670" s="6">
        <v>3615.4</v>
      </c>
      <c r="T670" s="4" t="e">
        <f t="shared" ca="1" si="3"/>
        <v>#N/A</v>
      </c>
    </row>
    <row r="671" spans="1:20" ht="12.5">
      <c r="A671" s="4" t="str">
        <f ca="1">IFERROR(__xludf.DUMMYFUNCTION("""COMPUTED_VALUE"""),"TRX1199")</f>
        <v>TRX1199</v>
      </c>
      <c r="B671" s="4" t="str">
        <f ca="1">IFERROR(__xludf.DUMMYFUNCTION("""COMPUTED_VALUE"""),"#64")</f>
        <v>#64</v>
      </c>
      <c r="C671" s="5">
        <f ca="1">IFERROR(__xludf.DUMMYFUNCTION("""COMPUTED_VALUE"""),46079.4166666666)</f>
        <v>46079.416666666599</v>
      </c>
      <c r="D671" s="6">
        <f ca="1">IFERROR(__xludf.DUMMYFUNCTION("""COMPUTED_VALUE"""),38)</f>
        <v>38</v>
      </c>
      <c r="E671" s="4" t="str">
        <f ca="1">IFERROR(__xludf.DUMMYFUNCTION("""COMPUTED_VALUE"""),"MXN")</f>
        <v>MXN</v>
      </c>
      <c r="F671" s="4" t="str">
        <f ca="1">IFERROR(__xludf.DUMMYFUNCTION("""COMPUTED_VALUE"""),"Jorge Rojas")</f>
        <v>Jorge Rojas</v>
      </c>
      <c r="G671" s="4" t="str">
        <f ca="1">IFERROR(__xludf.DUMMYFUNCTION("""COMPUTED_VALUE"""),"7 ELEVEN T3038 OCEANOS TIJUANA BCN   MEX")</f>
        <v>7 ELEVEN T3038 OCEANOS TIJUANA BCN   MEX</v>
      </c>
      <c r="H671" s="4" t="str">
        <f ca="1">IFERROR(__xludf.DUMMYFUNCTION("""COMPUTED_VALUE"""),"7 Eleven")</f>
        <v>7 Eleven</v>
      </c>
      <c r="I671" s="4"/>
      <c r="J671" s="4"/>
      <c r="K671" s="4"/>
      <c r="S671" s="6">
        <v>184.99</v>
      </c>
      <c r="T671" s="4" t="str">
        <f t="shared" ca="1" si="3"/>
        <v>Rodrigo Perea</v>
      </c>
    </row>
    <row r="672" spans="1:20" ht="12.5">
      <c r="A672" s="4" t="str">
        <f ca="1">IFERROR(__xludf.DUMMYFUNCTION("""COMPUTED_VALUE"""),"TRX1217")</f>
        <v>TRX1217</v>
      </c>
      <c r="B672" s="4" t="str">
        <f ca="1">IFERROR(__xludf.DUMMYFUNCTION("""COMPUTED_VALUE"""),"#64")</f>
        <v>#64</v>
      </c>
      <c r="C672" s="5">
        <f ca="1">IFERROR(__xludf.DUMMYFUNCTION("""COMPUTED_VALUE"""),46079.4173611111)</f>
        <v>46079.417361111096</v>
      </c>
      <c r="D672" s="6">
        <f ca="1">IFERROR(__xludf.DUMMYFUNCTION("""COMPUTED_VALUE"""),1705.08)</f>
        <v>1705.08</v>
      </c>
      <c r="E672" s="4" t="str">
        <f ca="1">IFERROR(__xludf.DUMMYFUNCTION("""COMPUTED_VALUE"""),"USD")</f>
        <v>USD</v>
      </c>
      <c r="F672" s="4" t="str">
        <f ca="1">IFERROR(__xludf.DUMMYFUNCTION("""COMPUTED_VALUE"""),"Jorge Rojas")</f>
        <v>Jorge Rojas</v>
      </c>
      <c r="G672" s="4" t="str">
        <f ca="1">IFERROR(__xludf.DUMMYFUNCTION("""COMPUTED_VALUE"""),"WAL-MART #5023         NATIONAL CITY USA")</f>
        <v>WAL-MART #5023         NATIONAL CITY USA</v>
      </c>
      <c r="H672" s="4" t="str">
        <f ca="1">IFERROR(__xludf.DUMMYFUNCTION("""COMPUTED_VALUE"""),"Walmart")</f>
        <v>Walmart</v>
      </c>
      <c r="I672" s="4"/>
      <c r="J672" s="4"/>
      <c r="K672" s="4"/>
      <c r="S672" s="6">
        <v>500</v>
      </c>
      <c r="T672" s="4" t="str">
        <f t="shared" ca="1" si="3"/>
        <v>Fernando Sanchez Toledano</v>
      </c>
    </row>
    <row r="673" spans="1:20" ht="12.5">
      <c r="A673" s="4" t="str">
        <f ca="1">IFERROR(__xludf.DUMMYFUNCTION("""COMPUTED_VALUE"""),"TRX1245")</f>
        <v>TRX1245</v>
      </c>
      <c r="B673" s="4" t="str">
        <f ca="1">IFERROR(__xludf.DUMMYFUNCTION("""COMPUTED_VALUE"""),"#64")</f>
        <v>#64</v>
      </c>
      <c r="C673" s="5">
        <f ca="1">IFERROR(__xludf.DUMMYFUNCTION("""COMPUTED_VALUE"""),46080.4173611111)</f>
        <v>46080.417361111096</v>
      </c>
      <c r="D673" s="6">
        <f ca="1">IFERROR(__xludf.DUMMYFUNCTION("""COMPUTED_VALUE"""),143)</f>
        <v>143</v>
      </c>
      <c r="E673" s="4" t="str">
        <f ca="1">IFERROR(__xludf.DUMMYFUNCTION("""COMPUTED_VALUE"""),"MXN")</f>
        <v>MXN</v>
      </c>
      <c r="F673" s="4" t="str">
        <f ca="1">IFERROR(__xludf.DUMMYFUNCTION("""COMPUTED_VALUE"""),"Jorge Rojas")</f>
        <v>Jorge Rojas</v>
      </c>
      <c r="G673" s="4" t="str">
        <f ca="1">IFERROR(__xludf.DUMMYFUNCTION("""COMPUTED_VALUE"""),"WALMART LOMAS STA FE   TIJUANA BCN   MEX")</f>
        <v>WALMART LOMAS STA FE   TIJUANA BCN   MEX</v>
      </c>
      <c r="H673" s="4" t="str">
        <f ca="1">IFERROR(__xludf.DUMMYFUNCTION("""COMPUTED_VALUE"""),"Walmart")</f>
        <v>Walmart</v>
      </c>
      <c r="I673" s="4"/>
      <c r="J673" s="4"/>
      <c r="K673" s="4"/>
      <c r="S673" s="6">
        <v>463.74</v>
      </c>
      <c r="T673" s="4" t="e">
        <f t="shared" ca="1" si="3"/>
        <v>#N/A</v>
      </c>
    </row>
    <row r="674" spans="1:20" ht="12.5">
      <c r="A674" s="4" t="str">
        <f ca="1">IFERROR(__xludf.DUMMYFUNCTION("""COMPUTED_VALUE"""),"TRX1246")</f>
        <v>TRX1246</v>
      </c>
      <c r="B674" s="4" t="str">
        <f ca="1">IFERROR(__xludf.DUMMYFUNCTION("""COMPUTED_VALUE"""),"#64")</f>
        <v>#64</v>
      </c>
      <c r="C674" s="5">
        <f ca="1">IFERROR(__xludf.DUMMYFUNCTION("""COMPUTED_VALUE"""),46080.4173611111)</f>
        <v>46080.417361111096</v>
      </c>
      <c r="D674" s="6">
        <f ca="1">IFERROR(__xludf.DUMMYFUNCTION("""COMPUTED_VALUE"""),285)</f>
        <v>285</v>
      </c>
      <c r="E674" s="4" t="str">
        <f ca="1">IFERROR(__xludf.DUMMYFUNCTION("""COMPUTED_VALUE"""),"MXN")</f>
        <v>MXN</v>
      </c>
      <c r="F674" s="4" t="str">
        <f ca="1">IFERROR(__xludf.DUMMYFUNCTION("""COMPUTED_VALUE"""),"Jorge Rojas")</f>
        <v>Jorge Rojas</v>
      </c>
      <c r="G674" s="4" t="str">
        <f ca="1">IFERROR(__xludf.DUMMYFUNCTION("""COMPUTED_VALUE"""),"CLIP MX*SUPER BARRA LI TIJUANA       MEX")</f>
        <v>CLIP MX*SUPER BARRA LI TIJUANA       MEX</v>
      </c>
      <c r="H674" s="4" t="str">
        <f ca="1">IFERROR(__xludf.DUMMYFUNCTION("""COMPUTED_VALUE"""),"Super Mex")</f>
        <v>Super Mex</v>
      </c>
      <c r="I674" s="4"/>
      <c r="J674" s="4"/>
      <c r="K674" s="4"/>
      <c r="S674" s="6">
        <v>6554.64</v>
      </c>
      <c r="T674" s="4" t="e">
        <f t="shared" ca="1" si="3"/>
        <v>#N/A</v>
      </c>
    </row>
    <row r="675" spans="1:20" ht="12.5">
      <c r="A675" s="4" t="str">
        <f ca="1">IFERROR(__xludf.DUMMYFUNCTION("""COMPUTED_VALUE"""),"TRX1275")</f>
        <v>TRX1275</v>
      </c>
      <c r="B675" s="4" t="str">
        <f ca="1">IFERROR(__xludf.DUMMYFUNCTION("""COMPUTED_VALUE"""),"#64")</f>
        <v>#64</v>
      </c>
      <c r="C675" s="5">
        <f ca="1">IFERROR(__xludf.DUMMYFUNCTION("""COMPUTED_VALUE"""),46081.4166666666)</f>
        <v>46081.416666666599</v>
      </c>
      <c r="D675" s="6">
        <f ca="1">IFERROR(__xludf.DUMMYFUNCTION("""COMPUTED_VALUE"""),452.96)</f>
        <v>452.96</v>
      </c>
      <c r="E675" s="4" t="str">
        <f ca="1">IFERROR(__xludf.DUMMYFUNCTION("""COMPUTED_VALUE"""),"MXN")</f>
        <v>MXN</v>
      </c>
      <c r="F675" s="4" t="str">
        <f ca="1">IFERROR(__xludf.DUMMYFUNCTION("""COMPUTED_VALUE"""),"Jorge Rojas")</f>
        <v>Jorge Rojas</v>
      </c>
      <c r="G675" s="4" t="str">
        <f ca="1">IFERROR(__xludf.DUMMYFUNCTION("""COMPUTED_VALUE"""),"DLO*UBER               CIUDAD DE MEX MEX")</f>
        <v>DLO*UBER               CIUDAD DE MEX MEX</v>
      </c>
      <c r="H675" s="4" t="str">
        <f ca="1">IFERROR(__xludf.DUMMYFUNCTION("""COMPUTED_VALUE"""),"Uber")</f>
        <v>Uber</v>
      </c>
      <c r="I675" s="4"/>
      <c r="J675" s="4"/>
      <c r="K675" s="4"/>
      <c r="S675" s="6">
        <v>1267.1199999999999</v>
      </c>
      <c r="T675" s="4" t="e">
        <f t="shared" ca="1" si="3"/>
        <v>#N/A</v>
      </c>
    </row>
    <row r="676" spans="1:20" ht="12.5">
      <c r="A676" s="4" t="str">
        <f ca="1">IFERROR(__xludf.DUMMYFUNCTION("""COMPUTED_VALUE"""),"TRX1277")</f>
        <v>TRX1277</v>
      </c>
      <c r="B676" s="4" t="str">
        <f ca="1">IFERROR(__xludf.DUMMYFUNCTION("""COMPUTED_VALUE"""),"#64")</f>
        <v>#64</v>
      </c>
      <c r="C676" s="5">
        <f ca="1">IFERROR(__xludf.DUMMYFUNCTION("""COMPUTED_VALUE"""),46081.4166666666)</f>
        <v>46081.416666666599</v>
      </c>
      <c r="D676" s="6">
        <f ca="1">IFERROR(__xludf.DUMMYFUNCTION("""COMPUTED_VALUE"""),34.5)</f>
        <v>34.5</v>
      </c>
      <c r="E676" s="4" t="str">
        <f ca="1">IFERROR(__xludf.DUMMYFUNCTION("""COMPUTED_VALUE"""),"MXN")</f>
        <v>MXN</v>
      </c>
      <c r="F676" s="4" t="str">
        <f ca="1">IFERROR(__xludf.DUMMYFUNCTION("""COMPUTED_VALUE"""),"Jorge Rojas")</f>
        <v>Jorge Rojas</v>
      </c>
      <c r="G676" s="4" t="str">
        <f ca="1">IFERROR(__xludf.DUMMYFUNCTION("""COMPUTED_VALUE"""),"7ELEVEN T2843 BANDERAS TIJUANA BCN   MEX")</f>
        <v>7ELEVEN T2843 BANDERAS TIJUANA BCN   MEX</v>
      </c>
      <c r="H676" s="4" t="str">
        <f ca="1">IFERROR(__xludf.DUMMYFUNCTION("""COMPUTED_VALUE"""),"7 Eleven")</f>
        <v>7 Eleven</v>
      </c>
      <c r="I676" s="4"/>
      <c r="J676" s="4"/>
      <c r="K676" s="4"/>
      <c r="S676" s="6">
        <v>3878</v>
      </c>
      <c r="T676" s="4" t="e">
        <f t="shared" ca="1" si="3"/>
        <v>#N/A</v>
      </c>
    </row>
    <row r="677" spans="1:20" ht="12.5">
      <c r="A677" s="4" t="str">
        <f ca="1">IFERROR(__xludf.DUMMYFUNCTION("""COMPUTED_VALUE"""),"#N/A")</f>
        <v>#N/A</v>
      </c>
      <c r="B677" s="4"/>
      <c r="C677" s="4"/>
      <c r="D677" s="4" t="str">
        <f ca="1">IFERROR(__xludf.DUMMYFUNCTION("""COMPUTED_VALUE"""),"#N/A")</f>
        <v>#N/A</v>
      </c>
      <c r="E677" s="4" t="str">
        <f ca="1">IFERROR(__xludf.DUMMYFUNCTION("""COMPUTED_VALUE"""),"#N/A")</f>
        <v>#N/A</v>
      </c>
      <c r="F677" s="4" t="str">
        <f ca="1">IFERROR(__xludf.DUMMYFUNCTION("""COMPUTED_VALUE"""),"#N/A")</f>
        <v>#N/A</v>
      </c>
      <c r="G677" s="4" t="str">
        <f ca="1">IFERROR(__xludf.DUMMYFUNCTION("""COMPUTED_VALUE"""),"#N/A")</f>
        <v>#N/A</v>
      </c>
      <c r="H677" s="4"/>
      <c r="I677" s="4" t="str">
        <f ca="1">IFERROR(__xludf.DUMMYFUNCTION("""COMPUTED_VALUE"""),"G&amp;A expenses")</f>
        <v>G&amp;A expenses</v>
      </c>
      <c r="J677" s="4" t="str">
        <f ca="1">IFERROR(__xludf.DUMMYFUNCTION("""COMPUTED_VALUE"""),"Comida Lendable Farolito")</f>
        <v>Comida Lendable Farolito</v>
      </c>
      <c r="K677" s="4" t="str">
        <f ca="1">IFERROR(__xludf.DUMMYFUNCTION("""COMPUTED_VALUE"""),".")</f>
        <v>.</v>
      </c>
      <c r="S677" s="6">
        <v>53</v>
      </c>
      <c r="T677" s="4" t="e">
        <f t="shared" ca="1" si="3"/>
        <v>#N/A</v>
      </c>
    </row>
    <row r="678" spans="1:20" ht="12.5">
      <c r="A678" s="4" t="str">
        <f ca="1">IFERROR(__xludf.DUMMYFUNCTION("""COMPUTED_VALUE"""),"TRX1285")</f>
        <v>TRX1285</v>
      </c>
      <c r="B678" s="4" t="str">
        <f ca="1">IFERROR(__xludf.DUMMYFUNCTION("""COMPUTED_VALUE"""),"#66")</f>
        <v>#66</v>
      </c>
      <c r="C678" s="5">
        <f ca="1">IFERROR(__xludf.DUMMYFUNCTION("""COMPUTED_VALUE"""),46056.4166666666)</f>
        <v>46056.416666666599</v>
      </c>
      <c r="D678" s="6">
        <f ca="1">IFERROR(__xludf.DUMMYFUNCTION("""COMPUTED_VALUE"""),262)</f>
        <v>262</v>
      </c>
      <c r="E678" s="4" t="str">
        <f ca="1">IFERROR(__xludf.DUMMYFUNCTION("""COMPUTED_VALUE"""),"MXN")</f>
        <v>MXN</v>
      </c>
      <c r="F678" s="4" t="str">
        <f ca="1">IFERROR(__xludf.DUMMYFUNCTION("""COMPUTED_VALUE"""),"Erik Castillo")</f>
        <v>Erik Castillo</v>
      </c>
      <c r="G678" s="4" t="str">
        <f ca="1">IFERROR(__xludf.DUMMYFUNCTION("""COMPUTED_VALUE"""),"HAMBURGUESAS DIANA     TIZAYUCA HGO  MEX")</f>
        <v>HAMBURGUESAS DIANA     TIZAYUCA HGO  MEX</v>
      </c>
      <c r="H678" s="4" t="str">
        <f ca="1">IFERROR(__xludf.DUMMYFUNCTION("""COMPUTED_VALUE"""),"Hamburguesas Diana Tizayuca Hgo Mex")</f>
        <v>Hamburguesas Diana Tizayuca Hgo Mex</v>
      </c>
      <c r="I678" s="4" t="str">
        <f ca="1">IFERROR(__xludf.DUMMYFUNCTION("""COMPUTED_VALUE"""),"Transaction cost")</f>
        <v>Transaction cost</v>
      </c>
      <c r="J678" s="4" t="str">
        <f ca="1">IFERROR(__xludf.DUMMYFUNCTION("""COMPUTED_VALUE"""),"Gasolina")</f>
        <v>Gasolina</v>
      </c>
      <c r="K678" s="4" t="str">
        <f ca="1">IFERROR(__xludf.DUMMYFUNCTION("""COMPUTED_VALUE"""),"A18529")</f>
        <v>A18529</v>
      </c>
      <c r="S678" s="6">
        <v>10442.64</v>
      </c>
      <c r="T678" s="4" t="e">
        <f t="shared" ca="1" si="3"/>
        <v>#N/A</v>
      </c>
    </row>
    <row r="679" spans="1:20" ht="12.5">
      <c r="A679" s="4" t="str">
        <f ca="1">IFERROR(__xludf.DUMMYFUNCTION("""COMPUTED_VALUE"""),"TRX1275")</f>
        <v>TRX1275</v>
      </c>
      <c r="B679" s="4" t="str">
        <f ca="1">IFERROR(__xludf.DUMMYFUNCTION("""COMPUTED_VALUE"""),"#66")</f>
        <v>#66</v>
      </c>
      <c r="C679" s="5">
        <f ca="1">IFERROR(__xludf.DUMMYFUNCTION("""COMPUTED_VALUE"""),46057.4166666666)</f>
        <v>46057.416666666599</v>
      </c>
      <c r="D679" s="6">
        <f ca="1">IFERROR(__xludf.DUMMYFUNCTION("""COMPUTED_VALUE"""),1214.65)</f>
        <v>1214.6500000000001</v>
      </c>
      <c r="E679" s="4" t="str">
        <f ca="1">IFERROR(__xludf.DUMMYFUNCTION("""COMPUTED_VALUE"""),"MXN")</f>
        <v>MXN</v>
      </c>
      <c r="F679" s="4" t="str">
        <f ca="1">IFERROR(__xludf.DUMMYFUNCTION("""COMPUTED_VALUE"""),"Erik Castillo")</f>
        <v>Erik Castillo</v>
      </c>
      <c r="G679" s="4" t="str">
        <f ca="1">IFERROR(__xludf.DUMMYFUNCTION("""COMPUTED_VALUE"""),"ENERGETICOS ZAPATA 4   TIZAYUCA HGO  MEX")</f>
        <v>ENERGETICOS ZAPATA 4   TIZAYUCA HGO  MEX</v>
      </c>
      <c r="H679" s="4" t="str">
        <f ca="1">IFERROR(__xludf.DUMMYFUNCTION("""COMPUTED_VALUE"""),"Energeticos Zapata 4 Tizayuca Hgo Mex")</f>
        <v>Energeticos Zapata 4 Tizayuca Hgo Mex</v>
      </c>
      <c r="I679" s="4" t="str">
        <f ca="1">IFERROR(__xludf.DUMMYFUNCTION("""COMPUTED_VALUE"""),"Transaction cost")</f>
        <v>Transaction cost</v>
      </c>
      <c r="J679" s="4" t="str">
        <f ca="1">IFERROR(__xludf.DUMMYFUNCTION("""COMPUTED_VALUE"""),"Recarga de TAG")</f>
        <v>Recarga de TAG</v>
      </c>
      <c r="K679" s="4" t="str">
        <f ca="1">IFERROR(__xludf.DUMMYFUNCTION("""COMPUTED_VALUE"""),"AAAU-581966")</f>
        <v>AAAU-581966</v>
      </c>
      <c r="S679" s="6">
        <v>180.1</v>
      </c>
      <c r="T679" s="4" t="e">
        <f t="shared" ca="1" si="3"/>
        <v>#N/A</v>
      </c>
    </row>
    <row r="680" spans="1:20" ht="12.5">
      <c r="A680" s="4" t="str">
        <f ca="1">IFERROR(__xludf.DUMMYFUNCTION("""COMPUTED_VALUE"""),"TRX1903")</f>
        <v>TRX1903</v>
      </c>
      <c r="B680" s="4" t="str">
        <f ca="1">IFERROR(__xludf.DUMMYFUNCTION("""COMPUTED_VALUE"""),"#66")</f>
        <v>#66</v>
      </c>
      <c r="C680" s="5">
        <f ca="1">IFERROR(__xludf.DUMMYFUNCTION("""COMPUTED_VALUE"""),46059.4173611111)</f>
        <v>46059.417361111096</v>
      </c>
      <c r="D680" s="6">
        <f ca="1">IFERROR(__xludf.DUMMYFUNCTION("""COMPUTED_VALUE"""),107.5)</f>
        <v>107.5</v>
      </c>
      <c r="E680" s="4" t="str">
        <f ca="1">IFERROR(__xludf.DUMMYFUNCTION("""COMPUTED_VALUE"""),"MXN")</f>
        <v>MXN</v>
      </c>
      <c r="F680" s="4" t="str">
        <f ca="1">IFERROR(__xludf.DUMMYFUNCTION("""COMPUTED_VALUE"""),"Erik Castillo")</f>
        <v>Erik Castillo</v>
      </c>
      <c r="G680" s="4" t="str">
        <f ca="1">IFERROR(__xludf.DUMMYFUNCTION("""COMPUTED_VALUE"""),"OXXOSAN ANTONIO 17 MEX CUAUTITLAN EM MEX")</f>
        <v>OXXOSAN ANTONIO 17 MEX CUAUTITLAN EM MEX</v>
      </c>
      <c r="H680" s="4" t="str">
        <f ca="1">IFERROR(__xludf.DUMMYFUNCTION("""COMPUTED_VALUE"""),"Oxxosan Antonio 17 Mex Cuautitlan Em Mex")</f>
        <v>Oxxosan Antonio 17 Mex Cuautitlan Em Mex</v>
      </c>
      <c r="I680" s="4" t="str">
        <f ca="1">IFERROR(__xludf.DUMMYFUNCTION("""COMPUTED_VALUE"""),"Transaction cost")</f>
        <v>Transaction cost</v>
      </c>
      <c r="J680" s="4" t="str">
        <f ca="1">IFERROR(__xludf.DUMMYFUNCTION("""COMPUTED_VALUE"""),"Consumo con Personal Creaceric")</f>
        <v>Consumo con Personal Creaceric</v>
      </c>
      <c r="K680" s="4" t="str">
        <f ca="1">IFERROR(__xludf.DUMMYFUNCTION("""COMPUTED_VALUE"""),"DOMBNTAAQH 15621")</f>
        <v>DOMBNTAAQH 15621</v>
      </c>
      <c r="S680" s="6">
        <v>275.24</v>
      </c>
      <c r="T680" s="4" t="e">
        <f t="shared" ca="1" si="3"/>
        <v>#N/A</v>
      </c>
    </row>
    <row r="681" spans="1:20" ht="12.5">
      <c r="A681" s="4" t="str">
        <f ca="1">IFERROR(__xludf.DUMMYFUNCTION("""COMPUTED_VALUE"""),"TRX1082")</f>
        <v>TRX1082</v>
      </c>
      <c r="B681" s="4" t="str">
        <f ca="1">IFERROR(__xludf.DUMMYFUNCTION("""COMPUTED_VALUE"""),"#66")</f>
        <v>#66</v>
      </c>
      <c r="C681" s="5">
        <f ca="1">IFERROR(__xludf.DUMMYFUNCTION("""COMPUTED_VALUE"""),46060.4166666666)</f>
        <v>46060.416666666599</v>
      </c>
      <c r="D681" s="6">
        <f ca="1">IFERROR(__xludf.DUMMYFUNCTION("""COMPUTED_VALUE"""),295)</f>
        <v>295</v>
      </c>
      <c r="E681" s="4" t="str">
        <f ca="1">IFERROR(__xludf.DUMMYFUNCTION("""COMPUTED_VALUE"""),"MXN")</f>
        <v>MXN</v>
      </c>
      <c r="F681" s="4" t="str">
        <f ca="1">IFERROR(__xludf.DUMMYFUNCTION("""COMPUTED_VALUE"""),"Erik Castillo")</f>
        <v>Erik Castillo</v>
      </c>
      <c r="G681" s="4" t="str">
        <f ca="1">IFERROR(__xludf.DUMMYFUNCTION("""COMPUTED_VALUE"""),"MERCADOPAGO *SELENEGH  Tizayuca      MEX")</f>
        <v>MERCADOPAGO *SELENEGH  Tizayuca      MEX</v>
      </c>
      <c r="H681" s="4" t="str">
        <f ca="1">IFERROR(__xludf.DUMMYFUNCTION("""COMPUTED_VALUE"""),"Mercadopago")</f>
        <v>Mercadopago</v>
      </c>
      <c r="I681" s="4" t="str">
        <f ca="1">IFERROR(__xludf.DUMMYFUNCTION("""COMPUTED_VALUE"""),"Transaction cost")</f>
        <v>Transaction cost</v>
      </c>
      <c r="J681" s="4" t="str">
        <f ca="1">IFERROR(__xludf.DUMMYFUNCTION("""COMPUTED_VALUE"""),"Gasolina entrega de auto rentado")</f>
        <v>Gasolina entrega de auto rentado</v>
      </c>
      <c r="K681" s="4" t="str">
        <f ca="1">IFERROR(__xludf.DUMMYFUNCTION("""COMPUTED_VALUE"""),"A18601")</f>
        <v>A18601</v>
      </c>
      <c r="S681" s="6">
        <v>360.49</v>
      </c>
      <c r="T681" s="4" t="e">
        <f t="shared" ca="1" si="3"/>
        <v>#N/A</v>
      </c>
    </row>
    <row r="682" spans="1:20" ht="12.5">
      <c r="A682" s="4" t="str">
        <f ca="1">IFERROR(__xludf.DUMMYFUNCTION("""COMPUTED_VALUE"""),"TRX1108")</f>
        <v>TRX1108</v>
      </c>
      <c r="B682" s="4" t="str">
        <f ca="1">IFERROR(__xludf.DUMMYFUNCTION("""COMPUTED_VALUE"""),"#66")</f>
        <v>#66</v>
      </c>
      <c r="C682" s="5">
        <f ca="1">IFERROR(__xludf.DUMMYFUNCTION("""COMPUTED_VALUE"""),46060.4166666666)</f>
        <v>46060.416666666599</v>
      </c>
      <c r="D682" s="6">
        <f ca="1">IFERROR(__xludf.DUMMYFUNCTION("""COMPUTED_VALUE"""),100)</f>
        <v>100</v>
      </c>
      <c r="E682" s="4" t="str">
        <f ca="1">IFERROR(__xludf.DUMMYFUNCTION("""COMPUTED_VALUE"""),"MXN")</f>
        <v>MXN</v>
      </c>
      <c r="F682" s="4" t="str">
        <f ca="1">IFERROR(__xludf.DUMMYFUNCTION("""COMPUTED_VALUE"""),"Erik Castillo")</f>
        <v>Erik Castillo</v>
      </c>
      <c r="G682" s="4" t="str">
        <f ca="1">IFERROR(__xludf.DUMMYFUNCTION("""COMPUTED_VALUE"""),"OXXO EJERCITO          TIZAYUCA HGO  MEX")</f>
        <v>OXXO EJERCITO          TIZAYUCA HGO  MEX</v>
      </c>
      <c r="H682" s="4" t="str">
        <f ca="1">IFERROR(__xludf.DUMMYFUNCTION("""COMPUTED_VALUE"""),"Oxxo")</f>
        <v>Oxxo</v>
      </c>
      <c r="I682" s="4" t="str">
        <f ca="1">IFERROR(__xludf.DUMMYFUNCTION("""COMPUTED_VALUE"""),"Transaction cost")</f>
        <v>Transaction cost</v>
      </c>
      <c r="J682" s="4" t="str">
        <f ca="1">IFERROR(__xludf.DUMMYFUNCTION("""COMPUTED_VALUE"""),"Traslado")</f>
        <v>Traslado</v>
      </c>
      <c r="K682" s="4" t="str">
        <f ca="1">IFERROR(__xludf.DUMMYFUNCTION("""COMPUTED_VALUE"""),"No me facturo")</f>
        <v>No me facturo</v>
      </c>
      <c r="S682" s="6">
        <v>514</v>
      </c>
      <c r="T682" s="4" t="e">
        <f t="shared" ca="1" si="3"/>
        <v>#N/A</v>
      </c>
    </row>
    <row r="683" spans="1:20" ht="12.5">
      <c r="A683" s="4" t="str">
        <f ca="1">IFERROR(__xludf.DUMMYFUNCTION("""COMPUTED_VALUE"""),"TRX1603")</f>
        <v>TRX1603</v>
      </c>
      <c r="B683" s="4" t="str">
        <f ca="1">IFERROR(__xludf.DUMMYFUNCTION("""COMPUTED_VALUE"""),"#66")</f>
        <v>#66</v>
      </c>
      <c r="C683" s="5">
        <f ca="1">IFERROR(__xludf.DUMMYFUNCTION("""COMPUTED_VALUE"""),46060.4173611111)</f>
        <v>46060.417361111096</v>
      </c>
      <c r="D683" s="6">
        <f ca="1">IFERROR(__xludf.DUMMYFUNCTION("""COMPUTED_VALUE"""),375.5)</f>
        <v>375.5</v>
      </c>
      <c r="E683" s="4" t="str">
        <f ca="1">IFERROR(__xludf.DUMMYFUNCTION("""COMPUTED_VALUE"""),"MXN")</f>
        <v>MXN</v>
      </c>
      <c r="F683" s="4" t="str">
        <f ca="1">IFERROR(__xludf.DUMMYFUNCTION("""COMPUTED_VALUE"""),"Erik Castillo")</f>
        <v>Erik Castillo</v>
      </c>
      <c r="G683" s="4" t="str">
        <f ca="1">IFERROR(__xludf.DUMMYFUNCTION("""COMPUTED_VALUE"""),"BGA AURRERA TIZAYUCA   TIZAYUCA HGO  MEX")</f>
        <v>BGA AURRERA TIZAYUCA   TIZAYUCA HGO  MEX</v>
      </c>
      <c r="H683" s="4" t="str">
        <f ca="1">IFERROR(__xludf.DUMMYFUNCTION("""COMPUTED_VALUE"""),"Bga Aurrera Tizayuca Tizayuca Hgo Mex")</f>
        <v>Bga Aurrera Tizayuca Tizayuca Hgo Mex</v>
      </c>
      <c r="I683" s="4" t="str">
        <f ca="1">IFERROR(__xludf.DUMMYFUNCTION("""COMPUTED_VALUE"""),"Transaction cost")</f>
        <v>Transaction cost</v>
      </c>
      <c r="J683" s="4" t="str">
        <f ca="1">IFERROR(__xludf.DUMMYFUNCTION("""COMPUTED_VALUE"""),"Recarga de auto sin renta")</f>
        <v>Recarga de auto sin renta</v>
      </c>
      <c r="K683" s="4" t="str">
        <f ca="1">IFERROR(__xludf.DUMMYFUNCTION("""COMPUTED_VALUE"""),"AAAU-581966")</f>
        <v>AAAU-581966</v>
      </c>
      <c r="S683" s="6">
        <v>3418.16</v>
      </c>
      <c r="T683" s="4" t="e">
        <f t="shared" ca="1" si="3"/>
        <v>#N/A</v>
      </c>
    </row>
    <row r="684" spans="1:20" ht="12.5">
      <c r="A684" s="4" t="str">
        <f ca="1">IFERROR(__xludf.DUMMYFUNCTION("""COMPUTED_VALUE"""),"TRX1660")</f>
        <v>TRX1660</v>
      </c>
      <c r="B684" s="4" t="str">
        <f ca="1">IFERROR(__xludf.DUMMYFUNCTION("""COMPUTED_VALUE"""),"#66")</f>
        <v>#66</v>
      </c>
      <c r="C684" s="5">
        <f ca="1">IFERROR(__xludf.DUMMYFUNCTION("""COMPUTED_VALUE"""),46063.4166666666)</f>
        <v>46063.416666666599</v>
      </c>
      <c r="D684" s="6">
        <f ca="1">IFERROR(__xludf.DUMMYFUNCTION("""COMPUTED_VALUE"""),1386.72)</f>
        <v>1386.72</v>
      </c>
      <c r="E684" s="4" t="str">
        <f ca="1">IFERROR(__xludf.DUMMYFUNCTION("""COMPUTED_VALUE"""),"MXN")</f>
        <v>MXN</v>
      </c>
      <c r="F684" s="4" t="str">
        <f ca="1">IFERROR(__xludf.DUMMYFUNCTION("""COMPUTED_VALUE"""),"Erik Castillo")</f>
        <v>Erik Castillo</v>
      </c>
      <c r="G684" s="4" t="str">
        <f ca="1">IFERROR(__xludf.DUMMYFUNCTION("""COMPUTED_VALUE"""),"ENERGETICOS ZAPATA 1   TIZAYUCA HGO  MEX")</f>
        <v>ENERGETICOS ZAPATA 1   TIZAYUCA HGO  MEX</v>
      </c>
      <c r="H684" s="4" t="str">
        <f ca="1">IFERROR(__xludf.DUMMYFUNCTION("""COMPUTED_VALUE"""),"Energeticos Zapata 1 Tizayuca Hgo Mex")</f>
        <v>Energeticos Zapata 1 Tizayuca Hgo Mex</v>
      </c>
      <c r="I684" s="4" t="str">
        <f ca="1">IFERROR(__xludf.DUMMYFUNCTION("""COMPUTED_VALUE"""),"Transaction cost")</f>
        <v>Transaction cost</v>
      </c>
      <c r="J684" s="4" t="str">
        <f ca="1">IFERROR(__xludf.DUMMYFUNCTION("""COMPUTED_VALUE"""),"Consumo")</f>
        <v>Consumo</v>
      </c>
      <c r="K684" s="4" t="str">
        <f ca="1">IFERROR(__xludf.DUMMYFUNCTION("""COMPUTED_VALUE"""),"ya no alcance a facturar")</f>
        <v>ya no alcance a facturar</v>
      </c>
      <c r="S684" s="6">
        <v>1030.57</v>
      </c>
      <c r="T684" s="4" t="e">
        <f t="shared" ca="1" si="3"/>
        <v>#N/A</v>
      </c>
    </row>
    <row r="685" spans="1:20" ht="12.5">
      <c r="A685" s="4" t="str">
        <f ca="1">IFERROR(__xludf.DUMMYFUNCTION("""COMPUTED_VALUE"""),"TRX1877")</f>
        <v>TRX1877</v>
      </c>
      <c r="B685" s="4" t="str">
        <f ca="1">IFERROR(__xludf.DUMMYFUNCTION("""COMPUTED_VALUE"""),"#66")</f>
        <v>#66</v>
      </c>
      <c r="C685" s="5">
        <f ca="1">IFERROR(__xludf.DUMMYFUNCTION("""COMPUTED_VALUE"""),46063.4166666666)</f>
        <v>46063.416666666599</v>
      </c>
      <c r="D685" s="6">
        <f ca="1">IFERROR(__xludf.DUMMYFUNCTION("""COMPUTED_VALUE"""),469)</f>
        <v>469</v>
      </c>
      <c r="E685" s="4" t="str">
        <f ca="1">IFERROR(__xludf.DUMMYFUNCTION("""COMPUTED_VALUE"""),"MXN")</f>
        <v>MXN</v>
      </c>
      <c r="F685" s="4" t="str">
        <f ca="1">IFERROR(__xludf.DUMMYFUNCTION("""COMPUTED_VALUE"""),"Erik Castillo")</f>
        <v>Erik Castillo</v>
      </c>
      <c r="G685" s="4" t="str">
        <f ca="1">IFERROR(__xludf.DUMMYFUNCTION("""COMPUTED_VALUE"""),"CASHI ECOMMERCE RC     CIUDAD DE MEX MEX")</f>
        <v>CASHI ECOMMERCE RC     CIUDAD DE MEX MEX</v>
      </c>
      <c r="H685" s="4" t="str">
        <f ca="1">IFERROR(__xludf.DUMMYFUNCTION("""COMPUTED_VALUE"""),"Cashi Ecommerce Rc Ciudad De Mex Mex")</f>
        <v>Cashi Ecommerce Rc Ciudad De Mex Mex</v>
      </c>
      <c r="I685" s="4" t="str">
        <f ca="1">IFERROR(__xludf.DUMMYFUNCTION("""COMPUTED_VALUE"""),"Transaction cost")</f>
        <v>Transaction cost</v>
      </c>
      <c r="J685" s="4" t="str">
        <f ca="1">IFERROR(__xludf.DUMMYFUNCTION("""COMPUTED_VALUE"""),"Consumo")</f>
        <v>Consumo</v>
      </c>
      <c r="K685" s="4" t="str">
        <f ca="1">IFERROR(__xludf.DUMMYFUNCTION("""COMPUTED_VALUE"""),"IBABK342054")</f>
        <v>IBABK342054</v>
      </c>
      <c r="S685" s="6">
        <v>277.19</v>
      </c>
      <c r="T685" s="4" t="e">
        <f t="shared" ca="1" si="3"/>
        <v>#N/A</v>
      </c>
    </row>
    <row r="686" spans="1:20" ht="12.5">
      <c r="A686" s="4" t="str">
        <f ca="1">IFERROR(__xludf.DUMMYFUNCTION("""COMPUTED_VALUE"""),"TRX1125")</f>
        <v>TRX1125</v>
      </c>
      <c r="B686" s="4" t="str">
        <f ca="1">IFERROR(__xludf.DUMMYFUNCTION("""COMPUTED_VALUE"""),"#66")</f>
        <v>#66</v>
      </c>
      <c r="C686" s="5">
        <f ca="1">IFERROR(__xludf.DUMMYFUNCTION("""COMPUTED_VALUE"""),46063.4166666666)</f>
        <v>46063.416666666599</v>
      </c>
      <c r="D686" s="6">
        <f ca="1">IFERROR(__xludf.DUMMYFUNCTION("""COMPUTED_VALUE"""),96.5)</f>
        <v>96.5</v>
      </c>
      <c r="E686" s="4" t="str">
        <f ca="1">IFERROR(__xludf.DUMMYFUNCTION("""COMPUTED_VALUE"""),"MXN")</f>
        <v>MXN</v>
      </c>
      <c r="F686" s="4" t="str">
        <f ca="1">IFERROR(__xludf.DUMMYFUNCTION("""COMPUTED_VALUE"""),"Erik Castillo")</f>
        <v>Erik Castillo</v>
      </c>
      <c r="G686" s="4" t="str">
        <f ca="1">IFERROR(__xludf.DUMMYFUNCTION("""COMPUTED_VALUE"""),"OXXO G ZAPATA PAC      TIZAYUCA HGO  MEX")</f>
        <v>OXXO G ZAPATA PAC      TIZAYUCA HGO  MEX</v>
      </c>
      <c r="H686" s="4" t="str">
        <f ca="1">IFERROR(__xludf.DUMMYFUNCTION("""COMPUTED_VALUE"""),"Oxxo")</f>
        <v>Oxxo</v>
      </c>
      <c r="I686" s="4" t="str">
        <f ca="1">IFERROR(__xludf.DUMMYFUNCTION("""COMPUTED_VALUE"""),"Transaction cost")</f>
        <v>Transaction cost</v>
      </c>
      <c r="J686" s="4" t="str">
        <f ca="1">IFERROR(__xludf.DUMMYFUNCTION("""COMPUTED_VALUE"""),"Viaje a Veracruz ida y vuelta ")</f>
        <v xml:space="preserve">Viaje a Veracruz ida y vuelta </v>
      </c>
      <c r="K686" s="4" t="str">
        <f ca="1">IFERROR(__xludf.DUMMYFUNCTION("""COMPUTED_VALUE"""),"151715038")</f>
        <v>151715038</v>
      </c>
      <c r="S686" s="6">
        <v>135.19</v>
      </c>
      <c r="T686" s="4" t="e">
        <f t="shared" ca="1" si="3"/>
        <v>#N/A</v>
      </c>
    </row>
    <row r="687" spans="1:20" ht="12.5">
      <c r="A687" s="4" t="str">
        <f ca="1">IFERROR(__xludf.DUMMYFUNCTION("""COMPUTED_VALUE"""),"TRX1420")</f>
        <v>TRX1420</v>
      </c>
      <c r="B687" s="4" t="str">
        <f ca="1">IFERROR(__xludf.DUMMYFUNCTION("""COMPUTED_VALUE"""),"#66")</f>
        <v>#66</v>
      </c>
      <c r="C687" s="5">
        <f ca="1">IFERROR(__xludf.DUMMYFUNCTION("""COMPUTED_VALUE"""),46064.4173611111)</f>
        <v>46064.417361111096</v>
      </c>
      <c r="D687" s="6">
        <f ca="1">IFERROR(__xludf.DUMMYFUNCTION("""COMPUTED_VALUE"""),33)</f>
        <v>33</v>
      </c>
      <c r="E687" s="4" t="str">
        <f ca="1">IFERROR(__xludf.DUMMYFUNCTION("""COMPUTED_VALUE"""),"MXN")</f>
        <v>MXN</v>
      </c>
      <c r="F687" s="4" t="str">
        <f ca="1">IFERROR(__xludf.DUMMYFUNCTION("""COMPUTED_VALUE"""),"Erik Castillo")</f>
        <v>Erik Castillo</v>
      </c>
      <c r="G687" s="4" t="str">
        <f ca="1">IFERROR(__xludf.DUMMYFUNCTION("""COMPUTED_VALUE"""),"OXXO G ZAPATA PAC      TIZAYUCA HGO  MEX")</f>
        <v>OXXO G ZAPATA PAC      TIZAYUCA HGO  MEX</v>
      </c>
      <c r="H687" s="4" t="str">
        <f ca="1">IFERROR(__xludf.DUMMYFUNCTION("""COMPUTED_VALUE"""),"Oxxo")</f>
        <v>Oxxo</v>
      </c>
      <c r="I687" s="4" t="str">
        <f ca="1">IFERROR(__xludf.DUMMYFUNCTION("""COMPUTED_VALUE"""),"Transaction cost")</f>
        <v>Transaction cost</v>
      </c>
      <c r="J687" s="4" t="str">
        <f ca="1">IFERROR(__xludf.DUMMYFUNCTION("""COMPUTED_VALUE"""),"Hotel Veracruz")</f>
        <v>Hotel Veracruz</v>
      </c>
      <c r="K687" s="4" t="str">
        <f ca="1">IFERROR(__xludf.DUMMYFUNCTION("""COMPUTED_VALUE"""),"FA9310")</f>
        <v>FA9310</v>
      </c>
      <c r="S687" s="6">
        <v>636.82000000000005</v>
      </c>
      <c r="T687" s="4" t="e">
        <f t="shared" ca="1" si="3"/>
        <v>#N/A</v>
      </c>
    </row>
    <row r="688" spans="1:20" ht="12.5">
      <c r="A688" s="4" t="str">
        <f ca="1">IFERROR(__xludf.DUMMYFUNCTION("""COMPUTED_VALUE"""),"TRX1580")</f>
        <v>TRX1580</v>
      </c>
      <c r="B688" s="4" t="str">
        <f ca="1">IFERROR(__xludf.DUMMYFUNCTION("""COMPUTED_VALUE"""),"#66")</f>
        <v>#66</v>
      </c>
      <c r="C688" s="5">
        <f ca="1">IFERROR(__xludf.DUMMYFUNCTION("""COMPUTED_VALUE"""),46064.4173611111)</f>
        <v>46064.417361111096</v>
      </c>
      <c r="D688" s="6">
        <f ca="1">IFERROR(__xludf.DUMMYFUNCTION("""COMPUTED_VALUE"""),1014)</f>
        <v>1014</v>
      </c>
      <c r="E688" s="4" t="str">
        <f ca="1">IFERROR(__xludf.DUMMYFUNCTION("""COMPUTED_VALUE"""),"MXN")</f>
        <v>MXN</v>
      </c>
      <c r="F688" s="4" t="str">
        <f ca="1">IFERROR(__xludf.DUMMYFUNCTION("""COMPUTED_VALUE"""),"Erik Castillo")</f>
        <v>Erik Castillo</v>
      </c>
      <c r="G688" s="4" t="str">
        <f ca="1">IFERROR(__xludf.DUMMYFUNCTION("""COMPUTED_VALUE"""),"OXXO G ZAPATA PAC      TIZAYUCA HGO  MEX")</f>
        <v>OXXO G ZAPATA PAC      TIZAYUCA HGO  MEX</v>
      </c>
      <c r="H688" s="4" t="str">
        <f ca="1">IFERROR(__xludf.DUMMYFUNCTION("""COMPUTED_VALUE"""),"Oxxo")</f>
        <v>Oxxo</v>
      </c>
      <c r="I688" s="4" t="str">
        <f ca="1">IFERROR(__xludf.DUMMYFUNCTION("""COMPUTED_VALUE"""),"Transaction cost")</f>
        <v>Transaction cost</v>
      </c>
      <c r="J688" s="4" t="str">
        <f ca="1">IFERROR(__xludf.DUMMYFUNCTION("""COMPUTED_VALUE"""),"Electrico Vehiculo")</f>
        <v>Electrico Vehiculo</v>
      </c>
      <c r="K688" s="4" t="str">
        <f ca="1">IFERROR(__xludf.DUMMYFUNCTION("""COMPUTED_VALUE"""),"Folia A 24860")</f>
        <v>Folia A 24860</v>
      </c>
      <c r="S688" s="6">
        <v>85.91</v>
      </c>
      <c r="T688" s="4" t="e">
        <f t="shared" ca="1" si="3"/>
        <v>#N/A</v>
      </c>
    </row>
    <row r="689" spans="1:20" ht="12.5">
      <c r="A689" s="4" t="str">
        <f ca="1">IFERROR(__xludf.DUMMYFUNCTION("""COMPUTED_VALUE"""),"TRX1701")</f>
        <v>TRX1701</v>
      </c>
      <c r="B689" s="4" t="str">
        <f ca="1">IFERROR(__xludf.DUMMYFUNCTION("""COMPUTED_VALUE"""),"#66")</f>
        <v>#66</v>
      </c>
      <c r="C689" s="5">
        <f ca="1">IFERROR(__xludf.DUMMYFUNCTION("""COMPUTED_VALUE"""),46065.4173611111)</f>
        <v>46065.417361111096</v>
      </c>
      <c r="D689" s="6">
        <f ca="1">IFERROR(__xludf.DUMMYFUNCTION("""COMPUTED_VALUE"""),350)</f>
        <v>350</v>
      </c>
      <c r="E689" s="4" t="str">
        <f ca="1">IFERROR(__xludf.DUMMYFUNCTION("""COMPUTED_VALUE"""),"MXN")</f>
        <v>MXN</v>
      </c>
      <c r="F689" s="4" t="str">
        <f ca="1">IFERROR(__xludf.DUMMYFUNCTION("""COMPUTED_VALUE"""),"Erik Castillo")</f>
        <v>Erik Castillo</v>
      </c>
      <c r="G689" s="4" t="str">
        <f ca="1">IFERROR(__xludf.DUMMYFUNCTION("""COMPUTED_VALUE"""),"HAMBURGUESAS DIANA     TIZAYUCA HGO  MEX")</f>
        <v>HAMBURGUESAS DIANA     TIZAYUCA HGO  MEX</v>
      </c>
      <c r="H689" s="4" t="str">
        <f ca="1">IFERROR(__xludf.DUMMYFUNCTION("""COMPUTED_VALUE"""),"Hamburguesas Diana Tizayuca Hgo Mex")</f>
        <v>Hamburguesas Diana Tizayuca Hgo Mex</v>
      </c>
      <c r="I689" s="4" t="str">
        <f ca="1">IFERROR(__xludf.DUMMYFUNCTION("""COMPUTED_VALUE"""),"Transaction cost")</f>
        <v>Transaction cost</v>
      </c>
      <c r="J689" s="4" t="str">
        <f ca="1">IFERROR(__xludf.DUMMYFUNCTION("""COMPUTED_VALUE"""),"Seguridad")</f>
        <v>Seguridad</v>
      </c>
      <c r="K689" s="4" t="str">
        <f ca="1">IFERROR(__xludf.DUMMYFUNCTION("""COMPUTED_VALUE"""),"544913E5-5BEB-49F1-A1A4-C7A64C00862C")</f>
        <v>544913E5-5BEB-49F1-A1A4-C7A64C00862C</v>
      </c>
      <c r="S689" s="6">
        <v>14119.66</v>
      </c>
      <c r="T689" s="4" t="e">
        <f t="shared" ca="1" si="3"/>
        <v>#N/A</v>
      </c>
    </row>
    <row r="690" spans="1:20" ht="12.5">
      <c r="A690" s="4" t="str">
        <f ca="1">IFERROR(__xludf.DUMMYFUNCTION("""COMPUTED_VALUE"""),"TRX1647")</f>
        <v>TRX1647</v>
      </c>
      <c r="B690" s="4" t="str">
        <f ca="1">IFERROR(__xludf.DUMMYFUNCTION("""COMPUTED_VALUE"""),"#66")</f>
        <v>#66</v>
      </c>
      <c r="C690" s="5">
        <f ca="1">IFERROR(__xludf.DUMMYFUNCTION("""COMPUTED_VALUE"""),46066.4173611111)</f>
        <v>46066.417361111096</v>
      </c>
      <c r="D690" s="6">
        <f ca="1">IFERROR(__xludf.DUMMYFUNCTION("""COMPUTED_VALUE"""),139.7)</f>
        <v>139.69999999999999</v>
      </c>
      <c r="E690" s="4" t="str">
        <f ca="1">IFERROR(__xludf.DUMMYFUNCTION("""COMPUTED_VALUE"""),"MXN")</f>
        <v>MXN</v>
      </c>
      <c r="F690" s="4" t="str">
        <f ca="1">IFERROR(__xludf.DUMMYFUNCTION("""COMPUTED_VALUE"""),"Erik Castillo")</f>
        <v>Erik Castillo</v>
      </c>
      <c r="G690" s="4" t="str">
        <f ca="1">IFERROR(__xludf.DUMMYFUNCTION("""COMPUTED_VALUE"""),"WWO 2269 MP            TIZAYUCA HGO  MEX")</f>
        <v>WWO 2269 MP            TIZAYUCA HGO  MEX</v>
      </c>
      <c r="H690" s="4" t="str">
        <f ca="1">IFERROR(__xludf.DUMMYFUNCTION("""COMPUTED_VALUE"""),"Wwo 2269 Mp Tizayuca Hgo Mex")</f>
        <v>Wwo 2269 Mp Tizayuca Hgo Mex</v>
      </c>
      <c r="I690" s="4" t="str">
        <f ca="1">IFERROR(__xludf.DUMMYFUNCTION("""COMPUTED_VALUE"""),"Transaction cost")</f>
        <v>Transaction cost</v>
      </c>
      <c r="J690" s="4" t="str">
        <f ca="1">IFERROR(__xludf.DUMMYFUNCTION("""COMPUTED_VALUE"""),"Gasolina")</f>
        <v>Gasolina</v>
      </c>
      <c r="K690" s="4" t="str">
        <f ca="1">IFERROR(__xludf.DUMMYFUNCTION("""COMPUTED_VALUE"""),"A18797")</f>
        <v>A18797</v>
      </c>
      <c r="S690" s="6">
        <v>73.53</v>
      </c>
      <c r="T690" s="4" t="e">
        <f t="shared" ca="1" si="3"/>
        <v>#N/A</v>
      </c>
    </row>
    <row r="691" spans="1:20" ht="12.5">
      <c r="A691" s="4" t="str">
        <f ca="1">IFERROR(__xludf.DUMMYFUNCTION("""COMPUTED_VALUE"""),"TRX1498")</f>
        <v>TRX1498</v>
      </c>
      <c r="B691" s="4" t="str">
        <f ca="1">IFERROR(__xludf.DUMMYFUNCTION("""COMPUTED_VALUE"""),"#66")</f>
        <v>#66</v>
      </c>
      <c r="C691" s="5">
        <f ca="1">IFERROR(__xludf.DUMMYFUNCTION("""COMPUTED_VALUE"""),46066.4173611111)</f>
        <v>46066.417361111096</v>
      </c>
      <c r="D691" s="6">
        <f ca="1">IFERROR(__xludf.DUMMYFUNCTION("""COMPUTED_VALUE"""),407.98)</f>
        <v>407.98</v>
      </c>
      <c r="E691" s="4" t="str">
        <f ca="1">IFERROR(__xludf.DUMMYFUNCTION("""COMPUTED_VALUE"""),"MXN")</f>
        <v>MXN</v>
      </c>
      <c r="F691" s="4" t="str">
        <f ca="1">IFERROR(__xludf.DUMMYFUNCTION("""COMPUTED_VALUE"""),"Erik Castillo")</f>
        <v>Erik Castillo</v>
      </c>
      <c r="G691" s="4" t="str">
        <f ca="1">IFERROR(__xludf.DUMMYFUNCTION("""COMPUTED_VALUE"""),"FAR GUAD 2318          TIZAYUCA HGO  MEX")</f>
        <v>FAR GUAD 2318          TIZAYUCA HGO  MEX</v>
      </c>
      <c r="H691" s="4" t="str">
        <f ca="1">IFERROR(__xludf.DUMMYFUNCTION("""COMPUTED_VALUE"""),"Far Guad 2318 Tizayuca Hgo Mex")</f>
        <v>Far Guad 2318 Tizayuca Hgo Mex</v>
      </c>
      <c r="I691" s="4" t="str">
        <f ca="1">IFERROR(__xludf.DUMMYFUNCTION("""COMPUTED_VALUE"""),"Transaction cost")</f>
        <v>Transaction cost</v>
      </c>
      <c r="J691" s="4" t="str">
        <f ca="1">IFERROR(__xludf.DUMMYFUNCTION("""COMPUTED_VALUE"""),"Recarga")</f>
        <v>Recarga</v>
      </c>
      <c r="K691" s="4" t="str">
        <f ca="1">IFERROR(__xludf.DUMMYFUNCTION("""COMPUTED_VALUE"""),"7513083260122161507881")</f>
        <v>7513083260122161507881</v>
      </c>
      <c r="S691" s="6">
        <v>259</v>
      </c>
      <c r="T691" s="4" t="str">
        <f t="shared" ca="1" si="3"/>
        <v>Carlos Ivan Gonzalez Merino</v>
      </c>
    </row>
    <row r="692" spans="1:20" ht="12.5">
      <c r="A692" s="4" t="str">
        <f ca="1">IFERROR(__xludf.DUMMYFUNCTION("""COMPUTED_VALUE"""),"TRX1294")</f>
        <v>TRX1294</v>
      </c>
      <c r="B692" s="4" t="str">
        <f ca="1">IFERROR(__xludf.DUMMYFUNCTION("""COMPUTED_VALUE"""),"#66")</f>
        <v>#66</v>
      </c>
      <c r="C692" s="5">
        <f ca="1">IFERROR(__xludf.DUMMYFUNCTION("""COMPUTED_VALUE"""),46067.4166666666)</f>
        <v>46067.416666666599</v>
      </c>
      <c r="D692" s="6">
        <f ca="1">IFERROR(__xludf.DUMMYFUNCTION("""COMPUTED_VALUE"""),1480.2)</f>
        <v>1480.2</v>
      </c>
      <c r="E692" s="4" t="str">
        <f ca="1">IFERROR(__xludf.DUMMYFUNCTION("""COMPUTED_VALUE"""),"MXN")</f>
        <v>MXN</v>
      </c>
      <c r="F692" s="4" t="str">
        <f ca="1">IFERROR(__xludf.DUMMYFUNCTION("""COMPUTED_VALUE"""),"Erik Castillo")</f>
        <v>Erik Castillo</v>
      </c>
      <c r="G692" s="4" t="str">
        <f ca="1">IFERROR(__xludf.DUMMYFUNCTION("""COMPUTED_VALUE"""),"ENERGETICOS ZAPATA 3   TIZAYUCA HGO  MEX")</f>
        <v>ENERGETICOS ZAPATA 3   TIZAYUCA HGO  MEX</v>
      </c>
      <c r="H692" s="4" t="str">
        <f ca="1">IFERROR(__xludf.DUMMYFUNCTION("""COMPUTED_VALUE"""),"Energeticos Zapata 3 Tizayuca Hgo Mex")</f>
        <v>Energeticos Zapata 3 Tizayuca Hgo Mex</v>
      </c>
      <c r="I692" s="4" t="str">
        <f ca="1">IFERROR(__xludf.DUMMYFUNCTION("""COMPUTED_VALUE"""),"Transaction cost")</f>
        <v>Transaction cost</v>
      </c>
      <c r="J692" s="4" t="str">
        <f ca="1">IFERROR(__xludf.DUMMYFUNCTION("""COMPUTED_VALUE"""),"Consumo")</f>
        <v>Consumo</v>
      </c>
      <c r="K692" s="4" t="str">
        <f ca="1">IFERROR(__xludf.DUMMYFUNCTION("""COMPUTED_VALUE"""),"7545056260122161139465")</f>
        <v>7545056260122161139465</v>
      </c>
      <c r="S692" s="6">
        <v>1606.44</v>
      </c>
      <c r="T692" s="4" t="e">
        <f t="shared" ca="1" si="3"/>
        <v>#N/A</v>
      </c>
    </row>
    <row r="693" spans="1:20" ht="12.5">
      <c r="A693" s="4" t="str">
        <f ca="1">IFERROR(__xludf.DUMMYFUNCTION("""COMPUTED_VALUE"""),"TRX1835")</f>
        <v>TRX1835</v>
      </c>
      <c r="B693" s="4" t="str">
        <f ca="1">IFERROR(__xludf.DUMMYFUNCTION("""COMPUTED_VALUE"""),"#66")</f>
        <v>#66</v>
      </c>
      <c r="C693" s="5">
        <f ca="1">IFERROR(__xludf.DUMMYFUNCTION("""COMPUTED_VALUE"""),46068.4173611111)</f>
        <v>46068.417361111096</v>
      </c>
      <c r="D693" s="6">
        <f ca="1">IFERROR(__xludf.DUMMYFUNCTION("""COMPUTED_VALUE"""),149)</f>
        <v>149</v>
      </c>
      <c r="E693" s="4" t="str">
        <f ca="1">IFERROR(__xludf.DUMMYFUNCTION("""COMPUTED_VALUE"""),"MXN")</f>
        <v>MXN</v>
      </c>
      <c r="F693" s="4" t="str">
        <f ca="1">IFERROR(__xludf.DUMMYFUNCTION("""COMPUTED_VALUE"""),"Erik Castillo")</f>
        <v>Erik Castillo</v>
      </c>
      <c r="G693" s="4" t="str">
        <f ca="1">IFERROR(__xludf.DUMMYFUNCTION("""COMPUTED_VALUE"""),"OXXO G ZAPATA PAC      TIZAYUCA HGO  MEX")</f>
        <v>OXXO G ZAPATA PAC      TIZAYUCA HGO  MEX</v>
      </c>
      <c r="H693" s="4" t="str">
        <f ca="1">IFERROR(__xludf.DUMMYFUNCTION("""COMPUTED_VALUE"""),"Oxxo")</f>
        <v>Oxxo</v>
      </c>
      <c r="I693" s="4" t="str">
        <f ca="1">IFERROR(__xludf.DUMMYFUNCTION("""COMPUTED_VALUE"""),"Transaction cost")</f>
        <v>Transaction cost</v>
      </c>
      <c r="J693" s="4" t="str">
        <f ca="1">IFERROR(__xludf.DUMMYFUNCTION("""COMPUTED_VALUE"""),"Consumo")</f>
        <v>Consumo</v>
      </c>
      <c r="K693" s="4" t="str">
        <f ca="1">IFERROR(__xludf.DUMMYFUNCTION("""COMPUTED_VALUE"""),"182BFE68-095E-4026-B953-EA81B419CDD5")</f>
        <v>182BFE68-095E-4026-B953-EA81B419CDD5</v>
      </c>
      <c r="S693" s="6">
        <v>434</v>
      </c>
      <c r="T693" s="4" t="e">
        <f t="shared" ca="1" si="3"/>
        <v>#N/A</v>
      </c>
    </row>
    <row r="694" spans="1:20" ht="12.5">
      <c r="A694" s="4" t="str">
        <f ca="1">IFERROR(__xludf.DUMMYFUNCTION("""COMPUTED_VALUE"""),"TRX1753")</f>
        <v>TRX1753</v>
      </c>
      <c r="B694" s="4" t="str">
        <f ca="1">IFERROR(__xludf.DUMMYFUNCTION("""COMPUTED_VALUE"""),"#66")</f>
        <v>#66</v>
      </c>
      <c r="C694" s="5">
        <f ca="1">IFERROR(__xludf.DUMMYFUNCTION("""COMPUTED_VALUE"""),46069.4166666666)</f>
        <v>46069.416666666599</v>
      </c>
      <c r="D694" s="6">
        <f ca="1">IFERROR(__xludf.DUMMYFUNCTION("""COMPUTED_VALUE"""),245)</f>
        <v>245</v>
      </c>
      <c r="E694" s="4" t="str">
        <f ca="1">IFERROR(__xludf.DUMMYFUNCTION("""COMPUTED_VALUE"""),"MXN")</f>
        <v>MXN</v>
      </c>
      <c r="F694" s="4" t="str">
        <f ca="1">IFERROR(__xludf.DUMMYFUNCTION("""COMPUTED_VALUE"""),"Erik Castillo")</f>
        <v>Erik Castillo</v>
      </c>
      <c r="G694" s="4" t="str">
        <f ca="1">IFERROR(__xludf.DUMMYFUNCTION("""COMPUTED_VALUE"""),"OXXO FUENTES TIZAYUCA  TIZAYUCA HGO  MEX")</f>
        <v>OXXO FUENTES TIZAYUCA  TIZAYUCA HGO  MEX</v>
      </c>
      <c r="H694" s="4" t="str">
        <f ca="1">IFERROR(__xludf.DUMMYFUNCTION("""COMPUTED_VALUE"""),"Oxxo")</f>
        <v>Oxxo</v>
      </c>
      <c r="I694" s="4" t="str">
        <f ca="1">IFERROR(__xludf.DUMMYFUNCTION("""COMPUTED_VALUE"""),"Transaction cost")</f>
        <v>Transaction cost</v>
      </c>
      <c r="J694" s="4" t="str">
        <f ca="1">IFERROR(__xludf.DUMMYFUNCTION("""COMPUTED_VALUE"""),"Consumo para traslados")</f>
        <v>Consumo para traslados</v>
      </c>
      <c r="K694" s="4" t="str">
        <f ca="1">IFERROR(__xludf.DUMMYFUNCTION("""COMPUTED_VALUE"""),"ICAGL581003")</f>
        <v>ICAGL581003</v>
      </c>
      <c r="S694" s="6">
        <v>186</v>
      </c>
      <c r="T694" s="4" t="str">
        <f t="shared" ca="1" si="3"/>
        <v>Fernando Sanchez Toledano</v>
      </c>
    </row>
    <row r="695" spans="1:20" ht="12.5">
      <c r="A695" s="4" t="str">
        <f ca="1">IFERROR(__xludf.DUMMYFUNCTION("""COMPUTED_VALUE"""),"TRX1050")</f>
        <v>TRX1050</v>
      </c>
      <c r="B695" s="4" t="str">
        <f ca="1">IFERROR(__xludf.DUMMYFUNCTION("""COMPUTED_VALUE"""),"#66")</f>
        <v>#66</v>
      </c>
      <c r="C695" s="5">
        <f ca="1">IFERROR(__xludf.DUMMYFUNCTION("""COMPUTED_VALUE"""),46070.4166666666)</f>
        <v>46070.416666666599</v>
      </c>
      <c r="D695" s="6">
        <f ca="1">IFERROR(__xludf.DUMMYFUNCTION("""COMPUTED_VALUE"""),350)</f>
        <v>350</v>
      </c>
      <c r="E695" s="4" t="str">
        <f ca="1">IFERROR(__xludf.DUMMYFUNCTION("""COMPUTED_VALUE"""),"MXN")</f>
        <v>MXN</v>
      </c>
      <c r="F695" s="4" t="str">
        <f ca="1">IFERROR(__xludf.DUMMYFUNCTION("""COMPUTED_VALUE"""),"Erik Castillo")</f>
        <v>Erik Castillo</v>
      </c>
      <c r="G695" s="4" t="str">
        <f ca="1">IFERROR(__xludf.DUMMYFUNCTION("""COMPUTED_VALUE"""),"CLIP MX*REST TAQUERIA  TIZAYUCA      MEX")</f>
        <v>CLIP MX*REST TAQUERIA  TIZAYUCA      MEX</v>
      </c>
      <c r="H695" s="4" t="str">
        <f ca="1">IFERROR(__xludf.DUMMYFUNCTION("""COMPUTED_VALUE"""),"Clip Mx Rest Taqueria Tizayuca Mex")</f>
        <v>Clip Mx Rest Taqueria Tizayuca Mex</v>
      </c>
      <c r="I695" s="4" t="str">
        <f ca="1">IFERROR(__xludf.DUMMYFUNCTION("""COMPUTED_VALUE"""),"Transaction cost")</f>
        <v>Transaction cost</v>
      </c>
      <c r="J695" s="4" t="str">
        <f ca="1">IFERROR(__xludf.DUMMYFUNCTION("""COMPUTED_VALUE"""),"Consulta de emergencia por caida")</f>
        <v>Consulta de emergencia por caida</v>
      </c>
      <c r="K695" s="4" t="str">
        <f ca="1">IFERROR(__xludf.DUMMYFUNCTION("""COMPUTED_VALUE"""),"B4695")</f>
        <v>B4695</v>
      </c>
      <c r="S695" s="6">
        <v>433</v>
      </c>
      <c r="T695" s="4" t="e">
        <f t="shared" ca="1" si="3"/>
        <v>#N/A</v>
      </c>
    </row>
    <row r="696" spans="1:20" ht="12.5">
      <c r="A696" s="4" t="str">
        <f ca="1">IFERROR(__xludf.DUMMYFUNCTION("""COMPUTED_VALUE"""),"TRX1830")</f>
        <v>TRX1830</v>
      </c>
      <c r="B696" s="4" t="str">
        <f ca="1">IFERROR(__xludf.DUMMYFUNCTION("""COMPUTED_VALUE"""),"#66")</f>
        <v>#66</v>
      </c>
      <c r="C696" s="5">
        <f ca="1">IFERROR(__xludf.DUMMYFUNCTION("""COMPUTED_VALUE"""),46070.4166666666)</f>
        <v>46070.416666666599</v>
      </c>
      <c r="D696" s="6">
        <f ca="1">IFERROR(__xludf.DUMMYFUNCTION("""COMPUTED_VALUE"""),348)</f>
        <v>348</v>
      </c>
      <c r="E696" s="4" t="str">
        <f ca="1">IFERROR(__xludf.DUMMYFUNCTION("""COMPUTED_VALUE"""),"MXN")</f>
        <v>MXN</v>
      </c>
      <c r="F696" s="4" t="str">
        <f ca="1">IFERROR(__xludf.DUMMYFUNCTION("""COMPUTED_VALUE"""),"Erik Castillo")</f>
        <v>Erik Castillo</v>
      </c>
      <c r="G696" s="4" t="str">
        <f ca="1">IFERROR(__xludf.DUMMYFUNCTION("""COMPUTED_VALUE"""),"BGA AURRERA TIZAYUCA   TIZAYUCA HGO  MEX")</f>
        <v>BGA AURRERA TIZAYUCA   TIZAYUCA HGO  MEX</v>
      </c>
      <c r="H696" s="4" t="str">
        <f ca="1">IFERROR(__xludf.DUMMYFUNCTION("""COMPUTED_VALUE"""),"Bga Aurrera Tizayuca Tizayuca Hgo Mex")</f>
        <v>Bga Aurrera Tizayuca Tizayuca Hgo Mex</v>
      </c>
      <c r="I696" s="4" t="str">
        <f ca="1">IFERROR(__xludf.DUMMYFUNCTION("""COMPUTED_VALUE"""),"Transaction cost")</f>
        <v>Transaction cost</v>
      </c>
      <c r="J696" s="4" t="str">
        <f ca="1">IFERROR(__xludf.DUMMYFUNCTION("""COMPUTED_VALUE"""),"Recargo por cambio de vuelo")</f>
        <v>Recargo por cambio de vuelo</v>
      </c>
      <c r="K696" s="4" t="str">
        <f ca="1">IFERROR(__xludf.DUMMYFUNCTION("""COMPUTED_VALUE"""),"151715038")</f>
        <v>151715038</v>
      </c>
      <c r="S696" s="6">
        <v>71.17</v>
      </c>
      <c r="T696" s="4" t="e">
        <f t="shared" ca="1" si="3"/>
        <v>#N/A</v>
      </c>
    </row>
    <row r="697" spans="1:20" ht="12.5">
      <c r="A697" s="4" t="str">
        <f ca="1">IFERROR(__xludf.DUMMYFUNCTION("""COMPUTED_VALUE"""),"TRX1860")</f>
        <v>TRX1860</v>
      </c>
      <c r="B697" s="4" t="str">
        <f ca="1">IFERROR(__xludf.DUMMYFUNCTION("""COMPUTED_VALUE"""),"#66")</f>
        <v>#66</v>
      </c>
      <c r="C697" s="5">
        <f ca="1">IFERROR(__xludf.DUMMYFUNCTION("""COMPUTED_VALUE"""),46071.4166666666)</f>
        <v>46071.416666666599</v>
      </c>
      <c r="D697" s="6">
        <f ca="1">IFERROR(__xludf.DUMMYFUNCTION("""COMPUTED_VALUE"""),210)</f>
        <v>210</v>
      </c>
      <c r="E697" s="4" t="str">
        <f ca="1">IFERROR(__xludf.DUMMYFUNCTION("""COMPUTED_VALUE"""),"MXN")</f>
        <v>MXN</v>
      </c>
      <c r="F697" s="4" t="str">
        <f ca="1">IFERROR(__xludf.DUMMYFUNCTION("""COMPUTED_VALUE"""),"Erik Castillo")</f>
        <v>Erik Castillo</v>
      </c>
      <c r="G697" s="4" t="str">
        <f ca="1">IFERROR(__xludf.DUMMYFUNCTION("""COMPUTED_VALUE"""),"MERCADOPAGO *SELENEGH  Tizayuca      MEX")</f>
        <v>MERCADOPAGO *SELENEGH  Tizayuca      MEX</v>
      </c>
      <c r="H697" s="4" t="str">
        <f ca="1">IFERROR(__xludf.DUMMYFUNCTION("""COMPUTED_VALUE"""),"Mercadopago")</f>
        <v>Mercadopago</v>
      </c>
      <c r="I697" s="4" t="str">
        <f ca="1">IFERROR(__xludf.DUMMYFUNCTION("""COMPUTED_VALUE"""),"Transaction cost")</f>
        <v>Transaction cost</v>
      </c>
      <c r="J697" s="4" t="str">
        <f ca="1">IFERROR(__xludf.DUMMYFUNCTION("""COMPUTED_VALUE"""),"Gasolina")</f>
        <v>Gasolina</v>
      </c>
      <c r="K697" s="4" t="str">
        <f ca="1">IFERROR(__xludf.DUMMYFUNCTION("""COMPUTED_VALUE"""),"A19044")</f>
        <v>A19044</v>
      </c>
      <c r="S697" s="6">
        <v>143</v>
      </c>
      <c r="T697" s="4" t="str">
        <f t="shared" ca="1" si="3"/>
        <v>Jorge Rojas</v>
      </c>
    </row>
    <row r="698" spans="1:20" ht="12.5">
      <c r="A698" s="4" t="str">
        <f ca="1">IFERROR(__xludf.DUMMYFUNCTION("""COMPUTED_VALUE"""),"TRX1985")</f>
        <v>TRX1985</v>
      </c>
      <c r="B698" s="4" t="str">
        <f ca="1">IFERROR(__xludf.DUMMYFUNCTION("""COMPUTED_VALUE"""),"#66")</f>
        <v>#66</v>
      </c>
      <c r="C698" s="5">
        <f ca="1">IFERROR(__xludf.DUMMYFUNCTION("""COMPUTED_VALUE"""),46072.4166666666)</f>
        <v>46072.416666666599</v>
      </c>
      <c r="D698" s="6">
        <f ca="1">IFERROR(__xludf.DUMMYFUNCTION("""COMPUTED_VALUE"""),171)</f>
        <v>171</v>
      </c>
      <c r="E698" s="4" t="str">
        <f ca="1">IFERROR(__xludf.DUMMYFUNCTION("""COMPUTED_VALUE"""),"MXN")</f>
        <v>MXN</v>
      </c>
      <c r="F698" s="4" t="str">
        <f ca="1">IFERROR(__xludf.DUMMYFUNCTION("""COMPUTED_VALUE"""),"Erik Castillo")</f>
        <v>Erik Castillo</v>
      </c>
      <c r="G698" s="4" t="str">
        <f ca="1">IFERROR(__xludf.DUMMYFUNCTION("""COMPUTED_VALUE"""),"OPER NEDARO CTRO LECHE TIZAYUCA HGO  MEX")</f>
        <v>OPER NEDARO CTRO LECHE TIZAYUCA HGO  MEX</v>
      </c>
      <c r="H698" s="4" t="str">
        <f ca="1">IFERROR(__xludf.DUMMYFUNCTION("""COMPUTED_VALUE"""),"Oper Nedaro Ctro Leche Tizayuca Hgo Mex")</f>
        <v>Oper Nedaro Ctro Leche Tizayuca Hgo Mex</v>
      </c>
      <c r="I698" s="4" t="str">
        <f ca="1">IFERROR(__xludf.DUMMYFUNCTION("""COMPUTED_VALUE"""),"Transaction cost")</f>
        <v>Transaction cost</v>
      </c>
      <c r="J698" s="4" t="str">
        <f ca="1">IFERROR(__xludf.DUMMYFUNCTION("""COMPUTED_VALUE"""),"Recarga de TAG")</f>
        <v>Recarga de TAG</v>
      </c>
      <c r="K698" s="4" t="str">
        <f ca="1">IFERROR(__xludf.DUMMYFUNCTION("""COMPUTED_VALUE"""),"BD6DD3C6-20F1-41D3-A763-01A934EA253C")</f>
        <v>BD6DD3C6-20F1-41D3-A763-01A934EA253C</v>
      </c>
      <c r="S698" s="6">
        <v>634.96</v>
      </c>
      <c r="T698" s="4" t="e">
        <f t="shared" ca="1" si="3"/>
        <v>#N/A</v>
      </c>
    </row>
    <row r="699" spans="1:20" ht="12.5">
      <c r="A699" s="4" t="str">
        <f ca="1">IFERROR(__xludf.DUMMYFUNCTION("""COMPUTED_VALUE"""),"TRX1563")</f>
        <v>TRX1563</v>
      </c>
      <c r="B699" s="4" t="str">
        <f ca="1">IFERROR(__xludf.DUMMYFUNCTION("""COMPUTED_VALUE"""),"#66")</f>
        <v>#66</v>
      </c>
      <c r="C699" s="5">
        <f ca="1">IFERROR(__xludf.DUMMYFUNCTION("""COMPUTED_VALUE"""),46073.4166666666)</f>
        <v>46073.416666666599</v>
      </c>
      <c r="D699" s="6">
        <f ca="1">IFERROR(__xludf.DUMMYFUNCTION("""COMPUTED_VALUE"""),1428.96)</f>
        <v>1428.96</v>
      </c>
      <c r="E699" s="4" t="str">
        <f ca="1">IFERROR(__xludf.DUMMYFUNCTION("""COMPUTED_VALUE"""),"MXN")</f>
        <v>MXN</v>
      </c>
      <c r="F699" s="4" t="str">
        <f ca="1">IFERROR(__xludf.DUMMYFUNCTION("""COMPUTED_VALUE"""),"Erik Castillo")</f>
        <v>Erik Castillo</v>
      </c>
      <c r="G699" s="4" t="str">
        <f ca="1">IFERROR(__xludf.DUMMYFUNCTION("""COMPUTED_VALUE"""),"ENERGETICOS ZAPATA 1   TIZAYUCA HGO  MEX")</f>
        <v>ENERGETICOS ZAPATA 1   TIZAYUCA HGO  MEX</v>
      </c>
      <c r="H699" s="4" t="str">
        <f ca="1">IFERROR(__xludf.DUMMYFUNCTION("""COMPUTED_VALUE"""),"Energeticos Zapata 1 Tizayuca Hgo Mex")</f>
        <v>Energeticos Zapata 1 Tizayuca Hgo Mex</v>
      </c>
      <c r="I699" s="4" t="str">
        <f ca="1">IFERROR(__xludf.DUMMYFUNCTION("""COMPUTED_VALUE"""),"Transaction cost")</f>
        <v>Transaction cost</v>
      </c>
      <c r="J699" s="4" t="str">
        <f ca="1">IFERROR(__xludf.DUMMYFUNCTION("""COMPUTED_VALUE"""),"Consumo")</f>
        <v>Consumo</v>
      </c>
      <c r="K699" s="4" t="str">
        <f ca="1">IFERROR(__xludf.DUMMYFUNCTION("""COMPUTED_VALUE"""),"A - 17521")</f>
        <v>A - 17521</v>
      </c>
      <c r="S699" s="6">
        <v>2002.29</v>
      </c>
      <c r="T699" s="4" t="e">
        <f t="shared" ca="1" si="3"/>
        <v>#N/A</v>
      </c>
    </row>
    <row r="700" spans="1:20" ht="12.5">
      <c r="A700" s="4" t="str">
        <f ca="1">IFERROR(__xludf.DUMMYFUNCTION("""COMPUTED_VALUE"""),"TRX1003")</f>
        <v>TRX1003</v>
      </c>
      <c r="B700" s="4" t="str">
        <f ca="1">IFERROR(__xludf.DUMMYFUNCTION("""COMPUTED_VALUE"""),"#66")</f>
        <v>#66</v>
      </c>
      <c r="C700" s="5">
        <f ca="1">IFERROR(__xludf.DUMMYFUNCTION("""COMPUTED_VALUE"""),46073.4173611111)</f>
        <v>46073.417361111096</v>
      </c>
      <c r="D700" s="6">
        <f ca="1">IFERROR(__xludf.DUMMYFUNCTION("""COMPUTED_VALUE"""),111.5)</f>
        <v>111.5</v>
      </c>
      <c r="E700" s="4" t="str">
        <f ca="1">IFERROR(__xludf.DUMMYFUNCTION("""COMPUTED_VALUE"""),"MXN")</f>
        <v>MXN</v>
      </c>
      <c r="F700" s="4" t="str">
        <f ca="1">IFERROR(__xludf.DUMMYFUNCTION("""COMPUTED_VALUE"""),"Erik Castillo")</f>
        <v>Erik Castillo</v>
      </c>
      <c r="G700" s="4" t="str">
        <f ca="1">IFERROR(__xludf.DUMMYFUNCTION("""COMPUTED_VALUE"""),"OXXOSAN ANTONIO 17 MEX CUAUTITLAN EM MEX")</f>
        <v>OXXOSAN ANTONIO 17 MEX CUAUTITLAN EM MEX</v>
      </c>
      <c r="H700" s="4" t="str">
        <f ca="1">IFERROR(__xludf.DUMMYFUNCTION("""COMPUTED_VALUE"""),"Oxxosan Antonio 17 Mex Cuautitlan Em Mex")</f>
        <v>Oxxosan Antonio 17 Mex Cuautitlan Em Mex</v>
      </c>
      <c r="I700" s="4" t="str">
        <f ca="1">IFERROR(__xludf.DUMMYFUNCTION("""COMPUTED_VALUE"""),"Transaction cost")</f>
        <v>Transaction cost</v>
      </c>
      <c r="J700" s="4" t="str">
        <f ca="1">IFERROR(__xludf.DUMMYFUNCTION("""COMPUTED_VALUE"""),"Seguridad para vehiculo")</f>
        <v>Seguridad para vehiculo</v>
      </c>
      <c r="K700" s="4" t="str">
        <f ca="1">IFERROR(__xludf.DUMMYFUNCTION("""COMPUTED_VALUE"""),"IBABK342781")</f>
        <v>IBABK342781</v>
      </c>
      <c r="S700" s="6">
        <v>1324.22</v>
      </c>
      <c r="T700" s="4" t="e">
        <f t="shared" ca="1" si="3"/>
        <v>#N/A</v>
      </c>
    </row>
    <row r="701" spans="1:20" ht="12.5">
      <c r="A701" s="4" t="str">
        <f ca="1">IFERROR(__xludf.DUMMYFUNCTION("""COMPUTED_VALUE"""),"TRX1268")</f>
        <v>TRX1268</v>
      </c>
      <c r="B701" s="4" t="str">
        <f ca="1">IFERROR(__xludf.DUMMYFUNCTION("""COMPUTED_VALUE"""),"#66")</f>
        <v>#66</v>
      </c>
      <c r="C701" s="5">
        <f ca="1">IFERROR(__xludf.DUMMYFUNCTION("""COMPUTED_VALUE"""),46073.4173611111)</f>
        <v>46073.417361111096</v>
      </c>
      <c r="D701" s="6">
        <f ca="1">IFERROR(__xludf.DUMMYFUNCTION("""COMPUTED_VALUE"""),1014)</f>
        <v>1014</v>
      </c>
      <c r="E701" s="4" t="str">
        <f ca="1">IFERROR(__xludf.DUMMYFUNCTION("""COMPUTED_VALUE"""),"MXN")</f>
        <v>MXN</v>
      </c>
      <c r="F701" s="4" t="str">
        <f ca="1">IFERROR(__xludf.DUMMYFUNCTION("""COMPUTED_VALUE"""),"Erik Castillo")</f>
        <v>Erik Castillo</v>
      </c>
      <c r="G701" s="4" t="str">
        <f ca="1">IFERROR(__xludf.DUMMYFUNCTION("""COMPUTED_VALUE"""),"OXXO G ZAPATA PAC      TIZAYUCA HGO  MEX")</f>
        <v>OXXO G ZAPATA PAC      TIZAYUCA HGO  MEX</v>
      </c>
      <c r="H701" s="4" t="str">
        <f ca="1">IFERROR(__xludf.DUMMYFUNCTION("""COMPUTED_VALUE"""),"Oxxo")</f>
        <v>Oxxo</v>
      </c>
      <c r="I701" s="4" t="str">
        <f ca="1">IFERROR(__xludf.DUMMYFUNCTION("""COMPUTED_VALUE"""),"Transaction cost")</f>
        <v>Transaction cost</v>
      </c>
      <c r="J701" s="4" t="str">
        <f ca="1">IFERROR(__xludf.DUMMYFUNCTION("""COMPUTED_VALUE"""),"Comida con cliente Creaceric")</f>
        <v>Comida con cliente Creaceric</v>
      </c>
      <c r="K701" s="4" t="str">
        <f ca="1">IFERROR(__xludf.DUMMYFUNCTION("""COMPUTED_VALUE"""),"A8AB9CE6-B34D-4E86-9B88-655996A59DAD")</f>
        <v>A8AB9CE6-B34D-4E86-9B88-655996A59DAD</v>
      </c>
      <c r="S701" s="6">
        <v>300</v>
      </c>
      <c r="T701" s="4" t="str">
        <f t="shared" ca="1" si="3"/>
        <v>Rogelio Gamez</v>
      </c>
    </row>
    <row r="702" spans="1:20" ht="12.5">
      <c r="A702" s="4" t="str">
        <f ca="1">IFERROR(__xludf.DUMMYFUNCTION("""COMPUTED_VALUE"""),"TRX1033")</f>
        <v>TRX1033</v>
      </c>
      <c r="B702" s="4" t="str">
        <f ca="1">IFERROR(__xludf.DUMMYFUNCTION("""COMPUTED_VALUE"""),"#66")</f>
        <v>#66</v>
      </c>
      <c r="C702" s="5">
        <f ca="1">IFERROR(__xludf.DUMMYFUNCTION("""COMPUTED_VALUE"""),46074.4173611111)</f>
        <v>46074.417361111096</v>
      </c>
      <c r="D702" s="6">
        <f ca="1">IFERROR(__xludf.DUMMYFUNCTION("""COMPUTED_VALUE"""),185)</f>
        <v>185</v>
      </c>
      <c r="E702" s="4" t="str">
        <f ca="1">IFERROR(__xludf.DUMMYFUNCTION("""COMPUTED_VALUE"""),"MXN")</f>
        <v>MXN</v>
      </c>
      <c r="F702" s="4" t="str">
        <f ca="1">IFERROR(__xludf.DUMMYFUNCTION("""COMPUTED_VALUE"""),"Erik Castillo")</f>
        <v>Erik Castillo</v>
      </c>
      <c r="G702" s="4" t="str">
        <f ca="1">IFERROR(__xludf.DUMMYFUNCTION("""COMPUTED_VALUE"""),"MISC PITS TOL ZIT      ALMOLOYA DE J MEX")</f>
        <v>MISC PITS TOL ZIT      ALMOLOYA DE J MEX</v>
      </c>
      <c r="H702" s="4" t="str">
        <f ca="1">IFERROR(__xludf.DUMMYFUNCTION("""COMPUTED_VALUE"""),"Misc Pits Tol Zit Almoloya De J Mex")</f>
        <v>Misc Pits Tol Zit Almoloya De J Mex</v>
      </c>
      <c r="I702" s="4" t="str">
        <f ca="1">IFERROR(__xludf.DUMMYFUNCTION("""COMPUTED_VALUE"""),"Transaction cost")</f>
        <v>Transaction cost</v>
      </c>
      <c r="J702" s="4" t="str">
        <f ca="1">IFERROR(__xludf.DUMMYFUNCTION("""COMPUTED_VALUE"""),"Gasolina ")</f>
        <v xml:space="preserve">Gasolina </v>
      </c>
      <c r="K702" s="4" t="str">
        <f ca="1">IFERROR(__xludf.DUMMYFUNCTION("""COMPUTED_VALUE"""),"A19227")</f>
        <v>A19227</v>
      </c>
      <c r="S702" s="6">
        <v>1182.19</v>
      </c>
      <c r="T702" s="4" t="e">
        <f t="shared" ca="1" si="3"/>
        <v>#N/A</v>
      </c>
    </row>
    <row r="703" spans="1:20" ht="12.5">
      <c r="A703" s="4" t="str">
        <f ca="1">IFERROR(__xludf.DUMMYFUNCTION("""COMPUTED_VALUE"""),"TRX1067")</f>
        <v>TRX1067</v>
      </c>
      <c r="B703" s="4" t="str">
        <f ca="1">IFERROR(__xludf.DUMMYFUNCTION("""COMPUTED_VALUE"""),"#66")</f>
        <v>#66</v>
      </c>
      <c r="C703" s="5">
        <f ca="1">IFERROR(__xludf.DUMMYFUNCTION("""COMPUTED_VALUE"""),46075.4166666666)</f>
        <v>46075.416666666599</v>
      </c>
      <c r="D703" s="6">
        <f ca="1">IFERROR(__xludf.DUMMYFUNCTION("""COMPUTED_VALUE"""),1700)</f>
        <v>1700</v>
      </c>
      <c r="E703" s="4" t="str">
        <f ca="1">IFERROR(__xludf.DUMMYFUNCTION("""COMPUTED_VALUE"""),"MXN")</f>
        <v>MXN</v>
      </c>
      <c r="F703" s="4" t="str">
        <f ca="1">IFERROR(__xludf.DUMMYFUNCTION("""COMPUTED_VALUE"""),"Erik Castillo")</f>
        <v>Erik Castillo</v>
      </c>
      <c r="G703" s="4" t="str">
        <f ca="1">IFERROR(__xludf.DUMMYFUNCTION("""COMPUTED_VALUE"""),"AUTO SERVICIO REVASA   TIZAYUCA HGO  MEX")</f>
        <v>AUTO SERVICIO REVASA   TIZAYUCA HGO  MEX</v>
      </c>
      <c r="H703" s="4" t="str">
        <f ca="1">IFERROR(__xludf.DUMMYFUNCTION("""COMPUTED_VALUE"""),"Auto Servicio Revasa Tizayuca Hgo Mex")</f>
        <v>Auto Servicio Revasa Tizayuca Hgo Mex</v>
      </c>
      <c r="I703" s="4" t="str">
        <f ca="1">IFERROR(__xludf.DUMMYFUNCTION("""COMPUTED_VALUE"""),"Transaction cost")</f>
        <v>Transaction cost</v>
      </c>
      <c r="J703" s="4" t="str">
        <f ca="1">IFERROR(__xludf.DUMMYFUNCTION("""COMPUTED_VALUE"""),"Consumo")</f>
        <v>Consumo</v>
      </c>
      <c r="K703" s="4" t="str">
        <f ca="1">IFERROR(__xludf.DUMMYFUNCTION("""COMPUTED_VALUE"""),"D0BB9880-904C-4847-A411-2E8A12244B57")</f>
        <v>D0BB9880-904C-4847-A411-2E8A12244B57</v>
      </c>
      <c r="S703" s="6">
        <v>330.03</v>
      </c>
      <c r="T703" s="4" t="e">
        <f t="shared" ca="1" si="3"/>
        <v>#N/A</v>
      </c>
    </row>
    <row r="704" spans="1:20" ht="12.5">
      <c r="A704" s="4" t="str">
        <f ca="1">IFERROR(__xludf.DUMMYFUNCTION("""COMPUTED_VALUE"""),"TRX1143")</f>
        <v>TRX1143</v>
      </c>
      <c r="B704" s="4" t="str">
        <f ca="1">IFERROR(__xludf.DUMMYFUNCTION("""COMPUTED_VALUE"""),"#66")</f>
        <v>#66</v>
      </c>
      <c r="C704" s="5">
        <f ca="1">IFERROR(__xludf.DUMMYFUNCTION("""COMPUTED_VALUE"""),46078.4166666666)</f>
        <v>46078.416666666599</v>
      </c>
      <c r="D704" s="6">
        <f ca="1">IFERROR(__xludf.DUMMYFUNCTION("""COMPUTED_VALUE"""),659)</f>
        <v>659</v>
      </c>
      <c r="E704" s="4" t="str">
        <f ca="1">IFERROR(__xludf.DUMMYFUNCTION("""COMPUTED_VALUE"""),"MXN")</f>
        <v>MXN</v>
      </c>
      <c r="F704" s="4" t="str">
        <f ca="1">IFERROR(__xludf.DUMMYFUNCTION("""COMPUTED_VALUE"""),"Erik Castillo")</f>
        <v>Erik Castillo</v>
      </c>
      <c r="G704" s="4" t="str">
        <f ca="1">IFERROR(__xludf.DUMMYFUNCTION("""COMPUTED_VALUE"""),"KFC 549 LOPEZ PORTILLO COACALCO DE B MEX")</f>
        <v>KFC 549 LOPEZ PORTILLO COACALCO DE B MEX</v>
      </c>
      <c r="H704" s="4" t="str">
        <f ca="1">IFERROR(__xludf.DUMMYFUNCTION("""COMPUTED_VALUE"""),"Kentucky Fried Chicken")</f>
        <v>Kentucky Fried Chicken</v>
      </c>
      <c r="I704" s="4" t="str">
        <f ca="1">IFERROR(__xludf.DUMMYFUNCTION("""COMPUTED_VALUE"""),"Transaction cost")</f>
        <v>Transaction cost</v>
      </c>
      <c r="J704" s="4" t="str">
        <f ca="1">IFERROR(__xludf.DUMMYFUNCTION("""COMPUTED_VALUE"""),"Consumo VEOLIA")</f>
        <v>Consumo VEOLIA</v>
      </c>
      <c r="K704" s="4" t="str">
        <f ca="1">IFERROR(__xludf.DUMMYFUNCTION("""COMPUTED_VALUE"""),"7531889260130044529712")</f>
        <v>7531889260130044529712</v>
      </c>
      <c r="S704" s="6">
        <v>218</v>
      </c>
      <c r="T704" s="4" t="str">
        <f t="shared" ca="1" si="3"/>
        <v>Karen Alexandra Ballesteros Contreras</v>
      </c>
    </row>
    <row r="705" spans="1:20" ht="12.5">
      <c r="A705" s="4" t="str">
        <f ca="1">IFERROR(__xludf.DUMMYFUNCTION("""COMPUTED_VALUE"""),"TRX1176")</f>
        <v>TRX1176</v>
      </c>
      <c r="B705" s="4" t="str">
        <f ca="1">IFERROR(__xludf.DUMMYFUNCTION("""COMPUTED_VALUE"""),"#66")</f>
        <v>#66</v>
      </c>
      <c r="C705" s="5">
        <f ca="1">IFERROR(__xludf.DUMMYFUNCTION("""COMPUTED_VALUE"""),46079.4166666666)</f>
        <v>46079.416666666599</v>
      </c>
      <c r="D705" s="6">
        <f ca="1">IFERROR(__xludf.DUMMYFUNCTION("""COMPUTED_VALUE"""),1152.02)</f>
        <v>1152.02</v>
      </c>
      <c r="E705" s="4" t="str">
        <f ca="1">IFERROR(__xludf.DUMMYFUNCTION("""COMPUTED_VALUE"""),"MXN")</f>
        <v>MXN</v>
      </c>
      <c r="F705" s="4" t="str">
        <f ca="1">IFERROR(__xludf.DUMMYFUNCTION("""COMPUTED_VALUE"""),"Erik Castillo")</f>
        <v>Erik Castillo</v>
      </c>
      <c r="G705" s="4" t="str">
        <f ca="1">IFERROR(__xludf.DUMMYFUNCTION("""COMPUTED_VALUE"""),"ENERGETICOS ZAPATA 4   TIZAYUCA HGO  MEX")</f>
        <v>ENERGETICOS ZAPATA 4   TIZAYUCA HGO  MEX</v>
      </c>
      <c r="H705" s="4" t="str">
        <f ca="1">IFERROR(__xludf.DUMMYFUNCTION("""COMPUTED_VALUE"""),"Energeticos Zapata 4 Tizayuca Hgo Mex")</f>
        <v>Energeticos Zapata 4 Tizayuca Hgo Mex</v>
      </c>
      <c r="I705" s="4" t="str">
        <f ca="1">IFERROR(__xludf.DUMMYFUNCTION("""COMPUTED_VALUE"""),"Transaction cost")</f>
        <v>Transaction cost</v>
      </c>
      <c r="J705" s="4" t="str">
        <f ca="1">IFERROR(__xludf.DUMMYFUNCTION("""COMPUTED_VALUE"""),"Consumo")</f>
        <v>Consumo</v>
      </c>
      <c r="K705" s="4" t="str">
        <f ca="1">IFERROR(__xludf.DUMMYFUNCTION("""COMPUTED_VALUE"""),"EB80B5ED-1544-4E81-AD9D-621FBA21CE3B")</f>
        <v>EB80B5ED-1544-4E81-AD9D-621FBA21CE3B</v>
      </c>
      <c r="S705" s="6">
        <v>10000</v>
      </c>
      <c r="T705" s="4" t="str">
        <f t="shared" ca="1" si="3"/>
        <v>Rogelio Gamez</v>
      </c>
    </row>
    <row r="706" spans="1:20" ht="12.5">
      <c r="A706" s="4" t="str">
        <f ca="1">IFERROR(__xludf.DUMMYFUNCTION("""COMPUTED_VALUE"""),"TRX1244")</f>
        <v>TRX1244</v>
      </c>
      <c r="B706" s="4" t="str">
        <f ca="1">IFERROR(__xludf.DUMMYFUNCTION("""COMPUTED_VALUE"""),"#66")</f>
        <v>#66</v>
      </c>
      <c r="C706" s="5">
        <f ca="1">IFERROR(__xludf.DUMMYFUNCTION("""COMPUTED_VALUE"""),46080.4173611111)</f>
        <v>46080.417361111096</v>
      </c>
      <c r="D706" s="6">
        <f ca="1">IFERROR(__xludf.DUMMYFUNCTION("""COMPUTED_VALUE"""),1017)</f>
        <v>1017</v>
      </c>
      <c r="E706" s="4" t="str">
        <f ca="1">IFERROR(__xludf.DUMMYFUNCTION("""COMPUTED_VALUE"""),"MXN")</f>
        <v>MXN</v>
      </c>
      <c r="F706" s="4" t="str">
        <f ca="1">IFERROR(__xludf.DUMMYFUNCTION("""COMPUTED_VALUE"""),"Erik Castillo")</f>
        <v>Erik Castillo</v>
      </c>
      <c r="G706" s="4" t="str">
        <f ca="1">IFERROR(__xludf.DUMMYFUNCTION("""COMPUTED_VALUE"""),"OXXO EJERCITO          TIZAYUCA HGO  MEX")</f>
        <v>OXXO EJERCITO          TIZAYUCA HGO  MEX</v>
      </c>
      <c r="H706" s="4" t="str">
        <f ca="1">IFERROR(__xludf.DUMMYFUNCTION("""COMPUTED_VALUE"""),"Oxxo")</f>
        <v>Oxxo</v>
      </c>
      <c r="I706" s="4" t="str">
        <f ca="1">IFERROR(__xludf.DUMMYFUNCTION("""COMPUTED_VALUE"""),"Transaction cost")</f>
        <v>Transaction cost</v>
      </c>
      <c r="J706" s="4" t="str">
        <f ca="1">IFERROR(__xludf.DUMMYFUNCTION("""COMPUTED_VALUE"""),"Consumo")</f>
        <v>Consumo</v>
      </c>
      <c r="K706" s="4" t="str">
        <f ca="1">IFERROR(__xludf.DUMMYFUNCTION("""COMPUTED_VALUE"""),"DOMBNTAAQH 15785")</f>
        <v>DOMBNTAAQH 15785</v>
      </c>
      <c r="S706" s="6">
        <v>143</v>
      </c>
      <c r="T706" s="4" t="str">
        <f t="shared" ca="1" si="3"/>
        <v>Jorge Rojas</v>
      </c>
    </row>
    <row r="707" spans="1:20" ht="12.5">
      <c r="A707" s="4" t="str">
        <f ca="1">IFERROR(__xludf.DUMMYFUNCTION("""COMPUTED_VALUE"""),"#N/A")</f>
        <v>#N/A</v>
      </c>
      <c r="B707" s="4"/>
      <c r="C707" s="4"/>
      <c r="D707" s="4" t="str">
        <f ca="1">IFERROR(__xludf.DUMMYFUNCTION("""COMPUTED_VALUE"""),"#N/A")</f>
        <v>#N/A</v>
      </c>
      <c r="E707" s="4" t="str">
        <f ca="1">IFERROR(__xludf.DUMMYFUNCTION("""COMPUTED_VALUE"""),"#N/A")</f>
        <v>#N/A</v>
      </c>
      <c r="F707" s="4" t="str">
        <f ca="1">IFERROR(__xludf.DUMMYFUNCTION("""COMPUTED_VALUE"""),"#N/A")</f>
        <v>#N/A</v>
      </c>
      <c r="G707" s="4" t="str">
        <f ca="1">IFERROR(__xludf.DUMMYFUNCTION("""COMPUTED_VALUE"""),"#N/A")</f>
        <v>#N/A</v>
      </c>
      <c r="H707" s="4"/>
      <c r="I707" s="4"/>
      <c r="J707" s="4" t="str">
        <f ca="1">IFERROR(__xludf.DUMMYFUNCTION("""COMPUTED_VALUE"""),"Lo debo lo acepto :( - Ya borre la 
tarjeta de mi cuenta de mercado 
libre se cobro por error ")</f>
        <v xml:space="preserve">Lo debo lo acepto :( - Ya borre la 
tarjeta de mi cuenta de mercado 
libre se cobro por error </v>
      </c>
      <c r="K707" s="4" t="str">
        <f ca="1">IFERROR(__xludf.DUMMYFUNCTION("""COMPUTED_VALUE"""),".")</f>
        <v>.</v>
      </c>
      <c r="S707" s="6">
        <v>332.67</v>
      </c>
      <c r="T707" s="4" t="e">
        <f t="shared" ca="1" si="3"/>
        <v>#N/A</v>
      </c>
    </row>
    <row r="708" spans="1:20" ht="12.5">
      <c r="A708" s="4" t="str">
        <f ca="1">IFERROR(__xludf.DUMMYFUNCTION("""COMPUTED_VALUE"""),"TRX1213")</f>
        <v>TRX1213</v>
      </c>
      <c r="B708" s="4" t="str">
        <f ca="1">IFERROR(__xludf.DUMMYFUNCTION("""COMPUTED_VALUE"""),"#68")</f>
        <v>#68</v>
      </c>
      <c r="C708" s="5">
        <f ca="1">IFERROR(__xludf.DUMMYFUNCTION("""COMPUTED_VALUE"""),46058.4173611111)</f>
        <v>46058.417361111096</v>
      </c>
      <c r="D708" s="6">
        <f ca="1">IFERROR(__xludf.DUMMYFUNCTION("""COMPUTED_VALUE"""),68.5)</f>
        <v>68.5</v>
      </c>
      <c r="E708" s="4" t="str">
        <f ca="1">IFERROR(__xludf.DUMMYFUNCTION("""COMPUTED_VALUE"""),"MXN")</f>
        <v>MXN</v>
      </c>
      <c r="F708" s="4" t="str">
        <f ca="1">IFERROR(__xludf.DUMMYFUNCTION("""COMPUTED_VALUE"""),"Jorge Armando Ramirez Perez")</f>
        <v>Jorge Armando Ramirez Perez</v>
      </c>
      <c r="G708" s="4" t="str">
        <f ca="1">IFERROR(__xludf.DUMMYFUNCTION("""COMPUTED_VALUE"""),"OXXOPORTAL DE HDA MTY  GUADALUPE NL  MEX")</f>
        <v>OXXOPORTAL DE HDA MTY  GUADALUPE NL  MEX</v>
      </c>
      <c r="H708" s="4" t="str">
        <f ca="1">IFERROR(__xludf.DUMMYFUNCTION("""COMPUTED_VALUE"""),"Oxxoportal De Hda Mty Guadalupe Nl Mex")</f>
        <v>Oxxoportal De Hda Mty Guadalupe Nl Mex</v>
      </c>
      <c r="I708" s="4" t="str">
        <f ca="1">IFERROR(__xludf.DUMMYFUNCTION("""COMPUTED_VALUE"""),"Transaction cost")</f>
        <v>Transaction cost</v>
      </c>
      <c r="J708" s="4" t="str">
        <f ca="1">IFERROR(__xludf.DUMMYFUNCTION("""COMPUTED_VALUE"""),"RFQ 4512 Ecoclean 4512 Visita MP Comida")</f>
        <v>RFQ 4512 Ecoclean 4512 Visita MP Comida</v>
      </c>
      <c r="K708" s="4" t="str">
        <f ca="1">IFERROR(__xludf.DUMMYFUNCTION("""COMPUTED_VALUE"""),"1637-55626-0213224106083")</f>
        <v>1637-55626-0213224106083</v>
      </c>
      <c r="S708" s="6">
        <v>900</v>
      </c>
      <c r="T708" s="4" t="e">
        <f t="shared" ca="1" si="3"/>
        <v>#N/A</v>
      </c>
    </row>
    <row r="709" spans="1:20" ht="12.5">
      <c r="A709" s="4" t="str">
        <f ca="1">IFERROR(__xludf.DUMMYFUNCTION("""COMPUTED_VALUE"""),"TRX1203")</f>
        <v>TRX1203</v>
      </c>
      <c r="B709" s="4" t="str">
        <f ca="1">IFERROR(__xludf.DUMMYFUNCTION("""COMPUTED_VALUE"""),"#68")</f>
        <v>#68</v>
      </c>
      <c r="C709" s="5">
        <f ca="1">IFERROR(__xludf.DUMMYFUNCTION("""COMPUTED_VALUE"""),46058.4173611111)</f>
        <v>46058.417361111096</v>
      </c>
      <c r="D709" s="6">
        <f ca="1">IFERROR(__xludf.DUMMYFUNCTION("""COMPUTED_VALUE"""),200)</f>
        <v>200</v>
      </c>
      <c r="E709" s="4" t="str">
        <f ca="1">IFERROR(__xludf.DUMMYFUNCTION("""COMPUTED_VALUE"""),"MXN")</f>
        <v>MXN</v>
      </c>
      <c r="F709" s="4" t="str">
        <f ca="1">IFERROR(__xludf.DUMMYFUNCTION("""COMPUTED_VALUE"""),"Jorge Armando Ramirez Perez")</f>
        <v>Jorge Armando Ramirez Perez</v>
      </c>
      <c r="G709" s="4" t="str">
        <f ca="1">IFERROR(__xludf.DUMMYFUNCTION("""COMPUTED_VALUE"""),"OXXO GAS 15 DE MAYO    MONTERREY NL  MEX")</f>
        <v>OXXO GAS 15 DE MAYO    MONTERREY NL  MEX</v>
      </c>
      <c r="H709" s="4" t="str">
        <f ca="1">IFERROR(__xludf.DUMMYFUNCTION("""COMPUTED_VALUE"""),"Oxxo")</f>
        <v>Oxxo</v>
      </c>
      <c r="I709" s="4" t="str">
        <f ca="1">IFERROR(__xludf.DUMMYFUNCTION("""COMPUTED_VALUE"""),"Transaction cost")</f>
        <v>Transaction cost</v>
      </c>
      <c r="J709" s="4" t="str">
        <f ca="1">IFERROR(__xludf.DUMMYFUNCTION("""COMPUTED_VALUE"""),"RFQ 4512 Ecoclean Visita MP Gasolina")</f>
        <v>RFQ 4512 Ecoclean Visita MP Gasolina</v>
      </c>
      <c r="K709" s="4"/>
      <c r="S709" s="6">
        <v>579</v>
      </c>
      <c r="T709" s="4" t="e">
        <f t="shared" ca="1" si="3"/>
        <v>#N/A</v>
      </c>
    </row>
    <row r="710" spans="1:20" ht="12.5">
      <c r="A710" s="4" t="str">
        <f ca="1">IFERROR(__xludf.DUMMYFUNCTION("""COMPUTED_VALUE"""),"TRX1166")</f>
        <v>TRX1166</v>
      </c>
      <c r="B710" s="4" t="str">
        <f ca="1">IFERROR(__xludf.DUMMYFUNCTION("""COMPUTED_VALUE"""),"#68")</f>
        <v>#68</v>
      </c>
      <c r="C710" s="5">
        <f ca="1">IFERROR(__xludf.DUMMYFUNCTION("""COMPUTED_VALUE"""),46059.4166666666)</f>
        <v>46059.416666666599</v>
      </c>
      <c r="D710" s="6">
        <f ca="1">IFERROR(__xludf.DUMMYFUNCTION("""COMPUTED_VALUE"""),543)</f>
        <v>543</v>
      </c>
      <c r="E710" s="4" t="str">
        <f ca="1">IFERROR(__xludf.DUMMYFUNCTION("""COMPUTED_VALUE"""),"MXN")</f>
        <v>MXN</v>
      </c>
      <c r="F710" s="4" t="str">
        <f ca="1">IFERROR(__xludf.DUMMYFUNCTION("""COMPUTED_VALUE"""),"Jorge Armando Ramirez Perez")</f>
        <v>Jorge Armando Ramirez Perez</v>
      </c>
      <c r="G710" s="4" t="str">
        <f ca="1">IFERROR(__xludf.DUMMYFUNCTION("""COMPUTED_VALUE"""),"TH ALTEA HUINALA MP    APODACA NL    MEX")</f>
        <v>TH ALTEA HUINALA MP    APODACA NL    MEX</v>
      </c>
      <c r="H710" s="4" t="str">
        <f ca="1">IFERROR(__xludf.DUMMYFUNCTION("""COMPUTED_VALUE"""),"Th Altea Huinala Mp Apodaca Nl Mex")</f>
        <v>Th Altea Huinala Mp Apodaca Nl Mex</v>
      </c>
      <c r="I710" s="4" t="str">
        <f ca="1">IFERROR(__xludf.DUMMYFUNCTION("""COMPUTED_VALUE"""),"Transaction cost")</f>
        <v>Transaction cost</v>
      </c>
      <c r="J710" s="4" t="str">
        <f ca="1">IFERROR(__xludf.DUMMYFUNCTION("""COMPUTED_VALUE"""),"RFQ 4512 Ecoclean 4512 Visita MP linpieza Lions / Snaks")</f>
        <v>RFQ 4512 Ecoclean 4512 Visita MP linpieza Lions / Snaks</v>
      </c>
      <c r="K710" s="4" t="str">
        <f ca="1">IFERROR(__xludf.DUMMYFUNCTION("""COMPUTED_VALUE"""),"FACTURA AHUIN18733 [Tipo: I - Ingreso UUID:4ef1d64f-81d9-4479-8359-0c596222a128]")</f>
        <v>FACTURA AHUIN18733 [Tipo: I - Ingreso UUID:4ef1d64f-81d9-4479-8359-0c596222a128]</v>
      </c>
      <c r="S710" s="6">
        <v>500</v>
      </c>
      <c r="T710" s="4" t="str">
        <f t="shared" ca="1" si="3"/>
        <v>Fernando Sanchez Toledano</v>
      </c>
    </row>
    <row r="711" spans="1:20" ht="12.5">
      <c r="A711" s="4" t="str">
        <f ca="1">IFERROR(__xludf.DUMMYFUNCTION("""COMPUTED_VALUE"""),"TRX1834")</f>
        <v>TRX1834</v>
      </c>
      <c r="B711" s="4" t="str">
        <f ca="1">IFERROR(__xludf.DUMMYFUNCTION("""COMPUTED_VALUE"""),"#68")</f>
        <v>#68</v>
      </c>
      <c r="C711" s="5">
        <f ca="1">IFERROR(__xludf.DUMMYFUNCTION("""COMPUTED_VALUE"""),46059.4173611111)</f>
        <v>46059.417361111096</v>
      </c>
      <c r="D711" s="6">
        <f ca="1">IFERROR(__xludf.DUMMYFUNCTION("""COMPUTED_VALUE"""),127)</f>
        <v>127</v>
      </c>
      <c r="E711" s="4" t="str">
        <f ca="1">IFERROR(__xludf.DUMMYFUNCTION("""COMPUTED_VALUE"""),"MXN")</f>
        <v>MXN</v>
      </c>
      <c r="F711" s="4" t="str">
        <f ca="1">IFERROR(__xludf.DUMMYFUNCTION("""COMPUTED_VALUE"""),"Jorge Armando Ramirez Perez")</f>
        <v>Jorge Armando Ramirez Perez</v>
      </c>
      <c r="G711" s="4" t="str">
        <f ca="1">IFERROR(__xludf.DUMMYFUNCTION("""COMPUTED_VALUE"""),"OXXOPORTAL DE HDA MTY  GUADALUPE NL  MEX")</f>
        <v>OXXOPORTAL DE HDA MTY  GUADALUPE NL  MEX</v>
      </c>
      <c r="H711" s="4" t="str">
        <f ca="1">IFERROR(__xludf.DUMMYFUNCTION("""COMPUTED_VALUE"""),"Oxxoportal De Hda Mty Guadalupe Nl Mex")</f>
        <v>Oxxoportal De Hda Mty Guadalupe Nl Mex</v>
      </c>
      <c r="I711" s="4" t="str">
        <f ca="1">IFERROR(__xludf.DUMMYFUNCTION("""COMPUTED_VALUE"""),"Transaction cost")</f>
        <v>Transaction cost</v>
      </c>
      <c r="J711" s="4" t="str">
        <f ca="1">IFERROR(__xludf.DUMMYFUNCTION("""COMPUTED_VALUE"""),"RFQ 5052 Baltimore Baseparachiller / Caseta Efectivo")</f>
        <v>RFQ 5052 Baltimore Baseparachiller / Caseta Efectivo</v>
      </c>
      <c r="K711" s="4" t="str">
        <f ca="1">IFERROR(__xludf.DUMMYFUNCTION("""COMPUTED_VALUE"""),"1637556260213222342157")</f>
        <v>1637556260213222342157</v>
      </c>
      <c r="S711" s="6">
        <v>149</v>
      </c>
      <c r="T711" s="4" t="str">
        <f t="shared" ca="1" si="3"/>
        <v>Erik Castillo</v>
      </c>
    </row>
    <row r="712" spans="1:20" ht="12.5">
      <c r="A712" s="4" t="str">
        <f ca="1">IFERROR(__xludf.DUMMYFUNCTION("""COMPUTED_VALUE"""),"TRX2001")</f>
        <v>TRX2001</v>
      </c>
      <c r="B712" s="4" t="str">
        <f ca="1">IFERROR(__xludf.DUMMYFUNCTION("""COMPUTED_VALUE"""),"#68")</f>
        <v>#68</v>
      </c>
      <c r="C712" s="5">
        <f ca="1">IFERROR(__xludf.DUMMYFUNCTION("""COMPUTED_VALUE"""),46059.4173611111)</f>
        <v>46059.417361111096</v>
      </c>
      <c r="D712" s="6">
        <f ca="1">IFERROR(__xludf.DUMMYFUNCTION("""COMPUTED_VALUE"""),337)</f>
        <v>337</v>
      </c>
      <c r="E712" s="4" t="str">
        <f ca="1">IFERROR(__xludf.DUMMYFUNCTION("""COMPUTED_VALUE"""),"MXN")</f>
        <v>MXN</v>
      </c>
      <c r="F712" s="4" t="str">
        <f ca="1">IFERROR(__xludf.DUMMYFUNCTION("""COMPUTED_VALUE"""),"Jorge Armando Ramirez Perez")</f>
        <v>Jorge Armando Ramirez Perez</v>
      </c>
      <c r="G712" s="4" t="str">
        <f ca="1">IFERROR(__xludf.DUMMYFUNCTION("""COMPUTED_VALUE"""),"EL POLLO LOCO          GUADALUPE NL  MEX")</f>
        <v>EL POLLO LOCO          GUADALUPE NL  MEX</v>
      </c>
      <c r="H712" s="4" t="str">
        <f ca="1">IFERROR(__xludf.DUMMYFUNCTION("""COMPUTED_VALUE"""),"El Pollo Loco")</f>
        <v>El Pollo Loco</v>
      </c>
      <c r="I712" s="4" t="str">
        <f ca="1">IFERROR(__xludf.DUMMYFUNCTION("""COMPUTED_VALUE"""),"Transaction cost")</f>
        <v>Transaction cost</v>
      </c>
      <c r="J712" s="4" t="str">
        <f ca="1">IFERROR(__xludf.DUMMYFUNCTION("""COMPUTED_VALUE"""),"PO 780 Deacero Abrazaderas Comida")</f>
        <v>PO 780 Deacero Abrazaderas Comida</v>
      </c>
      <c r="K712" s="4" t="str">
        <f ca="1">IFERROR(__xludf.DUMMYFUNCTION("""COMPUTED_VALUE"""),"FK-6639")</f>
        <v>FK-6639</v>
      </c>
      <c r="S712" s="6">
        <v>85</v>
      </c>
      <c r="T712" s="4" t="str">
        <f t="shared" ca="1" si="3"/>
        <v>Daniel Alejandro Castillo Rivera</v>
      </c>
    </row>
    <row r="713" spans="1:20" ht="12.5">
      <c r="A713" s="4" t="str">
        <f ca="1">IFERROR(__xludf.DUMMYFUNCTION("""COMPUTED_VALUE"""),"TRX1140")</f>
        <v>TRX1140</v>
      </c>
      <c r="B713" s="4" t="str">
        <f ca="1">IFERROR(__xludf.DUMMYFUNCTION("""COMPUTED_VALUE"""),"#68")</f>
        <v>#68</v>
      </c>
      <c r="C713" s="5">
        <f ca="1">IFERROR(__xludf.DUMMYFUNCTION("""COMPUTED_VALUE"""),46060.4166666666)</f>
        <v>46060.416666666599</v>
      </c>
      <c r="D713" s="6">
        <f ca="1">IFERROR(__xludf.DUMMYFUNCTION("""COMPUTED_VALUE"""),219.96)</f>
        <v>219.96</v>
      </c>
      <c r="E713" s="4" t="str">
        <f ca="1">IFERROR(__xludf.DUMMYFUNCTION("""COMPUTED_VALUE"""),"MXN")</f>
        <v>MXN</v>
      </c>
      <c r="F713" s="4" t="str">
        <f ca="1">IFERROR(__xludf.DUMMYFUNCTION("""COMPUTED_VALUE"""),"Jorge Armando Ramirez Perez")</f>
        <v>Jorge Armando Ramirez Perez</v>
      </c>
      <c r="G713" s="4" t="str">
        <f ca="1">IFERROR(__xludf.DUMMYFUNCTION("""COMPUTED_VALUE"""),"UBER * PENDING         CMX           MEX")</f>
        <v>UBER * PENDING         CMX           MEX</v>
      </c>
      <c r="H713" s="4" t="str">
        <f ca="1">IFERROR(__xludf.DUMMYFUNCTION("""COMPUTED_VALUE"""),"Uber")</f>
        <v>Uber</v>
      </c>
      <c r="I713" s="4" t="str">
        <f ca="1">IFERROR(__xludf.DUMMYFUNCTION("""COMPUTED_VALUE"""),"Transaction cost")</f>
        <v>Transaction cost</v>
      </c>
      <c r="J713" s="4" t="str">
        <f ca="1">IFERROR(__xludf.DUMMYFUNCTION("""COMPUTED_VALUE"""),"PO 7080 DeAcero Abrazaderas UBER")</f>
        <v>PO 7080 DeAcero Abrazaderas UBER</v>
      </c>
      <c r="K713" s="4"/>
      <c r="S713" s="6">
        <v>579</v>
      </c>
      <c r="T713" s="4" t="e">
        <f t="shared" ca="1" si="3"/>
        <v>#N/A</v>
      </c>
    </row>
    <row r="714" spans="1:20" ht="12.5">
      <c r="A714" s="4" t="str">
        <f ca="1">IFERROR(__xludf.DUMMYFUNCTION("""COMPUTED_VALUE"""),"TRX1952")</f>
        <v>TRX1952</v>
      </c>
      <c r="B714" s="4" t="str">
        <f ca="1">IFERROR(__xludf.DUMMYFUNCTION("""COMPUTED_VALUE"""),"#68")</f>
        <v>#68</v>
      </c>
      <c r="C714" s="5">
        <f ca="1">IFERROR(__xludf.DUMMYFUNCTION("""COMPUTED_VALUE"""),46060.4166666666)</f>
        <v>46060.416666666599</v>
      </c>
      <c r="D714" s="6">
        <f ca="1">IFERROR(__xludf.DUMMYFUNCTION("""COMPUTED_VALUE"""),600)</f>
        <v>600</v>
      </c>
      <c r="E714" s="4" t="str">
        <f ca="1">IFERROR(__xludf.DUMMYFUNCTION("""COMPUTED_VALUE"""),"MXN")</f>
        <v>MXN</v>
      </c>
      <c r="F714" s="4" t="str">
        <f ca="1">IFERROR(__xludf.DUMMYFUNCTION("""COMPUTED_VALUE"""),"Jorge Armando Ramirez Perez")</f>
        <v>Jorge Armando Ramirez Perez</v>
      </c>
      <c r="G714" s="4" t="str">
        <f ca="1">IFERROR(__xludf.DUMMYFUNCTION("""COMPUTED_VALUE"""),"RECARGA PASE TUTAG     CIUDAD DE MEX MEX")</f>
        <v>RECARGA PASE TUTAG     CIUDAD DE MEX MEX</v>
      </c>
      <c r="H714" s="4" t="str">
        <f ca="1">IFERROR(__xludf.DUMMYFUNCTION("""COMPUTED_VALUE"""),"Recarga Pase Tutag Ciudad De Mex Mex")</f>
        <v>Recarga Pase Tutag Ciudad De Mex Mex</v>
      </c>
      <c r="I714" s="4" t="str">
        <f ca="1">IFERROR(__xludf.DUMMYFUNCTION("""COMPUTED_VALUE"""),"Transaction cost")</f>
        <v>Transaction cost</v>
      </c>
      <c r="J714" s="4" t="str">
        <f ca="1">IFERROR(__xludf.DUMMYFUNCTION("""COMPUTED_VALUE"""),"RFQ 5052 Baltimore Baseparachiller Casetas")</f>
        <v>RFQ 5052 Baltimore Baseparachiller Casetas</v>
      </c>
      <c r="K714" s="4" t="str">
        <f ca="1">IFERROR(__xludf.DUMMYFUNCTION("""COMPUTED_VALUE"""),"00001000000720922343")</f>
        <v>00001000000720922343</v>
      </c>
      <c r="S714" s="6">
        <v>800</v>
      </c>
      <c r="T714" s="4" t="str">
        <f t="shared" ca="1" si="3"/>
        <v>Jose Rosas Ortiz</v>
      </c>
    </row>
    <row r="715" spans="1:20" ht="12.5">
      <c r="A715" s="4" t="str">
        <f ca="1">IFERROR(__xludf.DUMMYFUNCTION("""COMPUTED_VALUE"""),"TRX1566")</f>
        <v>TRX1566</v>
      </c>
      <c r="B715" s="4" t="str">
        <f ca="1">IFERROR(__xludf.DUMMYFUNCTION("""COMPUTED_VALUE"""),"#68")</f>
        <v>#68</v>
      </c>
      <c r="C715" s="5">
        <f ca="1">IFERROR(__xludf.DUMMYFUNCTION("""COMPUTED_VALUE"""),46060.4173611111)</f>
        <v>46060.417361111096</v>
      </c>
      <c r="D715" s="6">
        <f ca="1">IFERROR(__xludf.DUMMYFUNCTION("""COMPUTED_VALUE"""),68.5)</f>
        <v>68.5</v>
      </c>
      <c r="E715" s="4" t="str">
        <f ca="1">IFERROR(__xludf.DUMMYFUNCTION("""COMPUTED_VALUE"""),"MXN")</f>
        <v>MXN</v>
      </c>
      <c r="F715" s="4" t="str">
        <f ca="1">IFERROR(__xludf.DUMMYFUNCTION("""COMPUTED_VALUE"""),"Jorge Armando Ramirez Perez")</f>
        <v>Jorge Armando Ramirez Perez</v>
      </c>
      <c r="G715" s="4" t="str">
        <f ca="1">IFERROR(__xludf.DUMMYFUNCTION("""COMPUTED_VALUE"""),"7 ELEVEN AZTECA        GUADALUPE NL  MEX")</f>
        <v>7 ELEVEN AZTECA        GUADALUPE NL  MEX</v>
      </c>
      <c r="H715" s="4" t="str">
        <f ca="1">IFERROR(__xludf.DUMMYFUNCTION("""COMPUTED_VALUE"""),"7 Eleven")</f>
        <v>7 Eleven</v>
      </c>
      <c r="I715" s="4" t="str">
        <f ca="1">IFERROR(__xludf.DUMMYFUNCTION("""COMPUTED_VALUE"""),"Transaction cost")</f>
        <v>Transaction cost</v>
      </c>
      <c r="J715" s="4" t="str">
        <f ca="1">IFERROR(__xludf.DUMMYFUNCTION("""COMPUTED_VALUE"""),"RFQ 4512 Ecoclean 4512 Visita MP Comida")</f>
        <v>RFQ 4512 Ecoclean 4512 Visita MP Comida</v>
      </c>
      <c r="K715" s="4" t="str">
        <f ca="1">IFERROR(__xludf.DUMMYFUNCTION("""COMPUTED_VALUE"""),"Serie: 0076 Folio: 4058")</f>
        <v>Serie: 0076 Folio: 4058</v>
      </c>
      <c r="S715" s="6">
        <v>180.72</v>
      </c>
      <c r="T715" s="4" t="e">
        <f t="shared" ca="1" si="3"/>
        <v>#N/A</v>
      </c>
    </row>
    <row r="716" spans="1:20" ht="12.5">
      <c r="A716" s="4" t="str">
        <f ca="1">IFERROR(__xludf.DUMMYFUNCTION("""COMPUTED_VALUE"""),"TRX1130")</f>
        <v>TRX1130</v>
      </c>
      <c r="B716" s="4" t="str">
        <f ca="1">IFERROR(__xludf.DUMMYFUNCTION("""COMPUTED_VALUE"""),"#68")</f>
        <v>#68</v>
      </c>
      <c r="C716" s="5">
        <f ca="1">IFERROR(__xludf.DUMMYFUNCTION("""COMPUTED_VALUE"""),46060.4173611111)</f>
        <v>46060.417361111096</v>
      </c>
      <c r="D716" s="6">
        <f ca="1">IFERROR(__xludf.DUMMYFUNCTION("""COMPUTED_VALUE"""),94.5)</f>
        <v>94.5</v>
      </c>
      <c r="E716" s="4" t="str">
        <f ca="1">IFERROR(__xludf.DUMMYFUNCTION("""COMPUTED_VALUE"""),"MXN")</f>
        <v>MXN</v>
      </c>
      <c r="F716" s="4" t="str">
        <f ca="1">IFERROR(__xludf.DUMMYFUNCTION("""COMPUTED_VALUE"""),"Jorge Armando Ramirez Perez")</f>
        <v>Jorge Armando Ramirez Perez</v>
      </c>
      <c r="G716" s="4" t="str">
        <f ca="1">IFERROR(__xludf.DUMMYFUNCTION("""COMPUTED_VALUE"""),"7 ELEVEN DIAZ ORDAZ    SANTA CATARIN MEX")</f>
        <v>7 ELEVEN DIAZ ORDAZ    SANTA CATARIN MEX</v>
      </c>
      <c r="H716" s="4" t="str">
        <f ca="1">IFERROR(__xludf.DUMMYFUNCTION("""COMPUTED_VALUE"""),"7 Eleven")</f>
        <v>7 Eleven</v>
      </c>
      <c r="I716" s="4" t="str">
        <f ca="1">IFERROR(__xludf.DUMMYFUNCTION("""COMPUTED_VALUE"""),"Transaction cost")</f>
        <v>Transaction cost</v>
      </c>
      <c r="J716" s="4" t="str">
        <f ca="1">IFERROR(__xludf.DUMMYFUNCTION("""COMPUTED_VALUE"""),"RFQ 5052 Baltimore Baseparachiller Comida / Jose Franco / Jorge Ramírez")</f>
        <v>RFQ 5052 Baltimore Baseparachiller Comida / Jose Franco / Jorge Ramírez</v>
      </c>
      <c r="K716" s="4" t="str">
        <f ca="1">IFERROR(__xludf.DUMMYFUNCTION("""COMPUTED_VALUE"""),"N-")</f>
        <v>N-</v>
      </c>
      <c r="S716" s="6">
        <v>500</v>
      </c>
      <c r="T716" s="4" t="str">
        <f t="shared" ca="1" si="3"/>
        <v>Fernando Sanchez Toledano</v>
      </c>
    </row>
    <row r="717" spans="1:20" ht="12.5">
      <c r="A717" s="4" t="str">
        <f ca="1">IFERROR(__xludf.DUMMYFUNCTION("""COMPUTED_VALUE"""),"TRX1892")</f>
        <v>TRX1892</v>
      </c>
      <c r="B717" s="4" t="str">
        <f ca="1">IFERROR(__xludf.DUMMYFUNCTION("""COMPUTED_VALUE"""),"#68")</f>
        <v>#68</v>
      </c>
      <c r="C717" s="5">
        <f ca="1">IFERROR(__xludf.DUMMYFUNCTION("""COMPUTED_VALUE"""),46060.4173611111)</f>
        <v>46060.417361111096</v>
      </c>
      <c r="D717" s="6">
        <f ca="1">IFERROR(__xludf.DUMMYFUNCTION("""COMPUTED_VALUE"""),720)</f>
        <v>720</v>
      </c>
      <c r="E717" s="4" t="str">
        <f ca="1">IFERROR(__xludf.DUMMYFUNCTION("""COMPUTED_VALUE"""),"MXN")</f>
        <v>MXN</v>
      </c>
      <c r="F717" s="4" t="str">
        <f ca="1">IFERROR(__xludf.DUMMYFUNCTION("""COMPUTED_VALUE"""),"Jorge Armando Ramirez Perez")</f>
        <v>Jorge Armando Ramirez Perez</v>
      </c>
      <c r="G717" s="4" t="str">
        <f ca="1">IFERROR(__xludf.DUMMYFUNCTION("""COMPUTED_VALUE"""),"EL FELIGREZ            SALTILLO COAH MEX")</f>
        <v>EL FELIGREZ            SALTILLO COAH MEX</v>
      </c>
      <c r="H717" s="4" t="str">
        <f ca="1">IFERROR(__xludf.DUMMYFUNCTION("""COMPUTED_VALUE"""),"El Saltillo")</f>
        <v>El Saltillo</v>
      </c>
      <c r="I717" s="4" t="str">
        <f ca="1">IFERROR(__xludf.DUMMYFUNCTION("""COMPUTED_VALUE"""),"Transaction cost")</f>
        <v>Transaction cost</v>
      </c>
      <c r="J717" s="4" t="str">
        <f ca="1">IFERROR(__xludf.DUMMYFUNCTION("""COMPUTED_VALUE"""),"PO 7080 DeAcero Abrazaderas UBER")</f>
        <v>PO 7080 DeAcero Abrazaderas UBER</v>
      </c>
      <c r="K717" s="4"/>
      <c r="S717" s="6">
        <v>238</v>
      </c>
      <c r="T717" s="4" t="e">
        <f t="shared" ca="1" si="3"/>
        <v>#N/A</v>
      </c>
    </row>
    <row r="718" spans="1:20" ht="12.5">
      <c r="A718" s="4" t="str">
        <f ca="1">IFERROR(__xludf.DUMMYFUNCTION("""COMPUTED_VALUE"""),"TRX1760")</f>
        <v>TRX1760</v>
      </c>
      <c r="B718" s="4" t="str">
        <f ca="1">IFERROR(__xludf.DUMMYFUNCTION("""COMPUTED_VALUE"""),"#68")</f>
        <v>#68</v>
      </c>
      <c r="C718" s="5">
        <f ca="1">IFERROR(__xludf.DUMMYFUNCTION("""COMPUTED_VALUE"""),46061.4166666666)</f>
        <v>46061.416666666599</v>
      </c>
      <c r="D718" s="6">
        <f ca="1">IFERROR(__xludf.DUMMYFUNCTION("""COMPUTED_VALUE"""),237.27)</f>
        <v>237.27</v>
      </c>
      <c r="E718" s="4" t="str">
        <f ca="1">IFERROR(__xludf.DUMMYFUNCTION("""COMPUTED_VALUE"""),"MXN")</f>
        <v>MXN</v>
      </c>
      <c r="F718" s="4" t="str">
        <f ca="1">IFERROR(__xludf.DUMMYFUNCTION("""COMPUTED_VALUE"""),"Jorge Armando Ramirez Perez")</f>
        <v>Jorge Armando Ramirez Perez</v>
      </c>
      <c r="G718" s="4" t="str">
        <f ca="1">IFERROR(__xludf.DUMMYFUNCTION("""COMPUTED_VALUE"""),"UBER * PENDING         CMX           MEX")</f>
        <v>UBER * PENDING         CMX           MEX</v>
      </c>
      <c r="H718" s="4" t="str">
        <f ca="1">IFERROR(__xludf.DUMMYFUNCTION("""COMPUTED_VALUE"""),"Uber")</f>
        <v>Uber</v>
      </c>
      <c r="I718" s="4" t="str">
        <f ca="1">IFERROR(__xludf.DUMMYFUNCTION("""COMPUTED_VALUE"""),"Transaction cost")</f>
        <v>Transaction cost</v>
      </c>
      <c r="J718" s="4" t="str">
        <f ca="1">IFERROR(__xludf.DUMMYFUNCTION("""COMPUTED_VALUE"""),"PO 7080 DeAcero Abrazaderas UBER")</f>
        <v>PO 7080 DeAcero Abrazaderas UBER</v>
      </c>
      <c r="K718" s="4"/>
      <c r="S718" s="6">
        <v>50</v>
      </c>
      <c r="T718" s="4" t="str">
        <f t="shared" ca="1" si="3"/>
        <v>Rodrigo Perea</v>
      </c>
    </row>
    <row r="719" spans="1:20" ht="12.5">
      <c r="A719" s="4" t="str">
        <f ca="1">IFERROR(__xludf.DUMMYFUNCTION("""COMPUTED_VALUE"""),"TRX1602")</f>
        <v>TRX1602</v>
      </c>
      <c r="B719" s="4" t="str">
        <f ca="1">IFERROR(__xludf.DUMMYFUNCTION("""COMPUTED_VALUE"""),"#68")</f>
        <v>#68</v>
      </c>
      <c r="C719" s="5">
        <f ca="1">IFERROR(__xludf.DUMMYFUNCTION("""COMPUTED_VALUE"""),46061.4173611111)</f>
        <v>46061.417361111096</v>
      </c>
      <c r="D719" s="6">
        <f ca="1">IFERROR(__xludf.DUMMYFUNCTION("""COMPUTED_VALUE"""),1075.85)</f>
        <v>1075.8499999999999</v>
      </c>
      <c r="E719" s="4" t="str">
        <f ca="1">IFERROR(__xludf.DUMMYFUNCTION("""COMPUTED_VALUE"""),"MXN")</f>
        <v>MXN</v>
      </c>
      <c r="F719" s="4" t="str">
        <f ca="1">IFERROR(__xludf.DUMMYFUNCTION("""COMPUTED_VALUE"""),"Jorge Armando Ramirez Perez")</f>
        <v>Jorge Armando Ramirez Perez</v>
      </c>
      <c r="G719" s="4" t="str">
        <f ca="1">IFERROR(__xludf.DUMMYFUNCTION("""COMPUTED_VALUE"""),"GAS MADERO             MONTERREY NL  MEX")</f>
        <v>GAS MADERO             MONTERREY NL  MEX</v>
      </c>
      <c r="H719" s="4" t="str">
        <f ca="1">IFERROR(__xludf.DUMMYFUNCTION("""COMPUTED_VALUE"""),"Gas Madero Monterrey Nl Mex")</f>
        <v>Gas Madero Monterrey Nl Mex</v>
      </c>
      <c r="I719" s="4" t="str">
        <f ca="1">IFERROR(__xludf.DUMMYFUNCTION("""COMPUTED_VALUE"""),"Transaction cost")</f>
        <v>Transaction cost</v>
      </c>
      <c r="J719" s="4" t="str">
        <f ca="1">IFERROR(__xludf.DUMMYFUNCTION("""COMPUTED_VALUE"""),"PO 780 Deacero Abrazaderas Gasolina")</f>
        <v>PO 780 Deacero Abrazaderas Gasolina</v>
      </c>
      <c r="K719" s="4" t="str">
        <f ca="1">IFERROR(__xludf.DUMMYFUNCTION("""COMPUTED_VALUE"""),"EAI - 167451")</f>
        <v>EAI - 167451</v>
      </c>
      <c r="S719" s="6">
        <v>218</v>
      </c>
      <c r="T719" s="4" t="str">
        <f t="shared" ca="1" si="3"/>
        <v>Karen Alexandra Ballesteros Contreras</v>
      </c>
    </row>
    <row r="720" spans="1:20" ht="12.5">
      <c r="A720" s="4" t="str">
        <f ca="1">IFERROR(__xludf.DUMMYFUNCTION("""COMPUTED_VALUE"""),"TRX1337")</f>
        <v>TRX1337</v>
      </c>
      <c r="B720" s="4" t="str">
        <f ca="1">IFERROR(__xludf.DUMMYFUNCTION("""COMPUTED_VALUE"""),"#68")</f>
        <v>#68</v>
      </c>
      <c r="C720" s="5">
        <f ca="1">IFERROR(__xludf.DUMMYFUNCTION("""COMPUTED_VALUE"""),46061.4173611111)</f>
        <v>46061.417361111096</v>
      </c>
      <c r="D720" s="6">
        <f ca="1">IFERROR(__xludf.DUMMYFUNCTION("""COMPUTED_VALUE"""),210)</f>
        <v>210</v>
      </c>
      <c r="E720" s="4" t="str">
        <f ca="1">IFERROR(__xludf.DUMMYFUNCTION("""COMPUTED_VALUE"""),"MXN")</f>
        <v>MXN</v>
      </c>
      <c r="F720" s="4" t="str">
        <f ca="1">IFERROR(__xludf.DUMMYFUNCTION("""COMPUTED_VALUE"""),"Jorge Armando Ramirez Perez")</f>
        <v>Jorge Armando Ramirez Perez</v>
      </c>
      <c r="G720" s="4" t="str">
        <f ca="1">IFERROR(__xludf.DUMMYFUNCTION("""COMPUTED_VALUE"""),"TH RICARDO MARGAIN     SAN PEDRO GAR MEX")</f>
        <v>TH RICARDO MARGAIN     SAN PEDRO GAR MEX</v>
      </c>
      <c r="H720" s="4" t="str">
        <f ca="1">IFERROR(__xludf.DUMMYFUNCTION("""COMPUTED_VALUE"""),"Th Ricardo Margain San Pedro Gar Mex")</f>
        <v>Th Ricardo Margain San Pedro Gar Mex</v>
      </c>
      <c r="I720" s="4" t="str">
        <f ca="1">IFERROR(__xludf.DUMMYFUNCTION("""COMPUTED_VALUE"""),"Transaction cost")</f>
        <v>Transaction cost</v>
      </c>
      <c r="J720" s="4" t="str">
        <f ca="1">IFERROR(__xludf.DUMMYFUNCTION("""COMPUTED_VALUE"""),"PO 780 Deacero Abrazaderas Comida")</f>
        <v>PO 780 Deacero Abrazaderas Comida</v>
      </c>
      <c r="K720" s="4" t="str">
        <f ca="1">IFERROR(__xludf.DUMMYFUNCTION("""COMPUTED_VALUE"""),"FACTURA RMNL6966 [Tipo: I - Ingreso UUID:4b336fed-d276-4360-be80-157f64723f5c]")</f>
        <v>FACTURA RMNL6966 [Tipo: I - Ingreso UUID:4b336fed-d276-4360-be80-157f64723f5c]</v>
      </c>
      <c r="S720" s="6">
        <v>738.14</v>
      </c>
      <c r="T720" s="4" t="e">
        <f t="shared" ca="1" si="3"/>
        <v>#N/A</v>
      </c>
    </row>
    <row r="721" spans="1:20" ht="12.5">
      <c r="A721" s="4" t="str">
        <f ca="1">IFERROR(__xludf.DUMMYFUNCTION("""COMPUTED_VALUE"""),"TRX1893")</f>
        <v>TRX1893</v>
      </c>
      <c r="B721" s="4" t="str">
        <f ca="1">IFERROR(__xludf.DUMMYFUNCTION("""COMPUTED_VALUE"""),"#68")</f>
        <v>#68</v>
      </c>
      <c r="C721" s="5">
        <f ca="1">IFERROR(__xludf.DUMMYFUNCTION("""COMPUTED_VALUE"""),46062.4166666666)</f>
        <v>46062.416666666599</v>
      </c>
      <c r="D721" s="6">
        <f ca="1">IFERROR(__xludf.DUMMYFUNCTION("""COMPUTED_VALUE"""),69.95)</f>
        <v>69.95</v>
      </c>
      <c r="E721" s="4" t="str">
        <f ca="1">IFERROR(__xludf.DUMMYFUNCTION("""COMPUTED_VALUE"""),"MXN")</f>
        <v>MXN</v>
      </c>
      <c r="F721" s="4" t="str">
        <f ca="1">IFERROR(__xludf.DUMMYFUNCTION("""COMPUTED_VALUE"""),"Jorge Armando Ramirez Perez")</f>
        <v>Jorge Armando Ramirez Perez</v>
      </c>
      <c r="G721" s="4" t="str">
        <f ca="1">IFERROR(__xludf.DUMMYFUNCTION("""COMPUTED_VALUE"""),"UBER * PENDING         CMX           MEX")</f>
        <v>UBER * PENDING         CMX           MEX</v>
      </c>
      <c r="H721" s="4" t="str">
        <f ca="1">IFERROR(__xludf.DUMMYFUNCTION("""COMPUTED_VALUE"""),"Uber")</f>
        <v>Uber</v>
      </c>
      <c r="I721" s="4" t="str">
        <f ca="1">IFERROR(__xludf.DUMMYFUNCTION("""COMPUTED_VALUE"""),"Transaction cost")</f>
        <v>Transaction cost</v>
      </c>
      <c r="J721" s="4" t="str">
        <f ca="1">IFERROR(__xludf.DUMMYFUNCTION("""COMPUTED_VALUE"""),"Envio Rugosimetro")</f>
        <v>Envio Rugosimetro</v>
      </c>
      <c r="K721" s="4"/>
      <c r="S721" s="6">
        <v>882.7</v>
      </c>
      <c r="T721" s="4" t="e">
        <f t="shared" ca="1" si="3"/>
        <v>#N/A</v>
      </c>
    </row>
    <row r="722" spans="1:20" ht="12.5">
      <c r="A722" s="4" t="str">
        <f ca="1">IFERROR(__xludf.DUMMYFUNCTION("""COMPUTED_VALUE"""),"TRX1881")</f>
        <v>TRX1881</v>
      </c>
      <c r="B722" s="4" t="str">
        <f ca="1">IFERROR(__xludf.DUMMYFUNCTION("""COMPUTED_VALUE"""),"#68")</f>
        <v>#68</v>
      </c>
      <c r="C722" s="5">
        <f ca="1">IFERROR(__xludf.DUMMYFUNCTION("""COMPUTED_VALUE"""),46062.4166666666)</f>
        <v>46062.416666666599</v>
      </c>
      <c r="D722" s="6">
        <f ca="1">IFERROR(__xludf.DUMMYFUNCTION("""COMPUTED_VALUE"""),938)</f>
        <v>938</v>
      </c>
      <c r="E722" s="4" t="str">
        <f ca="1">IFERROR(__xludf.DUMMYFUNCTION("""COMPUTED_VALUE"""),"MXN")</f>
        <v>MXN</v>
      </c>
      <c r="F722" s="4" t="str">
        <f ca="1">IFERROR(__xludf.DUMMYFUNCTION("""COMPUTED_VALUE"""),"Jorge Armando Ramirez Perez")</f>
        <v>Jorge Armando Ramirez Perez</v>
      </c>
      <c r="G722" s="4" t="str">
        <f ca="1">IFERROR(__xludf.DUMMYFUNCTION("""COMPUTED_VALUE"""),"AUTOZONE 7798          GUADALUPE NL  MEX")</f>
        <v>AUTOZONE 7798          GUADALUPE NL  MEX</v>
      </c>
      <c r="H722" s="4" t="str">
        <f ca="1">IFERROR(__xludf.DUMMYFUNCTION("""COMPUTED_VALUE"""),"Autozone")</f>
        <v>Autozone</v>
      </c>
      <c r="I722" s="4" t="str">
        <f ca="1">IFERROR(__xludf.DUMMYFUNCTION("""COMPUTED_VALUE"""),"Transaction cost")</f>
        <v>Transaction cost</v>
      </c>
      <c r="J722" s="4" t="str">
        <f ca="1">IFERROR(__xludf.DUMMYFUNCTION("""COMPUTED_VALUE"""),"RFQ 5052 Batimore Base chillers Auto / Combustible pagado en efectivo")</f>
        <v>RFQ 5052 Batimore Base chillers Auto / Combustible pagado en efectivo</v>
      </c>
      <c r="K722" s="4" t="str">
        <f ca="1">IFERROR(__xludf.DUMMYFUNCTION("""COMPUTED_VALUE"""),"Serie 00007798 Folio 964259")</f>
        <v>Serie 00007798 Folio 964259</v>
      </c>
      <c r="S722" s="6">
        <v>166</v>
      </c>
      <c r="T722" s="4" t="e">
        <f t="shared" ca="1" si="3"/>
        <v>#N/A</v>
      </c>
    </row>
    <row r="723" spans="1:20" ht="12.5">
      <c r="A723" s="4" t="str">
        <f ca="1">IFERROR(__xludf.DUMMYFUNCTION("""COMPUTED_VALUE"""),"TRX1791")</f>
        <v>TRX1791</v>
      </c>
      <c r="B723" s="4" t="str">
        <f ca="1">IFERROR(__xludf.DUMMYFUNCTION("""COMPUTED_VALUE"""),"#68")</f>
        <v>#68</v>
      </c>
      <c r="C723" s="5">
        <f ca="1">IFERROR(__xludf.DUMMYFUNCTION("""COMPUTED_VALUE"""),46062.4166666666)</f>
        <v>46062.416666666599</v>
      </c>
      <c r="D723" s="6">
        <f ca="1">IFERROR(__xludf.DUMMYFUNCTION("""COMPUTED_VALUE"""),290)</f>
        <v>290</v>
      </c>
      <c r="E723" s="4" t="str">
        <f ca="1">IFERROR(__xludf.DUMMYFUNCTION("""COMPUTED_VALUE"""),"MXN")</f>
        <v>MXN</v>
      </c>
      <c r="F723" s="4" t="str">
        <f ca="1">IFERROR(__xludf.DUMMYFUNCTION("""COMPUTED_VALUE"""),"Jorge Armando Ramirez Perez")</f>
        <v>Jorge Armando Ramirez Perez</v>
      </c>
      <c r="G723" s="4" t="str">
        <f ca="1">IFERROR(__xludf.DUMMYFUNCTION("""COMPUTED_VALUE"""),"TACOS EL AMIGO         MONTERREY NL  MEX")</f>
        <v>TACOS EL AMIGO         MONTERREY NL  MEX</v>
      </c>
      <c r="H723" s="4" t="str">
        <f ca="1">IFERROR(__xludf.DUMMYFUNCTION("""COMPUTED_VALUE"""),"Tacos El Amigo Monterrey Nl Mex")</f>
        <v>Tacos El Amigo Monterrey Nl Mex</v>
      </c>
      <c r="I723" s="4" t="str">
        <f ca="1">IFERROR(__xludf.DUMMYFUNCTION("""COMPUTED_VALUE"""),"Transaction cost")</f>
        <v>Transaction cost</v>
      </c>
      <c r="J723" s="4" t="str">
        <f ca="1">IFERROR(__xludf.DUMMYFUNCTION("""COMPUTED_VALUE"""),"PO 780 Deacero Abrazaderas Comida")</f>
        <v>PO 780 Deacero Abrazaderas Comida</v>
      </c>
      <c r="K723" s="4" t="str">
        <f ca="1">IFERROR(__xludf.DUMMYFUNCTION("""COMPUTED_VALUE"""),"N-")</f>
        <v>N-</v>
      </c>
      <c r="S723" s="6">
        <v>70</v>
      </c>
      <c r="T723" s="4" t="str">
        <f t="shared" ca="1" si="3"/>
        <v>Fernanda Sanchez Ruiz</v>
      </c>
    </row>
    <row r="724" spans="1:20" ht="12.5">
      <c r="A724" s="4" t="str">
        <f ca="1">IFERROR(__xludf.DUMMYFUNCTION("""COMPUTED_VALUE"""),"TRX1731")</f>
        <v>TRX1731</v>
      </c>
      <c r="B724" s="4" t="str">
        <f ca="1">IFERROR(__xludf.DUMMYFUNCTION("""COMPUTED_VALUE"""),"#68")</f>
        <v>#68</v>
      </c>
      <c r="C724" s="5">
        <f ca="1">IFERROR(__xludf.DUMMYFUNCTION("""COMPUTED_VALUE"""),46064.4166666666)</f>
        <v>46064.416666666599</v>
      </c>
      <c r="D724" s="6">
        <f ca="1">IFERROR(__xludf.DUMMYFUNCTION("""COMPUTED_VALUE"""),1012)</f>
        <v>1012</v>
      </c>
      <c r="E724" s="4" t="str">
        <f ca="1">IFERROR(__xludf.DUMMYFUNCTION("""COMPUTED_VALUE"""),"MXN")</f>
        <v>MXN</v>
      </c>
      <c r="F724" s="4" t="str">
        <f ca="1">IFERROR(__xludf.DUMMYFUNCTION("""COMPUTED_VALUE"""),"Jorge Armando Ramirez Perez")</f>
        <v>Jorge Armando Ramirez Perez</v>
      </c>
      <c r="G724" s="4" t="str">
        <f ca="1">IFERROR(__xludf.DUMMYFUNCTION("""COMPUTED_VALUE"""),"BAIFO RESTAURANT       SALTILLO COAH MEX")</f>
        <v>BAIFO RESTAURANT       SALTILLO COAH MEX</v>
      </c>
      <c r="H724" s="4" t="str">
        <f ca="1">IFERROR(__xludf.DUMMYFUNCTION("""COMPUTED_VALUE"""),"Baifo Restaurant Saltillo Coah Mex")</f>
        <v>Baifo Restaurant Saltillo Coah Mex</v>
      </c>
      <c r="I724" s="4" t="str">
        <f ca="1">IFERROR(__xludf.DUMMYFUNCTION("""COMPUTED_VALUE"""),"Transaction cost")</f>
        <v>Transaction cost</v>
      </c>
      <c r="J724" s="4" t="str">
        <f ca="1">IFERROR(__xludf.DUMMYFUNCTION("""COMPUTED_VALUE"""),"RFQ 5052 Batimore Base chillers Comida / Jose Franco / Jorge Ramirez")</f>
        <v>RFQ 5052 Batimore Base chillers Comida / Jose Franco / Jorge Ramirez</v>
      </c>
      <c r="K724" s="4" t="str">
        <f ca="1">IFERROR(__xludf.DUMMYFUNCTION("""COMPUTED_VALUE"""),"A8EE1237-0C26-4D3F-89CA-6342027D54EC")</f>
        <v>A8EE1237-0C26-4D3F-89CA-6342027D54EC</v>
      </c>
      <c r="S724" s="6">
        <v>500</v>
      </c>
      <c r="T724" s="4" t="str">
        <f t="shared" ca="1" si="3"/>
        <v>Fernando Sanchez Toledano</v>
      </c>
    </row>
    <row r="725" spans="1:20" ht="12.5">
      <c r="A725" s="4" t="str">
        <f ca="1">IFERROR(__xludf.DUMMYFUNCTION("""COMPUTED_VALUE"""),"TRX1464")</f>
        <v>TRX1464</v>
      </c>
      <c r="B725" s="4" t="str">
        <f ca="1">IFERROR(__xludf.DUMMYFUNCTION("""COMPUTED_VALUE"""),"#68")</f>
        <v>#68</v>
      </c>
      <c r="C725" s="5">
        <f ca="1">IFERROR(__xludf.DUMMYFUNCTION("""COMPUTED_VALUE"""),46064.4166666666)</f>
        <v>46064.416666666599</v>
      </c>
      <c r="D725" s="6">
        <f ca="1">IFERROR(__xludf.DUMMYFUNCTION("""COMPUTED_VALUE"""),193.6)</f>
        <v>193.6</v>
      </c>
      <c r="E725" s="4" t="str">
        <f ca="1">IFERROR(__xludf.DUMMYFUNCTION("""COMPUTED_VALUE"""),"MXN")</f>
        <v>MXN</v>
      </c>
      <c r="F725" s="4" t="str">
        <f ca="1">IFERROR(__xludf.DUMMYFUNCTION("""COMPUTED_VALUE"""),"Jorge Armando Ramirez Perez")</f>
        <v>Jorge Armando Ramirez Perez</v>
      </c>
      <c r="G725" s="4" t="str">
        <f ca="1">IFERROR(__xludf.DUMMYFUNCTION("""COMPUTED_VALUE"""),"MERCADOPAGO *GORDITAS  Saltillo      MEX")</f>
        <v>MERCADOPAGO *GORDITAS  Saltillo      MEX</v>
      </c>
      <c r="H725" s="4" t="str">
        <f ca="1">IFERROR(__xludf.DUMMYFUNCTION("""COMPUTED_VALUE"""),"Mercadopago")</f>
        <v>Mercadopago</v>
      </c>
      <c r="I725" s="4" t="str">
        <f ca="1">IFERROR(__xludf.DUMMYFUNCTION("""COMPUTED_VALUE"""),"Transaction cost")</f>
        <v>Transaction cost</v>
      </c>
      <c r="J725" s="4" t="str">
        <f ca="1">IFERROR(__xludf.DUMMYFUNCTION("""COMPUTED_VALUE"""),"RFQ 5052 Baltimore Baseparachiller Comida")</f>
        <v>RFQ 5052 Baltimore Baseparachiller Comida</v>
      </c>
      <c r="K725" s="4"/>
      <c r="S725" s="6">
        <v>2010</v>
      </c>
      <c r="T725" s="4" t="str">
        <f t="shared" ca="1" si="3"/>
        <v>Jose Ignacio Martinez Flemate</v>
      </c>
    </row>
    <row r="726" spans="1:20" ht="12.5">
      <c r="A726" s="4" t="str">
        <f ca="1">IFERROR(__xludf.DUMMYFUNCTION("""COMPUTED_VALUE"""),"TRX1550")</f>
        <v>TRX1550</v>
      </c>
      <c r="B726" s="4" t="str">
        <f ca="1">IFERROR(__xludf.DUMMYFUNCTION("""COMPUTED_VALUE"""),"#68")</f>
        <v>#68</v>
      </c>
      <c r="C726" s="5">
        <f ca="1">IFERROR(__xludf.DUMMYFUNCTION("""COMPUTED_VALUE"""),46064.4173611111)</f>
        <v>46064.417361111096</v>
      </c>
      <c r="D726" s="6">
        <f ca="1">IFERROR(__xludf.DUMMYFUNCTION("""COMPUTED_VALUE"""),997.18)</f>
        <v>997.18</v>
      </c>
      <c r="E726" s="4" t="str">
        <f ca="1">IFERROR(__xludf.DUMMYFUNCTION("""COMPUTED_VALUE"""),"MXN")</f>
        <v>MXN</v>
      </c>
      <c r="F726" s="4" t="str">
        <f ca="1">IFERROR(__xludf.DUMMYFUNCTION("""COMPUTED_VALUE"""),"Jorge Armando Ramirez Perez")</f>
        <v>Jorge Armando Ramirez Perez</v>
      </c>
      <c r="G726" s="4" t="str">
        <f ca="1">IFERROR(__xludf.DUMMYFUNCTION("""COMPUTED_VALUE"""),"HIDROCARBUROS QUINTAS  GUADALUPE NL  MEX")</f>
        <v>HIDROCARBUROS QUINTAS  GUADALUPE NL  MEX</v>
      </c>
      <c r="H726" s="4" t="str">
        <f ca="1">IFERROR(__xludf.DUMMYFUNCTION("""COMPUTED_VALUE"""),"Hidrocarburos Quintas Guadalupe Nl Mex")</f>
        <v>Hidrocarburos Quintas Guadalupe Nl Mex</v>
      </c>
      <c r="I726" s="4" t="str">
        <f ca="1">IFERROR(__xludf.DUMMYFUNCTION("""COMPUTED_VALUE"""),"Transaction cost")</f>
        <v>Transaction cost</v>
      </c>
      <c r="J726" s="4" t="str">
        <f ca="1">IFERROR(__xludf.DUMMYFUNCTION("""COMPUTED_VALUE"""),"RFQ 5052 Batimore Base chillers Gasolina")</f>
        <v>RFQ 5052 Batimore Base chillers Gasolina</v>
      </c>
      <c r="K726" s="4"/>
      <c r="S726" s="6">
        <v>1000</v>
      </c>
      <c r="T726" s="4" t="str">
        <f t="shared" ca="1" si="3"/>
        <v>Fernando Sanchez Toledano</v>
      </c>
    </row>
    <row r="727" spans="1:20" ht="12.5">
      <c r="A727" s="4" t="str">
        <f ca="1">IFERROR(__xludf.DUMMYFUNCTION("""COMPUTED_VALUE"""),"TRX1671")</f>
        <v>TRX1671</v>
      </c>
      <c r="B727" s="4" t="str">
        <f ca="1">IFERROR(__xludf.DUMMYFUNCTION("""COMPUTED_VALUE"""),"#68")</f>
        <v>#68</v>
      </c>
      <c r="C727" s="5">
        <f ca="1">IFERROR(__xludf.DUMMYFUNCTION("""COMPUTED_VALUE"""),46066.4166666666)</f>
        <v>46066.416666666599</v>
      </c>
      <c r="D727" s="6">
        <f ca="1">IFERROR(__xludf.DUMMYFUNCTION("""COMPUTED_VALUE"""),63.85)</f>
        <v>63.85</v>
      </c>
      <c r="E727" s="4" t="str">
        <f ca="1">IFERROR(__xludf.DUMMYFUNCTION("""COMPUTED_VALUE"""),"MXN")</f>
        <v>MXN</v>
      </c>
      <c r="F727" s="4" t="str">
        <f ca="1">IFERROR(__xludf.DUMMYFUNCTION("""COMPUTED_VALUE"""),"Jorge Armando Ramirez Perez")</f>
        <v>Jorge Armando Ramirez Perez</v>
      </c>
      <c r="G727" s="4" t="str">
        <f ca="1">IFERROR(__xludf.DUMMYFUNCTION("""COMPUTED_VALUE"""),"HEB LINDA VISTA        GUADALUPE NL  MEX")</f>
        <v>HEB LINDA VISTA        GUADALUPE NL  MEX</v>
      </c>
      <c r="H727" s="4" t="str">
        <f ca="1">IFERROR(__xludf.DUMMYFUNCTION("""COMPUTED_VALUE"""),"H-E-B")</f>
        <v>H-E-B</v>
      </c>
      <c r="I727" s="4" t="str">
        <f ca="1">IFERROR(__xludf.DUMMYFUNCTION("""COMPUTED_VALUE"""),"Transaction cost")</f>
        <v>Transaction cost</v>
      </c>
      <c r="J727" s="4" t="str">
        <f ca="1">IFERROR(__xludf.DUMMYFUNCTION("""COMPUTED_VALUE"""),"RFQ 5052 Baltimore Baseparachiller Comida")</f>
        <v>RFQ 5052 Baltimore Baseparachiller Comida</v>
      </c>
      <c r="K727" s="4" t="str">
        <f ca="1">IFERROR(__xludf.DUMMYFUNCTION("""COMPUTED_VALUE"""),"KC 591712")</f>
        <v>KC 591712</v>
      </c>
      <c r="S727" s="6">
        <v>1000</v>
      </c>
      <c r="T727" s="4" t="str">
        <f t="shared" ca="1" si="3"/>
        <v>Fernando Sanchez Toledano</v>
      </c>
    </row>
    <row r="728" spans="1:20" ht="12.5">
      <c r="A728" s="4" t="str">
        <f ca="1">IFERROR(__xludf.DUMMYFUNCTION("""COMPUTED_VALUE"""),"TRX2016")</f>
        <v>TRX2016</v>
      </c>
      <c r="B728" s="4" t="str">
        <f ca="1">IFERROR(__xludf.DUMMYFUNCTION("""COMPUTED_VALUE"""),"#68")</f>
        <v>#68</v>
      </c>
      <c r="C728" s="5">
        <f ca="1">IFERROR(__xludf.DUMMYFUNCTION("""COMPUTED_VALUE"""),46067.4166666666)</f>
        <v>46067.416666666599</v>
      </c>
      <c r="D728" s="6">
        <f ca="1">IFERROR(__xludf.DUMMYFUNCTION("""COMPUTED_VALUE"""),296.7)</f>
        <v>296.7</v>
      </c>
      <c r="E728" s="4" t="str">
        <f ca="1">IFERROR(__xludf.DUMMYFUNCTION("""COMPUTED_VALUE"""),"MXN")</f>
        <v>MXN</v>
      </c>
      <c r="F728" s="4" t="str">
        <f ca="1">IFERROR(__xludf.DUMMYFUNCTION("""COMPUTED_VALUE"""),"Jorge Armando Ramirez Perez")</f>
        <v>Jorge Armando Ramirez Perez</v>
      </c>
      <c r="G728" s="4" t="str">
        <f ca="1">IFERROR(__xludf.DUMMYFUNCTION("""COMPUTED_VALUE"""),"MERCADOPAGO *GORDITAS  Saltillo      MEX")</f>
        <v>MERCADOPAGO *GORDITAS  Saltillo      MEX</v>
      </c>
      <c r="H728" s="4" t="str">
        <f ca="1">IFERROR(__xludf.DUMMYFUNCTION("""COMPUTED_VALUE"""),"Mercadopago")</f>
        <v>Mercadopago</v>
      </c>
      <c r="I728" s="4" t="str">
        <f ca="1">IFERROR(__xludf.DUMMYFUNCTION("""COMPUTED_VALUE"""),"Transaction cost")</f>
        <v>Transaction cost</v>
      </c>
      <c r="J728" s="4" t="str">
        <f ca="1">IFERROR(__xludf.DUMMYFUNCTION("""COMPUTED_VALUE"""),"RFQ 5052 Baltimore Baseparachiller Comida")</f>
        <v>RFQ 5052 Baltimore Baseparachiller Comida</v>
      </c>
      <c r="K728" s="4"/>
      <c r="S728" s="6">
        <v>43.17</v>
      </c>
      <c r="T728" s="4" t="e">
        <f t="shared" ca="1" si="3"/>
        <v>#N/A</v>
      </c>
    </row>
    <row r="729" spans="1:20" ht="12.5">
      <c r="A729" s="4" t="str">
        <f ca="1">IFERROR(__xludf.DUMMYFUNCTION("""COMPUTED_VALUE"""),"TRX1680")</f>
        <v>TRX1680</v>
      </c>
      <c r="B729" s="4" t="str">
        <f ca="1">IFERROR(__xludf.DUMMYFUNCTION("""COMPUTED_VALUE"""),"#68")</f>
        <v>#68</v>
      </c>
      <c r="C729" s="5">
        <f ca="1">IFERROR(__xludf.DUMMYFUNCTION("""COMPUTED_VALUE"""),46067.4166666666)</f>
        <v>46067.416666666599</v>
      </c>
      <c r="D729" s="6">
        <f ca="1">IFERROR(__xludf.DUMMYFUNCTION("""COMPUTED_VALUE"""),600)</f>
        <v>600</v>
      </c>
      <c r="E729" s="4" t="str">
        <f ca="1">IFERROR(__xludf.DUMMYFUNCTION("""COMPUTED_VALUE"""),"MXN")</f>
        <v>MXN</v>
      </c>
      <c r="F729" s="4" t="str">
        <f ca="1">IFERROR(__xludf.DUMMYFUNCTION("""COMPUTED_VALUE"""),"Jorge Armando Ramirez Perez")</f>
        <v>Jorge Armando Ramirez Perez</v>
      </c>
      <c r="G729" s="4" t="str">
        <f ca="1">IFERROR(__xludf.DUMMYFUNCTION("""COMPUTED_VALUE"""),"RECARGA PASE TUTAG     CIUDAD DE MEX MEX")</f>
        <v>RECARGA PASE TUTAG     CIUDAD DE MEX MEX</v>
      </c>
      <c r="H729" s="4" t="str">
        <f ca="1">IFERROR(__xludf.DUMMYFUNCTION("""COMPUTED_VALUE"""),"Recarga Pase Tutag Ciudad De Mex Mex")</f>
        <v>Recarga Pase Tutag Ciudad De Mex Mex</v>
      </c>
      <c r="I729" s="4" t="str">
        <f ca="1">IFERROR(__xludf.DUMMYFUNCTION("""COMPUTED_VALUE"""),"Transaction cost")</f>
        <v>Transaction cost</v>
      </c>
      <c r="J729" s="4" t="str">
        <f ca="1">IFERROR(__xludf.DUMMYFUNCTION("""COMPUTED_VALUE"""),"RFQ 5052 Baltimore Baseparachiller Casetas")</f>
        <v>RFQ 5052 Baltimore Baseparachiller Casetas</v>
      </c>
      <c r="K729" s="4" t="str">
        <f ca="1">IFERROR(__xludf.DUMMYFUNCTION("""COMPUTED_VALUE"""),"00001000000720922343")</f>
        <v>00001000000720922343</v>
      </c>
      <c r="S729" s="6">
        <v>209.94</v>
      </c>
      <c r="T729" s="4" t="e">
        <f t="shared" ca="1" si="3"/>
        <v>#N/A</v>
      </c>
    </row>
    <row r="730" spans="1:20" ht="12.5">
      <c r="A730" s="4" t="str">
        <f ca="1">IFERROR(__xludf.DUMMYFUNCTION("""COMPUTED_VALUE"""),"TRX1272")</f>
        <v>TRX1272</v>
      </c>
      <c r="B730" s="4" t="str">
        <f ca="1">IFERROR(__xludf.DUMMYFUNCTION("""COMPUTED_VALUE"""),"#68")</f>
        <v>#68</v>
      </c>
      <c r="C730" s="5">
        <f ca="1">IFERROR(__xludf.DUMMYFUNCTION("""COMPUTED_VALUE"""),46067.4173611111)</f>
        <v>46067.417361111096</v>
      </c>
      <c r="D730" s="6">
        <f ca="1">IFERROR(__xludf.DUMMYFUNCTION("""COMPUTED_VALUE"""),255)</f>
        <v>255</v>
      </c>
      <c r="E730" s="4" t="str">
        <f ca="1">IFERROR(__xludf.DUMMYFUNCTION("""COMPUTED_VALUE"""),"MXN")</f>
        <v>MXN</v>
      </c>
      <c r="F730" s="4" t="str">
        <f ca="1">IFERROR(__xludf.DUMMYFUNCTION("""COMPUTED_VALUE"""),"Jorge Armando Ramirez Perez")</f>
        <v>Jorge Armando Ramirez Perez</v>
      </c>
      <c r="G730" s="4" t="str">
        <f ca="1">IFERROR(__xludf.DUMMYFUNCTION("""COMPUTED_VALUE"""),"EL POLLO LOCO          GUADALUPE NL  MEX")</f>
        <v>EL POLLO LOCO          GUADALUPE NL  MEX</v>
      </c>
      <c r="H730" s="4" t="str">
        <f ca="1">IFERROR(__xludf.DUMMYFUNCTION("""COMPUTED_VALUE"""),"El Pollo Loco")</f>
        <v>El Pollo Loco</v>
      </c>
      <c r="I730" s="4" t="str">
        <f ca="1">IFERROR(__xludf.DUMMYFUNCTION("""COMPUTED_VALUE"""),"Transaction cost")</f>
        <v>Transaction cost</v>
      </c>
      <c r="J730" s="4" t="str">
        <f ca="1">IFERROR(__xludf.DUMMYFUNCTION("""COMPUTED_VALUE"""),"PO 7080 DeAcero Abrazaderas Comida")</f>
        <v>PO 7080 DeAcero Abrazaderas Comida</v>
      </c>
      <c r="K730" s="4"/>
      <c r="S730" s="6">
        <v>4362.8500000000004</v>
      </c>
      <c r="T730" s="4" t="e">
        <f t="shared" ca="1" si="3"/>
        <v>#N/A</v>
      </c>
    </row>
    <row r="731" spans="1:20" ht="12.5">
      <c r="A731" s="4" t="str">
        <f ca="1">IFERROR(__xludf.DUMMYFUNCTION("""COMPUTED_VALUE"""),"TRX1042")</f>
        <v>TRX1042</v>
      </c>
      <c r="B731" s="4" t="str">
        <f ca="1">IFERROR(__xludf.DUMMYFUNCTION("""COMPUTED_VALUE"""),"#68")</f>
        <v>#68</v>
      </c>
      <c r="C731" s="5">
        <f ca="1">IFERROR(__xludf.DUMMYFUNCTION("""COMPUTED_VALUE"""),46067.4173611111)</f>
        <v>46067.417361111096</v>
      </c>
      <c r="D731" s="6">
        <f ca="1">IFERROR(__xludf.DUMMYFUNCTION("""COMPUTED_VALUE"""),200)</f>
        <v>200</v>
      </c>
      <c r="E731" s="4" t="str">
        <f ca="1">IFERROR(__xludf.DUMMYFUNCTION("""COMPUTED_VALUE"""),"MXN")</f>
        <v>MXN</v>
      </c>
      <c r="F731" s="4" t="str">
        <f ca="1">IFERROR(__xludf.DUMMYFUNCTION("""COMPUTED_VALUE"""),"Jorge Armando Ramirez Perez")</f>
        <v>Jorge Armando Ramirez Perez</v>
      </c>
      <c r="G731" s="4" t="str">
        <f ca="1">IFERROR(__xludf.DUMMYFUNCTION("""COMPUTED_VALUE"""),"SULTANA DOS RIOS       GUADALUPE NL  MEX")</f>
        <v>SULTANA DOS RIOS       GUADALUPE NL  MEX</v>
      </c>
      <c r="H731" s="4" t="str">
        <f ca="1">IFERROR(__xludf.DUMMYFUNCTION("""COMPUTED_VALUE"""),"Sultana Dos Rios Guadalupe Nl Mex")</f>
        <v>Sultana Dos Rios Guadalupe Nl Mex</v>
      </c>
      <c r="I731" s="4" t="str">
        <f ca="1">IFERROR(__xludf.DUMMYFUNCTION("""COMPUTED_VALUE"""),"Transaction cost")</f>
        <v>Transaction cost</v>
      </c>
      <c r="J731" s="4" t="str">
        <f ca="1">IFERROR(__xludf.DUMMYFUNCTION("""COMPUTED_VALUE"""),"RFQ 5052 Baltimore Baseparachiller Gasolina")</f>
        <v>RFQ 5052 Baltimore Baseparachiller Gasolina</v>
      </c>
      <c r="K731" s="4"/>
      <c r="S731" s="6">
        <v>765.59</v>
      </c>
      <c r="T731" s="4" t="e">
        <f t="shared" ca="1" si="3"/>
        <v>#N/A</v>
      </c>
    </row>
    <row r="732" spans="1:20" ht="12.5">
      <c r="A732" s="4" t="str">
        <f ca="1">IFERROR(__xludf.DUMMYFUNCTION("""COMPUTED_VALUE"""),"TRX1813")</f>
        <v>TRX1813</v>
      </c>
      <c r="B732" s="4" t="str">
        <f ca="1">IFERROR(__xludf.DUMMYFUNCTION("""COMPUTED_VALUE"""),"#68")</f>
        <v>#68</v>
      </c>
      <c r="C732" s="5">
        <f ca="1">IFERROR(__xludf.DUMMYFUNCTION("""COMPUTED_VALUE"""),46067.4173611111)</f>
        <v>46067.417361111096</v>
      </c>
      <c r="D732" s="6">
        <f ca="1">IFERROR(__xludf.DUMMYFUNCTION("""COMPUTED_VALUE"""),371)</f>
        <v>371</v>
      </c>
      <c r="E732" s="4" t="str">
        <f ca="1">IFERROR(__xludf.DUMMYFUNCTION("""COMPUTED_VALUE"""),"MXN")</f>
        <v>MXN</v>
      </c>
      <c r="F732" s="4" t="str">
        <f ca="1">IFERROR(__xludf.DUMMYFUNCTION("""COMPUTED_VALUE"""),"Jorge Armando Ramirez Perez")</f>
        <v>Jorge Armando Ramirez Perez</v>
      </c>
      <c r="G732" s="4" t="str">
        <f ca="1">IFERROR(__xludf.DUMMYFUNCTION("""COMPUTED_VALUE"""),"OXXOPORTAL DE HDA MTY  GUADALUPE NL  MEX")</f>
        <v>OXXOPORTAL DE HDA MTY  GUADALUPE NL  MEX</v>
      </c>
      <c r="H732" s="4" t="str">
        <f ca="1">IFERROR(__xludf.DUMMYFUNCTION("""COMPUTED_VALUE"""),"Oxxoportal De Hda Mty Guadalupe Nl Mex")</f>
        <v>Oxxoportal De Hda Mty Guadalupe Nl Mex</v>
      </c>
      <c r="I732" s="4" t="str">
        <f ca="1">IFERROR(__xludf.DUMMYFUNCTION("""COMPUTED_VALUE"""),"Transaction cost")</f>
        <v>Transaction cost</v>
      </c>
      <c r="J732" s="4" t="str">
        <f ca="1">IFERROR(__xludf.DUMMYFUNCTION("""COMPUTED_VALUE"""),"RFQ 4512 Ecoclean Visita MP Comida")</f>
        <v>RFQ 4512 Ecoclean Visita MP Comida</v>
      </c>
      <c r="K732" s="4"/>
      <c r="S732" s="6">
        <v>88.82</v>
      </c>
      <c r="T732" s="4" t="e">
        <f t="shared" ca="1" si="3"/>
        <v>#N/A</v>
      </c>
    </row>
    <row r="733" spans="1:20" ht="12.5">
      <c r="A733" s="4" t="str">
        <f ca="1">IFERROR(__xludf.DUMMYFUNCTION("""COMPUTED_VALUE"""),"TRX2019")</f>
        <v>TRX2019</v>
      </c>
      <c r="B733" s="4" t="str">
        <f ca="1">IFERROR(__xludf.DUMMYFUNCTION("""COMPUTED_VALUE"""),"#68")</f>
        <v>#68</v>
      </c>
      <c r="C733" s="5">
        <f ca="1">IFERROR(__xludf.DUMMYFUNCTION("""COMPUTED_VALUE"""),46069.4166666666)</f>
        <v>46069.416666666599</v>
      </c>
      <c r="D733" s="6">
        <f ca="1">IFERROR(__xludf.DUMMYFUNCTION("""COMPUTED_VALUE"""),405.96)</f>
        <v>405.96</v>
      </c>
      <c r="E733" s="4" t="str">
        <f ca="1">IFERROR(__xludf.DUMMYFUNCTION("""COMPUTED_VALUE"""),"MXN")</f>
        <v>MXN</v>
      </c>
      <c r="F733" s="4" t="str">
        <f ca="1">IFERROR(__xludf.DUMMYFUNCTION("""COMPUTED_VALUE"""),"Jorge Armando Ramirez Perez")</f>
        <v>Jorge Armando Ramirez Perez</v>
      </c>
      <c r="G733" s="4" t="str">
        <f ca="1">IFERROR(__xludf.DUMMYFUNCTION("""COMPUTED_VALUE"""),"UBER * EATS PENDING    CMX           MEX")</f>
        <v>UBER * EATS PENDING    CMX           MEX</v>
      </c>
      <c r="H733" s="4" t="str">
        <f ca="1">IFERROR(__xludf.DUMMYFUNCTION("""COMPUTED_VALUE"""),"Uber Eats")</f>
        <v>Uber Eats</v>
      </c>
      <c r="I733" s="4" t="str">
        <f ca="1">IFERROR(__xludf.DUMMYFUNCTION("""COMPUTED_VALUE"""),"Transaction cost")</f>
        <v>Transaction cost</v>
      </c>
      <c r="J733" s="4" t="str">
        <f ca="1">IFERROR(__xludf.DUMMYFUNCTION("""COMPUTED_VALUE"""),"PO 1966 Whiteconstruction Comida")</f>
        <v>PO 1966 Whiteconstruction Comida</v>
      </c>
      <c r="K733" s="4"/>
      <c r="S733" s="6">
        <v>178</v>
      </c>
      <c r="T733" s="4" t="str">
        <f t="shared" ca="1" si="3"/>
        <v>Karen Alexandra Ballesteros Contreras</v>
      </c>
    </row>
    <row r="734" spans="1:20" ht="12.5">
      <c r="A734" s="4" t="str">
        <f ca="1">IFERROR(__xludf.DUMMYFUNCTION("""COMPUTED_VALUE"""),"TRX1111")</f>
        <v>TRX1111</v>
      </c>
      <c r="B734" s="4" t="str">
        <f ca="1">IFERROR(__xludf.DUMMYFUNCTION("""COMPUTED_VALUE"""),"#68")</f>
        <v>#68</v>
      </c>
      <c r="C734" s="5">
        <f ca="1">IFERROR(__xludf.DUMMYFUNCTION("""COMPUTED_VALUE"""),46071.4166666666)</f>
        <v>46071.416666666599</v>
      </c>
      <c r="D734" s="6">
        <f ca="1">IFERROR(__xludf.DUMMYFUNCTION("""COMPUTED_VALUE"""),69.93)</f>
        <v>69.930000000000007</v>
      </c>
      <c r="E734" s="4" t="str">
        <f ca="1">IFERROR(__xludf.DUMMYFUNCTION("""COMPUTED_VALUE"""),"MXN")</f>
        <v>MXN</v>
      </c>
      <c r="F734" s="4" t="str">
        <f ca="1">IFERROR(__xludf.DUMMYFUNCTION("""COMPUTED_VALUE"""),"Jorge Armando Ramirez Perez")</f>
        <v>Jorge Armando Ramirez Perez</v>
      </c>
      <c r="G734" s="4" t="str">
        <f ca="1">IFERROR(__xludf.DUMMYFUNCTION("""COMPUTED_VALUE"""),"UBER * PENDING         CMX           MEX")</f>
        <v>UBER * PENDING         CMX           MEX</v>
      </c>
      <c r="H734" s="4" t="str">
        <f ca="1">IFERROR(__xludf.DUMMYFUNCTION("""COMPUTED_VALUE"""),"Uber")</f>
        <v>Uber</v>
      </c>
      <c r="I734" s="4" t="str">
        <f ca="1">IFERROR(__xludf.DUMMYFUNCTION("""COMPUTED_VALUE"""),"Transaction cost")</f>
        <v>Transaction cost</v>
      </c>
      <c r="J734" s="4" t="str">
        <f ca="1">IFERROR(__xludf.DUMMYFUNCTION("""COMPUTED_VALUE"""),"Envio Rugosimetro")</f>
        <v>Envio Rugosimetro</v>
      </c>
      <c r="K734" s="4" t="str">
        <f ca="1">IFERROR(__xludf.DUMMYFUNCTION("""COMPUTED_VALUE"""),"NLRNOP-I-0000006")</f>
        <v>NLRNOP-I-0000006</v>
      </c>
      <c r="S734" s="6">
        <v>1334.58</v>
      </c>
      <c r="T734" s="4" t="e">
        <f t="shared" ca="1" si="3"/>
        <v>#N/A</v>
      </c>
    </row>
    <row r="735" spans="1:20" ht="12.5">
      <c r="A735" s="4" t="str">
        <f ca="1">IFERROR(__xludf.DUMMYFUNCTION("""COMPUTED_VALUE"""),"TRX1439")</f>
        <v>TRX1439</v>
      </c>
      <c r="B735" s="4" t="str">
        <f ca="1">IFERROR(__xludf.DUMMYFUNCTION("""COMPUTED_VALUE"""),"#68")</f>
        <v>#68</v>
      </c>
      <c r="C735" s="5">
        <f ca="1">IFERROR(__xludf.DUMMYFUNCTION("""COMPUTED_VALUE"""),46071.4166666666)</f>
        <v>46071.416666666599</v>
      </c>
      <c r="D735" s="6">
        <f ca="1">IFERROR(__xludf.DUMMYFUNCTION("""COMPUTED_VALUE"""),839.48)</f>
        <v>839.48</v>
      </c>
      <c r="E735" s="4" t="str">
        <f ca="1">IFERROR(__xludf.DUMMYFUNCTION("""COMPUTED_VALUE"""),"MXN")</f>
        <v>MXN</v>
      </c>
      <c r="F735" s="4" t="str">
        <f ca="1">IFERROR(__xludf.DUMMYFUNCTION("""COMPUTED_VALUE"""),"Jorge Armando Ramirez Perez")</f>
        <v>Jorge Armando Ramirez Perez</v>
      </c>
      <c r="G735" s="4" t="str">
        <f ca="1">IFERROR(__xludf.DUMMYFUNCTION("""COMPUTED_VALUE"""),"DHL HIDALGO MTY        MONTERREY     MEX")</f>
        <v>DHL HIDALGO MTY        MONTERREY     MEX</v>
      </c>
      <c r="H735" s="4" t="str">
        <f ca="1">IFERROR(__xludf.DUMMYFUNCTION("""COMPUTED_VALUE"""),"Dhl Hidalgo Mty Monterrey Mex")</f>
        <v>Dhl Hidalgo Mty Monterrey Mex</v>
      </c>
      <c r="I735" s="4" t="str">
        <f ca="1">IFERROR(__xludf.DUMMYFUNCTION("""COMPUTED_VALUE"""),"Transaction cost")</f>
        <v>Transaction cost</v>
      </c>
      <c r="J735" s="4" t="str">
        <f ca="1">IFERROR(__xludf.DUMMYFUNCTION("""COMPUTED_VALUE"""),"Envio Rogosimetro")</f>
        <v>Envio Rogosimetro</v>
      </c>
      <c r="K735" s="4" t="str">
        <f ca="1">IFERROR(__xludf.DUMMYFUNCTION("""COMPUTED_VALUE"""),"2A9EB6F9-3053-4281-AFF9-0D6FDE815A4B")</f>
        <v>2A9EB6F9-3053-4281-AFF9-0D6FDE815A4B</v>
      </c>
      <c r="S735" s="6">
        <v>195</v>
      </c>
      <c r="T735" s="4" t="e">
        <f t="shared" ca="1" si="3"/>
        <v>#N/A</v>
      </c>
    </row>
    <row r="736" spans="1:20" ht="12.5">
      <c r="A736" s="4" t="str">
        <f ca="1">IFERROR(__xludf.DUMMYFUNCTION("""COMPUTED_VALUE"""),"TRX1460")</f>
        <v>TRX1460</v>
      </c>
      <c r="B736" s="4" t="str">
        <f ca="1">IFERROR(__xludf.DUMMYFUNCTION("""COMPUTED_VALUE"""),"#68")</f>
        <v>#68</v>
      </c>
      <c r="C736" s="5">
        <f ca="1">IFERROR(__xludf.DUMMYFUNCTION("""COMPUTED_VALUE"""),46071.4173611111)</f>
        <v>46071.417361111096</v>
      </c>
      <c r="D736" s="6">
        <f ca="1">IFERROR(__xludf.DUMMYFUNCTION("""COMPUTED_VALUE"""),1073.74)</f>
        <v>1073.74</v>
      </c>
      <c r="E736" s="4" t="str">
        <f ca="1">IFERROR(__xludf.DUMMYFUNCTION("""COMPUTED_VALUE"""),"MXN")</f>
        <v>MXN</v>
      </c>
      <c r="F736" s="4" t="str">
        <f ca="1">IFERROR(__xludf.DUMMYFUNCTION("""COMPUTED_VALUE"""),"Jorge Armando Ramirez Perez")</f>
        <v>Jorge Armando Ramirez Perez</v>
      </c>
      <c r="G736" s="4" t="str">
        <f ca="1">IFERROR(__xludf.DUMMYFUNCTION("""COMPUTED_VALUE"""),"GAS OXXOPLUTARCO E CAL GUADALUPE NL  MEX")</f>
        <v>GAS OXXOPLUTARCO E CAL GUADALUPE NL  MEX</v>
      </c>
      <c r="H736" s="4" t="str">
        <f ca="1">IFERROR(__xludf.DUMMYFUNCTION("""COMPUTED_VALUE"""),"Gas Oxxoplutarco E Cal Guadalupe Nl Mex")</f>
        <v>Gas Oxxoplutarco E Cal Guadalupe Nl Mex</v>
      </c>
      <c r="I736" s="4" t="str">
        <f ca="1">IFERROR(__xludf.DUMMYFUNCTION("""COMPUTED_VALUE"""),"Transaction cost")</f>
        <v>Transaction cost</v>
      </c>
      <c r="J736" s="4" t="str">
        <f ca="1">IFERROR(__xludf.DUMMYFUNCTION("""COMPUTED_VALUE"""),"PO 7080 DeAcero Abrazaderas Gasolina")</f>
        <v>PO 7080 DeAcero Abrazaderas Gasolina</v>
      </c>
      <c r="K736" s="4" t="str">
        <f ca="1">IFERROR(__xludf.DUMMYFUNCTION("""COMPUTED_VALUE"""),"CLI57911464")</f>
        <v>CLI57911464</v>
      </c>
      <c r="S736" s="6">
        <v>19</v>
      </c>
      <c r="T736" s="4" t="e">
        <f t="shared" ca="1" si="3"/>
        <v>#N/A</v>
      </c>
    </row>
    <row r="737" spans="1:20" ht="12.5">
      <c r="A737" s="4" t="str">
        <f ca="1">IFERROR(__xludf.DUMMYFUNCTION("""COMPUTED_VALUE"""),"TRX1156")</f>
        <v>TRX1156</v>
      </c>
      <c r="B737" s="4" t="str">
        <f ca="1">IFERROR(__xludf.DUMMYFUNCTION("""COMPUTED_VALUE"""),"#68")</f>
        <v>#68</v>
      </c>
      <c r="C737" s="5">
        <f ca="1">IFERROR(__xludf.DUMMYFUNCTION("""COMPUTED_VALUE"""),46072.4166666666)</f>
        <v>46072.416666666599</v>
      </c>
      <c r="D737" s="6">
        <f ca="1">IFERROR(__xludf.DUMMYFUNCTION("""COMPUTED_VALUE"""),77.2)</f>
        <v>77.2</v>
      </c>
      <c r="E737" s="4" t="str">
        <f ca="1">IFERROR(__xludf.DUMMYFUNCTION("""COMPUTED_VALUE"""),"MXN")</f>
        <v>MXN</v>
      </c>
      <c r="F737" s="4" t="str">
        <f ca="1">IFERROR(__xludf.DUMMYFUNCTION("""COMPUTED_VALUE"""),"Jorge Armando Ramirez Perez")</f>
        <v>Jorge Armando Ramirez Perez</v>
      </c>
      <c r="G737" s="4" t="str">
        <f ca="1">IFERROR(__xludf.DUMMYFUNCTION("""COMPUTED_VALUE"""),"UBER * PENDING         CMX           MEX")</f>
        <v>UBER * PENDING         CMX           MEX</v>
      </c>
      <c r="H737" s="4" t="str">
        <f ca="1">IFERROR(__xludf.DUMMYFUNCTION("""COMPUTED_VALUE"""),"Uber")</f>
        <v>Uber</v>
      </c>
      <c r="I737" s="4" t="str">
        <f ca="1">IFERROR(__xludf.DUMMYFUNCTION("""COMPUTED_VALUE"""),"Transaction cost")</f>
        <v>Transaction cost</v>
      </c>
      <c r="J737" s="4" t="str">
        <f ca="1">IFERROR(__xludf.DUMMYFUNCTION("""COMPUTED_VALUE"""),"PO 7080 DeAcero Abrazaderas UBER")</f>
        <v>PO 7080 DeAcero Abrazaderas UBER</v>
      </c>
      <c r="K737" s="4"/>
      <c r="S737" s="6">
        <v>186</v>
      </c>
      <c r="T737" s="4" t="str">
        <f t="shared" ca="1" si="3"/>
        <v>Fernando Sanchez Toledano</v>
      </c>
    </row>
    <row r="738" spans="1:20" ht="12.5">
      <c r="A738" s="4" t="str">
        <f ca="1">IFERROR(__xludf.DUMMYFUNCTION("""COMPUTED_VALUE"""),"TRX1940")</f>
        <v>TRX1940</v>
      </c>
      <c r="B738" s="4" t="str">
        <f ca="1">IFERROR(__xludf.DUMMYFUNCTION("""COMPUTED_VALUE"""),"#68")</f>
        <v>#68</v>
      </c>
      <c r="C738" s="5">
        <f ca="1">IFERROR(__xludf.DUMMYFUNCTION("""COMPUTED_VALUE"""),46072.4173611111)</f>
        <v>46072.417361111096</v>
      </c>
      <c r="D738" s="6">
        <f ca="1">IFERROR(__xludf.DUMMYFUNCTION("""COMPUTED_VALUE"""),75.7)</f>
        <v>75.7</v>
      </c>
      <c r="E738" s="4" t="str">
        <f ca="1">IFERROR(__xludf.DUMMYFUNCTION("""COMPUTED_VALUE"""),"MXN")</f>
        <v>MXN</v>
      </c>
      <c r="F738" s="4" t="str">
        <f ca="1">IFERROR(__xludf.DUMMYFUNCTION("""COMPUTED_VALUE"""),"Jorge Armando Ramirez Perez")</f>
        <v>Jorge Armando Ramirez Perez</v>
      </c>
      <c r="G738" s="4" t="str">
        <f ca="1">IFERROR(__xludf.DUMMYFUNCTION("""COMPUTED_VALUE"""),"DLO*UBER RIDE          CIUDAD DE MEX MEX")</f>
        <v>DLO*UBER RIDE          CIUDAD DE MEX MEX</v>
      </c>
      <c r="H738" s="4" t="str">
        <f ca="1">IFERROR(__xludf.DUMMYFUNCTION("""COMPUTED_VALUE"""),"Uber")</f>
        <v>Uber</v>
      </c>
      <c r="I738" s="4" t="str">
        <f ca="1">IFERROR(__xludf.DUMMYFUNCTION("""COMPUTED_VALUE"""),"Transaction cost")</f>
        <v>Transaction cost</v>
      </c>
      <c r="J738" s="4" t="str">
        <f ca="1">IFERROR(__xludf.DUMMYFUNCTION("""COMPUTED_VALUE"""),"PO 7080 DeAcero Abrazaderas UBER")</f>
        <v>PO 7080 DeAcero Abrazaderas UBER</v>
      </c>
      <c r="K738" s="4"/>
      <c r="S738" s="6">
        <v>16</v>
      </c>
      <c r="T738" s="4" t="e">
        <f t="shared" ca="1" si="3"/>
        <v>#N/A</v>
      </c>
    </row>
    <row r="739" spans="1:20" ht="12.5">
      <c r="A739" s="4" t="str">
        <f ca="1">IFERROR(__xludf.DUMMYFUNCTION("""COMPUTED_VALUE"""),"TRX1622")</f>
        <v>TRX1622</v>
      </c>
      <c r="B739" s="4" t="str">
        <f ca="1">IFERROR(__xludf.DUMMYFUNCTION("""COMPUTED_VALUE"""),"#68")</f>
        <v>#68</v>
      </c>
      <c r="C739" s="5">
        <f ca="1">IFERROR(__xludf.DUMMYFUNCTION("""COMPUTED_VALUE"""),46073.4166666666)</f>
        <v>46073.416666666599</v>
      </c>
      <c r="D739" s="6">
        <f ca="1">IFERROR(__xludf.DUMMYFUNCTION("""COMPUTED_VALUE"""),594.55)</f>
        <v>594.54999999999995</v>
      </c>
      <c r="E739" s="4" t="str">
        <f ca="1">IFERROR(__xludf.DUMMYFUNCTION("""COMPUTED_VALUE"""),"MXN")</f>
        <v>MXN</v>
      </c>
      <c r="F739" s="4" t="str">
        <f ca="1">IFERROR(__xludf.DUMMYFUNCTION("""COMPUTED_VALUE"""),"Jorge Armando Ramirez Perez")</f>
        <v>Jorge Armando Ramirez Perez</v>
      </c>
      <c r="G739" s="4" t="str">
        <f ca="1">IFERROR(__xludf.DUMMYFUNCTION("""COMPUTED_VALUE"""),"CHILIS AEROPUERTO MTY  APODACA NL    MEX")</f>
        <v>CHILIS AEROPUERTO MTY  APODACA NL    MEX</v>
      </c>
      <c r="H739" s="4" t="str">
        <f ca="1">IFERROR(__xludf.DUMMYFUNCTION("""COMPUTED_VALUE"""),"Chili's")</f>
        <v>Chili's</v>
      </c>
      <c r="I739" s="4" t="str">
        <f ca="1">IFERROR(__xludf.DUMMYFUNCTION("""COMPUTED_VALUE"""),"Transaction cost")</f>
        <v>Transaction cost</v>
      </c>
      <c r="J739" s="4" t="str">
        <f ca="1">IFERROR(__xludf.DUMMYFUNCTION("""COMPUTED_VALUE"""),"PO 1966 Whiteconstruction Comida")</f>
        <v>PO 1966 Whiteconstruction Comida</v>
      </c>
      <c r="K739" s="4" t="str">
        <f ca="1">IFERROR(__xludf.DUMMYFUNCTION("""COMPUTED_VALUE"""),"EC570995-7479-4FB1-9D40-401E21260049")</f>
        <v>EC570995-7479-4FB1-9D40-401E21260049</v>
      </c>
      <c r="S739" s="6">
        <v>994.75</v>
      </c>
      <c r="T739" s="4" t="e">
        <f t="shared" ca="1" si="3"/>
        <v>#N/A</v>
      </c>
    </row>
    <row r="740" spans="1:20" ht="12.5">
      <c r="A740" s="4" t="str">
        <f ca="1">IFERROR(__xludf.DUMMYFUNCTION("""COMPUTED_VALUE"""),"TRX1381")</f>
        <v>TRX1381</v>
      </c>
      <c r="B740" s="4" t="str">
        <f ca="1">IFERROR(__xludf.DUMMYFUNCTION("""COMPUTED_VALUE"""),"#68")</f>
        <v>#68</v>
      </c>
      <c r="C740" s="5">
        <f ca="1">IFERROR(__xludf.DUMMYFUNCTION("""COMPUTED_VALUE"""),46073.4173611111)</f>
        <v>46073.417361111096</v>
      </c>
      <c r="D740" s="6">
        <f ca="1">IFERROR(__xludf.DUMMYFUNCTION("""COMPUTED_VALUE"""),50)</f>
        <v>50</v>
      </c>
      <c r="E740" s="4" t="str">
        <f ca="1">IFERROR(__xludf.DUMMYFUNCTION("""COMPUTED_VALUE"""),"MXN")</f>
        <v>MXN</v>
      </c>
      <c r="F740" s="4" t="str">
        <f ca="1">IFERROR(__xludf.DUMMYFUNCTION("""COMPUTED_VALUE"""),"Jorge Armando Ramirez Perez")</f>
        <v>Jorge Armando Ramirez Perez</v>
      </c>
      <c r="G740" s="4" t="str">
        <f ca="1">IFERROR(__xludf.DUMMYFUNCTION("""COMPUTED_VALUE"""),"TELCEL RECARGAS FONY   CIUDAD DE MEX MEX")</f>
        <v>TELCEL RECARGAS FONY   CIUDAD DE MEX MEX</v>
      </c>
      <c r="H740" s="4" t="str">
        <f ca="1">IFERROR(__xludf.DUMMYFUNCTION("""COMPUTED_VALUE"""),"Telcel")</f>
        <v>Telcel</v>
      </c>
      <c r="I740" s="4" t="str">
        <f ca="1">IFERROR(__xludf.DUMMYFUNCTION("""COMPUTED_VALUE"""),"Transaction cost")</f>
        <v>Transaction cost</v>
      </c>
      <c r="J740" s="4" t="str">
        <f ca="1">IFERROR(__xludf.DUMMYFUNCTION("""COMPUTED_VALUE"""),"PO 1966 Whiteconstruction Raoming Datos")</f>
        <v>PO 1966 Whiteconstruction Raoming Datos</v>
      </c>
      <c r="K740" s="4"/>
      <c r="S740" s="6">
        <v>341</v>
      </c>
      <c r="T740" s="4" t="e">
        <f t="shared" ca="1" si="3"/>
        <v>#N/A</v>
      </c>
    </row>
    <row r="741" spans="1:20" ht="12.5">
      <c r="A741" s="4" t="str">
        <f ca="1">IFERROR(__xludf.DUMMYFUNCTION("""COMPUTED_VALUE"""),"TRX1002")</f>
        <v>TRX1002</v>
      </c>
      <c r="B741" s="4" t="str">
        <f ca="1">IFERROR(__xludf.DUMMYFUNCTION("""COMPUTED_VALUE"""),"#68")</f>
        <v>#68</v>
      </c>
      <c r="C741" s="5">
        <f ca="1">IFERROR(__xludf.DUMMYFUNCTION("""COMPUTED_VALUE"""),46073.4173611111)</f>
        <v>46073.417361111096</v>
      </c>
      <c r="D741" s="6">
        <f ca="1">IFERROR(__xludf.DUMMYFUNCTION("""COMPUTED_VALUE"""),395.45)</f>
        <v>395.45</v>
      </c>
      <c r="E741" s="4" t="str">
        <f ca="1">IFERROR(__xludf.DUMMYFUNCTION("""COMPUTED_VALUE"""),"USD")</f>
        <v>USD</v>
      </c>
      <c r="F741" s="4" t="str">
        <f ca="1">IFERROR(__xludf.DUMMYFUNCTION("""COMPUTED_VALUE"""),"Jorge Armando Ramirez Perez")</f>
        <v>Jorge Armando Ramirez Perez</v>
      </c>
      <c r="G741" s="4" t="str">
        <f ca="1">IFERROR(__xludf.DUMMYFUNCTION("""COMPUTED_VALUE"""),"SUNOCO 0123414500      BROWNSVILLE   USA")</f>
        <v>SUNOCO 0123414500      BROWNSVILLE   USA</v>
      </c>
      <c r="H741" s="4" t="str">
        <f ca="1">IFERROR(__xludf.DUMMYFUNCTION("""COMPUTED_VALUE"""),"Sunoco")</f>
        <v>Sunoco</v>
      </c>
      <c r="I741" s="4" t="str">
        <f ca="1">IFERROR(__xludf.DUMMYFUNCTION("""COMPUTED_VALUE"""),"Transaction cost")</f>
        <v>Transaction cost</v>
      </c>
      <c r="J741" s="4" t="str">
        <f ca="1">IFERROR(__xludf.DUMMYFUNCTION("""COMPUTED_VALUE"""),"PO 1966 Whiteconstruction Comida")</f>
        <v>PO 1966 Whiteconstruction Comida</v>
      </c>
      <c r="K741" s="4" t="str">
        <f ca="1">IFERROR(__xludf.DUMMYFUNCTION("""COMPUTED_VALUE"""),"US")</f>
        <v>US</v>
      </c>
      <c r="S741" s="6">
        <v>1000</v>
      </c>
      <c r="T741" s="4" t="str">
        <f t="shared" ca="1" si="3"/>
        <v>Fernando Sanchez Toledano</v>
      </c>
    </row>
    <row r="742" spans="1:20" ht="12.5">
      <c r="A742" s="4" t="str">
        <f ca="1">IFERROR(__xludf.DUMMYFUNCTION("""COMPUTED_VALUE"""),"TRX1034")</f>
        <v>TRX1034</v>
      </c>
      <c r="B742" s="4" t="str">
        <f ca="1">IFERROR(__xludf.DUMMYFUNCTION("""COMPUTED_VALUE"""),"#68")</f>
        <v>#68</v>
      </c>
      <c r="C742" s="5">
        <f ca="1">IFERROR(__xludf.DUMMYFUNCTION("""COMPUTED_VALUE"""),46074.4173611111)</f>
        <v>46074.417361111096</v>
      </c>
      <c r="D742" s="6">
        <f ca="1">IFERROR(__xludf.DUMMYFUNCTION("""COMPUTED_VALUE"""),37.5)</f>
        <v>37.5</v>
      </c>
      <c r="E742" s="4" t="str">
        <f ca="1">IFERROR(__xludf.DUMMYFUNCTION("""COMPUTED_VALUE"""),"MXN")</f>
        <v>MXN</v>
      </c>
      <c r="F742" s="4" t="str">
        <f ca="1">IFERROR(__xludf.DUMMYFUNCTION("""COMPUTED_VALUE"""),"Jorge Armando Ramirez Perez")</f>
        <v>Jorge Armando Ramirez Perez</v>
      </c>
      <c r="G742" s="4" t="str">
        <f ca="1">IFERROR(__xludf.DUMMYFUNCTION("""COMPUTED_VALUE"""),"OXXO UNIONES MAM       MATAMOROS TAM MEX")</f>
        <v>OXXO UNIONES MAM       MATAMOROS TAM MEX</v>
      </c>
      <c r="H742" s="4" t="str">
        <f ca="1">IFERROR(__xludf.DUMMYFUNCTION("""COMPUTED_VALUE"""),"Oxxo")</f>
        <v>Oxxo</v>
      </c>
      <c r="I742" s="4" t="str">
        <f ca="1">IFERROR(__xludf.DUMMYFUNCTION("""COMPUTED_VALUE"""),"Transaction cost")</f>
        <v>Transaction cost</v>
      </c>
      <c r="J742" s="4" t="str">
        <f ca="1">IFERROR(__xludf.DUMMYFUNCTION("""COMPUTED_VALUE"""),"PO 1966 Whiteconstruction Comida")</f>
        <v>PO 1966 Whiteconstruction Comida</v>
      </c>
      <c r="K742" s="4" t="str">
        <f ca="1">IFERROR(__xludf.DUMMYFUNCTION("""COMPUTED_VALUE"""),"3117194260223031225552")</f>
        <v>3117194260223031225552</v>
      </c>
      <c r="S742" s="6">
        <v>676.85</v>
      </c>
      <c r="T742" s="4" t="e">
        <f t="shared" ca="1" si="3"/>
        <v>#N/A</v>
      </c>
    </row>
    <row r="743" spans="1:20" ht="12.5">
      <c r="A743" s="4" t="str">
        <f ca="1">IFERROR(__xludf.DUMMYFUNCTION("""COMPUTED_VALUE"""),"TRX1040")</f>
        <v>TRX1040</v>
      </c>
      <c r="B743" s="4" t="str">
        <f ca="1">IFERROR(__xludf.DUMMYFUNCTION("""COMPUTED_VALUE"""),"#68")</f>
        <v>#68</v>
      </c>
      <c r="C743" s="5">
        <f ca="1">IFERROR(__xludf.DUMMYFUNCTION("""COMPUTED_VALUE"""),46074.4180555555)</f>
        <v>46074.418055555499</v>
      </c>
      <c r="D743" s="6">
        <f ca="1">IFERROR(__xludf.DUMMYFUNCTION("""COMPUTED_VALUE"""),685.05)</f>
        <v>685.05</v>
      </c>
      <c r="E743" s="4" t="str">
        <f ca="1">IFERROR(__xludf.DUMMYFUNCTION("""COMPUTED_VALUE"""),"USD")</f>
        <v>USD</v>
      </c>
      <c r="F743" s="4" t="str">
        <f ca="1">IFERROR(__xludf.DUMMYFUNCTION("""COMPUTED_VALUE"""),"Jorge Armando Ramirez Perez")</f>
        <v>Jorge Armando Ramirez Perez</v>
      </c>
      <c r="G743" s="4" t="str">
        <f ca="1">IFERROR(__xludf.DUMMYFUNCTION("""COMPUTED_VALUE"""),"TST*SHENANIGANS IRISH  Brownsville   USA")</f>
        <v>TST*SHENANIGANS IRISH  Brownsville   USA</v>
      </c>
      <c r="H743" s="4" t="str">
        <f ca="1">IFERROR(__xludf.DUMMYFUNCTION("""COMPUTED_VALUE"""),"Shenanigan's")</f>
        <v>Shenanigan's</v>
      </c>
      <c r="I743" s="4" t="str">
        <f ca="1">IFERROR(__xludf.DUMMYFUNCTION("""COMPUTED_VALUE"""),"Transaction cost")</f>
        <v>Transaction cost</v>
      </c>
      <c r="J743" s="4" t="str">
        <f ca="1">IFERROR(__xludf.DUMMYFUNCTION("""COMPUTED_VALUE"""),"PO 1966 Whiteconstruction Comida")</f>
        <v>PO 1966 Whiteconstruction Comida</v>
      </c>
      <c r="K743" s="4" t="str">
        <f ca="1">IFERROR(__xludf.DUMMYFUNCTION("""COMPUTED_VALUE"""),"US")</f>
        <v>US</v>
      </c>
      <c r="S743" s="6">
        <v>33.65</v>
      </c>
      <c r="T743" s="4" t="e">
        <f t="shared" ca="1" si="3"/>
        <v>#N/A</v>
      </c>
    </row>
    <row r="744" spans="1:20" ht="12.5">
      <c r="A744" s="4" t="str">
        <f ca="1">IFERROR(__xludf.DUMMYFUNCTION("""COMPUTED_VALUE"""),"TRX1082")</f>
        <v>TRX1082</v>
      </c>
      <c r="B744" s="4" t="str">
        <f ca="1">IFERROR(__xludf.DUMMYFUNCTION("""COMPUTED_VALUE"""),"#68")</f>
        <v>#68</v>
      </c>
      <c r="C744" s="5">
        <f ca="1">IFERROR(__xludf.DUMMYFUNCTION("""COMPUTED_VALUE"""),46075.4173611111)</f>
        <v>46075.417361111096</v>
      </c>
      <c r="D744" s="6">
        <f ca="1">IFERROR(__xludf.DUMMYFUNCTION("""COMPUTED_VALUE"""),1350)</f>
        <v>1350</v>
      </c>
      <c r="E744" s="4" t="str">
        <f ca="1">IFERROR(__xludf.DUMMYFUNCTION("""COMPUTED_VALUE"""),"MXN")</f>
        <v>MXN</v>
      </c>
      <c r="F744" s="4" t="str">
        <f ca="1">IFERROR(__xludf.DUMMYFUNCTION("""COMPUTED_VALUE"""),"Jorge Armando Ramirez Perez")</f>
        <v>Jorge Armando Ramirez Perez</v>
      </c>
      <c r="G744" s="4" t="str">
        <f ca="1">IFERROR(__xludf.DUMMYFUNCTION("""COMPUTED_VALUE"""),"IPARK MTY INTERRED     APODACA NL    MEX")</f>
        <v>IPARK MTY INTERRED     APODACA NL    MEX</v>
      </c>
      <c r="H744" s="4" t="str">
        <f ca="1">IFERROR(__xludf.DUMMYFUNCTION("""COMPUTED_VALUE"""),"Ipark Mty Interred Apodaca Nl Mex")</f>
        <v>Ipark Mty Interred Apodaca Nl Mex</v>
      </c>
      <c r="I744" s="4" t="str">
        <f ca="1">IFERROR(__xludf.DUMMYFUNCTION("""COMPUTED_VALUE"""),"Transaction cost")</f>
        <v>Transaction cost</v>
      </c>
      <c r="J744" s="4" t="str">
        <f ca="1">IFERROR(__xludf.DUMMYFUNCTION("""COMPUTED_VALUE"""),"PO 1966 Whiteconstruction Estacionamiento")</f>
        <v>PO 1966 Whiteconstruction Estacionamiento</v>
      </c>
      <c r="K744" s="4" t="str">
        <f ca="1">IFERROR(__xludf.DUMMYFUNCTION("""COMPUTED_VALUE"""),"MTY C-598713")</f>
        <v>MTY C-598713</v>
      </c>
      <c r="S744" s="6">
        <v>366.23</v>
      </c>
      <c r="T744" s="4" t="e">
        <f t="shared" ca="1" si="3"/>
        <v>#N/A</v>
      </c>
    </row>
    <row r="745" spans="1:20" ht="12.5">
      <c r="A745" s="4" t="str">
        <f ca="1">IFERROR(__xludf.DUMMYFUNCTION("""COMPUTED_VALUE"""),"TRX1088")</f>
        <v>TRX1088</v>
      </c>
      <c r="B745" s="4" t="str">
        <f ca="1">IFERROR(__xludf.DUMMYFUNCTION("""COMPUTED_VALUE"""),"#68")</f>
        <v>#68</v>
      </c>
      <c r="C745" s="5">
        <f ca="1">IFERROR(__xludf.DUMMYFUNCTION("""COMPUTED_VALUE"""),46075.4173611111)</f>
        <v>46075.417361111096</v>
      </c>
      <c r="D745" s="6">
        <f ca="1">IFERROR(__xludf.DUMMYFUNCTION("""COMPUTED_VALUE"""),643.03)</f>
        <v>643.03</v>
      </c>
      <c r="E745" s="4" t="str">
        <f ca="1">IFERROR(__xludf.DUMMYFUNCTION("""COMPUTED_VALUE"""),"USD")</f>
        <v>USD</v>
      </c>
      <c r="F745" s="4" t="str">
        <f ca="1">IFERROR(__xludf.DUMMYFUNCTION("""COMPUTED_VALUE"""),"Jorge Armando Ramirez Perez")</f>
        <v>Jorge Armando Ramirez Perez</v>
      </c>
      <c r="G745" s="4" t="str">
        <f ca="1">IFERROR(__xludf.DUMMYFUNCTION("""COMPUTED_VALUE"""),"TST*SHENANIGANS IRISH  Brownsville   USA")</f>
        <v>TST*SHENANIGANS IRISH  Brownsville   USA</v>
      </c>
      <c r="H745" s="4" t="str">
        <f ca="1">IFERROR(__xludf.DUMMYFUNCTION("""COMPUTED_VALUE"""),"Shenanigan's")</f>
        <v>Shenanigan's</v>
      </c>
      <c r="I745" s="4" t="str">
        <f ca="1">IFERROR(__xludf.DUMMYFUNCTION("""COMPUTED_VALUE"""),"Transaction cost")</f>
        <v>Transaction cost</v>
      </c>
      <c r="J745" s="4" t="str">
        <f ca="1">IFERROR(__xludf.DUMMYFUNCTION("""COMPUTED_VALUE"""),"PO 1966 Whiteconstruction Comida")</f>
        <v>PO 1966 Whiteconstruction Comida</v>
      </c>
      <c r="K745" s="4" t="str">
        <f ca="1">IFERROR(__xludf.DUMMYFUNCTION("""COMPUTED_VALUE"""),"US")</f>
        <v>US</v>
      </c>
      <c r="S745" s="6">
        <v>5065.1899999999996</v>
      </c>
      <c r="T745" s="4" t="e">
        <f t="shared" ca="1" si="3"/>
        <v>#N/A</v>
      </c>
    </row>
    <row r="746" spans="1:20" ht="12.5">
      <c r="A746" s="4" t="str">
        <f ca="1">IFERROR(__xludf.DUMMYFUNCTION("""COMPUTED_VALUE"""),"TRX1092")</f>
        <v>TRX1092</v>
      </c>
      <c r="B746" s="4" t="str">
        <f ca="1">IFERROR(__xludf.DUMMYFUNCTION("""COMPUTED_VALUE"""),"#68")</f>
        <v>#68</v>
      </c>
      <c r="C746" s="5">
        <f ca="1">IFERROR(__xludf.DUMMYFUNCTION("""COMPUTED_VALUE"""),46075.4173611111)</f>
        <v>46075.417361111096</v>
      </c>
      <c r="D746" s="6">
        <f ca="1">IFERROR(__xludf.DUMMYFUNCTION("""COMPUTED_VALUE"""),343.42)</f>
        <v>343.42</v>
      </c>
      <c r="E746" s="4" t="str">
        <f ca="1">IFERROR(__xludf.DUMMYFUNCTION("""COMPUTED_VALUE"""),"USD")</f>
        <v>USD</v>
      </c>
      <c r="F746" s="4" t="str">
        <f ca="1">IFERROR(__xludf.DUMMYFUNCTION("""COMPUTED_VALUE"""),"Jorge Armando Ramirez Perez")</f>
        <v>Jorge Armando Ramirez Perez</v>
      </c>
      <c r="G746" s="4" t="str">
        <f ca="1">IFERROR(__xludf.DUMMYFUNCTION("""COMPUTED_VALUE"""),"UBER   *TRIP           SAN FRANCISCO USA")</f>
        <v>UBER   *TRIP           SAN FRANCISCO USA</v>
      </c>
      <c r="H746" s="4" t="str">
        <f ca="1">IFERROR(__xludf.DUMMYFUNCTION("""COMPUTED_VALUE"""),"Uber")</f>
        <v>Uber</v>
      </c>
      <c r="I746" s="4" t="str">
        <f ca="1">IFERROR(__xludf.DUMMYFUNCTION("""COMPUTED_VALUE"""),"Transaction cost")</f>
        <v>Transaction cost</v>
      </c>
      <c r="J746" s="4" t="str">
        <f ca="1">IFERROR(__xludf.DUMMYFUNCTION("""COMPUTED_VALUE"""),"PO 1966 Whiteconstruction Comida")</f>
        <v>PO 1966 Whiteconstruction Comida</v>
      </c>
      <c r="K746" s="4" t="str">
        <f ca="1">IFERROR(__xludf.DUMMYFUNCTION("""COMPUTED_VALUE"""),"US")</f>
        <v>US</v>
      </c>
      <c r="S746" s="6">
        <v>341</v>
      </c>
      <c r="T746" s="4" t="e">
        <f t="shared" ca="1" si="3"/>
        <v>#N/A</v>
      </c>
    </row>
    <row r="747" spans="1:20" ht="12.5">
      <c r="A747" s="4" t="str">
        <f ca="1">IFERROR(__xludf.DUMMYFUNCTION("""COMPUTED_VALUE"""),"TRX1103")</f>
        <v>TRX1103</v>
      </c>
      <c r="B747" s="4" t="str">
        <f ca="1">IFERROR(__xludf.DUMMYFUNCTION("""COMPUTED_VALUE"""),"#68")</f>
        <v>#68</v>
      </c>
      <c r="C747" s="5">
        <f ca="1">IFERROR(__xludf.DUMMYFUNCTION("""COMPUTED_VALUE"""),46076.4166666666)</f>
        <v>46076.416666666599</v>
      </c>
      <c r="D747" s="6">
        <f ca="1">IFERROR(__xludf.DUMMYFUNCTION("""COMPUTED_VALUE"""),361.88)</f>
        <v>361.88</v>
      </c>
      <c r="E747" s="4" t="str">
        <f ca="1">IFERROR(__xludf.DUMMYFUNCTION("""COMPUTED_VALUE"""),"USD")</f>
        <v>USD</v>
      </c>
      <c r="F747" s="4" t="str">
        <f ca="1">IFERROR(__xludf.DUMMYFUNCTION("""COMPUTED_VALUE"""),"Jorge Armando Ramirez Perez")</f>
        <v>Jorge Armando Ramirez Perez</v>
      </c>
      <c r="G747" s="4" t="str">
        <f ca="1">IFERROR(__xludf.DUMMYFUNCTION("""COMPUTED_VALUE"""),"VENDINGCUSTOMERSERVI   CHULA VISTA   USA")</f>
        <v>VENDINGCUSTOMERSERVI   CHULA VISTA   USA</v>
      </c>
      <c r="H747" s="4" t="str">
        <f ca="1">IFERROR(__xludf.DUMMYFUNCTION("""COMPUTED_VALUE"""),"Vendingcustomerservi Chula Vista USA")</f>
        <v>Vendingcustomerservi Chula Vista USA</v>
      </c>
      <c r="I747" s="4" t="str">
        <f ca="1">IFERROR(__xludf.DUMMYFUNCTION("""COMPUTED_VALUE"""),"Transaction cost")</f>
        <v>Transaction cost</v>
      </c>
      <c r="J747" s="4" t="str">
        <f ca="1">IFERROR(__xludf.DUMMYFUNCTION("""COMPUTED_VALUE"""),"PO 1966 Whiteconstruction Comida")</f>
        <v>PO 1966 Whiteconstruction Comida</v>
      </c>
      <c r="K747" s="4" t="str">
        <f ca="1">IFERROR(__xludf.DUMMYFUNCTION("""COMPUTED_VALUE"""),"US")</f>
        <v>US</v>
      </c>
      <c r="S747" s="6">
        <v>122.88</v>
      </c>
      <c r="T747" s="4" t="e">
        <f t="shared" ca="1" si="3"/>
        <v>#N/A</v>
      </c>
    </row>
    <row r="748" spans="1:20" ht="12.5">
      <c r="A748" s="4" t="str">
        <f ca="1">IFERROR(__xludf.DUMMYFUNCTION("""COMPUTED_VALUE"""),"TRX1104")</f>
        <v>TRX1104</v>
      </c>
      <c r="B748" s="4" t="str">
        <f ca="1">IFERROR(__xludf.DUMMYFUNCTION("""COMPUTED_VALUE"""),"#68")</f>
        <v>#68</v>
      </c>
      <c r="C748" s="5">
        <f ca="1">IFERROR(__xludf.DUMMYFUNCTION("""COMPUTED_VALUE"""),46076.4166666666)</f>
        <v>46076.416666666599</v>
      </c>
      <c r="D748" s="6">
        <f ca="1">IFERROR(__xludf.DUMMYFUNCTION("""COMPUTED_VALUE"""),1284.29)</f>
        <v>1284.29</v>
      </c>
      <c r="E748" s="4" t="str">
        <f ca="1">IFERROR(__xludf.DUMMYFUNCTION("""COMPUTED_VALUE"""),"USD")</f>
        <v>USD</v>
      </c>
      <c r="F748" s="4" t="str">
        <f ca="1">IFERROR(__xludf.DUMMYFUNCTION("""COMPUTED_VALUE"""),"Jorge Armando Ramirez Perez")</f>
        <v>Jorge Armando Ramirez Perez</v>
      </c>
      <c r="G748" s="4" t="str">
        <f ca="1">IFERROR(__xludf.DUMMYFUNCTION("""COMPUTED_VALUE"""),"TST*SHENANIGANS IRISH  Brownsville   USA")</f>
        <v>TST*SHENANIGANS IRISH  Brownsville   USA</v>
      </c>
      <c r="H748" s="4" t="str">
        <f ca="1">IFERROR(__xludf.DUMMYFUNCTION("""COMPUTED_VALUE"""),"Shenanigan's")</f>
        <v>Shenanigan's</v>
      </c>
      <c r="I748" s="4" t="str">
        <f ca="1">IFERROR(__xludf.DUMMYFUNCTION("""COMPUTED_VALUE"""),"Transaction cost")</f>
        <v>Transaction cost</v>
      </c>
      <c r="J748" s="4" t="str">
        <f ca="1">IFERROR(__xludf.DUMMYFUNCTION("""COMPUTED_VALUE"""),"PO 1966 Whiteconstruction Comida")</f>
        <v>PO 1966 Whiteconstruction Comida</v>
      </c>
      <c r="K748" s="4" t="str">
        <f ca="1">IFERROR(__xludf.DUMMYFUNCTION("""COMPUTED_VALUE"""),"US")</f>
        <v>US</v>
      </c>
      <c r="S748" s="6">
        <v>341</v>
      </c>
      <c r="T748" s="4" t="e">
        <f t="shared" ca="1" si="3"/>
        <v>#N/A</v>
      </c>
    </row>
    <row r="749" spans="1:20" ht="12.5">
      <c r="A749" s="4" t="str">
        <f ca="1">IFERROR(__xludf.DUMMYFUNCTION("""COMPUTED_VALUE"""),"TRX1118")</f>
        <v>TRX1118</v>
      </c>
      <c r="B749" s="4" t="str">
        <f ca="1">IFERROR(__xludf.DUMMYFUNCTION("""COMPUTED_VALUE"""),"#68")</f>
        <v>#68</v>
      </c>
      <c r="C749" s="5">
        <f ca="1">IFERROR(__xludf.DUMMYFUNCTION("""COMPUTED_VALUE"""),46077.4166666666)</f>
        <v>46077.416666666599</v>
      </c>
      <c r="D749" s="6">
        <f ca="1">IFERROR(__xludf.DUMMYFUNCTION("""COMPUTED_VALUE"""),8586.2)</f>
        <v>8586.2000000000007</v>
      </c>
      <c r="E749" s="4" t="str">
        <f ca="1">IFERROR(__xludf.DUMMYFUNCTION("""COMPUTED_VALUE"""),"MXN")</f>
        <v>MXN</v>
      </c>
      <c r="F749" s="4" t="str">
        <f ca="1">IFERROR(__xludf.DUMMYFUNCTION("""COMPUTED_VALUE"""),"Jorge Armando Ramirez Perez")</f>
        <v>Jorge Armando Ramirez Perez</v>
      </c>
      <c r="G749" s="4" t="str">
        <f ca="1">IFERROR(__xludf.DUMMYFUNCTION("""COMPUTED_VALUE"""),"VIVA AEROBUS CIB       APODACA       MEX")</f>
        <v>VIVA AEROBUS CIB       APODACA       MEX</v>
      </c>
      <c r="H749" s="4" t="str">
        <f ca="1">IFERROR(__xludf.DUMMYFUNCTION("""COMPUTED_VALUE"""),"Viva Aerobus Cib Apodaca Mex")</f>
        <v>Viva Aerobus Cib Apodaca Mex</v>
      </c>
      <c r="I749" s="4" t="str">
        <f ca="1">IFERROR(__xludf.DUMMYFUNCTION("""COMPUTED_VALUE"""),"Transaction cost")</f>
        <v>Transaction cost</v>
      </c>
      <c r="J749" s="4" t="str">
        <f ca="1">IFERROR(__xludf.DUMMYFUNCTION("""COMPUTED_VALUE"""),"RFQ 4512 Ecoclean 4512 Vuelos")</f>
        <v>RFQ 4512 Ecoclean 4512 Vuelos</v>
      </c>
      <c r="K749" s="4" t="str">
        <f ca="1">IFERROR(__xludf.DUMMYFUNCTION("""COMPUTED_VALUE"""),"Serie: B Factura No: 154655041")</f>
        <v>Serie: B Factura No: 154655041</v>
      </c>
      <c r="S749" s="6">
        <v>41.45</v>
      </c>
      <c r="T749" s="4" t="e">
        <f t="shared" ca="1" si="3"/>
        <v>#N/A</v>
      </c>
    </row>
    <row r="750" spans="1:20" ht="12.5">
      <c r="A750" s="4" t="str">
        <f ca="1">IFERROR(__xludf.DUMMYFUNCTION("""COMPUTED_VALUE"""),"TRX1137")</f>
        <v>TRX1137</v>
      </c>
      <c r="B750" s="4" t="str">
        <f ca="1">IFERROR(__xludf.DUMMYFUNCTION("""COMPUTED_VALUE"""),"#68")</f>
        <v>#68</v>
      </c>
      <c r="C750" s="5">
        <f ca="1">IFERROR(__xludf.DUMMYFUNCTION("""COMPUTED_VALUE"""),46078.4166666666)</f>
        <v>46078.416666666599</v>
      </c>
      <c r="D750" s="6">
        <f ca="1">IFERROR(__xludf.DUMMYFUNCTION("""COMPUTED_VALUE"""),2244.69)</f>
        <v>2244.69</v>
      </c>
      <c r="E750" s="4" t="str">
        <f ca="1">IFERROR(__xludf.DUMMYFUNCTION("""COMPUTED_VALUE"""),"MXN")</f>
        <v>MXN</v>
      </c>
      <c r="F750" s="4" t="str">
        <f ca="1">IFERROR(__xludf.DUMMYFUNCTION("""COMPUTED_VALUE"""),"Jorge Armando Ramirez Perez")</f>
        <v>Jorge Armando Ramirez Perez</v>
      </c>
      <c r="G750" s="4" t="str">
        <f ca="1">IFERROR(__xludf.DUMMYFUNCTION("""COMPUTED_VALUE"""),"EXPEDIA 73380847965879 Ciudad        MEX")</f>
        <v>EXPEDIA 73380847965879 Ciudad        MEX</v>
      </c>
      <c r="H750" s="4" t="str">
        <f ca="1">IFERROR(__xludf.DUMMYFUNCTION("""COMPUTED_VALUE"""),"Expedia")</f>
        <v>Expedia</v>
      </c>
      <c r="I750" s="4" t="str">
        <f ca="1">IFERROR(__xludf.DUMMYFUNCTION("""COMPUTED_VALUE"""),"Transaction cost")</f>
        <v>Transaction cost</v>
      </c>
      <c r="J750" s="4" t="str">
        <f ca="1">IFERROR(__xludf.DUMMYFUNCTION("""COMPUTED_VALUE"""),"RFQ 4512 Ecoclean Hotel Houston USA")</f>
        <v>RFQ 4512 Ecoclean Hotel Houston USA</v>
      </c>
      <c r="K750" s="4" t="str">
        <f ca="1">IFERROR(__xludf.DUMMYFUNCTION("""COMPUTED_VALUE"""),"Holliday Inn USA")</f>
        <v>Holliday Inn USA</v>
      </c>
      <c r="S750" s="6">
        <v>34.07</v>
      </c>
      <c r="T750" s="4" t="e">
        <f t="shared" ca="1" si="3"/>
        <v>#N/A</v>
      </c>
    </row>
    <row r="751" spans="1:20" ht="12.5">
      <c r="A751" s="4" t="str">
        <f ca="1">IFERROR(__xludf.DUMMYFUNCTION("""COMPUTED_VALUE"""),"TRX1169")</f>
        <v>TRX1169</v>
      </c>
      <c r="B751" s="4" t="str">
        <f ca="1">IFERROR(__xludf.DUMMYFUNCTION("""COMPUTED_VALUE"""),"#68")</f>
        <v>#68</v>
      </c>
      <c r="C751" s="5">
        <f ca="1">IFERROR(__xludf.DUMMYFUNCTION("""COMPUTED_VALUE"""),46078.4173611111)</f>
        <v>46078.417361111096</v>
      </c>
      <c r="D751" s="6">
        <f ca="1">IFERROR(__xludf.DUMMYFUNCTION("""COMPUTED_VALUE"""),1455.9)</f>
        <v>1455.9</v>
      </c>
      <c r="E751" s="4" t="str">
        <f ca="1">IFERROR(__xludf.DUMMYFUNCTION("""COMPUTED_VALUE"""),"MXN")</f>
        <v>MXN</v>
      </c>
      <c r="F751" s="4" t="str">
        <f ca="1">IFERROR(__xludf.DUMMYFUNCTION("""COMPUTED_VALUE"""),"Jorge Armando Ramirez Perez")</f>
        <v>Jorge Armando Ramirez Perez</v>
      </c>
      <c r="G751" s="4" t="str">
        <f ca="1">IFERROR(__xludf.DUMMYFUNCTION("""COMPUTED_VALUE"""),"REST GARCIA AEROPUERTO CIENEGA DE FL MEX")</f>
        <v>REST GARCIA AEROPUERTO CIENEGA DE FL MEX</v>
      </c>
      <c r="H751" s="4" t="str">
        <f ca="1">IFERROR(__xludf.DUMMYFUNCTION("""COMPUTED_VALUE"""),"Rest Garcia Aeropuerto Cienega De Fl Mex")</f>
        <v>Rest Garcia Aeropuerto Cienega De Fl Mex</v>
      </c>
      <c r="I751" s="4" t="str">
        <f ca="1">IFERROR(__xludf.DUMMYFUNCTION("""COMPUTED_VALUE"""),"Transaction cost")</f>
        <v>Transaction cost</v>
      </c>
      <c r="J751" s="4" t="str">
        <f ca="1">IFERROR(__xludf.DUMMYFUNCTION("""COMPUTED_VALUE"""),"RFQ 5052 Batimore Base chillers Comida / Jose Franco / Jorge Ramirez")</f>
        <v>RFQ 5052 Batimore Base chillers Comida / Jose Franco / Jorge Ramirez</v>
      </c>
      <c r="K751" s="4" t="str">
        <f ca="1">IFERROR(__xludf.DUMMYFUNCTION("""COMPUTED_VALUE"""),"N-")</f>
        <v>N-</v>
      </c>
      <c r="S751" s="6">
        <v>18.170000000000002</v>
      </c>
      <c r="T751" s="4" t="e">
        <f t="shared" ca="1" si="3"/>
        <v>#N/A</v>
      </c>
    </row>
    <row r="752" spans="1:20" ht="12.5">
      <c r="A752" s="4" t="str">
        <f ca="1">IFERROR(__xludf.DUMMYFUNCTION("""COMPUTED_VALUE"""),"TRX1171")</f>
        <v>TRX1171</v>
      </c>
      <c r="B752" s="4" t="str">
        <f ca="1">IFERROR(__xludf.DUMMYFUNCTION("""COMPUTED_VALUE"""),"#68")</f>
        <v>#68</v>
      </c>
      <c r="C752" s="5">
        <f ca="1">IFERROR(__xludf.DUMMYFUNCTION("""COMPUTED_VALUE"""),46078.4173611111)</f>
        <v>46078.417361111096</v>
      </c>
      <c r="D752" s="6">
        <f ca="1">IFERROR(__xludf.DUMMYFUNCTION("""COMPUTED_VALUE"""),190.71)</f>
        <v>190.71</v>
      </c>
      <c r="E752" s="4" t="str">
        <f ca="1">IFERROR(__xludf.DUMMYFUNCTION("""COMPUTED_VALUE"""),"USD")</f>
        <v>USD</v>
      </c>
      <c r="F752" s="4" t="str">
        <f ca="1">IFERROR(__xludf.DUMMYFUNCTION("""COMPUTED_VALUE"""),"Jorge Armando Ramirez Perez")</f>
        <v>Jorge Armando Ramirez Perez</v>
      </c>
      <c r="G752" s="4" t="str">
        <f ca="1">IFERROR(__xludf.DUMMYFUNCTION("""COMPUTED_VALUE"""),"WHATABURGER 723        HOUSTON       USA")</f>
        <v>WHATABURGER 723        HOUSTON       USA</v>
      </c>
      <c r="H752" s="4" t="str">
        <f ca="1">IFERROR(__xludf.DUMMYFUNCTION("""COMPUTED_VALUE"""),"Whataburger")</f>
        <v>Whataburger</v>
      </c>
      <c r="I752" s="4" t="str">
        <f ca="1">IFERROR(__xludf.DUMMYFUNCTION("""COMPUTED_VALUE"""),"Transaction cost")</f>
        <v>Transaction cost</v>
      </c>
      <c r="J752" s="4" t="str">
        <f ca="1">IFERROR(__xludf.DUMMYFUNCTION("""COMPUTED_VALUE"""),"RFQ 4512 Ecoclean Evaluacion de proyectos Comida")</f>
        <v>RFQ 4512 Ecoclean Evaluacion de proyectos Comida</v>
      </c>
      <c r="K752" s="4" t="str">
        <f ca="1">IFERROR(__xludf.DUMMYFUNCTION("""COMPUTED_VALUE"""),"US")</f>
        <v>US</v>
      </c>
      <c r="S752" s="6">
        <v>568.02</v>
      </c>
      <c r="T752" s="4" t="e">
        <f t="shared" ca="1" si="3"/>
        <v>#N/A</v>
      </c>
    </row>
    <row r="753" spans="1:20" ht="12.5">
      <c r="A753" s="4" t="str">
        <f ca="1">IFERROR(__xludf.DUMMYFUNCTION("""COMPUTED_VALUE"""),"TRX1173")</f>
        <v>TRX1173</v>
      </c>
      <c r="B753" s="4" t="str">
        <f ca="1">IFERROR(__xludf.DUMMYFUNCTION("""COMPUTED_VALUE"""),"#68")</f>
        <v>#68</v>
      </c>
      <c r="C753" s="5">
        <f ca="1">IFERROR(__xludf.DUMMYFUNCTION("""COMPUTED_VALUE"""),46078.4173611111)</f>
        <v>46078.417361111096</v>
      </c>
      <c r="D753" s="6">
        <f ca="1">IFERROR(__xludf.DUMMYFUNCTION("""COMPUTED_VALUE"""),671.8)</f>
        <v>671.8</v>
      </c>
      <c r="E753" s="4" t="str">
        <f ca="1">IFERROR(__xludf.DUMMYFUNCTION("""COMPUTED_VALUE"""),"USD")</f>
        <v>USD</v>
      </c>
      <c r="F753" s="4" t="str">
        <f ca="1">IFERROR(__xludf.DUMMYFUNCTION("""COMPUTED_VALUE"""),"Jorge Armando Ramirez Perez")</f>
        <v>Jorge Armando Ramirez Perez</v>
      </c>
      <c r="G753" s="4" t="str">
        <f ca="1">IFERROR(__xludf.DUMMYFUNCTION("""COMPUTED_VALUE"""),"UBER   *TRIP           SAN FRANCISCO USA")</f>
        <v>UBER   *TRIP           SAN FRANCISCO USA</v>
      </c>
      <c r="H753" s="4" t="str">
        <f ca="1">IFERROR(__xludf.DUMMYFUNCTION("""COMPUTED_VALUE"""),"Uber")</f>
        <v>Uber</v>
      </c>
      <c r="I753" s="4" t="str">
        <f ca="1">IFERROR(__xludf.DUMMYFUNCTION("""COMPUTED_VALUE"""),"Transaction cost")</f>
        <v>Transaction cost</v>
      </c>
      <c r="J753" s="4" t="str">
        <f ca="1">IFERROR(__xludf.DUMMYFUNCTION("""COMPUTED_VALUE"""),"RFQ 4512 Ecoclean Evaluacion de proyectos UBER")</f>
        <v>RFQ 4512 Ecoclean Evaluacion de proyectos UBER</v>
      </c>
      <c r="K753" s="4" t="str">
        <f ca="1">IFERROR(__xludf.DUMMYFUNCTION("""COMPUTED_VALUE"""),"US")</f>
        <v>US</v>
      </c>
      <c r="S753" s="6">
        <v>228.53</v>
      </c>
      <c r="T753" s="4" t="e">
        <f t="shared" ca="1" si="3"/>
        <v>#N/A</v>
      </c>
    </row>
    <row r="754" spans="1:20" ht="12.5">
      <c r="A754" s="4" t="str">
        <f ca="1">IFERROR(__xludf.DUMMYFUNCTION("""COMPUTED_VALUE"""),"TRX1175")</f>
        <v>TRX1175</v>
      </c>
      <c r="B754" s="4" t="str">
        <f ca="1">IFERROR(__xludf.DUMMYFUNCTION("""COMPUTED_VALUE"""),"#68")</f>
        <v>#68</v>
      </c>
      <c r="C754" s="5">
        <f ca="1">IFERROR(__xludf.DUMMYFUNCTION("""COMPUTED_VALUE"""),46079.4166666666)</f>
        <v>46079.416666666599</v>
      </c>
      <c r="D754" s="6">
        <f ca="1">IFERROR(__xludf.DUMMYFUNCTION("""COMPUTED_VALUE"""),279.95)</f>
        <v>279.95</v>
      </c>
      <c r="E754" s="4" t="str">
        <f ca="1">IFERROR(__xludf.DUMMYFUNCTION("""COMPUTED_VALUE"""),"MXN")</f>
        <v>MXN</v>
      </c>
      <c r="F754" s="4" t="str">
        <f ca="1">IFERROR(__xludf.DUMMYFUNCTION("""COMPUTED_VALUE"""),"Jorge Armando Ramirez Perez")</f>
        <v>Jorge Armando Ramirez Perez</v>
      </c>
      <c r="G754" s="4" t="str">
        <f ca="1">IFERROR(__xludf.DUMMYFUNCTION("""COMPUTED_VALUE"""),"UBER * PENDING         CMX           MEX")</f>
        <v>UBER * PENDING         CMX           MEX</v>
      </c>
      <c r="H754" s="4" t="str">
        <f ca="1">IFERROR(__xludf.DUMMYFUNCTION("""COMPUTED_VALUE"""),"Uber")</f>
        <v>Uber</v>
      </c>
      <c r="I754" s="4" t="str">
        <f ca="1">IFERROR(__xludf.DUMMYFUNCTION("""COMPUTED_VALUE"""),"Transaction cost")</f>
        <v>Transaction cost</v>
      </c>
      <c r="J754" s="4" t="str">
        <f ca="1">IFERROR(__xludf.DUMMYFUNCTION("""COMPUTED_VALUE"""),"PO 7080 DeAcero Abrazaderas UBER")</f>
        <v>PO 7080 DeAcero Abrazaderas UBER</v>
      </c>
      <c r="K754" s="4"/>
      <c r="S754" s="6">
        <v>174.68</v>
      </c>
      <c r="T754" s="4" t="e">
        <f t="shared" ca="1" si="3"/>
        <v>#N/A</v>
      </c>
    </row>
    <row r="755" spans="1:20" ht="12.5">
      <c r="A755" s="4" t="str">
        <f ca="1">IFERROR(__xludf.DUMMYFUNCTION("""COMPUTED_VALUE"""),"TRX1206")</f>
        <v>TRX1206</v>
      </c>
      <c r="B755" s="4" t="str">
        <f ca="1">IFERROR(__xludf.DUMMYFUNCTION("""COMPUTED_VALUE"""),"#68")</f>
        <v>#68</v>
      </c>
      <c r="C755" s="5">
        <f ca="1">IFERROR(__xludf.DUMMYFUNCTION("""COMPUTED_VALUE"""),46079.4166666666)</f>
        <v>46079.416666666599</v>
      </c>
      <c r="D755" s="6">
        <f ca="1">IFERROR(__xludf.DUMMYFUNCTION("""COMPUTED_VALUE"""),200)</f>
        <v>200</v>
      </c>
      <c r="E755" s="4" t="str">
        <f ca="1">IFERROR(__xludf.DUMMYFUNCTION("""COMPUTED_VALUE"""),"MXN")</f>
        <v>MXN</v>
      </c>
      <c r="F755" s="4" t="str">
        <f ca="1">IFERROR(__xludf.DUMMYFUNCTION("""COMPUTED_VALUE"""),"Jorge Armando Ramirez Perez")</f>
        <v>Jorge Armando Ramirez Perez</v>
      </c>
      <c r="G755" s="4" t="str">
        <f ca="1">IFERROR(__xludf.DUMMYFUNCTION("""COMPUTED_VALUE"""),"TELCEL                 CIUDAD DE MEX MEX")</f>
        <v>TELCEL                 CIUDAD DE MEX MEX</v>
      </c>
      <c r="H755" s="4" t="str">
        <f ca="1">IFERROR(__xludf.DUMMYFUNCTION("""COMPUTED_VALUE"""),"Telcel Ciudad De Mex Mex")</f>
        <v>Telcel Ciudad De Mex Mex</v>
      </c>
      <c r="I755" s="4" t="str">
        <f ca="1">IFERROR(__xludf.DUMMYFUNCTION("""COMPUTED_VALUE"""),"Transaction cost")</f>
        <v>Transaction cost</v>
      </c>
      <c r="J755" s="4" t="str">
        <f ca="1">IFERROR(__xludf.DUMMYFUNCTION("""COMPUTED_VALUE"""),"RFQ 5052 Baltimore Baseparachiller Roaming datos")</f>
        <v>RFQ 5052 Baltimore Baseparachiller Roaming datos</v>
      </c>
      <c r="K755" s="4"/>
      <c r="S755" s="6">
        <v>171</v>
      </c>
      <c r="T755" s="4" t="str">
        <f t="shared" ca="1" si="3"/>
        <v>Erik Castillo</v>
      </c>
    </row>
    <row r="756" spans="1:20" ht="12.5">
      <c r="A756" s="4" t="str">
        <f ca="1">IFERROR(__xludf.DUMMYFUNCTION("""COMPUTED_VALUE"""),"TRX1249")</f>
        <v>TRX1249</v>
      </c>
      <c r="B756" s="4" t="str">
        <f ca="1">IFERROR(__xludf.DUMMYFUNCTION("""COMPUTED_VALUE"""),"#68")</f>
        <v>#68</v>
      </c>
      <c r="C756" s="5">
        <f ca="1">IFERROR(__xludf.DUMMYFUNCTION("""COMPUTED_VALUE"""),46080.4173611111)</f>
        <v>46080.417361111096</v>
      </c>
      <c r="D756" s="6">
        <f ca="1">IFERROR(__xludf.DUMMYFUNCTION("""COMPUTED_VALUE"""),258.3)</f>
        <v>258.3</v>
      </c>
      <c r="E756" s="4" t="str">
        <f ca="1">IFERROR(__xludf.DUMMYFUNCTION("""COMPUTED_VALUE"""),"USD")</f>
        <v>USD</v>
      </c>
      <c r="F756" s="4" t="str">
        <f ca="1">IFERROR(__xludf.DUMMYFUNCTION("""COMPUTED_VALUE"""),"Jorge Armando Ramirez Perez")</f>
        <v>Jorge Armando Ramirez Perez</v>
      </c>
      <c r="G756" s="4" t="str">
        <f ca="1">IFERROR(__xludf.DUMMYFUNCTION("""COMPUTED_VALUE"""),"CHICK-FIL-A AS IAH     HOUSTON       USA")</f>
        <v>CHICK-FIL-A AS IAH     HOUSTON       USA</v>
      </c>
      <c r="H756" s="4" t="str">
        <f ca="1">IFERROR(__xludf.DUMMYFUNCTION("""COMPUTED_VALUE"""),"Chick-fil-A")</f>
        <v>Chick-fil-A</v>
      </c>
      <c r="I756" s="4" t="str">
        <f ca="1">IFERROR(__xludf.DUMMYFUNCTION("""COMPUTED_VALUE"""),"Transaction cost")</f>
        <v>Transaction cost</v>
      </c>
      <c r="J756" s="4" t="str">
        <f ca="1">IFERROR(__xludf.DUMMYFUNCTION("""COMPUTED_VALUE"""),"RFQ 4512 Ecoclean Evaluacion de proyectos Comida")</f>
        <v>RFQ 4512 Ecoclean Evaluacion de proyectos Comida</v>
      </c>
      <c r="K756" s="4" t="str">
        <f ca="1">IFERROR(__xludf.DUMMYFUNCTION("""COMPUTED_VALUE"""),"US")</f>
        <v>US</v>
      </c>
      <c r="S756" s="6">
        <v>74</v>
      </c>
      <c r="T756" s="4" t="str">
        <f t="shared" ca="1" si="3"/>
        <v>Carlos Ivan Gonzalez Merino</v>
      </c>
    </row>
    <row r="757" spans="1:20" ht="12.5">
      <c r="A757" s="4" t="str">
        <f ca="1">IFERROR(__xludf.DUMMYFUNCTION("""COMPUTED_VALUE"""),"TRX1250")</f>
        <v>TRX1250</v>
      </c>
      <c r="B757" s="4" t="str">
        <f ca="1">IFERROR(__xludf.DUMMYFUNCTION("""COMPUTED_VALUE"""),"#68")</f>
        <v>#68</v>
      </c>
      <c r="C757" s="5">
        <f ca="1">IFERROR(__xludf.DUMMYFUNCTION("""COMPUTED_VALUE"""),46080.4173611111)</f>
        <v>46080.417361111096</v>
      </c>
      <c r="D757" s="6">
        <f ca="1">IFERROR(__xludf.DUMMYFUNCTION("""COMPUTED_VALUE"""),684.78)</f>
        <v>684.78</v>
      </c>
      <c r="E757" s="4" t="str">
        <f ca="1">IFERROR(__xludf.DUMMYFUNCTION("""COMPUTED_VALUE"""),"USD")</f>
        <v>USD</v>
      </c>
      <c r="F757" s="4" t="str">
        <f ca="1">IFERROR(__xludf.DUMMYFUNCTION("""COMPUTED_VALUE"""),"Jorge Armando Ramirez Perez")</f>
        <v>Jorge Armando Ramirez Perez</v>
      </c>
      <c r="G757" s="4" t="str">
        <f ca="1">IFERROR(__xludf.DUMMYFUNCTION("""COMPUTED_VALUE"""),"DETROIT AIPORT         NEW BOSTON    USA")</f>
        <v>DETROIT AIPORT         NEW BOSTON    USA</v>
      </c>
      <c r="H757" s="4" t="str">
        <f ca="1">IFERROR(__xludf.DUMMYFUNCTION("""COMPUTED_VALUE"""),"Detroit Aiport New Boston USA")</f>
        <v>Detroit Aiport New Boston USA</v>
      </c>
      <c r="I757" s="4" t="str">
        <f ca="1">IFERROR(__xludf.DUMMYFUNCTION("""COMPUTED_VALUE"""),"Transaction cost")</f>
        <v>Transaction cost</v>
      </c>
      <c r="J757" s="4" t="str">
        <f ca="1">IFERROR(__xludf.DUMMYFUNCTION("""COMPUTED_VALUE"""),"RFQ 5052 Baltimore Baseparachiller Evaluacion de proyectos Comida")</f>
        <v>RFQ 5052 Baltimore Baseparachiller Evaluacion de proyectos Comida</v>
      </c>
      <c r="K757" s="4" t="str">
        <f ca="1">IFERROR(__xludf.DUMMYFUNCTION("""COMPUTED_VALUE"""),"US")</f>
        <v>US</v>
      </c>
      <c r="S757" s="6">
        <v>161.25</v>
      </c>
      <c r="T757" s="4" t="e">
        <f t="shared" ca="1" si="3"/>
        <v>#N/A</v>
      </c>
    </row>
    <row r="758" spans="1:20" ht="12.5">
      <c r="A758" s="4" t="str">
        <f ca="1">IFERROR(__xludf.DUMMYFUNCTION("""COMPUTED_VALUE"""),"TRX1252")</f>
        <v>TRX1252</v>
      </c>
      <c r="B758" s="4" t="str">
        <f ca="1">IFERROR(__xludf.DUMMYFUNCTION("""COMPUTED_VALUE"""),"#68")</f>
        <v>#68</v>
      </c>
      <c r="C758" s="5">
        <f ca="1">IFERROR(__xludf.DUMMYFUNCTION("""COMPUTED_VALUE"""),46080.4173611111)</f>
        <v>46080.417361111096</v>
      </c>
      <c r="D758" s="6">
        <f ca="1">IFERROR(__xludf.DUMMYFUNCTION("""COMPUTED_VALUE"""),93.3)</f>
        <v>93.3</v>
      </c>
      <c r="E758" s="4" t="str">
        <f ca="1">IFERROR(__xludf.DUMMYFUNCTION("""COMPUTED_VALUE"""),"USD")</f>
        <v>USD</v>
      </c>
      <c r="F758" s="4" t="str">
        <f ca="1">IFERROR(__xludf.DUMMYFUNCTION("""COMPUTED_VALUE"""),"Jorge Armando Ramirez Perez")</f>
        <v>Jorge Armando Ramirez Perez</v>
      </c>
      <c r="G758" s="4" t="str">
        <f ca="1">IFERROR(__xludf.DUMMYFUNCTION("""COMPUTED_VALUE"""),"DETROIT AIPORT         NEW BOSTON    USA")</f>
        <v>DETROIT AIPORT         NEW BOSTON    USA</v>
      </c>
      <c r="H758" s="4" t="str">
        <f ca="1">IFERROR(__xludf.DUMMYFUNCTION("""COMPUTED_VALUE"""),"Detroit Aiport New Boston USA")</f>
        <v>Detroit Aiport New Boston USA</v>
      </c>
      <c r="I758" s="4" t="str">
        <f ca="1">IFERROR(__xludf.DUMMYFUNCTION("""COMPUTED_VALUE"""),"Transaction cost")</f>
        <v>Transaction cost</v>
      </c>
      <c r="J758" s="4" t="str">
        <f ca="1">IFERROR(__xludf.DUMMYFUNCTION("""COMPUTED_VALUE"""),"RFQ 5052 Baltimore Baseparachiller Evaluacion de proyectos Comida")</f>
        <v>RFQ 5052 Baltimore Baseparachiller Evaluacion de proyectos Comida</v>
      </c>
      <c r="K758" s="4" t="str">
        <f ca="1">IFERROR(__xludf.DUMMYFUNCTION("""COMPUTED_VALUE"""),"US")</f>
        <v>US</v>
      </c>
      <c r="S758" s="6">
        <v>533.5</v>
      </c>
      <c r="T758" s="4" t="e">
        <f t="shared" ca="1" si="3"/>
        <v>#N/A</v>
      </c>
    </row>
    <row r="759" spans="1:20" ht="12.5">
      <c r="A759" s="4" t="str">
        <f ca="1">IFERROR(__xludf.DUMMYFUNCTION("""COMPUTED_VALUE"""),"TRX1253")</f>
        <v>TRX1253</v>
      </c>
      <c r="B759" s="4" t="str">
        <f ca="1">IFERROR(__xludf.DUMMYFUNCTION("""COMPUTED_VALUE"""),"#68")</f>
        <v>#68</v>
      </c>
      <c r="C759" s="5">
        <f ca="1">IFERROR(__xludf.DUMMYFUNCTION("""COMPUTED_VALUE"""),46080.4173611111)</f>
        <v>46080.417361111096</v>
      </c>
      <c r="D759" s="6">
        <f ca="1">IFERROR(__xludf.DUMMYFUNCTION("""COMPUTED_VALUE"""),596.16)</f>
        <v>596.16</v>
      </c>
      <c r="E759" s="4" t="str">
        <f ca="1">IFERROR(__xludf.DUMMYFUNCTION("""COMPUTED_VALUE"""),"USD")</f>
        <v>USD</v>
      </c>
      <c r="F759" s="4" t="str">
        <f ca="1">IFERROR(__xludf.DUMMYFUNCTION("""COMPUTED_VALUE"""),"Jorge Armando Ramirez Perez")</f>
        <v>Jorge Armando Ramirez Perez</v>
      </c>
      <c r="G759" s="4" t="str">
        <f ca="1">IFERROR(__xludf.DUMMYFUNCTION("""COMPUTED_VALUE"""),"THE HENRY FORD FB      DEARBORN      USA")</f>
        <v>THE HENRY FORD FB      DEARBORN      USA</v>
      </c>
      <c r="H759" s="4" t="str">
        <f ca="1">IFERROR(__xludf.DUMMYFUNCTION("""COMPUTED_VALUE"""),"Dearborn")</f>
        <v>Dearborn</v>
      </c>
      <c r="I759" s="4" t="str">
        <f ca="1">IFERROR(__xludf.DUMMYFUNCTION("""COMPUTED_VALUE"""),"Transaction cost")</f>
        <v>Transaction cost</v>
      </c>
      <c r="J759" s="4" t="str">
        <f ca="1">IFERROR(__xludf.DUMMYFUNCTION("""COMPUTED_VALUE"""),"RFQ 5052 Baltimore Baseparachiller Evaluacion de proyectos Comida")</f>
        <v>RFQ 5052 Baltimore Baseparachiller Evaluacion de proyectos Comida</v>
      </c>
      <c r="K759" s="4" t="str">
        <f ca="1">IFERROR(__xludf.DUMMYFUNCTION("""COMPUTED_VALUE"""),"US")</f>
        <v>US</v>
      </c>
      <c r="S759" s="6">
        <v>189.91</v>
      </c>
      <c r="T759" s="4" t="e">
        <f t="shared" ca="1" si="3"/>
        <v>#N/A</v>
      </c>
    </row>
    <row r="760" spans="1:20" ht="12.5">
      <c r="A760" s="4" t="str">
        <f ca="1">IFERROR(__xludf.DUMMYFUNCTION("""COMPUTED_VALUE"""),"TRX1295")</f>
        <v>TRX1295</v>
      </c>
      <c r="B760" s="4" t="str">
        <f ca="1">IFERROR(__xludf.DUMMYFUNCTION("""COMPUTED_VALUE"""),"#68")</f>
        <v>#68</v>
      </c>
      <c r="C760" s="5">
        <f ca="1">IFERROR(__xludf.DUMMYFUNCTION("""COMPUTED_VALUE"""),46081.4173611111)</f>
        <v>46081.417361111096</v>
      </c>
      <c r="D760" s="6">
        <f ca="1">IFERROR(__xludf.DUMMYFUNCTION("""COMPUTED_VALUE"""),216.13)</f>
        <v>216.13</v>
      </c>
      <c r="E760" s="4" t="str">
        <f ca="1">IFERROR(__xludf.DUMMYFUNCTION("""COMPUTED_VALUE"""),"USD")</f>
        <v>USD</v>
      </c>
      <c r="F760" s="4" t="str">
        <f ca="1">IFERROR(__xludf.DUMMYFUNCTION("""COMPUTED_VALUE"""),"Jorge Armando Ramirez Perez")</f>
        <v>Jorge Armando Ramirez Perez</v>
      </c>
      <c r="G760" s="4" t="str">
        <f ca="1">IFERROR(__xludf.DUMMYFUNCTION("""COMPUTED_VALUE"""),"HOLIDAY INN EXPRESS &amp;  ATLANTA       USA")</f>
        <v>HOLIDAY INN EXPRESS &amp;  ATLANTA       USA</v>
      </c>
      <c r="H760" s="4" t="str">
        <f ca="1">IFERROR(__xludf.DUMMYFUNCTION("""COMPUTED_VALUE"""),"Holiday Inn")</f>
        <v>Holiday Inn</v>
      </c>
      <c r="I760" s="4" t="str">
        <f ca="1">IFERROR(__xludf.DUMMYFUNCTION("""COMPUTED_VALUE"""),"Transaction cost")</f>
        <v>Transaction cost</v>
      </c>
      <c r="J760" s="4" t="str">
        <f ca="1">IFERROR(__xludf.DUMMYFUNCTION("""COMPUTED_VALUE"""),"RFQ 5052 Baltimore Baseparachiller Evaluacion de proyectos Deposito Hotel")</f>
        <v>RFQ 5052 Baltimore Baseparachiller Evaluacion de proyectos Deposito Hotel</v>
      </c>
      <c r="K760" s="4" t="str">
        <f ca="1">IFERROR(__xludf.DUMMYFUNCTION("""COMPUTED_VALUE"""),"US")</f>
        <v>US</v>
      </c>
      <c r="S760" s="6">
        <v>192.26</v>
      </c>
      <c r="T760" s="4" t="e">
        <f t="shared" ca="1" si="3"/>
        <v>#N/A</v>
      </c>
    </row>
    <row r="761" spans="1:20" ht="12.5">
      <c r="A761" s="4" t="str">
        <f ca="1">IFERROR(__xludf.DUMMYFUNCTION("""COMPUTED_VALUE"""),"TRX1296")</f>
        <v>TRX1296</v>
      </c>
      <c r="B761" s="4" t="str">
        <f ca="1">IFERROR(__xludf.DUMMYFUNCTION("""COMPUTED_VALUE"""),"#68")</f>
        <v>#68</v>
      </c>
      <c r="C761" s="5">
        <f ca="1">IFERROR(__xludf.DUMMYFUNCTION("""COMPUTED_VALUE"""),46081.4173611111)</f>
        <v>46081.417361111096</v>
      </c>
      <c r="D761" s="6">
        <f ca="1">IFERROR(__xludf.DUMMYFUNCTION("""COMPUTED_VALUE"""),932.61)</f>
        <v>932.61</v>
      </c>
      <c r="E761" s="4" t="str">
        <f ca="1">IFERROR(__xludf.DUMMYFUNCTION("""COMPUTED_VALUE"""),"USD")</f>
        <v>USD</v>
      </c>
      <c r="F761" s="4" t="str">
        <f ca="1">IFERROR(__xludf.DUMMYFUNCTION("""COMPUTED_VALUE"""),"Jorge Armando Ramirez Perez")</f>
        <v>Jorge Armando Ramirez Perez</v>
      </c>
      <c r="G761" s="4" t="str">
        <f ca="1">IFERROR(__xludf.DUMMYFUNCTION("""COMPUTED_VALUE"""),"CKE*SCREEN DOOR KITCHE SODDY-DAISY   USA")</f>
        <v>CKE*SCREEN DOOR KITCHE SODDY-DAISY   USA</v>
      </c>
      <c r="H761" s="4" t="str">
        <f ca="1">IFERROR(__xludf.DUMMYFUNCTION("""COMPUTED_VALUE"""),"Cke Screen Door Kitche Soddy Daisy USA")</f>
        <v>Cke Screen Door Kitche Soddy Daisy USA</v>
      </c>
      <c r="I761" s="4" t="str">
        <f ca="1">IFERROR(__xludf.DUMMYFUNCTION("""COMPUTED_VALUE"""),"Transaction cost")</f>
        <v>Transaction cost</v>
      </c>
      <c r="J761" s="4" t="str">
        <f ca="1">IFERROR(__xludf.DUMMYFUNCTION("""COMPUTED_VALUE"""),"RFQ 5052 Baltimore Baseparachiller Evaluacion de proyectos Comida")</f>
        <v>RFQ 5052 Baltimore Baseparachiller Evaluacion de proyectos Comida</v>
      </c>
      <c r="K761" s="4" t="str">
        <f ca="1">IFERROR(__xludf.DUMMYFUNCTION("""COMPUTED_VALUE"""),"US")</f>
        <v>US</v>
      </c>
      <c r="S761" s="6">
        <v>99.95</v>
      </c>
      <c r="T761" s="4" t="e">
        <f t="shared" ca="1" si="3"/>
        <v>#N/A</v>
      </c>
    </row>
    <row r="762" spans="1:20" ht="12.5">
      <c r="A762" s="4" t="str">
        <f ca="1">IFERROR(__xludf.DUMMYFUNCTION("""COMPUTED_VALUE"""),"TRX1297")</f>
        <v>TRX1297</v>
      </c>
      <c r="B762" s="4" t="str">
        <f ca="1">IFERROR(__xludf.DUMMYFUNCTION("""COMPUTED_VALUE"""),"#68")</f>
        <v>#68</v>
      </c>
      <c r="C762" s="5">
        <f ca="1">IFERROR(__xludf.DUMMYFUNCTION("""COMPUTED_VALUE"""),46081.4173611111)</f>
        <v>46081.417361111096</v>
      </c>
      <c r="D762" s="6">
        <f ca="1">IFERROR(__xludf.DUMMYFUNCTION("""COMPUTED_VALUE"""),635.56)</f>
        <v>635.55999999999995</v>
      </c>
      <c r="E762" s="4" t="str">
        <f ca="1">IFERROR(__xludf.DUMMYFUNCTION("""COMPUTED_VALUE"""),"USD")</f>
        <v>USD</v>
      </c>
      <c r="F762" s="4" t="str">
        <f ca="1">IFERROR(__xludf.DUMMYFUNCTION("""COMPUTED_VALUE"""),"Jorge Armando Ramirez Perez")</f>
        <v>Jorge Armando Ramirez Perez</v>
      </c>
      <c r="G762" s="4" t="str">
        <f ca="1">IFERROR(__xludf.DUMMYFUNCTION("""COMPUTED_VALUE"""),"RACETRAC 587           EAST POINT    USA")</f>
        <v>RACETRAC 587           EAST POINT    USA</v>
      </c>
      <c r="H762" s="4" t="str">
        <f ca="1">IFERROR(__xludf.DUMMYFUNCTION("""COMPUTED_VALUE"""),"Racetrac")</f>
        <v>Racetrac</v>
      </c>
      <c r="I762" s="4" t="str">
        <f ca="1">IFERROR(__xludf.DUMMYFUNCTION("""COMPUTED_VALUE"""),"Transaction cost")</f>
        <v>Transaction cost</v>
      </c>
      <c r="J762" s="4" t="str">
        <f ca="1">IFERROR(__xludf.DUMMYFUNCTION("""COMPUTED_VALUE"""),"RFQ 5052 Baltimore Baseparachiller Evaluacion de proyectos Gasolina")</f>
        <v>RFQ 5052 Baltimore Baseparachiller Evaluacion de proyectos Gasolina</v>
      </c>
      <c r="K762" s="4" t="str">
        <f ca="1">IFERROR(__xludf.DUMMYFUNCTION("""COMPUTED_VALUE"""),"US")</f>
        <v>US</v>
      </c>
      <c r="S762" s="6">
        <v>82</v>
      </c>
      <c r="T762" s="4" t="e">
        <f t="shared" ca="1" si="3"/>
        <v>#N/A</v>
      </c>
    </row>
    <row r="763" spans="1:20" ht="12.5">
      <c r="A763" s="4" t="str">
        <f ca="1">IFERROR(__xludf.DUMMYFUNCTION("""COMPUTED_VALUE"""),"TRX1181")</f>
        <v>TRX1181</v>
      </c>
      <c r="B763" s="4" t="str">
        <f ca="1">IFERROR(__xludf.DUMMYFUNCTION("""COMPUTED_VALUE"""),"#69")</f>
        <v>#69</v>
      </c>
      <c r="C763" s="5">
        <f ca="1">IFERROR(__xludf.DUMMYFUNCTION("""COMPUTED_VALUE"""),46059.4166666666)</f>
        <v>46059.416666666599</v>
      </c>
      <c r="D763" s="6">
        <f ca="1">IFERROR(__xludf.DUMMYFUNCTION("""COMPUTED_VALUE"""),375.79)</f>
        <v>375.79</v>
      </c>
      <c r="E763" s="4" t="str">
        <f ca="1">IFERROR(__xludf.DUMMYFUNCTION("""COMPUTED_VALUE"""),"MXN")</f>
        <v>MXN</v>
      </c>
      <c r="F763" s="4" t="str">
        <f ca="1">IFERROR(__xludf.DUMMYFUNCTION("""COMPUTED_VALUE"""),"Gustavo Rivas")</f>
        <v>Gustavo Rivas</v>
      </c>
      <c r="G763" s="4" t="str">
        <f ca="1">IFERROR(__xludf.DUMMYFUNCTION("""COMPUTED_VALUE"""),"UBER *TRIP HELP.UBER.C CMX           MEX")</f>
        <v>UBER *TRIP HELP.UBER.C CMX           MEX</v>
      </c>
      <c r="H763" s="4" t="str">
        <f ca="1">IFERROR(__xludf.DUMMYFUNCTION("""COMPUTED_VALUE"""),"Uber")</f>
        <v>Uber</v>
      </c>
      <c r="I763" s="4" t="str">
        <f ca="1">IFERROR(__xludf.DUMMYFUNCTION("""COMPUTED_VALUE"""),"Sales")</f>
        <v>Sales</v>
      </c>
      <c r="J763" s="4" t="str">
        <f ca="1">IFERROR(__xludf.DUMMYFUNCTION("""COMPUTED_VALUE"""),"Sin PO")</f>
        <v>Sin PO</v>
      </c>
      <c r="K763" s="4"/>
      <c r="S763" s="6">
        <v>52.5</v>
      </c>
      <c r="T763" s="4" t="e">
        <f t="shared" ca="1" si="3"/>
        <v>#N/A</v>
      </c>
    </row>
    <row r="764" spans="1:20" ht="12.5">
      <c r="A764" s="4" t="str">
        <f ca="1">IFERROR(__xludf.DUMMYFUNCTION("""COMPUTED_VALUE"""),"TRX1180")</f>
        <v>TRX1180</v>
      </c>
      <c r="B764" s="4" t="str">
        <f ca="1">IFERROR(__xludf.DUMMYFUNCTION("""COMPUTED_VALUE"""),"#69")</f>
        <v>#69</v>
      </c>
      <c r="C764" s="5">
        <f ca="1">IFERROR(__xludf.DUMMYFUNCTION("""COMPUTED_VALUE"""),46059.4166666666)</f>
        <v>46059.416666666599</v>
      </c>
      <c r="D764" s="6">
        <f ca="1">IFERROR(__xludf.DUMMYFUNCTION("""COMPUTED_VALUE"""),394)</f>
        <v>394</v>
      </c>
      <c r="E764" s="4" t="str">
        <f ca="1">IFERROR(__xludf.DUMMYFUNCTION("""COMPUTED_VALUE"""),"MXN")</f>
        <v>MXN</v>
      </c>
      <c r="F764" s="4" t="str">
        <f ca="1">IFERROR(__xludf.DUMMYFUNCTION("""COMPUTED_VALUE"""),"Gustavo Rivas")</f>
        <v>Gustavo Rivas</v>
      </c>
      <c r="G764" s="4" t="str">
        <f ca="1">IFERROR(__xludf.DUMMYFUNCTION("""COMPUTED_VALUE"""),"COM RAP KE RICO PTA 8  CIUDAD DE MEX MEX")</f>
        <v>COM RAP KE RICO PTA 8  CIUDAD DE MEX MEX</v>
      </c>
      <c r="H764" s="4" t="str">
        <f ca="1">IFERROR(__xludf.DUMMYFUNCTION("""COMPUTED_VALUE"""),"Com Rap Ke Rico Pta 8 Ciudad De Mex Mex")</f>
        <v>Com Rap Ke Rico Pta 8 Ciudad De Mex Mex</v>
      </c>
      <c r="I764" s="4" t="str">
        <f ca="1">IFERROR(__xludf.DUMMYFUNCTION("""COMPUTED_VALUE"""),"Sales")</f>
        <v>Sales</v>
      </c>
      <c r="J764" s="4" t="str">
        <f ca="1">IFERROR(__xludf.DUMMYFUNCTION("""COMPUTED_VALUE"""),"Sin PO - Visita DEMSA para JV")</f>
        <v>Sin PO - Visita DEMSA para JV</v>
      </c>
      <c r="K764" s="4" t="str">
        <f ca="1">IFERROR(__xludf.DUMMYFUNCTION("""COMPUTED_VALUE"""),"219d04aa-dbdd-4c27-875c-dbc054f91e22")</f>
        <v>219d04aa-dbdd-4c27-875c-dbc054f91e22</v>
      </c>
      <c r="S764" s="6">
        <v>1170</v>
      </c>
      <c r="T764" s="4" t="e">
        <f t="shared" ca="1" si="3"/>
        <v>#N/A</v>
      </c>
    </row>
    <row r="765" spans="1:20" ht="12.5">
      <c r="A765" s="4" t="str">
        <f ca="1">IFERROR(__xludf.DUMMYFUNCTION("""COMPUTED_VALUE"""),"TRX1484")</f>
        <v>TRX1484</v>
      </c>
      <c r="B765" s="4" t="str">
        <f ca="1">IFERROR(__xludf.DUMMYFUNCTION("""COMPUTED_VALUE"""),"#69")</f>
        <v>#69</v>
      </c>
      <c r="C765" s="5">
        <f ca="1">IFERROR(__xludf.DUMMYFUNCTION("""COMPUTED_VALUE"""),46059.4173611111)</f>
        <v>46059.417361111096</v>
      </c>
      <c r="D765" s="6">
        <f ca="1">IFERROR(__xludf.DUMMYFUNCTION("""COMPUTED_VALUE"""),2859.51)</f>
        <v>2859.51</v>
      </c>
      <c r="E765" s="4" t="str">
        <f ca="1">IFERROR(__xludf.DUMMYFUNCTION("""COMPUTED_VALUE"""),"MXN")</f>
        <v>MXN</v>
      </c>
      <c r="F765" s="4" t="str">
        <f ca="1">IFERROR(__xludf.DUMMYFUNCTION("""COMPUTED_VALUE"""),"Gustavo Rivas")</f>
        <v>Gustavo Rivas</v>
      </c>
      <c r="G765" s="4" t="str">
        <f ca="1">IFERROR(__xludf.DUMMYFUNCTION("""COMPUTED_VALUE"""),"H SOBERANO CHIH        CHIHUAHUA CHI MEX")</f>
        <v>H SOBERANO CHIH        CHIHUAHUA CHI MEX</v>
      </c>
      <c r="H765" s="4" t="str">
        <f ca="1">IFERROR(__xludf.DUMMYFUNCTION("""COMPUTED_VALUE"""),"H Soberano Chih Chihuahua Chi Mex")</f>
        <v>H Soberano Chih Chihuahua Chi Mex</v>
      </c>
      <c r="I765" s="4" t="str">
        <f ca="1">IFERROR(__xludf.DUMMYFUNCTION("""COMPUTED_VALUE"""),"Sales")</f>
        <v>Sales</v>
      </c>
      <c r="J765" s="4"/>
      <c r="K765" s="4"/>
      <c r="S765" s="6">
        <v>804</v>
      </c>
      <c r="T765" s="4" t="e">
        <f t="shared" ca="1" si="3"/>
        <v>#N/A</v>
      </c>
    </row>
    <row r="766" spans="1:20" ht="12.5">
      <c r="A766" s="4" t="str">
        <f ca="1">IFERROR(__xludf.DUMMYFUNCTION("""COMPUTED_VALUE"""),"TRX1184")</f>
        <v>TRX1184</v>
      </c>
      <c r="B766" s="4" t="str">
        <f ca="1">IFERROR(__xludf.DUMMYFUNCTION("""COMPUTED_VALUE"""),"#69")</f>
        <v>#69</v>
      </c>
      <c r="C766" s="5">
        <f ca="1">IFERROR(__xludf.DUMMYFUNCTION("""COMPUTED_VALUE"""),46060.4166666666)</f>
        <v>46060.416666666599</v>
      </c>
      <c r="D766" s="6">
        <f ca="1">IFERROR(__xludf.DUMMYFUNCTION("""COMPUTED_VALUE"""),559.99)</f>
        <v>559.99</v>
      </c>
      <c r="E766" s="4" t="str">
        <f ca="1">IFERROR(__xludf.DUMMYFUNCTION("""COMPUTED_VALUE"""),"MXN")</f>
        <v>MXN</v>
      </c>
      <c r="F766" s="4" t="str">
        <f ca="1">IFERROR(__xludf.DUMMYFUNCTION("""COMPUTED_VALUE"""),"Gustavo Rivas")</f>
        <v>Gustavo Rivas</v>
      </c>
      <c r="G766" s="4" t="str">
        <f ca="1">IFERROR(__xludf.DUMMYFUNCTION("""COMPUTED_VALUE"""),"UBER * PENDING         CMX           MEX")</f>
        <v>UBER * PENDING         CMX           MEX</v>
      </c>
      <c r="H766" s="4" t="str">
        <f ca="1">IFERROR(__xludf.DUMMYFUNCTION("""COMPUTED_VALUE"""),"Uber")</f>
        <v>Uber</v>
      </c>
      <c r="I766" s="4" t="str">
        <f ca="1">IFERROR(__xludf.DUMMYFUNCTION("""COMPUTED_VALUE"""),"Sales")</f>
        <v>Sales</v>
      </c>
      <c r="J766" s="4" t="str">
        <f ca="1">IFERROR(__xludf.DUMMYFUNCTION("""COMPUTED_VALUE"""),"Sin PO")</f>
        <v>Sin PO</v>
      </c>
      <c r="K766" s="4"/>
      <c r="S766" s="6">
        <v>2466</v>
      </c>
      <c r="T766" s="4" t="e">
        <f t="shared" ca="1" si="3"/>
        <v>#N/A</v>
      </c>
    </row>
    <row r="767" spans="1:20" ht="12.5">
      <c r="A767" s="4" t="str">
        <f ca="1">IFERROR(__xludf.DUMMYFUNCTION("""COMPUTED_VALUE"""),"TRX1246")</f>
        <v>TRX1246</v>
      </c>
      <c r="B767" s="4" t="str">
        <f ca="1">IFERROR(__xludf.DUMMYFUNCTION("""COMPUTED_VALUE"""),"#69")</f>
        <v>#69</v>
      </c>
      <c r="C767" s="5">
        <f ca="1">IFERROR(__xludf.DUMMYFUNCTION("""COMPUTED_VALUE"""),46060.4166666666)</f>
        <v>46060.416666666599</v>
      </c>
      <c r="D767" s="6">
        <f ca="1">IFERROR(__xludf.DUMMYFUNCTION("""COMPUTED_VALUE"""),483)</f>
        <v>483</v>
      </c>
      <c r="E767" s="4" t="str">
        <f ca="1">IFERROR(__xludf.DUMMYFUNCTION("""COMPUTED_VALUE"""),"MXN")</f>
        <v>MXN</v>
      </c>
      <c r="F767" s="4" t="str">
        <f ca="1">IFERROR(__xludf.DUMMYFUNCTION("""COMPUTED_VALUE"""),"Gustavo Rivas")</f>
        <v>Gustavo Rivas</v>
      </c>
      <c r="G767" s="4" t="str">
        <f ca="1">IFERROR(__xludf.DUMMYFUNCTION("""COMPUTED_VALUE"""),"ELEONORA REST          CHIHUAHUA CHI MEX")</f>
        <v>ELEONORA REST          CHIHUAHUA CHI MEX</v>
      </c>
      <c r="H767" s="4" t="str">
        <f ca="1">IFERROR(__xludf.DUMMYFUNCTION("""COMPUTED_VALUE"""),"Eleonora Rest Chihuahua Chi Mex")</f>
        <v>Eleonora Rest Chihuahua Chi Mex</v>
      </c>
      <c r="I767" s="4" t="str">
        <f ca="1">IFERROR(__xludf.DUMMYFUNCTION("""COMPUTED_VALUE"""),"Sales")</f>
        <v>Sales</v>
      </c>
      <c r="J767" s="4" t="str">
        <f ca="1">IFERROR(__xludf.DUMMYFUNCTION("""COMPUTED_VALUE"""),"Sin PO - Comida DEMSA")</f>
        <v>Sin PO - Comida DEMSA</v>
      </c>
      <c r="K767" s="4" t="str">
        <f ca="1">IFERROR(__xludf.DUMMYFUNCTION("""COMPUTED_VALUE"""),"148b3209-a066-4cf5-9066-ba06f8a5058f")</f>
        <v>148b3209-a066-4cf5-9066-ba06f8a5058f</v>
      </c>
      <c r="S767" s="6">
        <v>629</v>
      </c>
      <c r="T767" s="4" t="e">
        <f t="shared" ref="T767:T864" ca="1" si="4">VLOOKUP(S767,D:F,3,FALSE)</f>
        <v>#N/A</v>
      </c>
    </row>
    <row r="768" spans="1:20" ht="12.5">
      <c r="A768" s="4" t="str">
        <f ca="1">IFERROR(__xludf.DUMMYFUNCTION("""COMPUTED_VALUE"""),"TRX1452")</f>
        <v>TRX1452</v>
      </c>
      <c r="B768" s="4" t="str">
        <f ca="1">IFERROR(__xludf.DUMMYFUNCTION("""COMPUTED_VALUE"""),"#69")</f>
        <v>#69</v>
      </c>
      <c r="C768" s="5">
        <f ca="1">IFERROR(__xludf.DUMMYFUNCTION("""COMPUTED_VALUE"""),46060.4166666666)</f>
        <v>46060.416666666599</v>
      </c>
      <c r="D768" s="6">
        <f ca="1">IFERROR(__xludf.DUMMYFUNCTION("""COMPUTED_VALUE"""),257.89)</f>
        <v>257.89</v>
      </c>
      <c r="E768" s="4" t="str">
        <f ca="1">IFERROR(__xludf.DUMMYFUNCTION("""COMPUTED_VALUE"""),"MXN")</f>
        <v>MXN</v>
      </c>
      <c r="F768" s="4" t="str">
        <f ca="1">IFERROR(__xludf.DUMMYFUNCTION("""COMPUTED_VALUE"""),"Gustavo Rivas")</f>
        <v>Gustavo Rivas</v>
      </c>
      <c r="G768" s="4" t="str">
        <f ca="1">IFERROR(__xludf.DUMMYFUNCTION("""COMPUTED_VALUE"""),"UBER * PENDING         CMX           MEX")</f>
        <v>UBER * PENDING         CMX           MEX</v>
      </c>
      <c r="H768" s="4" t="str">
        <f ca="1">IFERROR(__xludf.DUMMYFUNCTION("""COMPUTED_VALUE"""),"Uber")</f>
        <v>Uber</v>
      </c>
      <c r="I768" s="4" t="str">
        <f ca="1">IFERROR(__xludf.DUMMYFUNCTION("""COMPUTED_VALUE"""),"Sales")</f>
        <v>Sales</v>
      </c>
      <c r="J768" s="4" t="str">
        <f ca="1">IFERROR(__xludf.DUMMYFUNCTION("""COMPUTED_VALUE"""),"Sin PO")</f>
        <v>Sin PO</v>
      </c>
      <c r="K768" s="4"/>
      <c r="S768" s="6">
        <v>664.4</v>
      </c>
      <c r="T768" s="4" t="e">
        <f t="shared" ca="1" si="4"/>
        <v>#N/A</v>
      </c>
    </row>
    <row r="769" spans="1:20" ht="12.5">
      <c r="A769" s="4" t="str">
        <f ca="1">IFERROR(__xludf.DUMMYFUNCTION("""COMPUTED_VALUE"""),"TRX1920")</f>
        <v>TRX1920</v>
      </c>
      <c r="B769" s="4" t="str">
        <f ca="1">IFERROR(__xludf.DUMMYFUNCTION("""COMPUTED_VALUE"""),"#69")</f>
        <v>#69</v>
      </c>
      <c r="C769" s="5">
        <f ca="1">IFERROR(__xludf.DUMMYFUNCTION("""COMPUTED_VALUE"""),46060.4166666666)</f>
        <v>46060.416666666599</v>
      </c>
      <c r="D769" s="6">
        <f ca="1">IFERROR(__xludf.DUMMYFUNCTION("""COMPUTED_VALUE"""),87.56)</f>
        <v>87.56</v>
      </c>
      <c r="E769" s="4" t="str">
        <f ca="1">IFERROR(__xludf.DUMMYFUNCTION("""COMPUTED_VALUE"""),"MXN")</f>
        <v>MXN</v>
      </c>
      <c r="F769" s="4" t="str">
        <f ca="1">IFERROR(__xludf.DUMMYFUNCTION("""COMPUTED_VALUE"""),"Gustavo Rivas")</f>
        <v>Gustavo Rivas</v>
      </c>
      <c r="G769" s="4" t="str">
        <f ca="1">IFERROR(__xludf.DUMMYFUNCTION("""COMPUTED_VALUE"""),"UBER * PENDING         CMX           MEX")</f>
        <v>UBER * PENDING         CMX           MEX</v>
      </c>
      <c r="H769" s="4" t="str">
        <f ca="1">IFERROR(__xludf.DUMMYFUNCTION("""COMPUTED_VALUE"""),"Uber")</f>
        <v>Uber</v>
      </c>
      <c r="I769" s="4" t="str">
        <f ca="1">IFERROR(__xludf.DUMMYFUNCTION("""COMPUTED_VALUE"""),"Sales")</f>
        <v>Sales</v>
      </c>
      <c r="J769" s="4" t="str">
        <f ca="1">IFERROR(__xludf.DUMMYFUNCTION("""COMPUTED_VALUE"""),"Sin PO")</f>
        <v>Sin PO</v>
      </c>
      <c r="K769" s="4"/>
      <c r="S769" s="6">
        <v>1493.47</v>
      </c>
      <c r="T769" s="4" t="e">
        <f t="shared" ca="1" si="4"/>
        <v>#N/A</v>
      </c>
    </row>
    <row r="770" spans="1:20" ht="12.5">
      <c r="A770" s="4" t="str">
        <f ca="1">IFERROR(__xludf.DUMMYFUNCTION("""COMPUTED_VALUE"""),"TRX1328")</f>
        <v>TRX1328</v>
      </c>
      <c r="B770" s="4" t="str">
        <f ca="1">IFERROR(__xludf.DUMMYFUNCTION("""COMPUTED_VALUE"""),"#69")</f>
        <v>#69</v>
      </c>
      <c r="C770" s="5">
        <f ca="1">IFERROR(__xludf.DUMMYFUNCTION("""COMPUTED_VALUE"""),46060.4166666666)</f>
        <v>46060.416666666599</v>
      </c>
      <c r="D770" s="6">
        <f ca="1">IFERROR(__xludf.DUMMYFUNCTION("""COMPUTED_VALUE"""),109.81)</f>
        <v>109.81</v>
      </c>
      <c r="E770" s="4" t="str">
        <f ca="1">IFERROR(__xludf.DUMMYFUNCTION("""COMPUTED_VALUE"""),"MXN")</f>
        <v>MXN</v>
      </c>
      <c r="F770" s="4" t="str">
        <f ca="1">IFERROR(__xludf.DUMMYFUNCTION("""COMPUTED_VALUE"""),"Gustavo Rivas")</f>
        <v>Gustavo Rivas</v>
      </c>
      <c r="G770" s="4" t="str">
        <f ca="1">IFERROR(__xludf.DUMMYFUNCTION("""COMPUTED_VALUE"""),"DLO*Uber               CDMX          MEX")</f>
        <v>DLO*Uber               CDMX          MEX</v>
      </c>
      <c r="H770" s="4" t="str">
        <f ca="1">IFERROR(__xludf.DUMMYFUNCTION("""COMPUTED_VALUE"""),"Uber")</f>
        <v>Uber</v>
      </c>
      <c r="I770" s="4" t="str">
        <f ca="1">IFERROR(__xludf.DUMMYFUNCTION("""COMPUTED_VALUE"""),"Sales")</f>
        <v>Sales</v>
      </c>
      <c r="J770" s="4" t="str">
        <f ca="1">IFERROR(__xludf.DUMMYFUNCTION("""COMPUTED_VALUE"""),"Sin PO")</f>
        <v>Sin PO</v>
      </c>
      <c r="K770" s="4"/>
      <c r="S770" s="6">
        <v>61.2</v>
      </c>
      <c r="T770" s="4" t="str">
        <f t="shared" ca="1" si="4"/>
        <v>Emiliano Cavazos</v>
      </c>
    </row>
    <row r="771" spans="1:20" ht="12.5">
      <c r="A771" s="4" t="str">
        <f ca="1">IFERROR(__xludf.DUMMYFUNCTION("""COMPUTED_VALUE"""),"TRX2022")</f>
        <v>TRX2022</v>
      </c>
      <c r="B771" s="4" t="str">
        <f ca="1">IFERROR(__xludf.DUMMYFUNCTION("""COMPUTED_VALUE"""),"#69")</f>
        <v>#69</v>
      </c>
      <c r="C771" s="5">
        <f ca="1">IFERROR(__xludf.DUMMYFUNCTION("""COMPUTED_VALUE"""),46060.4173611111)</f>
        <v>46060.417361111096</v>
      </c>
      <c r="D771" s="6">
        <f ca="1">IFERROR(__xludf.DUMMYFUNCTION("""COMPUTED_VALUE"""),2747.35)</f>
        <v>2747.35</v>
      </c>
      <c r="E771" s="4" t="str">
        <f ca="1">IFERROR(__xludf.DUMMYFUNCTION("""COMPUTED_VALUE"""),"MXN")</f>
        <v>MXN</v>
      </c>
      <c r="F771" s="4" t="str">
        <f ca="1">IFERROR(__xludf.DUMMYFUNCTION("""COMPUTED_VALUE"""),"Gustavo Rivas")</f>
        <v>Gustavo Rivas</v>
      </c>
      <c r="G771" s="4" t="str">
        <f ca="1">IFERROR(__xludf.DUMMYFUNCTION("""COMPUTED_VALUE"""),"REST KAMPAI            CHIHUAHUA CHI MEX")</f>
        <v>REST KAMPAI            CHIHUAHUA CHI MEX</v>
      </c>
      <c r="H771" s="4" t="str">
        <f ca="1">IFERROR(__xludf.DUMMYFUNCTION("""COMPUTED_VALUE"""),"Rest Kampai Chihuahua Chi Mex")</f>
        <v>Rest Kampai Chihuahua Chi Mex</v>
      </c>
      <c r="I771" s="4" t="str">
        <f ca="1">IFERROR(__xludf.DUMMYFUNCTION("""COMPUTED_VALUE"""),"Sales")</f>
        <v>Sales</v>
      </c>
      <c r="J771" s="4" t="str">
        <f ca="1">IFERROR(__xludf.DUMMYFUNCTION("""COMPUTED_VALUE"""),"Sin PO - Comida VP de Marriott")</f>
        <v>Sin PO - Comida VP de Marriott</v>
      </c>
      <c r="K771" s="4" t="str">
        <f ca="1">IFERROR(__xludf.DUMMYFUNCTION("""COMPUTED_VALUE"""),"777f006d-a315-4440-9e73-6f755f980bca")</f>
        <v>777f006d-a315-4440-9e73-6f755f980bca</v>
      </c>
      <c r="S771" s="6">
        <v>1014</v>
      </c>
      <c r="T771" s="4" t="str">
        <f t="shared" ca="1" si="4"/>
        <v>Erik Castillo</v>
      </c>
    </row>
    <row r="772" spans="1:20" ht="12.5">
      <c r="A772" s="4" t="str">
        <f ca="1">IFERROR(__xludf.DUMMYFUNCTION("""COMPUTED_VALUE"""),"TRX1015")</f>
        <v>TRX1015</v>
      </c>
      <c r="B772" s="4" t="str">
        <f ca="1">IFERROR(__xludf.DUMMYFUNCTION("""COMPUTED_VALUE"""),"#69")</f>
        <v>#69</v>
      </c>
      <c r="C772" s="5">
        <f ca="1">IFERROR(__xludf.DUMMYFUNCTION("""COMPUTED_VALUE"""),46063.4166666666)</f>
        <v>46063.416666666599</v>
      </c>
      <c r="D772" s="6">
        <f ca="1">IFERROR(__xludf.DUMMYFUNCTION("""COMPUTED_VALUE"""),11702)</f>
        <v>11702</v>
      </c>
      <c r="E772" s="4" t="str">
        <f ca="1">IFERROR(__xludf.DUMMYFUNCTION("""COMPUTED_VALUE"""),"MXN")</f>
        <v>MXN</v>
      </c>
      <c r="F772" s="4" t="str">
        <f ca="1">IFERROR(__xludf.DUMMYFUNCTION("""COMPUTED_VALUE"""),"Gustavo Rivas")</f>
        <v>Gustavo Rivas</v>
      </c>
      <c r="G772" s="4" t="str">
        <f ca="1">IFERROR(__xludf.DUMMYFUNCTION("""COMPUTED_VALUE"""),"AEROMEXICO CC PN       CIUDAD DE MEX MEX")</f>
        <v>AEROMEXICO CC PN       CIUDAD DE MEX MEX</v>
      </c>
      <c r="H772" s="4" t="str">
        <f ca="1">IFERROR(__xludf.DUMMYFUNCTION("""COMPUTED_VALUE"""),"Aeromexico")</f>
        <v>Aeromexico</v>
      </c>
      <c r="I772" s="4" t="str">
        <f ca="1">IFERROR(__xludf.DUMMYFUNCTION("""COMPUTED_VALUE"""),"Sales")</f>
        <v>Sales</v>
      </c>
      <c r="J772" s="4" t="str">
        <f ca="1">IFERROR(__xludf.DUMMYFUNCTION("""COMPUTED_VALUE"""),"PO 2218")</f>
        <v>PO 2218</v>
      </c>
      <c r="K772" s="4" t="str">
        <f ca="1">IFERROR(__xludf.DUMMYFUNCTION("""COMPUTED_VALUE"""),"49EB27A0-4029-5AE5-AEB0-0013C6880541")</f>
        <v>49EB27A0-4029-5AE5-AEB0-0013C6880541</v>
      </c>
      <c r="S772" s="6">
        <v>832.6</v>
      </c>
      <c r="T772" s="4" t="e">
        <f t="shared" ca="1" si="4"/>
        <v>#N/A</v>
      </c>
    </row>
    <row r="773" spans="1:20" ht="12.5">
      <c r="A773" s="4" t="str">
        <f ca="1">IFERROR(__xludf.DUMMYFUNCTION("""COMPUTED_VALUE"""),"TRX1203")</f>
        <v>TRX1203</v>
      </c>
      <c r="B773" s="4" t="str">
        <f ca="1">IFERROR(__xludf.DUMMYFUNCTION("""COMPUTED_VALUE"""),"#69")</f>
        <v>#69</v>
      </c>
      <c r="C773" s="5">
        <f ca="1">IFERROR(__xludf.DUMMYFUNCTION("""COMPUTED_VALUE"""),46064.4166666666)</f>
        <v>46064.416666666599</v>
      </c>
      <c r="D773" s="6">
        <f ca="1">IFERROR(__xludf.DUMMYFUNCTION("""COMPUTED_VALUE"""),50)</f>
        <v>50</v>
      </c>
      <c r="E773" s="4" t="str">
        <f ca="1">IFERROR(__xludf.DUMMYFUNCTION("""COMPUTED_VALUE"""),"MXN")</f>
        <v>MXN</v>
      </c>
      <c r="F773" s="4" t="str">
        <f ca="1">IFERROR(__xludf.DUMMYFUNCTION("""COMPUTED_VALUE"""),"Gustavo Rivas")</f>
        <v>Gustavo Rivas</v>
      </c>
      <c r="G773" s="4" t="str">
        <f ca="1">IFERROR(__xludf.DUMMYFUNCTION("""COMPUTED_VALUE"""),"UBER *TRIP HELP.UBER.C CMX           MEX")</f>
        <v>UBER *TRIP HELP.UBER.C CMX           MEX</v>
      </c>
      <c r="H773" s="4" t="str">
        <f ca="1">IFERROR(__xludf.DUMMYFUNCTION("""COMPUTED_VALUE"""),"Uber")</f>
        <v>Uber</v>
      </c>
      <c r="I773" s="4" t="str">
        <f ca="1">IFERROR(__xludf.DUMMYFUNCTION("""COMPUTED_VALUE"""),"Sales")</f>
        <v>Sales</v>
      </c>
      <c r="J773" s="4" t="str">
        <f ca="1">IFERROR(__xludf.DUMMYFUNCTION("""COMPUTED_VALUE"""),"PO 2218")</f>
        <v>PO 2218</v>
      </c>
      <c r="K773" s="4"/>
      <c r="S773" s="6">
        <v>338.95</v>
      </c>
      <c r="T773" s="4" t="e">
        <f t="shared" ca="1" si="4"/>
        <v>#N/A</v>
      </c>
    </row>
    <row r="774" spans="1:20" ht="12.5">
      <c r="A774" s="4" t="str">
        <f ca="1">IFERROR(__xludf.DUMMYFUNCTION("""COMPUTED_VALUE"""),"TRX1443")</f>
        <v>TRX1443</v>
      </c>
      <c r="B774" s="4" t="str">
        <f ca="1">IFERROR(__xludf.DUMMYFUNCTION("""COMPUTED_VALUE"""),"#69")</f>
        <v>#69</v>
      </c>
      <c r="C774" s="5">
        <f ca="1">IFERROR(__xludf.DUMMYFUNCTION("""COMPUTED_VALUE"""),46065.4166666666)</f>
        <v>46065.416666666599</v>
      </c>
      <c r="D774" s="6">
        <f ca="1">IFERROR(__xludf.DUMMYFUNCTION("""COMPUTED_VALUE"""),315.18)</f>
        <v>315.18</v>
      </c>
      <c r="E774" s="4" t="str">
        <f ca="1">IFERROR(__xludf.DUMMYFUNCTION("""COMPUTED_VALUE"""),"MXN")</f>
        <v>MXN</v>
      </c>
      <c r="F774" s="4" t="str">
        <f ca="1">IFERROR(__xludf.DUMMYFUNCTION("""COMPUTED_VALUE"""),"Gustavo Rivas")</f>
        <v>Gustavo Rivas</v>
      </c>
      <c r="G774" s="4" t="str">
        <f ca="1">IFERROR(__xludf.DUMMYFUNCTION("""COMPUTED_VALUE"""),"UBER *TRIP HELP.UBER.C CMX           MEX")</f>
        <v>UBER *TRIP HELP.UBER.C CMX           MEX</v>
      </c>
      <c r="H774" s="4" t="str">
        <f ca="1">IFERROR(__xludf.DUMMYFUNCTION("""COMPUTED_VALUE"""),"Uber")</f>
        <v>Uber</v>
      </c>
      <c r="I774" s="4" t="str">
        <f ca="1">IFERROR(__xludf.DUMMYFUNCTION("""COMPUTED_VALUE"""),"Sales")</f>
        <v>Sales</v>
      </c>
      <c r="J774" s="4" t="str">
        <f ca="1">IFERROR(__xludf.DUMMYFUNCTION("""COMPUTED_VALUE"""),"PO 2218")</f>
        <v>PO 2218</v>
      </c>
      <c r="K774" s="4"/>
      <c r="S774" s="6">
        <v>604.42999999999995</v>
      </c>
      <c r="T774" s="4" t="e">
        <f t="shared" ca="1" si="4"/>
        <v>#N/A</v>
      </c>
    </row>
    <row r="775" spans="1:20" ht="12.5">
      <c r="A775" s="4" t="str">
        <f ca="1">IFERROR(__xludf.DUMMYFUNCTION("""COMPUTED_VALUE"""),"TRX1341")</f>
        <v>TRX1341</v>
      </c>
      <c r="B775" s="4" t="str">
        <f ca="1">IFERROR(__xludf.DUMMYFUNCTION("""COMPUTED_VALUE"""),"#69")</f>
        <v>#69</v>
      </c>
      <c r="C775" s="5">
        <f ca="1">IFERROR(__xludf.DUMMYFUNCTION("""COMPUTED_VALUE"""),46065.4166666666)</f>
        <v>46065.416666666599</v>
      </c>
      <c r="D775" s="6">
        <f ca="1">IFERROR(__xludf.DUMMYFUNCTION("""COMPUTED_VALUE"""),496)</f>
        <v>496</v>
      </c>
      <c r="E775" s="4" t="str">
        <f ca="1">IFERROR(__xludf.DUMMYFUNCTION("""COMPUTED_VALUE"""),"MXN")</f>
        <v>MXN</v>
      </c>
      <c r="F775" s="4" t="str">
        <f ca="1">IFERROR(__xludf.DUMMYFUNCTION("""COMPUTED_VALUE"""),"Gustavo Rivas")</f>
        <v>Gustavo Rivas</v>
      </c>
      <c r="G775" s="4" t="str">
        <f ca="1">IFERROR(__xludf.DUMMYFUNCTION("""COMPUTED_VALUE"""),"DLO*Uber               CDMX          MEX")</f>
        <v>DLO*Uber               CDMX          MEX</v>
      </c>
      <c r="H775" s="4" t="str">
        <f ca="1">IFERROR(__xludf.DUMMYFUNCTION("""COMPUTED_VALUE"""),"Uber")</f>
        <v>Uber</v>
      </c>
      <c r="I775" s="4" t="str">
        <f ca="1">IFERROR(__xludf.DUMMYFUNCTION("""COMPUTED_VALUE"""),"Sales")</f>
        <v>Sales</v>
      </c>
      <c r="J775" s="4" t="str">
        <f ca="1">IFERROR(__xludf.DUMMYFUNCTION("""COMPUTED_VALUE"""),"PO 2218")</f>
        <v>PO 2218</v>
      </c>
      <c r="K775" s="4"/>
      <c r="S775" s="6">
        <v>1886</v>
      </c>
      <c r="T775" s="4" t="e">
        <f t="shared" ca="1" si="4"/>
        <v>#N/A</v>
      </c>
    </row>
    <row r="776" spans="1:20" ht="12.5">
      <c r="A776" s="4" t="str">
        <f ca="1">IFERROR(__xludf.DUMMYFUNCTION("""COMPUTED_VALUE"""),"TRX1053")</f>
        <v>TRX1053</v>
      </c>
      <c r="B776" s="4" t="str">
        <f ca="1">IFERROR(__xludf.DUMMYFUNCTION("""COMPUTED_VALUE"""),"#69")</f>
        <v>#69</v>
      </c>
      <c r="C776" s="5">
        <f ca="1">IFERROR(__xludf.DUMMYFUNCTION("""COMPUTED_VALUE"""),46065.4173611111)</f>
        <v>46065.417361111096</v>
      </c>
      <c r="D776" s="6">
        <f ca="1">IFERROR(__xludf.DUMMYFUNCTION("""COMPUTED_VALUE"""),81)</f>
        <v>81</v>
      </c>
      <c r="E776" s="4" t="str">
        <f ca="1">IFERROR(__xludf.DUMMYFUNCTION("""COMPUTED_VALUE"""),"MXN")</f>
        <v>MXN</v>
      </c>
      <c r="F776" s="4" t="str">
        <f ca="1">IFERROR(__xludf.DUMMYFUNCTION("""COMPUTED_VALUE"""),"Gustavo Rivas")</f>
        <v>Gustavo Rivas</v>
      </c>
      <c r="G776" s="4" t="str">
        <f ca="1">IFERROR(__xludf.DUMMYFUNCTION("""COMPUTED_VALUE"""),"ISLAND CAFE            SILAO GTO     MEX")</f>
        <v>ISLAND CAFE            SILAO GTO     MEX</v>
      </c>
      <c r="H776" s="4" t="str">
        <f ca="1">IFERROR(__xludf.DUMMYFUNCTION("""COMPUTED_VALUE"""),"Island Cafe Silao Gto Mex")</f>
        <v>Island Cafe Silao Gto Mex</v>
      </c>
      <c r="I776" s="4" t="str">
        <f ca="1">IFERROR(__xludf.DUMMYFUNCTION("""COMPUTED_VALUE"""),"Sales")</f>
        <v>Sales</v>
      </c>
      <c r="J776" s="4" t="str">
        <f ca="1">IFERROR(__xludf.DUMMYFUNCTION("""COMPUTED_VALUE"""),"PO 2218")</f>
        <v>PO 2218</v>
      </c>
      <c r="K776" s="4" t="str">
        <f ca="1">IFERROR(__xludf.DUMMYFUNCTION("""COMPUTED_VALUE"""),"111A227C-BF0D-432A-BDAE-BFBBC179ECB1")</f>
        <v>111A227C-BF0D-432A-BDAE-BFBBC179ECB1</v>
      </c>
      <c r="S776" s="6">
        <v>6025.36</v>
      </c>
      <c r="T776" s="4" t="e">
        <f t="shared" ca="1" si="4"/>
        <v>#N/A</v>
      </c>
    </row>
    <row r="777" spans="1:20" ht="12.5">
      <c r="A777" s="4" t="str">
        <f ca="1">IFERROR(__xludf.DUMMYFUNCTION("""COMPUTED_VALUE"""),"TRX1534")</f>
        <v>TRX1534</v>
      </c>
      <c r="B777" s="4" t="str">
        <f ca="1">IFERROR(__xludf.DUMMYFUNCTION("""COMPUTED_VALUE"""),"#69")</f>
        <v>#69</v>
      </c>
      <c r="C777" s="5">
        <f ca="1">IFERROR(__xludf.DUMMYFUNCTION("""COMPUTED_VALUE"""),46067.4166666666)</f>
        <v>46067.416666666599</v>
      </c>
      <c r="D777" s="6">
        <f ca="1">IFERROR(__xludf.DUMMYFUNCTION("""COMPUTED_VALUE"""),793.5)</f>
        <v>793.5</v>
      </c>
      <c r="E777" s="4" t="str">
        <f ca="1">IFERROR(__xludf.DUMMYFUNCTION("""COMPUTED_VALUE"""),"MXN")</f>
        <v>MXN</v>
      </c>
      <c r="F777" s="4" t="str">
        <f ca="1">IFERROR(__xludf.DUMMYFUNCTION("""COMPUTED_VALUE"""),"Gustavo Rivas")</f>
        <v>Gustavo Rivas</v>
      </c>
      <c r="G777" s="4" t="str">
        <f ca="1">IFERROR(__xludf.DUMMYFUNCTION("""COMPUTED_VALUE"""),"REST ZERU LOMAS        CIUDAD DE MEX MEX")</f>
        <v>REST ZERU LOMAS        CIUDAD DE MEX MEX</v>
      </c>
      <c r="H777" s="4" t="str">
        <f ca="1">IFERROR(__xludf.DUMMYFUNCTION("""COMPUTED_VALUE"""),"Rest Zeru Lomas Ciudad De Mex Mex")</f>
        <v>Rest Zeru Lomas Ciudad De Mex Mex</v>
      </c>
      <c r="I777" s="4" t="str">
        <f ca="1">IFERROR(__xludf.DUMMYFUNCTION("""COMPUTED_VALUE"""),"Sales")</f>
        <v>Sales</v>
      </c>
      <c r="J777" s="4" t="str">
        <f ca="1">IFERROR(__xludf.DUMMYFUNCTION("""COMPUTED_VALUE"""),"Comida CA para FDA")</f>
        <v>Comida CA para FDA</v>
      </c>
      <c r="K777" s="4" t="str">
        <f ca="1">IFERROR(__xludf.DUMMYFUNCTION("""COMPUTED_VALUE"""),"18EE0917-782A-49B4-8EB8-5089B8D09426")</f>
        <v>18EE0917-782A-49B4-8EB8-5089B8D09426</v>
      </c>
      <c r="S777" s="6">
        <v>1357.84</v>
      </c>
      <c r="T777" s="4" t="e">
        <f t="shared" ca="1" si="4"/>
        <v>#N/A</v>
      </c>
    </row>
    <row r="778" spans="1:20" ht="12.5">
      <c r="A778" s="4" t="str">
        <f ca="1">IFERROR(__xludf.DUMMYFUNCTION("""COMPUTED_VALUE"""),"TRX1695")</f>
        <v>TRX1695</v>
      </c>
      <c r="B778" s="4" t="str">
        <f ca="1">IFERROR(__xludf.DUMMYFUNCTION("""COMPUTED_VALUE"""),"#69")</f>
        <v>#69</v>
      </c>
      <c r="C778" s="5">
        <f ca="1">IFERROR(__xludf.DUMMYFUNCTION("""COMPUTED_VALUE"""),46067.4166666666)</f>
        <v>46067.416666666599</v>
      </c>
      <c r="D778" s="6">
        <f ca="1">IFERROR(__xludf.DUMMYFUNCTION("""COMPUTED_VALUE"""),3433.9)</f>
        <v>3433.9</v>
      </c>
      <c r="E778" s="4" t="str">
        <f ca="1">IFERROR(__xludf.DUMMYFUNCTION("""COMPUTED_VALUE"""),"MXN")</f>
        <v>MXN</v>
      </c>
      <c r="F778" s="4" t="str">
        <f ca="1">IFERROR(__xludf.DUMMYFUNCTION("""COMPUTED_VALUE"""),"Gustavo Rivas")</f>
        <v>Gustavo Rivas</v>
      </c>
      <c r="G778" s="4" t="str">
        <f ca="1">IFERROR(__xludf.DUMMYFUNCTION("""COMPUTED_VALUE"""),"REST PRICELESS WITH ES CIUDAD DE MEX MEX")</f>
        <v>REST PRICELESS WITH ES CIUDAD DE MEX MEX</v>
      </c>
      <c r="H778" s="4" t="str">
        <f ca="1">IFERROR(__xludf.DUMMYFUNCTION("""COMPUTED_VALUE"""),"Rest Priceless With Es Ciudad De Mex Mex")</f>
        <v>Rest Priceless With Es Ciudad De Mex Mex</v>
      </c>
      <c r="I778" s="4" t="str">
        <f ca="1">IFERROR(__xludf.DUMMYFUNCTION("""COMPUTED_VALUE"""),"Sales")</f>
        <v>Sales</v>
      </c>
      <c r="J778" s="4" t="str">
        <f ca="1">IFERROR(__xludf.DUMMYFUNCTION("""COMPUTED_VALUE"""),"Comida con City Express")</f>
        <v>Comida con City Express</v>
      </c>
      <c r="K778" s="4" t="str">
        <f ca="1">IFERROR(__xludf.DUMMYFUNCTION("""COMPUTED_VALUE"""),"BBBC8F23-F2A2-4D95-B30D-B47045A2D40B")</f>
        <v>BBBC8F23-F2A2-4D95-B30D-B47045A2D40B</v>
      </c>
      <c r="S778" s="6">
        <v>98.5</v>
      </c>
      <c r="T778" s="4" t="e">
        <f t="shared" ca="1" si="4"/>
        <v>#N/A</v>
      </c>
    </row>
    <row r="779" spans="1:20" ht="12.5">
      <c r="A779" s="4" t="str">
        <f ca="1">IFERROR(__xludf.DUMMYFUNCTION("""COMPUTED_VALUE"""),"TRX1532")</f>
        <v>TRX1532</v>
      </c>
      <c r="B779" s="4" t="str">
        <f ca="1">IFERROR(__xludf.DUMMYFUNCTION("""COMPUTED_VALUE"""),"#69")</f>
        <v>#69</v>
      </c>
      <c r="C779" s="5">
        <f ca="1">IFERROR(__xludf.DUMMYFUNCTION("""COMPUTED_VALUE"""),46069.4166666666)</f>
        <v>46069.416666666599</v>
      </c>
      <c r="D779" s="6">
        <f ca="1">IFERROR(__xludf.DUMMYFUNCTION("""COMPUTED_VALUE"""),8897.38)</f>
        <v>8897.3799999999992</v>
      </c>
      <c r="E779" s="4" t="str">
        <f ca="1">IFERROR(__xludf.DUMMYFUNCTION("""COMPUTED_VALUE"""),"MXN")</f>
        <v>MXN</v>
      </c>
      <c r="F779" s="4" t="str">
        <f ca="1">IFERROR(__xludf.DUMMYFUNCTION("""COMPUTED_VALUE"""),"Gustavo Rivas")</f>
        <v>Gustavo Rivas</v>
      </c>
      <c r="G779" s="4" t="str">
        <f ca="1">IFERROR(__xludf.DUMMYFUNCTION("""COMPUTED_VALUE"""),"VIVA AEROBUS CIB       APODACA       MEX")</f>
        <v>VIVA AEROBUS CIB       APODACA       MEX</v>
      </c>
      <c r="H779" s="4" t="str">
        <f ca="1">IFERROR(__xludf.DUMMYFUNCTION("""COMPUTED_VALUE"""),"Viva Aerobus Cib Apodaca Mex")</f>
        <v>Viva Aerobus Cib Apodaca Mex</v>
      </c>
      <c r="I779" s="4" t="str">
        <f ca="1">IFERROR(__xludf.DUMMYFUNCTION("""COMPUTED_VALUE"""),"Sales")</f>
        <v>Sales</v>
      </c>
      <c r="J779" s="4" t="str">
        <f ca="1">IFERROR(__xludf.DUMMYFUNCTION("""COMPUTED_VALUE"""),"PO 2264")</f>
        <v>PO 2264</v>
      </c>
      <c r="K779" s="4" t="str">
        <f ca="1">IFERROR(__xludf.DUMMYFUNCTION("""COMPUTED_VALUE"""),"09cdea4e-a304-4873-b32c-30aced749461")</f>
        <v>09cdea4e-a304-4873-b32c-30aced749461</v>
      </c>
      <c r="S779" s="6">
        <v>318</v>
      </c>
      <c r="T779" s="4" t="str">
        <f t="shared" ca="1" si="4"/>
        <v>Karen Alexandra Ballesteros Contreras</v>
      </c>
    </row>
    <row r="780" spans="1:20" ht="12.5">
      <c r="A780" s="4" t="str">
        <f ca="1">IFERROR(__xludf.DUMMYFUNCTION("""COMPUTED_VALUE"""),"TRX1692")</f>
        <v>TRX1692</v>
      </c>
      <c r="B780" s="4" t="str">
        <f ca="1">IFERROR(__xludf.DUMMYFUNCTION("""COMPUTED_VALUE"""),"#69")</f>
        <v>#69</v>
      </c>
      <c r="C780" s="5">
        <f ca="1">IFERROR(__xludf.DUMMYFUNCTION("""COMPUTED_VALUE"""),46070.4166666666)</f>
        <v>46070.416666666599</v>
      </c>
      <c r="D780" s="6">
        <f ca="1">IFERROR(__xludf.DUMMYFUNCTION("""COMPUTED_VALUE"""),29.77)</f>
        <v>29.77</v>
      </c>
      <c r="E780" s="4" t="str">
        <f ca="1">IFERROR(__xludf.DUMMYFUNCTION("""COMPUTED_VALUE"""),"MXN")</f>
        <v>MXN</v>
      </c>
      <c r="F780" s="4" t="str">
        <f ca="1">IFERROR(__xludf.DUMMYFUNCTION("""COMPUTED_VALUE"""),"Gustavo Rivas")</f>
        <v>Gustavo Rivas</v>
      </c>
      <c r="G780" s="4" t="str">
        <f ca="1">IFERROR(__xludf.DUMMYFUNCTION("""COMPUTED_VALUE"""),"UBER * PENDING         CMX           MEX")</f>
        <v>UBER * PENDING         CMX           MEX</v>
      </c>
      <c r="H780" s="4" t="str">
        <f ca="1">IFERROR(__xludf.DUMMYFUNCTION("""COMPUTED_VALUE"""),"Uber")</f>
        <v>Uber</v>
      </c>
      <c r="I780" s="4" t="str">
        <f ca="1">IFERROR(__xludf.DUMMYFUNCTION("""COMPUTED_VALUE"""),"Sales")</f>
        <v>Sales</v>
      </c>
      <c r="J780" s="4" t="str">
        <f ca="1">IFERROR(__xludf.DUMMYFUNCTION("""COMPUTED_VALUE"""),"PO 2264")</f>
        <v>PO 2264</v>
      </c>
      <c r="K780" s="4"/>
      <c r="S780" s="6">
        <v>1599.82</v>
      </c>
      <c r="T780" s="4" t="e">
        <f t="shared" ca="1" si="4"/>
        <v>#N/A</v>
      </c>
    </row>
    <row r="781" spans="1:20" ht="12.5">
      <c r="A781" s="4" t="str">
        <f ca="1">IFERROR(__xludf.DUMMYFUNCTION("""COMPUTED_VALUE"""),"TRX1786")</f>
        <v>TRX1786</v>
      </c>
      <c r="B781" s="4" t="str">
        <f ca="1">IFERROR(__xludf.DUMMYFUNCTION("""COMPUTED_VALUE"""),"#69")</f>
        <v>#69</v>
      </c>
      <c r="C781" s="5">
        <f ca="1">IFERROR(__xludf.DUMMYFUNCTION("""COMPUTED_VALUE"""),46071.4166666666)</f>
        <v>46071.416666666599</v>
      </c>
      <c r="D781" s="6">
        <f ca="1">IFERROR(__xludf.DUMMYFUNCTION("""COMPUTED_VALUE"""),181.5)</f>
        <v>181.5</v>
      </c>
      <c r="E781" s="4" t="str">
        <f ca="1">IFERROR(__xludf.DUMMYFUNCTION("""COMPUTED_VALUE"""),"MXN")</f>
        <v>MXN</v>
      </c>
      <c r="F781" s="4" t="str">
        <f ca="1">IFERROR(__xludf.DUMMYFUNCTION("""COMPUTED_VALUE"""),"Gustavo Rivas")</f>
        <v>Gustavo Rivas</v>
      </c>
      <c r="G781" s="4" t="str">
        <f ca="1">IFERROR(__xludf.DUMMYFUNCTION("""COMPUTED_VALUE"""),"REST LPQ ISLA AIFA     ZUMPANGO EM   MEX")</f>
        <v>REST LPQ ISLA AIFA     ZUMPANGO EM   MEX</v>
      </c>
      <c r="H781" s="4" t="str">
        <f ca="1">IFERROR(__xludf.DUMMYFUNCTION("""COMPUTED_VALUE"""),"Rest L")</f>
        <v>Rest L</v>
      </c>
      <c r="I781" s="4" t="str">
        <f ca="1">IFERROR(__xludf.DUMMYFUNCTION("""COMPUTED_VALUE"""),"Sales")</f>
        <v>Sales</v>
      </c>
      <c r="J781" s="4" t="str">
        <f ca="1">IFERROR(__xludf.DUMMYFUNCTION("""COMPUTED_VALUE"""),"PO 2264")</f>
        <v>PO 2264</v>
      </c>
      <c r="K781" s="4" t="str">
        <f ca="1">IFERROR(__xludf.DUMMYFUNCTION("""COMPUTED_VALUE"""),"bb4d675b-2823-459d-8ae5-0f4bcabf397b")</f>
        <v>bb4d675b-2823-459d-8ae5-0f4bcabf397b</v>
      </c>
      <c r="S781" s="6">
        <v>86</v>
      </c>
      <c r="T781" s="4" t="str">
        <f t="shared" ca="1" si="4"/>
        <v>Karen Alexandra Ballesteros Contreras</v>
      </c>
    </row>
    <row r="782" spans="1:20" ht="12.5">
      <c r="A782" s="4" t="str">
        <f ca="1">IFERROR(__xludf.DUMMYFUNCTION("""COMPUTED_VALUE"""),"TRX1367")</f>
        <v>TRX1367</v>
      </c>
      <c r="B782" s="4" t="str">
        <f ca="1">IFERROR(__xludf.DUMMYFUNCTION("""COMPUTED_VALUE"""),"#69")</f>
        <v>#69</v>
      </c>
      <c r="C782" s="5">
        <f ca="1">IFERROR(__xludf.DUMMYFUNCTION("""COMPUTED_VALUE"""),46071.4166666666)</f>
        <v>46071.416666666599</v>
      </c>
      <c r="D782" s="6">
        <f ca="1">IFERROR(__xludf.DUMMYFUNCTION("""COMPUTED_VALUE"""),1478)</f>
        <v>1478</v>
      </c>
      <c r="E782" s="4" t="str">
        <f ca="1">IFERROR(__xludf.DUMMYFUNCTION("""COMPUTED_VALUE"""),"MXN")</f>
        <v>MXN</v>
      </c>
      <c r="F782" s="4" t="str">
        <f ca="1">IFERROR(__xludf.DUMMYFUNCTION("""COMPUTED_VALUE"""),"Gustavo Rivas")</f>
        <v>Gustavo Rivas</v>
      </c>
      <c r="G782" s="4" t="str">
        <f ca="1">IFERROR(__xludf.DUMMYFUNCTION("""COMPUTED_VALUE"""),"CLIP MX*AGEN TAXI COLI CUAJIMALPA DE MEX")</f>
        <v>CLIP MX*AGEN TAXI COLI CUAJIMALPA DE MEX</v>
      </c>
      <c r="H782" s="4" t="str">
        <f ca="1">IFERROR(__xludf.DUMMYFUNCTION("""COMPUTED_VALUE"""),"Clip Mx Agen Taxi Coli Cuajimalpa De Mex")</f>
        <v>Clip Mx Agen Taxi Coli Cuajimalpa De Mex</v>
      </c>
      <c r="I782" s="4" t="str">
        <f ca="1">IFERROR(__xludf.DUMMYFUNCTION("""COMPUTED_VALUE"""),"Sales")</f>
        <v>Sales</v>
      </c>
      <c r="J782" s="4" t="str">
        <f ca="1">IFERROR(__xludf.DUMMYFUNCTION("""COMPUTED_VALUE"""),"PO 2264")</f>
        <v>PO 2264</v>
      </c>
      <c r="K782" s="4"/>
      <c r="S782" s="6">
        <v>1020</v>
      </c>
      <c r="T782" s="4" t="str">
        <f t="shared" ca="1" si="4"/>
        <v>Juan Pablo Ramos Aranda</v>
      </c>
    </row>
    <row r="783" spans="1:20" ht="12.5">
      <c r="A783" s="4" t="str">
        <f ca="1">IFERROR(__xludf.DUMMYFUNCTION("""COMPUTED_VALUE"""),"TRX1673")</f>
        <v>TRX1673</v>
      </c>
      <c r="B783" s="4" t="str">
        <f ca="1">IFERROR(__xludf.DUMMYFUNCTION("""COMPUTED_VALUE"""),"#69")</f>
        <v>#69</v>
      </c>
      <c r="C783" s="5">
        <f ca="1">IFERROR(__xludf.DUMMYFUNCTION("""COMPUTED_VALUE"""),46071.4173611111)</f>
        <v>46071.417361111096</v>
      </c>
      <c r="D783" s="6">
        <f ca="1">IFERROR(__xludf.DUMMYFUNCTION("""COMPUTED_VALUE"""),3040.6)</f>
        <v>3040.6</v>
      </c>
      <c r="E783" s="4" t="str">
        <f ca="1">IFERROR(__xludf.DUMMYFUNCTION("""COMPUTED_VALUE"""),"MXN")</f>
        <v>MXN</v>
      </c>
      <c r="F783" s="4" t="str">
        <f ca="1">IFERROR(__xludf.DUMMYFUNCTION("""COMPUTED_VALUE"""),"Gustavo Rivas")</f>
        <v>Gustavo Rivas</v>
      </c>
      <c r="G783" s="4" t="str">
        <f ca="1">IFERROR(__xludf.DUMMYFUNCTION("""COMPUTED_VALUE"""),"REST BODEGA 8          TIJUANA BCN   MEX")</f>
        <v>REST BODEGA 8          TIJUANA BCN   MEX</v>
      </c>
      <c r="H783" s="4" t="str">
        <f ca="1">IFERROR(__xludf.DUMMYFUNCTION("""COMPUTED_VALUE"""),"Rest Bodega 8 Tijuana Bcn Mex")</f>
        <v>Rest Bodega 8 Tijuana Bcn Mex</v>
      </c>
      <c r="I783" s="4" t="str">
        <f ca="1">IFERROR(__xludf.DUMMYFUNCTION("""COMPUTED_VALUE"""),"Sales")</f>
        <v>Sales</v>
      </c>
      <c r="J783" s="4" t="str">
        <f ca="1">IFERROR(__xludf.DUMMYFUNCTION("""COMPUTED_VALUE"""),"PO 2264")</f>
        <v>PO 2264</v>
      </c>
      <c r="K783" s="4" t="str">
        <f ca="1">IFERROR(__xludf.DUMMYFUNCTION("""COMPUTED_VALUE"""),"10cd9e3d-935c-41bb-b13e-d8d7dd615fdf")</f>
        <v>10cd9e3d-935c-41bb-b13e-d8d7dd615fdf</v>
      </c>
      <c r="S783" s="6">
        <v>1167.25</v>
      </c>
      <c r="T783" s="4" t="e">
        <f t="shared" ca="1" si="4"/>
        <v>#N/A</v>
      </c>
    </row>
    <row r="784" spans="1:20" ht="12.5">
      <c r="A784" s="4" t="str">
        <f ca="1">IFERROR(__xludf.DUMMYFUNCTION("""COMPUTED_VALUE"""),"TRX2008")</f>
        <v>TRX2008</v>
      </c>
      <c r="B784" s="4" t="str">
        <f ca="1">IFERROR(__xludf.DUMMYFUNCTION("""COMPUTED_VALUE"""),"#69")</f>
        <v>#69</v>
      </c>
      <c r="C784" s="5">
        <f ca="1">IFERROR(__xludf.DUMMYFUNCTION("""COMPUTED_VALUE"""),46072.4166666666)</f>
        <v>46072.416666666599</v>
      </c>
      <c r="D784" s="6">
        <f ca="1">IFERROR(__xludf.DUMMYFUNCTION("""COMPUTED_VALUE"""),449.98)</f>
        <v>449.98</v>
      </c>
      <c r="E784" s="4" t="str">
        <f ca="1">IFERROR(__xludf.DUMMYFUNCTION("""COMPUTED_VALUE"""),"MXN")</f>
        <v>MXN</v>
      </c>
      <c r="F784" s="4" t="str">
        <f ca="1">IFERROR(__xludf.DUMMYFUNCTION("""COMPUTED_VALUE"""),"Gustavo Rivas")</f>
        <v>Gustavo Rivas</v>
      </c>
      <c r="G784" s="4" t="str">
        <f ca="1">IFERROR(__xludf.DUMMYFUNCTION("""COMPUTED_VALUE"""),"UBER * PENDING         CMX           MEX")</f>
        <v>UBER * PENDING         CMX           MEX</v>
      </c>
      <c r="H784" s="4" t="str">
        <f ca="1">IFERROR(__xludf.DUMMYFUNCTION("""COMPUTED_VALUE"""),"Uber")</f>
        <v>Uber</v>
      </c>
      <c r="I784" s="4" t="str">
        <f ca="1">IFERROR(__xludf.DUMMYFUNCTION("""COMPUTED_VALUE"""),"Sales")</f>
        <v>Sales</v>
      </c>
      <c r="J784" s="4" t="str">
        <f ca="1">IFERROR(__xludf.DUMMYFUNCTION("""COMPUTED_VALUE"""),"PO 2264")</f>
        <v>PO 2264</v>
      </c>
      <c r="K784" s="4"/>
      <c r="S784" s="6">
        <v>248</v>
      </c>
      <c r="T784" s="4" t="str">
        <f t="shared" ca="1" si="4"/>
        <v>Fernando Sanchez Toledano</v>
      </c>
    </row>
    <row r="785" spans="1:20" ht="12.5">
      <c r="A785" s="4" t="str">
        <f ca="1">IFERROR(__xludf.DUMMYFUNCTION("""COMPUTED_VALUE"""),"TRX1188")</f>
        <v>TRX1188</v>
      </c>
      <c r="B785" s="4" t="str">
        <f ca="1">IFERROR(__xludf.DUMMYFUNCTION("""COMPUTED_VALUE"""),"#69")</f>
        <v>#69</v>
      </c>
      <c r="C785" s="5">
        <f ca="1">IFERROR(__xludf.DUMMYFUNCTION("""COMPUTED_VALUE"""),46072.4166666666)</f>
        <v>46072.416666666599</v>
      </c>
      <c r="D785" s="6">
        <f ca="1">IFERROR(__xludf.DUMMYFUNCTION("""COMPUTED_VALUE"""),179.98)</f>
        <v>179.98</v>
      </c>
      <c r="E785" s="4" t="str">
        <f ca="1">IFERROR(__xludf.DUMMYFUNCTION("""COMPUTED_VALUE"""),"MXN")</f>
        <v>MXN</v>
      </c>
      <c r="F785" s="4" t="str">
        <f ca="1">IFERROR(__xludf.DUMMYFUNCTION("""COMPUTED_VALUE"""),"Gustavo Rivas")</f>
        <v>Gustavo Rivas</v>
      </c>
      <c r="G785" s="4" t="str">
        <f ca="1">IFERROR(__xludf.DUMMYFUNCTION("""COMPUTED_VALUE"""),"UBER * PENDING         CMX           MEX")</f>
        <v>UBER * PENDING         CMX           MEX</v>
      </c>
      <c r="H785" s="4" t="str">
        <f ca="1">IFERROR(__xludf.DUMMYFUNCTION("""COMPUTED_VALUE"""),"Uber")</f>
        <v>Uber</v>
      </c>
      <c r="I785" s="4" t="str">
        <f ca="1">IFERROR(__xludf.DUMMYFUNCTION("""COMPUTED_VALUE"""),"Sales")</f>
        <v>Sales</v>
      </c>
      <c r="J785" s="4" t="str">
        <f ca="1">IFERROR(__xludf.DUMMYFUNCTION("""COMPUTED_VALUE"""),"PO 2264")</f>
        <v>PO 2264</v>
      </c>
      <c r="K785" s="4"/>
      <c r="S785" s="6">
        <v>354</v>
      </c>
      <c r="T785" s="4" t="e">
        <f t="shared" ca="1" si="4"/>
        <v>#N/A</v>
      </c>
    </row>
    <row r="786" spans="1:20" ht="12.5">
      <c r="A786" s="4" t="str">
        <f ca="1">IFERROR(__xludf.DUMMYFUNCTION("""COMPUTED_VALUE"""),"TRX1185")</f>
        <v>TRX1185</v>
      </c>
      <c r="B786" s="4" t="str">
        <f ca="1">IFERROR(__xludf.DUMMYFUNCTION("""COMPUTED_VALUE"""),"#69")</f>
        <v>#69</v>
      </c>
      <c r="C786" s="5">
        <f ca="1">IFERROR(__xludf.DUMMYFUNCTION("""COMPUTED_VALUE"""),46072.4166666666)</f>
        <v>46072.416666666599</v>
      </c>
      <c r="D786" s="6">
        <f ca="1">IFERROR(__xludf.DUMMYFUNCTION("""COMPUTED_VALUE"""),52)</f>
        <v>52</v>
      </c>
      <c r="E786" s="4" t="str">
        <f ca="1">IFERROR(__xludf.DUMMYFUNCTION("""COMPUTED_VALUE"""),"MXN")</f>
        <v>MXN</v>
      </c>
      <c r="F786" s="4" t="str">
        <f ca="1">IFERROR(__xludf.DUMMYFUNCTION("""COMPUTED_VALUE"""),"Gustavo Rivas")</f>
        <v>Gustavo Rivas</v>
      </c>
      <c r="G786" s="4" t="str">
        <f ca="1">IFERROR(__xludf.DUMMYFUNCTION("""COMPUTED_VALUE"""),"VTA A BORDO VAEROBUS   CIUDAD DE MEX MEX")</f>
        <v>VTA A BORDO VAEROBUS   CIUDAD DE MEX MEX</v>
      </c>
      <c r="H786" s="4" t="str">
        <f ca="1">IFERROR(__xludf.DUMMYFUNCTION("""COMPUTED_VALUE"""),"Vta A Bordo Vaerobus Ciudad De Mex Mex")</f>
        <v>Vta A Bordo Vaerobus Ciudad De Mex Mex</v>
      </c>
      <c r="I786" s="4" t="str">
        <f ca="1">IFERROR(__xludf.DUMMYFUNCTION("""COMPUTED_VALUE"""),"Sales")</f>
        <v>Sales</v>
      </c>
      <c r="J786" s="4" t="str">
        <f ca="1">IFERROR(__xludf.DUMMYFUNCTION("""COMPUTED_VALUE"""),"PO 2264")</f>
        <v>PO 2264</v>
      </c>
      <c r="K786" s="4" t="str">
        <f ca="1">IFERROR(__xludf.DUMMYFUNCTION("""COMPUTED_VALUE"""),"E9BEF934-27F7-419B-A48C-9B9D2C51D502")</f>
        <v>E9BEF934-27F7-419B-A48C-9B9D2C51D502</v>
      </c>
      <c r="S786" s="6">
        <v>1277.54</v>
      </c>
      <c r="T786" s="4" t="e">
        <f t="shared" ca="1" si="4"/>
        <v>#N/A</v>
      </c>
    </row>
    <row r="787" spans="1:20" ht="12.5">
      <c r="A787" s="4" t="str">
        <f ca="1">IFERROR(__xludf.DUMMYFUNCTION("""COMPUTED_VALUE"""),"TRX1059")</f>
        <v>TRX1059</v>
      </c>
      <c r="B787" s="4" t="str">
        <f ca="1">IFERROR(__xludf.DUMMYFUNCTION("""COMPUTED_VALUE"""),"#69")</f>
        <v>#69</v>
      </c>
      <c r="C787" s="5">
        <f ca="1">IFERROR(__xludf.DUMMYFUNCTION("""COMPUTED_VALUE"""),46075.4166666666)</f>
        <v>46075.416666666599</v>
      </c>
      <c r="D787" s="6">
        <f ca="1">IFERROR(__xludf.DUMMYFUNCTION("""COMPUTED_VALUE"""),2335.65)</f>
        <v>2335.65</v>
      </c>
      <c r="E787" s="4" t="str">
        <f ca="1">IFERROR(__xludf.DUMMYFUNCTION("""COMPUTED_VALUE"""),"MXN")</f>
        <v>MXN</v>
      </c>
      <c r="F787" s="4" t="str">
        <f ca="1">IFERROR(__xludf.DUMMYFUNCTION("""COMPUTED_VALUE"""),"Gustavo Rivas")</f>
        <v>Gustavo Rivas</v>
      </c>
      <c r="G787" s="4" t="str">
        <f ca="1">IFERROR(__xludf.DUMMYFUNCTION("""COMPUTED_VALUE"""),"MOCHOMOS ARCOS BOSQUES CIUDAD DE MEX MEX")</f>
        <v>MOCHOMOS ARCOS BOSQUES CIUDAD DE MEX MEX</v>
      </c>
      <c r="H787" s="4" t="str">
        <f ca="1">IFERROR(__xludf.DUMMYFUNCTION("""COMPUTED_VALUE"""),"Mochomos Arcos Bosques Ciudad De Mex Mex")</f>
        <v>Mochomos Arcos Bosques Ciudad De Mex Mex</v>
      </c>
      <c r="I787" s="4" t="str">
        <f ca="1">IFERROR(__xludf.DUMMYFUNCTION("""COMPUTED_VALUE"""),"Sales")</f>
        <v>Sales</v>
      </c>
      <c r="J787" s="4"/>
      <c r="K787" s="4"/>
      <c r="S787" s="6">
        <v>11.76</v>
      </c>
      <c r="T787" s="4" t="e">
        <f t="shared" ca="1" si="4"/>
        <v>#N/A</v>
      </c>
    </row>
    <row r="788" spans="1:20" ht="12.5">
      <c r="A788" s="4" t="str">
        <f ca="1">IFERROR(__xludf.DUMMYFUNCTION("""COMPUTED_VALUE"""),"TRX1255")</f>
        <v>TRX1255</v>
      </c>
      <c r="B788" s="4" t="str">
        <f ca="1">IFERROR(__xludf.DUMMYFUNCTION("""COMPUTED_VALUE"""),"#69")</f>
        <v>#69</v>
      </c>
      <c r="C788" s="5">
        <f ca="1">IFERROR(__xludf.DUMMYFUNCTION("""COMPUTED_VALUE"""),46081.4166666666)</f>
        <v>46081.416666666599</v>
      </c>
      <c r="D788" s="6">
        <f ca="1">IFERROR(__xludf.DUMMYFUNCTION("""COMPUTED_VALUE"""),85)</f>
        <v>85</v>
      </c>
      <c r="E788" s="4" t="str">
        <f ca="1">IFERROR(__xludf.DUMMYFUNCTION("""COMPUTED_VALUE"""),"MXN")</f>
        <v>MXN</v>
      </c>
      <c r="F788" s="4" t="str">
        <f ca="1">IFERROR(__xludf.DUMMYFUNCTION("""COMPUTED_VALUE"""),"Gustavo Rivas")</f>
        <v>Gustavo Rivas</v>
      </c>
      <c r="G788" s="4" t="str">
        <f ca="1">IFERROR(__xludf.DUMMYFUNCTION("""COMPUTED_VALUE"""),"ST REGIS               CIUDAD DE MEX MEX")</f>
        <v>ST REGIS               CIUDAD DE MEX MEX</v>
      </c>
      <c r="H788" s="4" t="str">
        <f ca="1">IFERROR(__xludf.DUMMYFUNCTION("""COMPUTED_VALUE"""),"St Regis Ciudad De Mex Mex")</f>
        <v>St Regis Ciudad De Mex Mex</v>
      </c>
      <c r="I788" s="4" t="str">
        <f ca="1">IFERROR(__xludf.DUMMYFUNCTION("""COMPUTED_VALUE"""),"Sales")</f>
        <v>Sales</v>
      </c>
      <c r="J788" s="4"/>
      <c r="K788" s="4"/>
      <c r="S788" s="6">
        <v>11.76</v>
      </c>
      <c r="T788" s="4" t="e">
        <f t="shared" ca="1" si="4"/>
        <v>#N/A</v>
      </c>
    </row>
    <row r="789" spans="1:20" ht="12.5">
      <c r="A789" s="4" t="str">
        <f ca="1">IFERROR(__xludf.DUMMYFUNCTION("""COMPUTED_VALUE"""),"TRX1256")</f>
        <v>TRX1256</v>
      </c>
      <c r="B789" s="4" t="str">
        <f ca="1">IFERROR(__xludf.DUMMYFUNCTION("""COMPUTED_VALUE"""),"#69")</f>
        <v>#69</v>
      </c>
      <c r="C789" s="5">
        <f ca="1">IFERROR(__xludf.DUMMYFUNCTION("""COMPUTED_VALUE"""),46081.4166666666)</f>
        <v>46081.416666666599</v>
      </c>
      <c r="D789" s="6">
        <f ca="1">IFERROR(__xludf.DUMMYFUNCTION("""COMPUTED_VALUE"""),240.39)</f>
        <v>240.39</v>
      </c>
      <c r="E789" s="4" t="str">
        <f ca="1">IFERROR(__xludf.DUMMYFUNCTION("""COMPUTED_VALUE"""),"MXN")</f>
        <v>MXN</v>
      </c>
      <c r="F789" s="4" t="str">
        <f ca="1">IFERROR(__xludf.DUMMYFUNCTION("""COMPUTED_VALUE"""),"Gustavo Rivas")</f>
        <v>Gustavo Rivas</v>
      </c>
      <c r="G789" s="4" t="str">
        <f ca="1">IFERROR(__xludf.DUMMYFUNCTION("""COMPUTED_VALUE"""),"DLO*UBER RIDES         CIUDAD DE MEX MEX")</f>
        <v>DLO*UBER RIDES         CIUDAD DE MEX MEX</v>
      </c>
      <c r="H789" s="4" t="str">
        <f ca="1">IFERROR(__xludf.DUMMYFUNCTION("""COMPUTED_VALUE"""),"Uber")</f>
        <v>Uber</v>
      </c>
      <c r="I789" s="4" t="str">
        <f ca="1">IFERROR(__xludf.DUMMYFUNCTION("""COMPUTED_VALUE"""),"Sales")</f>
        <v>Sales</v>
      </c>
      <c r="J789" s="4" t="str">
        <f ca="1">IFERROR(__xludf.DUMMYFUNCTION("""COMPUTED_VALUE"""),"Sin PO")</f>
        <v>Sin PO</v>
      </c>
      <c r="K789" s="4"/>
      <c r="S789" s="6">
        <v>84.85</v>
      </c>
      <c r="T789" s="4" t="e">
        <f t="shared" ca="1" si="4"/>
        <v>#N/A</v>
      </c>
    </row>
    <row r="790" spans="1:20" ht="12.5">
      <c r="A790" s="4" t="str">
        <f ca="1">IFERROR(__xludf.DUMMYFUNCTION("""COMPUTED_VALUE"""),"TRX1270")</f>
        <v>TRX1270</v>
      </c>
      <c r="B790" s="4" t="str">
        <f ca="1">IFERROR(__xludf.DUMMYFUNCTION("""COMPUTED_VALUE"""),"#69")</f>
        <v>#69</v>
      </c>
      <c r="C790" s="5">
        <f ca="1">IFERROR(__xludf.DUMMYFUNCTION("""COMPUTED_VALUE"""),46081.4166666666)</f>
        <v>46081.416666666599</v>
      </c>
      <c r="D790" s="6">
        <f ca="1">IFERROR(__xludf.DUMMYFUNCTION("""COMPUTED_VALUE"""),291.92)</f>
        <v>291.92</v>
      </c>
      <c r="E790" s="4" t="str">
        <f ca="1">IFERROR(__xludf.DUMMYFUNCTION("""COMPUTED_VALUE"""),"MXN")</f>
        <v>MXN</v>
      </c>
      <c r="F790" s="4" t="str">
        <f ca="1">IFERROR(__xludf.DUMMYFUNCTION("""COMPUTED_VALUE"""),"Gustavo Rivas")</f>
        <v>Gustavo Rivas</v>
      </c>
      <c r="G790" s="4" t="str">
        <f ca="1">IFERROR(__xludf.DUMMYFUNCTION("""COMPUTED_VALUE"""),"DLO*Uber               CDMX          MEX")</f>
        <v>DLO*Uber               CDMX          MEX</v>
      </c>
      <c r="H790" s="4" t="str">
        <f ca="1">IFERROR(__xludf.DUMMYFUNCTION("""COMPUTED_VALUE"""),"Uber")</f>
        <v>Uber</v>
      </c>
      <c r="I790" s="4" t="str">
        <f ca="1">IFERROR(__xludf.DUMMYFUNCTION("""COMPUTED_VALUE"""),"Sales")</f>
        <v>Sales</v>
      </c>
      <c r="J790" s="4" t="str">
        <f ca="1">IFERROR(__xludf.DUMMYFUNCTION("""COMPUTED_VALUE"""),"Sin PO")</f>
        <v>Sin PO</v>
      </c>
      <c r="K790" s="4"/>
      <c r="S790" s="6">
        <v>55.55</v>
      </c>
      <c r="T790" s="4" t="e">
        <f t="shared" ca="1" si="4"/>
        <v>#N/A</v>
      </c>
    </row>
    <row r="791" spans="1:20" ht="12.5">
      <c r="A791" s="4" t="str">
        <f ca="1">IFERROR(__xludf.DUMMYFUNCTION("""COMPUTED_VALUE"""),"TRX1100")</f>
        <v>TRX1100</v>
      </c>
      <c r="B791" s="4" t="str">
        <f ca="1">IFERROR(__xludf.DUMMYFUNCTION("""COMPUTED_VALUE"""),"#70")</f>
        <v>#70</v>
      </c>
      <c r="C791" s="5">
        <f ca="1">IFERROR(__xludf.DUMMYFUNCTION("""COMPUTED_VALUE"""),46064.4166666666)</f>
        <v>46064.416666666599</v>
      </c>
      <c r="D791" s="6">
        <f ca="1">IFERROR(__xludf.DUMMYFUNCTION("""COMPUTED_VALUE"""),166.32)</f>
        <v>166.32</v>
      </c>
      <c r="E791" s="4" t="str">
        <f ca="1">IFERROR(__xludf.DUMMYFUNCTION("""COMPUTED_VALUE"""),"MXN")</f>
        <v>MXN</v>
      </c>
      <c r="F791" s="4" t="str">
        <f ca="1">IFERROR(__xludf.DUMMYFUNCTION("""COMPUTED_VALUE"""),"Alfonso Bello")</f>
        <v>Alfonso Bello</v>
      </c>
      <c r="G791" s="4" t="str">
        <f ca="1">IFERROR(__xludf.DUMMYFUNCTION("""COMPUTED_VALUE"""),"UBER * PENDING         CMX           MEX")</f>
        <v>UBER * PENDING         CMX           MEX</v>
      </c>
      <c r="H791" s="4" t="str">
        <f ca="1">IFERROR(__xludf.DUMMYFUNCTION("""COMPUTED_VALUE"""),"Uber")</f>
        <v>Uber</v>
      </c>
      <c r="I791" s="4" t="str">
        <f ca="1">IFERROR(__xludf.DUMMYFUNCTION("""COMPUTED_VALUE"""),"G&amp;A expenses")</f>
        <v>G&amp;A expenses</v>
      </c>
      <c r="J791" s="4" t="str">
        <f ca="1">IFERROR(__xludf.DUMMYFUNCTION("""COMPUTED_VALUE"""),"P.O 1162 - Transporte")</f>
        <v>P.O 1162 - Transporte</v>
      </c>
      <c r="K791" s="4" t="str">
        <f ca="1">IFERROR(__xludf.DUMMYFUNCTION("""COMPUTED_VALUE"""),".")</f>
        <v>.</v>
      </c>
      <c r="S791" s="6">
        <v>149.21</v>
      </c>
      <c r="T791" s="4" t="e">
        <f t="shared" ca="1" si="4"/>
        <v>#N/A</v>
      </c>
    </row>
    <row r="792" spans="1:20" ht="12.5">
      <c r="A792" s="4" t="str">
        <f ca="1">IFERROR(__xludf.DUMMYFUNCTION("""COMPUTED_VALUE"""),"TRX1915")</f>
        <v>TRX1915</v>
      </c>
      <c r="B792" s="4" t="str">
        <f ca="1">IFERROR(__xludf.DUMMYFUNCTION("""COMPUTED_VALUE"""),"-")</f>
        <v>-</v>
      </c>
      <c r="C792" s="5">
        <f ca="1">IFERROR(__xludf.DUMMYFUNCTION("""COMPUTED_VALUE"""),46064.4166666666)</f>
        <v>46064.416666666599</v>
      </c>
      <c r="D792" s="6">
        <f ca="1">IFERROR(__xludf.DUMMYFUNCTION("""COMPUTED_VALUE"""),142.84)</f>
        <v>142.84</v>
      </c>
      <c r="E792" s="4" t="str">
        <f ca="1">IFERROR(__xludf.DUMMYFUNCTION("""COMPUTED_VALUE"""),"MXN")</f>
        <v>MXN</v>
      </c>
      <c r="F792" s="4" t="str">
        <f ca="1">IFERROR(__xludf.DUMMYFUNCTION("""COMPUTED_VALUE"""),"Alfonso Bello")</f>
        <v>Alfonso Bello</v>
      </c>
      <c r="G792" s="4" t="str">
        <f ca="1">IFERROR(__xludf.DUMMYFUNCTION("""COMPUTED_VALUE"""),"UBER * PENDING         CMX           MEX")</f>
        <v>UBER * PENDING         CMX           MEX</v>
      </c>
      <c r="H792" s="4" t="str">
        <f ca="1">IFERROR(__xludf.DUMMYFUNCTION("""COMPUTED_VALUE"""),"Uber")</f>
        <v>Uber</v>
      </c>
      <c r="I792" s="4" t="str">
        <f ca="1">IFERROR(__xludf.DUMMYFUNCTION("""COMPUTED_VALUE"""),"G&amp;A expenses")</f>
        <v>G&amp;A expenses</v>
      </c>
      <c r="J792" s="4" t="str">
        <f ca="1">IFERROR(__xludf.DUMMYFUNCTION("""COMPUTED_VALUE"""),"P.O 1162 - Transporte")</f>
        <v>P.O 1162 - Transporte</v>
      </c>
      <c r="K792" s="4" t="str">
        <f ca="1">IFERROR(__xludf.DUMMYFUNCTION("""COMPUTED_VALUE"""),".")</f>
        <v>.</v>
      </c>
      <c r="S792" s="6">
        <v>150000</v>
      </c>
      <c r="T792" s="4" t="e">
        <f t="shared" ca="1" si="4"/>
        <v>#N/A</v>
      </c>
    </row>
    <row r="793" spans="1:20" ht="12.5">
      <c r="A793" s="4" t="str">
        <f ca="1">IFERROR(__xludf.DUMMYFUNCTION("""COMPUTED_VALUE"""),"TRX1706")</f>
        <v>TRX1706</v>
      </c>
      <c r="B793" s="4" t="str">
        <f ca="1">IFERROR(__xludf.DUMMYFUNCTION("""COMPUTED_VALUE"""),"-")</f>
        <v>-</v>
      </c>
      <c r="C793" s="5">
        <f ca="1">IFERROR(__xludf.DUMMYFUNCTION("""COMPUTED_VALUE"""),46066.4166666666)</f>
        <v>46066.416666666599</v>
      </c>
      <c r="D793" s="6">
        <f ca="1">IFERROR(__xludf.DUMMYFUNCTION("""COMPUTED_VALUE"""),301.15)</f>
        <v>301.14999999999998</v>
      </c>
      <c r="E793" s="4" t="str">
        <f ca="1">IFERROR(__xludf.DUMMYFUNCTION("""COMPUTED_VALUE"""),"MXN")</f>
        <v>MXN</v>
      </c>
      <c r="F793" s="4" t="str">
        <f ca="1">IFERROR(__xludf.DUMMYFUNCTION("""COMPUTED_VALUE"""),"Alfonso Bello")</f>
        <v>Alfonso Bello</v>
      </c>
      <c r="G793" s="4" t="str">
        <f ca="1">IFERROR(__xludf.DUMMYFUNCTION("""COMPUTED_VALUE"""),"UBER * PENDING         CMX           MEX")</f>
        <v>UBER * PENDING         CMX           MEX</v>
      </c>
      <c r="H793" s="4" t="str">
        <f ca="1">IFERROR(__xludf.DUMMYFUNCTION("""COMPUTED_VALUE"""),"Uber")</f>
        <v>Uber</v>
      </c>
      <c r="I793" s="4" t="str">
        <f ca="1">IFERROR(__xludf.DUMMYFUNCTION("""COMPUTED_VALUE"""),"G&amp;A expenses")</f>
        <v>G&amp;A expenses</v>
      </c>
      <c r="J793" s="4" t="str">
        <f ca="1">IFERROR(__xludf.DUMMYFUNCTION("""COMPUTED_VALUE"""),"P.O 1162 - Transporte")</f>
        <v>P.O 1162 - Transporte</v>
      </c>
      <c r="K793" s="4" t="str">
        <f ca="1">IFERROR(__xludf.DUMMYFUNCTION("""COMPUTED_VALUE"""),".")</f>
        <v>.</v>
      </c>
      <c r="S793" s="6">
        <v>560.58000000000004</v>
      </c>
      <c r="T793" s="4" t="e">
        <f t="shared" ca="1" si="4"/>
        <v>#N/A</v>
      </c>
    </row>
    <row r="794" spans="1:20" ht="12.5">
      <c r="A794" s="4" t="str">
        <f ca="1">IFERROR(__xludf.DUMMYFUNCTION("""COMPUTED_VALUE"""),"TRX1901")</f>
        <v>TRX1901</v>
      </c>
      <c r="B794" s="4" t="str">
        <f ca="1">IFERROR(__xludf.DUMMYFUNCTION("""COMPUTED_VALUE"""),"-")</f>
        <v>-</v>
      </c>
      <c r="C794" s="5">
        <f ca="1">IFERROR(__xludf.DUMMYFUNCTION("""COMPUTED_VALUE"""),46066.4166666666)</f>
        <v>46066.416666666599</v>
      </c>
      <c r="D794" s="6">
        <f ca="1">IFERROR(__xludf.DUMMYFUNCTION("""COMPUTED_VALUE"""),205.77)</f>
        <v>205.77</v>
      </c>
      <c r="E794" s="4" t="str">
        <f ca="1">IFERROR(__xludf.DUMMYFUNCTION("""COMPUTED_VALUE"""),"MXN")</f>
        <v>MXN</v>
      </c>
      <c r="F794" s="4" t="str">
        <f ca="1">IFERROR(__xludf.DUMMYFUNCTION("""COMPUTED_VALUE"""),"Alfonso Bello")</f>
        <v>Alfonso Bello</v>
      </c>
      <c r="G794" s="4" t="str">
        <f ca="1">IFERROR(__xludf.DUMMYFUNCTION("""COMPUTED_VALUE"""),"UBER *TRIP HELP.UBER.C CMX           MEX")</f>
        <v>UBER *TRIP HELP.UBER.C CMX           MEX</v>
      </c>
      <c r="H794" s="4" t="str">
        <f ca="1">IFERROR(__xludf.DUMMYFUNCTION("""COMPUTED_VALUE"""),"Uber")</f>
        <v>Uber</v>
      </c>
      <c r="I794" s="4" t="str">
        <f ca="1">IFERROR(__xludf.DUMMYFUNCTION("""COMPUTED_VALUE"""),"G&amp;A expenses")</f>
        <v>G&amp;A expenses</v>
      </c>
      <c r="J794" s="4" t="str">
        <f ca="1">IFERROR(__xludf.DUMMYFUNCTION("""COMPUTED_VALUE"""),"P.O 1162 - Transporte")</f>
        <v>P.O 1162 - Transporte</v>
      </c>
      <c r="K794" s="4" t="str">
        <f ca="1">IFERROR(__xludf.DUMMYFUNCTION("""COMPUTED_VALUE"""),".")</f>
        <v>.</v>
      </c>
      <c r="S794" s="6">
        <v>400</v>
      </c>
      <c r="T794" s="4" t="str">
        <f t="shared" ca="1" si="4"/>
        <v>Jose Arechavala</v>
      </c>
    </row>
    <row r="795" spans="1:20" ht="12.5">
      <c r="A795" s="4" t="str">
        <f ca="1">IFERROR(__xludf.DUMMYFUNCTION("""COMPUTED_VALUE"""),"#N/A")</f>
        <v>#N/A</v>
      </c>
      <c r="B795" s="4"/>
      <c r="C795" s="4"/>
      <c r="D795" s="4" t="str">
        <f ca="1">IFERROR(__xludf.DUMMYFUNCTION("""COMPUTED_VALUE"""),"#N/A")</f>
        <v>#N/A</v>
      </c>
      <c r="E795" s="4" t="str">
        <f ca="1">IFERROR(__xludf.DUMMYFUNCTION("""COMPUTED_VALUE"""),"#N/A")</f>
        <v>#N/A</v>
      </c>
      <c r="F795" s="4" t="str">
        <f ca="1">IFERROR(__xludf.DUMMYFUNCTION("""COMPUTED_VALUE"""),"#N/A")</f>
        <v>#N/A</v>
      </c>
      <c r="G795" s="4" t="str">
        <f ca="1">IFERROR(__xludf.DUMMYFUNCTION("""COMPUTED_VALUE"""),"#N/A")</f>
        <v>#N/A</v>
      </c>
      <c r="H795" s="4"/>
      <c r="I795" s="4" t="str">
        <f ca="1">IFERROR(__xludf.DUMMYFUNCTION("""COMPUTED_VALUE"""),"Sales")</f>
        <v>Sales</v>
      </c>
      <c r="J795" s="4"/>
      <c r="K795" s="4" t="str">
        <f ca="1">IFERROR(__xludf.DUMMYFUNCTION("""COMPUTED_VALUE"""),".")</f>
        <v>.</v>
      </c>
      <c r="S795" s="6">
        <v>40</v>
      </c>
      <c r="T795" s="4" t="str">
        <f t="shared" ca="1" si="4"/>
        <v>Fernanda Sanchez Ruiz</v>
      </c>
    </row>
    <row r="796" spans="1:20" ht="12.5">
      <c r="S796" s="6">
        <v>377.06</v>
      </c>
      <c r="T796" s="4" t="e">
        <f t="shared" ca="1" si="4"/>
        <v>#N/A</v>
      </c>
    </row>
    <row r="797" spans="1:20" ht="12.5">
      <c r="S797" s="6">
        <v>220</v>
      </c>
      <c r="T797" s="4" t="str">
        <f t="shared" ca="1" si="4"/>
        <v>Karen Alexandra Ballesteros Contreras</v>
      </c>
    </row>
    <row r="798" spans="1:20" ht="12.5">
      <c r="S798" s="6">
        <v>2310.3000000000002</v>
      </c>
      <c r="T798" s="4" t="e">
        <f t="shared" ca="1" si="4"/>
        <v>#N/A</v>
      </c>
    </row>
    <row r="799" spans="1:20" ht="12.5">
      <c r="S799" s="6">
        <v>559.92999999999995</v>
      </c>
      <c r="T799" s="4" t="e">
        <f t="shared" ca="1" si="4"/>
        <v>#N/A</v>
      </c>
    </row>
    <row r="800" spans="1:20" ht="12.5">
      <c r="S800" s="6">
        <v>70</v>
      </c>
      <c r="T800" s="4" t="str">
        <f t="shared" ca="1" si="4"/>
        <v>Fernanda Sanchez Ruiz</v>
      </c>
    </row>
    <row r="801" spans="19:20" ht="12.5">
      <c r="S801" s="6">
        <v>48.42</v>
      </c>
      <c r="T801" s="4" t="e">
        <f t="shared" ca="1" si="4"/>
        <v>#N/A</v>
      </c>
    </row>
    <row r="802" spans="19:20" ht="12.5">
      <c r="S802" s="6">
        <v>700.13</v>
      </c>
      <c r="T802" s="4" t="e">
        <f t="shared" ca="1" si="4"/>
        <v>#N/A</v>
      </c>
    </row>
    <row r="803" spans="19:20" ht="12.5">
      <c r="S803" s="6">
        <v>950</v>
      </c>
      <c r="T803" s="4" t="e">
        <f t="shared" ca="1" si="4"/>
        <v>#N/A</v>
      </c>
    </row>
    <row r="804" spans="19:20" ht="12.5">
      <c r="S804" s="6">
        <v>2281.6</v>
      </c>
      <c r="T804" s="4" t="e">
        <f t="shared" ca="1" si="4"/>
        <v>#N/A</v>
      </c>
    </row>
    <row r="805" spans="19:20" ht="12.5">
      <c r="S805" s="6">
        <v>84.99</v>
      </c>
      <c r="T805" s="4" t="e">
        <f t="shared" ca="1" si="4"/>
        <v>#N/A</v>
      </c>
    </row>
    <row r="806" spans="19:20" ht="12.5">
      <c r="S806" s="6">
        <v>1308.26</v>
      </c>
      <c r="T806" s="4" t="e">
        <f t="shared" ca="1" si="4"/>
        <v>#N/A</v>
      </c>
    </row>
    <row r="807" spans="19:20" ht="12.5">
      <c r="S807" s="6">
        <v>1008.03</v>
      </c>
      <c r="T807" s="4" t="e">
        <f t="shared" ca="1" si="4"/>
        <v>#N/A</v>
      </c>
    </row>
    <row r="808" spans="19:20" ht="12.5">
      <c r="S808" s="6">
        <v>1577.8</v>
      </c>
      <c r="T808" s="4" t="e">
        <f t="shared" ca="1" si="4"/>
        <v>#N/A</v>
      </c>
    </row>
    <row r="809" spans="19:20" ht="12.5">
      <c r="S809" s="6">
        <v>4247.62</v>
      </c>
      <c r="T809" s="4" t="e">
        <f t="shared" ca="1" si="4"/>
        <v>#N/A</v>
      </c>
    </row>
    <row r="810" spans="19:20" ht="12.5">
      <c r="S810" s="6">
        <v>1135.97</v>
      </c>
      <c r="T810" s="4" t="e">
        <f t="shared" ca="1" si="4"/>
        <v>#N/A</v>
      </c>
    </row>
    <row r="811" spans="19:20" ht="12.5">
      <c r="S811" s="6">
        <v>61.2</v>
      </c>
      <c r="T811" s="4" t="str">
        <f t="shared" ca="1" si="4"/>
        <v>Emiliano Cavazos</v>
      </c>
    </row>
    <row r="812" spans="19:20" ht="12.5">
      <c r="S812" s="6">
        <v>1582.32</v>
      </c>
      <c r="T812" s="4" t="e">
        <f t="shared" ca="1" si="4"/>
        <v>#N/A</v>
      </c>
    </row>
    <row r="813" spans="19:20" ht="12.5">
      <c r="S813" s="6">
        <v>277.55</v>
      </c>
      <c r="T813" s="4" t="e">
        <f t="shared" ca="1" si="4"/>
        <v>#N/A</v>
      </c>
    </row>
    <row r="814" spans="19:20" ht="12.5">
      <c r="S814" s="6">
        <v>420</v>
      </c>
      <c r="T814" s="4" t="e">
        <f t="shared" ca="1" si="4"/>
        <v>#N/A</v>
      </c>
    </row>
    <row r="815" spans="19:20" ht="12.5">
      <c r="S815" s="6">
        <v>522.27</v>
      </c>
      <c r="T815" s="4" t="e">
        <f t="shared" ca="1" si="4"/>
        <v>#N/A</v>
      </c>
    </row>
    <row r="816" spans="19:20" ht="12.5">
      <c r="S816" s="6">
        <v>786.4</v>
      </c>
      <c r="T816" s="4" t="e">
        <f t="shared" ca="1" si="4"/>
        <v>#N/A</v>
      </c>
    </row>
    <row r="817" spans="19:20" ht="12.5">
      <c r="S817" s="6">
        <v>1000</v>
      </c>
      <c r="T817" s="4" t="str">
        <f t="shared" ca="1" si="4"/>
        <v>Fernando Sanchez Toledano</v>
      </c>
    </row>
    <row r="818" spans="19:20" ht="12.5">
      <c r="S818" s="6">
        <v>737</v>
      </c>
      <c r="T818" s="4" t="e">
        <f t="shared" ca="1" si="4"/>
        <v>#N/A</v>
      </c>
    </row>
    <row r="819" spans="19:20" ht="12.5">
      <c r="S819" s="6">
        <v>206.5</v>
      </c>
      <c r="T819" s="4" t="e">
        <f t="shared" ca="1" si="4"/>
        <v>#N/A</v>
      </c>
    </row>
    <row r="820" spans="19:20" ht="12.5">
      <c r="S820" s="6">
        <v>2902</v>
      </c>
      <c r="T820" s="4" t="e">
        <f t="shared" ca="1" si="4"/>
        <v>#N/A</v>
      </c>
    </row>
    <row r="821" spans="19:20" ht="12.5">
      <c r="S821" s="6">
        <v>756</v>
      </c>
      <c r="T821" s="4" t="e">
        <f t="shared" ca="1" si="4"/>
        <v>#N/A</v>
      </c>
    </row>
    <row r="822" spans="19:20" ht="12.5">
      <c r="S822" s="6">
        <v>853.3</v>
      </c>
      <c r="T822" s="4" t="e">
        <f t="shared" ca="1" si="4"/>
        <v>#N/A</v>
      </c>
    </row>
    <row r="823" spans="19:20" ht="12.5">
      <c r="S823" s="6">
        <v>1338.6</v>
      </c>
      <c r="T823" s="4" t="e">
        <f t="shared" ca="1" si="4"/>
        <v>#N/A</v>
      </c>
    </row>
    <row r="824" spans="19:20" ht="12.5">
      <c r="S824" s="6">
        <v>1888</v>
      </c>
      <c r="T824" s="4" t="e">
        <f t="shared" ca="1" si="4"/>
        <v>#N/A</v>
      </c>
    </row>
    <row r="825" spans="19:20" ht="12.5">
      <c r="S825" s="6">
        <v>702.62</v>
      </c>
      <c r="T825" s="4" t="e">
        <f t="shared" ca="1" si="4"/>
        <v>#N/A</v>
      </c>
    </row>
    <row r="826" spans="19:20" ht="12.5">
      <c r="S826" s="6">
        <v>200</v>
      </c>
      <c r="T826" s="4" t="str">
        <f t="shared" ca="1" si="4"/>
        <v>Jorge Armando Ramirez Perez</v>
      </c>
    </row>
    <row r="827" spans="19:20" ht="12.5">
      <c r="S827" s="6">
        <v>96</v>
      </c>
      <c r="T827" s="4" t="e">
        <f t="shared" ca="1" si="4"/>
        <v>#N/A</v>
      </c>
    </row>
    <row r="828" spans="19:20" ht="12.5">
      <c r="S828" s="6">
        <v>78</v>
      </c>
      <c r="T828" s="4" t="str">
        <f t="shared" ca="1" si="4"/>
        <v>Karen Alexandra Ballesteros Contreras</v>
      </c>
    </row>
    <row r="829" spans="19:20" ht="12.5">
      <c r="S829" s="6">
        <v>1415.62</v>
      </c>
      <c r="T829" s="4" t="e">
        <f t="shared" ca="1" si="4"/>
        <v>#N/A</v>
      </c>
    </row>
    <row r="830" spans="19:20" ht="12.5">
      <c r="S830" s="6">
        <v>79</v>
      </c>
      <c r="T830" s="4" t="str">
        <f t="shared" ca="1" si="4"/>
        <v>Karen Alexandra Ballesteros Contreras</v>
      </c>
    </row>
    <row r="831" spans="19:20" ht="12.5">
      <c r="S831" s="6">
        <v>419.1</v>
      </c>
      <c r="T831" s="4" t="e">
        <f t="shared" ca="1" si="4"/>
        <v>#N/A</v>
      </c>
    </row>
    <row r="832" spans="19:20" ht="12.5">
      <c r="S832" s="6">
        <v>1767.55</v>
      </c>
      <c r="T832" s="4" t="e">
        <f t="shared" ca="1" si="4"/>
        <v>#N/A</v>
      </c>
    </row>
    <row r="833" spans="19:20" ht="12.5">
      <c r="S833" s="6">
        <v>1103.8800000000001</v>
      </c>
      <c r="T833" s="4" t="e">
        <f t="shared" ca="1" si="4"/>
        <v>#N/A</v>
      </c>
    </row>
    <row r="834" spans="19:20" ht="12.5">
      <c r="S834" s="6">
        <v>416.3</v>
      </c>
      <c r="T834" s="4" t="e">
        <f t="shared" ca="1" si="4"/>
        <v>#N/A</v>
      </c>
    </row>
    <row r="835" spans="19:20" ht="12.5">
      <c r="S835" s="6">
        <v>737</v>
      </c>
      <c r="T835" s="4" t="e">
        <f t="shared" ca="1" si="4"/>
        <v>#N/A</v>
      </c>
    </row>
    <row r="836" spans="19:20" ht="12.5">
      <c r="S836" s="6">
        <v>141</v>
      </c>
      <c r="T836" s="4" t="str">
        <f t="shared" ca="1" si="4"/>
        <v>Karen Alexandra Ballesteros Contreras</v>
      </c>
    </row>
    <row r="837" spans="19:20" ht="12.5">
      <c r="S837" s="6">
        <v>214.14</v>
      </c>
      <c r="T837" s="4" t="e">
        <f t="shared" ca="1" si="4"/>
        <v>#N/A</v>
      </c>
    </row>
    <row r="838" spans="19:20" ht="12.5">
      <c r="S838" s="6">
        <v>70.5</v>
      </c>
      <c r="T838" s="4" t="e">
        <f t="shared" ca="1" si="4"/>
        <v>#N/A</v>
      </c>
    </row>
    <row r="839" spans="19:20" ht="12.5">
      <c r="S839" s="6">
        <v>11.75</v>
      </c>
      <c r="T839" s="4" t="e">
        <f t="shared" ca="1" si="4"/>
        <v>#N/A</v>
      </c>
    </row>
    <row r="840" spans="19:20" ht="12.5">
      <c r="S840" s="6">
        <v>19.100000000000001</v>
      </c>
      <c r="T840" s="4" t="e">
        <f t="shared" ca="1" si="4"/>
        <v>#N/A</v>
      </c>
    </row>
    <row r="841" spans="19:20" ht="12.5">
      <c r="S841" s="6">
        <v>3031.13</v>
      </c>
      <c r="T841" s="4" t="e">
        <f t="shared" ca="1" si="4"/>
        <v>#N/A</v>
      </c>
    </row>
    <row r="842" spans="19:20" ht="12.5">
      <c r="S842" s="6">
        <v>19.100000000000001</v>
      </c>
      <c r="T842" s="4" t="e">
        <f t="shared" ca="1" si="4"/>
        <v>#N/A</v>
      </c>
    </row>
    <row r="843" spans="19:20" ht="12.5">
      <c r="S843" s="6">
        <v>500</v>
      </c>
      <c r="T843" s="4" t="str">
        <f t="shared" ca="1" si="4"/>
        <v>Fernando Sanchez Toledano</v>
      </c>
    </row>
    <row r="844" spans="19:20" ht="12.5">
      <c r="S844" s="6">
        <v>122</v>
      </c>
      <c r="T844" s="4" t="str">
        <f t="shared" ca="1" si="4"/>
        <v>Carlos Ivan Gonzalez Merino</v>
      </c>
    </row>
    <row r="845" spans="19:20" ht="12.5">
      <c r="S845" s="6">
        <v>1000</v>
      </c>
      <c r="T845" s="4" t="str">
        <f t="shared" ca="1" si="4"/>
        <v>Fernando Sanchez Toledano</v>
      </c>
    </row>
    <row r="846" spans="19:20" ht="12.5">
      <c r="S846" s="6">
        <v>4689.0200000000004</v>
      </c>
      <c r="T846" s="4" t="e">
        <f t="shared" ca="1" si="4"/>
        <v>#N/A</v>
      </c>
    </row>
    <row r="847" spans="19:20" ht="12.5">
      <c r="S847" s="6">
        <v>862.49</v>
      </c>
      <c r="T847" s="4" t="e">
        <f t="shared" ca="1" si="4"/>
        <v>#N/A</v>
      </c>
    </row>
    <row r="848" spans="19:20" ht="12.5">
      <c r="S848" s="6">
        <v>268.07</v>
      </c>
      <c r="T848" s="4" t="e">
        <f t="shared" ca="1" si="4"/>
        <v>#N/A</v>
      </c>
    </row>
    <row r="849" spans="19:20" ht="12.5">
      <c r="S849" s="6">
        <v>600</v>
      </c>
      <c r="T849" s="4" t="str">
        <f t="shared" ca="1" si="4"/>
        <v>Karen Alexandra Ballesteros Contreras</v>
      </c>
    </row>
    <row r="850" spans="19:20" ht="12.5">
      <c r="S850" s="6">
        <v>180.5</v>
      </c>
      <c r="T850" s="4" t="e">
        <f t="shared" ca="1" si="4"/>
        <v>#N/A</v>
      </c>
    </row>
    <row r="851" spans="19:20" ht="12.5">
      <c r="S851" s="6">
        <v>355.94</v>
      </c>
      <c r="T851" s="4" t="e">
        <f t="shared" ca="1" si="4"/>
        <v>#N/A</v>
      </c>
    </row>
    <row r="852" spans="19:20" ht="12.5">
      <c r="S852" s="6">
        <v>550.80999999999995</v>
      </c>
      <c r="T852" s="4" t="e">
        <f t="shared" ca="1" si="4"/>
        <v>#N/A</v>
      </c>
    </row>
    <row r="853" spans="19:20" ht="12.5">
      <c r="S853" s="6">
        <v>141.69</v>
      </c>
      <c r="T853" s="4" t="e">
        <f t="shared" ca="1" si="4"/>
        <v>#N/A</v>
      </c>
    </row>
    <row r="854" spans="19:20" ht="12.5">
      <c r="S854" s="6">
        <v>1242.82</v>
      </c>
      <c r="T854" s="4" t="e">
        <f t="shared" ca="1" si="4"/>
        <v>#N/A</v>
      </c>
    </row>
    <row r="855" spans="19:20" ht="12.5">
      <c r="S855" s="6">
        <v>2066.5700000000002</v>
      </c>
      <c r="T855" s="4" t="e">
        <f t="shared" ca="1" si="4"/>
        <v>#N/A</v>
      </c>
    </row>
    <row r="856" spans="19:20" ht="12.5">
      <c r="S856" s="6">
        <v>1630.56</v>
      </c>
      <c r="T856" s="4" t="e">
        <f t="shared" ca="1" si="4"/>
        <v>#N/A</v>
      </c>
    </row>
    <row r="857" spans="19:20" ht="12.5">
      <c r="S857" s="6">
        <v>5287.47</v>
      </c>
      <c r="T857" s="4" t="e">
        <f t="shared" ca="1" si="4"/>
        <v>#N/A</v>
      </c>
    </row>
    <row r="858" spans="19:20" ht="12.5">
      <c r="S858" s="6">
        <v>1886</v>
      </c>
      <c r="T858" s="4" t="e">
        <f t="shared" ca="1" si="4"/>
        <v>#N/A</v>
      </c>
    </row>
    <row r="859" spans="19:20" ht="12.5">
      <c r="S859" s="6">
        <v>5</v>
      </c>
      <c r="T859" s="4" t="e">
        <f t="shared" ca="1" si="4"/>
        <v>#N/A</v>
      </c>
    </row>
    <row r="860" spans="19:20" ht="12.5">
      <c r="S860" s="6">
        <v>3494.16</v>
      </c>
      <c r="T860" s="4" t="e">
        <f t="shared" ca="1" si="4"/>
        <v>#N/A</v>
      </c>
    </row>
    <row r="861" spans="19:20" ht="12.5">
      <c r="S861" s="6">
        <v>5</v>
      </c>
      <c r="T861" s="4" t="e">
        <f t="shared" ca="1" si="4"/>
        <v>#N/A</v>
      </c>
    </row>
    <row r="862" spans="19:20" ht="12.5">
      <c r="S862" s="6">
        <v>96</v>
      </c>
      <c r="T862" s="4" t="e">
        <f t="shared" ca="1" si="4"/>
        <v>#N/A</v>
      </c>
    </row>
    <row r="863" spans="19:20" ht="12.5">
      <c r="S863" s="6">
        <v>5</v>
      </c>
      <c r="T863" s="4" t="e">
        <f t="shared" ca="1" si="4"/>
        <v>#N/A</v>
      </c>
    </row>
    <row r="864" spans="19:20" ht="12.5">
      <c r="S864" s="6">
        <v>5</v>
      </c>
      <c r="T864" s="4" t="e">
        <f t="shared" ca="1" si="4"/>
        <v>#N/A</v>
      </c>
    </row>
    <row r="903" spans="4:4" ht="12.5">
      <c r="D903" s="6">
        <f ca="1">SUM(D2:D902)</f>
        <v>894322.25000000093</v>
      </c>
    </row>
  </sheetData>
  <autoFilter ref="A1:X864" xr:uid="{00000000-0009-0000-0000-000000000000}"/>
  <hyperlinks>
    <hyperlink ref="K178" r:id="rId1" display="https://drive.google.com/drive/folders/1tBRPEiGyYMUgsvzRDRDhDGIf_ZAKNFA1?usp=sharing" xr:uid="{00000000-0004-0000-0000-000000000000}"/>
    <hyperlink ref="H325" r:id="rId2" display="http://claude.ai/" xr:uid="{00000000-0004-0000-0000-000001000000}"/>
    <hyperlink ref="H350" r:id="rId3" display="http://claude.ai/" xr:uid="{00000000-0004-0000-00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AI1428"/>
  <sheetViews>
    <sheetView workbookViewId="0">
      <pane ySplit="12" topLeftCell="A13" activePane="bottomLeft" state="frozen"/>
      <selection pane="bottomLeft" activeCell="B14" sqref="B14"/>
    </sheetView>
  </sheetViews>
  <sheetFormatPr baseColWidth="10" defaultColWidth="12.6328125" defaultRowHeight="15.75" customHeight="1"/>
  <cols>
    <col min="1" max="1" width="6.6328125" customWidth="1"/>
    <col min="2" max="2" width="6.08984375" customWidth="1"/>
    <col min="3" max="3" width="12.90625" customWidth="1"/>
    <col min="4" max="5" width="4.36328125" customWidth="1"/>
    <col min="6" max="6" width="4" customWidth="1"/>
    <col min="7" max="9" width="6.90625" customWidth="1"/>
    <col min="10" max="10" width="20.08984375" customWidth="1"/>
    <col min="11" max="11" width="34.26953125" customWidth="1"/>
    <col min="12" max="12" width="13" customWidth="1"/>
    <col min="13" max="13" width="9" customWidth="1"/>
    <col min="14" max="14" width="17.36328125" customWidth="1"/>
    <col min="16" max="22" width="12.6328125" hidden="1"/>
    <col min="23" max="23" width="12.26953125" hidden="1" customWidth="1"/>
    <col min="24" max="24" width="7.26953125" customWidth="1"/>
    <col min="25" max="25" width="11.6328125" customWidth="1"/>
    <col min="26" max="26" width="24.7265625" customWidth="1"/>
    <col min="27" max="27" width="6.90625" customWidth="1"/>
    <col min="28" max="28" width="14" customWidth="1"/>
    <col min="29" max="29" width="27.26953125" customWidth="1"/>
    <col min="30" max="30" width="12.36328125" customWidth="1"/>
    <col min="31" max="35" width="27.26953125" customWidth="1"/>
  </cols>
  <sheetData>
    <row r="1" spans="1:35" ht="12.5" hidden="1">
      <c r="A1" s="9"/>
      <c r="B1" s="10"/>
      <c r="C1" s="141" t="s">
        <v>61</v>
      </c>
      <c r="D1" s="139"/>
      <c r="E1" s="139"/>
      <c r="F1" s="139"/>
      <c r="G1" s="139"/>
      <c r="H1" s="11"/>
      <c r="I1" s="12"/>
      <c r="J1" s="13"/>
      <c r="K1" s="14" t="s">
        <v>62</v>
      </c>
      <c r="L1" s="15" t="s">
        <v>5</v>
      </c>
      <c r="M1" s="13"/>
      <c r="N1" s="14" t="s">
        <v>62</v>
      </c>
      <c r="O1" s="15" t="s">
        <v>5</v>
      </c>
      <c r="P1" s="13"/>
      <c r="Q1" s="13"/>
      <c r="R1" s="13"/>
      <c r="S1" s="13"/>
      <c r="T1" s="13"/>
      <c r="U1" s="13"/>
      <c r="V1" s="13"/>
      <c r="W1" s="13"/>
      <c r="X1" s="13"/>
      <c r="Y1" s="14" t="s">
        <v>62</v>
      </c>
      <c r="Z1" s="15" t="s">
        <v>5</v>
      </c>
      <c r="AA1" s="16"/>
      <c r="AB1" s="14" t="s">
        <v>62</v>
      </c>
      <c r="AC1" s="15" t="s">
        <v>5</v>
      </c>
      <c r="AD1" s="14" t="s">
        <v>62</v>
      </c>
      <c r="AE1" s="15" t="s">
        <v>5</v>
      </c>
      <c r="AF1" s="15"/>
      <c r="AG1" s="15"/>
      <c r="AH1" s="15"/>
      <c r="AI1" s="15"/>
    </row>
    <row r="2" spans="1:35" ht="12.5" hidden="1">
      <c r="A2" s="9"/>
      <c r="B2" s="10"/>
      <c r="C2" s="141" t="s">
        <v>63</v>
      </c>
      <c r="D2" s="139"/>
      <c r="E2" s="140">
        <f ca="1">SUMIF($Y$12:$Y$1003,"Transaction cost",$G$12:$G$1003)</f>
        <v>46697.96</v>
      </c>
      <c r="F2" s="139"/>
      <c r="G2" s="139"/>
      <c r="H2" s="17"/>
      <c r="I2" s="12"/>
      <c r="J2" s="13"/>
      <c r="K2" s="18" t="s">
        <v>64</v>
      </c>
      <c r="L2" s="19" t="s">
        <v>65</v>
      </c>
      <c r="M2" s="13"/>
      <c r="N2" s="18" t="s">
        <v>25</v>
      </c>
      <c r="O2" s="19" t="s">
        <v>66</v>
      </c>
      <c r="P2" s="13"/>
      <c r="Q2" s="13"/>
      <c r="R2" s="13"/>
      <c r="S2" s="13"/>
      <c r="T2" s="13"/>
      <c r="U2" s="13"/>
      <c r="V2" s="13"/>
      <c r="W2" s="13"/>
      <c r="X2" s="13"/>
      <c r="Y2" s="20" t="s">
        <v>18</v>
      </c>
      <c r="Z2" s="17" t="s">
        <v>67</v>
      </c>
      <c r="AA2" s="16"/>
      <c r="AB2" s="20" t="s">
        <v>29</v>
      </c>
      <c r="AC2" s="21" t="s">
        <v>68</v>
      </c>
      <c r="AD2" s="20" t="s">
        <v>22</v>
      </c>
      <c r="AE2" s="22" t="s">
        <v>69</v>
      </c>
      <c r="AF2" s="20" t="s">
        <v>70</v>
      </c>
      <c r="AG2" s="21" t="s">
        <v>71</v>
      </c>
      <c r="AH2" s="20" t="s">
        <v>72</v>
      </c>
      <c r="AI2" s="22" t="s">
        <v>73</v>
      </c>
    </row>
    <row r="3" spans="1:35" ht="12.5" hidden="1">
      <c r="A3" s="9"/>
      <c r="B3" s="10"/>
      <c r="C3" s="142" t="s">
        <v>74</v>
      </c>
      <c r="D3" s="139"/>
      <c r="E3" s="140">
        <f ca="1">SUMIF($Y$12:$Y$1003,"Tech&amp;Product",$G$12:$G$1003)</f>
        <v>67472.959999999992</v>
      </c>
      <c r="F3" s="139"/>
      <c r="G3" s="139"/>
      <c r="H3" s="17"/>
      <c r="I3" s="12"/>
      <c r="J3" s="13"/>
      <c r="K3" s="18" t="s">
        <v>12</v>
      </c>
      <c r="L3" s="19" t="s">
        <v>75</v>
      </c>
      <c r="M3" s="13"/>
      <c r="N3" s="18" t="s">
        <v>58</v>
      </c>
      <c r="O3" s="19" t="s">
        <v>76</v>
      </c>
      <c r="P3" s="13"/>
      <c r="Q3" s="13"/>
      <c r="R3" s="13"/>
      <c r="S3" s="13"/>
      <c r="T3" s="13"/>
      <c r="U3" s="13"/>
      <c r="V3" s="13"/>
      <c r="W3" s="13"/>
      <c r="X3" s="13"/>
      <c r="Y3" s="20" t="s">
        <v>28</v>
      </c>
      <c r="Z3" s="23" t="s">
        <v>77</v>
      </c>
      <c r="AA3" s="16"/>
      <c r="AB3" s="20" t="s">
        <v>41</v>
      </c>
      <c r="AC3" s="21" t="s">
        <v>78</v>
      </c>
      <c r="AD3" s="20" t="s">
        <v>53</v>
      </c>
      <c r="AE3" s="21" t="s">
        <v>79</v>
      </c>
      <c r="AF3" s="20" t="s">
        <v>26</v>
      </c>
      <c r="AG3" s="21" t="s">
        <v>80</v>
      </c>
      <c r="AH3" s="20" t="s">
        <v>81</v>
      </c>
      <c r="AI3" s="22" t="s">
        <v>82</v>
      </c>
    </row>
    <row r="4" spans="1:35" ht="12.5" hidden="1">
      <c r="A4" s="9"/>
      <c r="B4" s="10"/>
      <c r="C4" s="138" t="s">
        <v>83</v>
      </c>
      <c r="D4" s="139"/>
      <c r="E4" s="140">
        <f ca="1">SUMIF($Y$12:$Y$1003,"Sales",$G$12:$G$1003)</f>
        <v>196573.56</v>
      </c>
      <c r="F4" s="139"/>
      <c r="G4" s="139"/>
      <c r="H4" s="17"/>
      <c r="I4" s="12"/>
      <c r="J4" s="13"/>
      <c r="K4" s="18" t="s">
        <v>40</v>
      </c>
      <c r="L4" s="19" t="s">
        <v>84</v>
      </c>
      <c r="M4" s="13"/>
      <c r="N4" s="18" t="s">
        <v>11</v>
      </c>
      <c r="O4" s="19" t="s">
        <v>85</v>
      </c>
      <c r="P4" s="13"/>
      <c r="Q4" s="13"/>
      <c r="R4" s="13"/>
      <c r="S4" s="13"/>
      <c r="T4" s="13"/>
      <c r="U4" s="13"/>
      <c r="V4" s="13"/>
      <c r="W4" s="13"/>
      <c r="X4" s="13"/>
      <c r="Y4" s="20" t="s">
        <v>86</v>
      </c>
      <c r="Z4" s="23" t="s">
        <v>87</v>
      </c>
      <c r="AA4" s="16"/>
      <c r="AB4" s="20" t="s">
        <v>17</v>
      </c>
      <c r="AC4" s="21" t="s">
        <v>88</v>
      </c>
      <c r="AD4" s="20" t="s">
        <v>31</v>
      </c>
      <c r="AE4" s="21" t="s">
        <v>89</v>
      </c>
      <c r="AF4" s="20" t="s">
        <v>90</v>
      </c>
      <c r="AG4" s="21" t="s">
        <v>91</v>
      </c>
      <c r="AH4" s="20" t="s">
        <v>92</v>
      </c>
      <c r="AI4" s="22" t="s">
        <v>93</v>
      </c>
    </row>
    <row r="5" spans="1:35" ht="12.5" hidden="1">
      <c r="A5" s="9"/>
      <c r="B5" s="10"/>
      <c r="C5" s="142" t="s">
        <v>94</v>
      </c>
      <c r="D5" s="139"/>
      <c r="E5" s="140">
        <f ca="1">SUMIF($Y$12:$Y$1003,"Recruiting",$G$12:$G$1003)</f>
        <v>2232.52</v>
      </c>
      <c r="F5" s="139"/>
      <c r="G5" s="139"/>
      <c r="H5" s="17"/>
      <c r="I5" s="12"/>
      <c r="J5" s="13"/>
      <c r="K5" s="18" t="s">
        <v>48</v>
      </c>
      <c r="L5" s="19" t="s">
        <v>95</v>
      </c>
      <c r="M5" s="13"/>
      <c r="N5" s="18" t="s">
        <v>49</v>
      </c>
      <c r="O5" s="19" t="s">
        <v>96</v>
      </c>
      <c r="P5" s="13"/>
      <c r="Q5" s="13"/>
      <c r="R5" s="13"/>
      <c r="S5" s="13"/>
      <c r="T5" s="13"/>
      <c r="U5" s="13"/>
      <c r="V5" s="13"/>
      <c r="W5" s="13"/>
      <c r="X5" s="13"/>
      <c r="Y5" s="20" t="s">
        <v>19</v>
      </c>
      <c r="Z5" s="23" t="s">
        <v>97</v>
      </c>
      <c r="AA5" s="16"/>
      <c r="AB5" s="20" t="s">
        <v>60</v>
      </c>
      <c r="AC5" s="21" t="s">
        <v>98</v>
      </c>
      <c r="AD5" s="20" t="s">
        <v>15</v>
      </c>
      <c r="AE5" s="21" t="s">
        <v>99</v>
      </c>
      <c r="AF5" s="20" t="s">
        <v>20</v>
      </c>
      <c r="AG5" s="19" t="s">
        <v>100</v>
      </c>
      <c r="AH5" s="24" t="s">
        <v>101</v>
      </c>
      <c r="AI5" s="4" t="s">
        <v>102</v>
      </c>
    </row>
    <row r="6" spans="1:35" ht="12.5" hidden="1">
      <c r="A6" s="9"/>
      <c r="B6" s="10"/>
      <c r="C6" s="141" t="s">
        <v>103</v>
      </c>
      <c r="D6" s="139"/>
      <c r="E6" s="140">
        <f ca="1">SUMIF($Y$12:$Y$1003,"Office expenses",$G$12:$G$1003)</f>
        <v>1339282.4200000002</v>
      </c>
      <c r="F6" s="139"/>
      <c r="G6" s="139"/>
      <c r="H6" s="17"/>
      <c r="I6" s="12"/>
      <c r="J6" s="13"/>
      <c r="K6" s="18" t="s">
        <v>55</v>
      </c>
      <c r="L6" s="19" t="s">
        <v>104</v>
      </c>
      <c r="M6" s="13"/>
      <c r="N6" s="20" t="s">
        <v>32</v>
      </c>
      <c r="O6" s="21" t="s">
        <v>105</v>
      </c>
      <c r="P6" s="13"/>
      <c r="Q6" s="13"/>
      <c r="R6" s="13"/>
      <c r="S6" s="13"/>
      <c r="T6" s="13"/>
      <c r="U6" s="13"/>
      <c r="V6" s="13"/>
      <c r="W6" s="13"/>
      <c r="X6" s="13"/>
      <c r="Y6" s="20" t="s">
        <v>33</v>
      </c>
      <c r="Z6" s="21" t="s">
        <v>106</v>
      </c>
      <c r="AA6" s="16"/>
      <c r="AB6" s="20" t="s">
        <v>47</v>
      </c>
      <c r="AC6" s="21" t="s">
        <v>107</v>
      </c>
      <c r="AD6" s="20" t="s">
        <v>108</v>
      </c>
      <c r="AE6" s="19" t="s">
        <v>109</v>
      </c>
      <c r="AF6" s="20" t="s">
        <v>23</v>
      </c>
      <c r="AG6" s="22" t="s">
        <v>110</v>
      </c>
      <c r="AH6" s="24" t="s">
        <v>111</v>
      </c>
      <c r="AI6" s="4" t="s">
        <v>112</v>
      </c>
    </row>
    <row r="7" spans="1:35" ht="12.5" hidden="1">
      <c r="A7" s="9"/>
      <c r="B7" s="10"/>
      <c r="C7" s="142" t="s">
        <v>113</v>
      </c>
      <c r="D7" s="139"/>
      <c r="E7" s="140">
        <f ca="1">SUMIF($Y$12:$Y$1003,"G&amp;A expenses",$G$12:$G$1003)</f>
        <v>13900.530000000002</v>
      </c>
      <c r="F7" s="139"/>
      <c r="G7" s="139"/>
      <c r="H7" s="17"/>
      <c r="I7" s="12"/>
      <c r="J7" s="13"/>
      <c r="K7" s="18" t="s">
        <v>42</v>
      </c>
      <c r="L7" s="19" t="s">
        <v>114</v>
      </c>
      <c r="M7" s="13"/>
      <c r="N7" s="20" t="s">
        <v>43</v>
      </c>
      <c r="O7" s="21" t="s">
        <v>115</v>
      </c>
      <c r="P7" s="13"/>
      <c r="Q7" s="13"/>
      <c r="R7" s="13"/>
      <c r="S7" s="13"/>
      <c r="T7" s="13"/>
      <c r="U7" s="13"/>
      <c r="V7" s="13"/>
      <c r="W7" s="13"/>
      <c r="X7" s="13"/>
      <c r="Y7" s="20" t="s">
        <v>39</v>
      </c>
      <c r="Z7" s="21" t="s">
        <v>116</v>
      </c>
      <c r="AA7" s="16"/>
      <c r="AB7" s="20" t="s">
        <v>57</v>
      </c>
      <c r="AC7" s="21" t="s">
        <v>117</v>
      </c>
      <c r="AD7" s="20" t="s">
        <v>44</v>
      </c>
      <c r="AE7" s="21" t="s">
        <v>118</v>
      </c>
      <c r="AF7" s="20" t="s">
        <v>16</v>
      </c>
      <c r="AG7" s="22" t="s">
        <v>119</v>
      </c>
    </row>
    <row r="8" spans="1:35" ht="12.5" hidden="1">
      <c r="A8" s="9"/>
      <c r="B8" s="10"/>
      <c r="C8" s="141" t="s">
        <v>120</v>
      </c>
      <c r="D8" s="139"/>
      <c r="E8" s="140">
        <f ca="1">SUMIF($Y$12:$Y$1003,"Capex",$G$12:$G$1003)</f>
        <v>0</v>
      </c>
      <c r="F8" s="139"/>
      <c r="G8" s="139"/>
      <c r="H8" s="17"/>
      <c r="I8" s="12"/>
      <c r="J8" s="13"/>
      <c r="K8" s="18" t="s">
        <v>52</v>
      </c>
      <c r="L8" s="19" t="s">
        <v>121</v>
      </c>
      <c r="M8" s="13"/>
      <c r="N8" s="20" t="s">
        <v>56</v>
      </c>
      <c r="O8" s="21" t="s">
        <v>122</v>
      </c>
      <c r="P8" s="13"/>
      <c r="Q8" s="13"/>
      <c r="R8" s="13"/>
      <c r="S8" s="13"/>
      <c r="T8" s="13"/>
      <c r="U8" s="13"/>
      <c r="V8" s="13"/>
      <c r="W8" s="13"/>
      <c r="X8" s="13"/>
      <c r="Y8" s="20" t="s">
        <v>45</v>
      </c>
      <c r="Z8" s="21" t="s">
        <v>123</v>
      </c>
      <c r="AA8" s="16"/>
      <c r="AB8" s="20" t="s">
        <v>46</v>
      </c>
      <c r="AC8" s="21" t="s">
        <v>124</v>
      </c>
      <c r="AD8" s="20" t="s">
        <v>14</v>
      </c>
      <c r="AE8" s="22" t="s">
        <v>125</v>
      </c>
      <c r="AF8" s="20" t="s">
        <v>36</v>
      </c>
      <c r="AG8" s="22" t="s">
        <v>126</v>
      </c>
    </row>
    <row r="9" spans="1:35" ht="12.5" hidden="1">
      <c r="A9" s="9"/>
      <c r="B9" s="10"/>
      <c r="C9" s="141" t="s">
        <v>127</v>
      </c>
      <c r="D9" s="139"/>
      <c r="E9" s="140">
        <f ca="1">SUMIF($Y$12:$Y$1003,"Marketing",$G$12:$G$1003)</f>
        <v>0</v>
      </c>
      <c r="F9" s="139"/>
      <c r="G9" s="139"/>
      <c r="H9" s="11"/>
      <c r="I9" s="12"/>
      <c r="J9" s="13"/>
      <c r="K9" s="18" t="s">
        <v>13</v>
      </c>
      <c r="L9" s="19" t="s">
        <v>128</v>
      </c>
      <c r="M9" s="13"/>
      <c r="N9" s="20" t="s">
        <v>34</v>
      </c>
      <c r="O9" s="21" t="s">
        <v>129</v>
      </c>
      <c r="P9" s="13"/>
      <c r="Q9" s="13"/>
      <c r="R9" s="13"/>
      <c r="S9" s="13"/>
      <c r="T9" s="13"/>
      <c r="U9" s="13"/>
      <c r="V9" s="13"/>
      <c r="W9" s="13"/>
      <c r="X9" s="13"/>
      <c r="Y9" s="20" t="s">
        <v>38</v>
      </c>
      <c r="Z9" s="21" t="s">
        <v>130</v>
      </c>
      <c r="AA9" s="16"/>
      <c r="AB9" s="20" t="s">
        <v>30</v>
      </c>
      <c r="AC9" s="22" t="s">
        <v>131</v>
      </c>
      <c r="AD9" s="20" t="s">
        <v>59</v>
      </c>
      <c r="AE9" s="22" t="s">
        <v>132</v>
      </c>
      <c r="AF9" s="20" t="s">
        <v>50</v>
      </c>
      <c r="AG9" s="22" t="s">
        <v>133</v>
      </c>
    </row>
    <row r="10" spans="1:35" ht="12.5" hidden="1">
      <c r="A10" s="9"/>
      <c r="B10" s="10"/>
      <c r="C10" s="10"/>
      <c r="D10" s="13"/>
      <c r="E10" s="13"/>
      <c r="F10" s="13"/>
      <c r="G10" s="11"/>
      <c r="H10" s="11"/>
      <c r="I10" s="12"/>
      <c r="J10" s="13"/>
      <c r="K10" s="18" t="s">
        <v>24</v>
      </c>
      <c r="L10" s="19" t="s">
        <v>134</v>
      </c>
      <c r="M10" s="13"/>
      <c r="N10" s="20" t="s">
        <v>54</v>
      </c>
      <c r="O10" s="21" t="s">
        <v>135</v>
      </c>
      <c r="P10" s="13"/>
      <c r="Q10" s="13"/>
      <c r="R10" s="13"/>
      <c r="S10" s="13"/>
      <c r="T10" s="13"/>
      <c r="U10" s="13"/>
      <c r="V10" s="13"/>
      <c r="W10" s="13"/>
      <c r="X10" s="13"/>
      <c r="Y10" s="20" t="s">
        <v>21</v>
      </c>
      <c r="Z10" s="21" t="s">
        <v>136</v>
      </c>
      <c r="AA10" s="16"/>
      <c r="AB10" s="20" t="s">
        <v>35</v>
      </c>
      <c r="AC10" s="22" t="s">
        <v>137</v>
      </c>
      <c r="AD10" s="20" t="s">
        <v>138</v>
      </c>
      <c r="AE10" s="22" t="s">
        <v>139</v>
      </c>
      <c r="AF10" s="20" t="s">
        <v>27</v>
      </c>
      <c r="AG10" s="22" t="s">
        <v>140</v>
      </c>
    </row>
    <row r="11" spans="1:35" ht="12.5" hidden="1">
      <c r="A11" s="25"/>
      <c r="B11" s="26"/>
      <c r="C11" s="10"/>
      <c r="D11" s="27"/>
      <c r="E11" s="27"/>
      <c r="F11" s="27"/>
      <c r="G11" s="11"/>
      <c r="H11" s="28"/>
      <c r="I11" s="26"/>
      <c r="J11" s="13"/>
      <c r="K11" s="13"/>
      <c r="L11" s="13"/>
      <c r="M11" s="13"/>
      <c r="N11" s="13"/>
      <c r="O11" s="13"/>
      <c r="P11" s="13"/>
      <c r="Q11" s="13"/>
      <c r="R11" s="13"/>
      <c r="S11" s="13"/>
      <c r="T11" s="13"/>
      <c r="U11" s="13"/>
      <c r="V11" s="13"/>
      <c r="W11" s="13"/>
      <c r="X11" s="13"/>
      <c r="Y11" s="12"/>
      <c r="Z11" s="13"/>
      <c r="AA11" s="16"/>
      <c r="AD11" s="16"/>
      <c r="AE11" s="16"/>
      <c r="AF11" s="16"/>
      <c r="AG11" s="16"/>
      <c r="AH11" s="16"/>
      <c r="AI11" s="16"/>
    </row>
    <row r="12" spans="1:35" ht="12.5">
      <c r="A12" s="29" t="s">
        <v>141</v>
      </c>
      <c r="B12" s="30" t="s">
        <v>1</v>
      </c>
      <c r="C12" s="30" t="s">
        <v>2</v>
      </c>
      <c r="D12" s="31"/>
      <c r="E12" s="31"/>
      <c r="F12" s="31"/>
      <c r="G12" s="32" t="s">
        <v>3</v>
      </c>
      <c r="H12" s="33" t="s">
        <v>3</v>
      </c>
      <c r="I12" s="14" t="s">
        <v>4</v>
      </c>
      <c r="J12" s="31" t="s">
        <v>5</v>
      </c>
      <c r="K12" s="15" t="s">
        <v>142</v>
      </c>
      <c r="L12" s="15" t="s">
        <v>7</v>
      </c>
      <c r="M12" s="15" t="s">
        <v>143</v>
      </c>
      <c r="N12" s="15" t="s">
        <v>144</v>
      </c>
      <c r="O12" s="15" t="s">
        <v>145</v>
      </c>
      <c r="P12" s="15" t="s">
        <v>146</v>
      </c>
      <c r="Q12" s="15" t="s">
        <v>147</v>
      </c>
      <c r="R12" s="15" t="s">
        <v>148</v>
      </c>
      <c r="S12" s="15" t="s">
        <v>149</v>
      </c>
      <c r="T12" s="15" t="s">
        <v>150</v>
      </c>
      <c r="U12" s="15" t="s">
        <v>151</v>
      </c>
      <c r="V12" s="15" t="s">
        <v>152</v>
      </c>
      <c r="W12" s="15" t="s">
        <v>153</v>
      </c>
      <c r="X12" s="15" t="s">
        <v>154</v>
      </c>
      <c r="Y12" s="34" t="s">
        <v>8</v>
      </c>
      <c r="Z12" s="35" t="s">
        <v>9</v>
      </c>
      <c r="AA12" s="36"/>
      <c r="AB12" s="36"/>
      <c r="AC12" s="36" t="s">
        <v>10</v>
      </c>
      <c r="AD12" s="36"/>
      <c r="AE12" s="36"/>
      <c r="AF12" s="36"/>
      <c r="AG12" s="36"/>
      <c r="AH12" s="36"/>
      <c r="AI12" s="36"/>
    </row>
    <row r="13" spans="1:35" ht="12.5" hidden="1">
      <c r="A13" s="37" t="s">
        <v>155</v>
      </c>
      <c r="B13" s="38" t="str">
        <f>IFERROR(VLOOKUP(J13,catalogo!$B$1:$C$75,2,0),"-")</f>
        <v>#26</v>
      </c>
      <c r="C13" s="39">
        <v>46055.416666666664</v>
      </c>
      <c r="D13" s="40"/>
      <c r="E13" s="41"/>
      <c r="F13" s="41"/>
      <c r="G13" s="42">
        <v>796.6</v>
      </c>
      <c r="H13" s="42">
        <v>796.6</v>
      </c>
      <c r="I13" s="43" t="s">
        <v>156</v>
      </c>
      <c r="J13" s="43" t="s">
        <v>67</v>
      </c>
      <c r="K13" s="43" t="s">
        <v>157</v>
      </c>
      <c r="L13" s="44" t="s">
        <v>158</v>
      </c>
      <c r="M13" s="45" t="s">
        <v>159</v>
      </c>
      <c r="N13" s="44" t="s">
        <v>144</v>
      </c>
      <c r="O13" s="41"/>
      <c r="P13" s="41"/>
      <c r="Q13" s="41"/>
      <c r="R13" s="41"/>
      <c r="S13" s="41"/>
      <c r="T13" s="41"/>
      <c r="U13" s="41"/>
      <c r="V13" s="41"/>
      <c r="W13" s="41"/>
      <c r="X13" s="41"/>
      <c r="Y13" s="46" t="str">
        <f ca="1">IFERROR(VLOOKUP(A13,catalogo!$E:$H,2,0),"-")</f>
        <v>-</v>
      </c>
      <c r="Z13" s="47" t="str">
        <f ca="1">IFERROR(VLOOKUP(A13,catalogo!$E:$G,3,0),"-")</f>
        <v>-</v>
      </c>
      <c r="AA13" s="48"/>
      <c r="AB13" s="48"/>
      <c r="AC13" s="48" t="str">
        <f ca="1">IFERROR(VLOOKUP(A13,catalogo!$E:$H,4,0),"-")</f>
        <v>-</v>
      </c>
      <c r="AD13" s="48"/>
      <c r="AE13" s="48"/>
      <c r="AF13" s="48"/>
      <c r="AG13" s="48"/>
      <c r="AH13" s="48"/>
      <c r="AI13" s="48"/>
    </row>
    <row r="14" spans="1:35" ht="15.5" hidden="1">
      <c r="A14" s="37" t="s">
        <v>160</v>
      </c>
      <c r="B14" s="38" t="str">
        <f>IFERROR(VLOOKUP(J14,catalogo!$B$1:$C$75,2,0),"-")</f>
        <v>#58</v>
      </c>
      <c r="C14" s="39">
        <v>46055.416666666664</v>
      </c>
      <c r="D14" s="17"/>
      <c r="E14" s="17"/>
      <c r="F14" s="17"/>
      <c r="G14" s="42">
        <v>3230.41</v>
      </c>
      <c r="H14" s="42">
        <v>3230.41</v>
      </c>
      <c r="I14" s="43" t="s">
        <v>156</v>
      </c>
      <c r="J14" s="43" t="s">
        <v>118</v>
      </c>
      <c r="K14" s="43" t="s">
        <v>161</v>
      </c>
      <c r="L14" s="44" t="s">
        <v>162</v>
      </c>
      <c r="M14" s="45" t="s">
        <v>163</v>
      </c>
      <c r="N14" s="44" t="s">
        <v>144</v>
      </c>
      <c r="O14" s="49"/>
      <c r="P14" s="17"/>
      <c r="Q14" s="17"/>
      <c r="R14" s="17"/>
      <c r="S14" s="17"/>
      <c r="T14" s="17"/>
      <c r="U14" s="17"/>
      <c r="V14" s="17"/>
      <c r="W14" s="17"/>
      <c r="X14" s="17"/>
      <c r="Y14" s="46" t="str">
        <f ca="1">IFERROR(VLOOKUP(A14,catalogo!$E:$H,2,0),"-")</f>
        <v>-</v>
      </c>
      <c r="Z14" s="47" t="str">
        <f ca="1">IFERROR(VLOOKUP(A14,catalogo!$E:$G,3,0),"-")</f>
        <v>-</v>
      </c>
      <c r="AA14" s="48"/>
      <c r="AB14" s="48"/>
      <c r="AC14" s="48" t="str">
        <f ca="1">IFERROR(VLOOKUP(A14,catalogo!$E:$H,4,0),"-")</f>
        <v>-</v>
      </c>
      <c r="AD14" s="48"/>
      <c r="AE14" s="48"/>
      <c r="AF14" s="48"/>
      <c r="AG14" s="48"/>
      <c r="AH14" s="48"/>
      <c r="AI14" s="48"/>
    </row>
    <row r="15" spans="1:35" ht="12.5" hidden="1">
      <c r="A15" s="37" t="s">
        <v>164</v>
      </c>
      <c r="B15" s="38" t="str">
        <f>IFERROR(VLOOKUP(J15,catalogo!$B$1:$C$75,2,0),"-")</f>
        <v>#64</v>
      </c>
      <c r="C15" s="39">
        <v>46055.416666666664</v>
      </c>
      <c r="D15" s="17"/>
      <c r="E15" s="17"/>
      <c r="F15" s="17"/>
      <c r="G15" s="42">
        <v>12000</v>
      </c>
      <c r="H15" s="42">
        <v>12000</v>
      </c>
      <c r="I15" s="43" t="s">
        <v>156</v>
      </c>
      <c r="J15" s="43" t="s">
        <v>139</v>
      </c>
      <c r="K15" s="43" t="s">
        <v>165</v>
      </c>
      <c r="L15" s="44" t="s">
        <v>166</v>
      </c>
      <c r="M15" s="44">
        <v>7142</v>
      </c>
      <c r="N15" s="44" t="s">
        <v>167</v>
      </c>
      <c r="O15" s="17"/>
      <c r="P15" s="17"/>
      <c r="Q15" s="17"/>
      <c r="R15" s="17"/>
      <c r="S15" s="17"/>
      <c r="T15" s="17"/>
      <c r="U15" s="17"/>
      <c r="V15" s="17"/>
      <c r="W15" s="17"/>
      <c r="X15" s="17"/>
      <c r="Y15" s="46" t="str">
        <f ca="1">IFERROR(VLOOKUP(A15,catalogo!$E:$G,2,0),"-")</f>
        <v>-</v>
      </c>
      <c r="Z15" s="47" t="str">
        <f ca="1">IFERROR(VLOOKUP(A15,catalogo!$E:$G,3,0),"-")</f>
        <v>-</v>
      </c>
      <c r="AA15" s="48"/>
      <c r="AB15" s="48"/>
      <c r="AC15" s="48" t="str">
        <f ca="1">IFERROR(VLOOKUP(A15,catalogo!$E:$H,4,0),"-")</f>
        <v>-</v>
      </c>
      <c r="AD15" s="48"/>
      <c r="AE15" s="48"/>
      <c r="AF15" s="48"/>
      <c r="AG15" s="48"/>
      <c r="AH15" s="48"/>
      <c r="AI15" s="48"/>
    </row>
    <row r="16" spans="1:35" ht="12.5" hidden="1">
      <c r="A16" s="37" t="s">
        <v>168</v>
      </c>
      <c r="B16" s="38" t="str">
        <f>IFERROR(VLOOKUP(J16,catalogo!$B$1:$C$75,2,0),"-")</f>
        <v>#64</v>
      </c>
      <c r="C16" s="39">
        <v>46055.416666666664</v>
      </c>
      <c r="D16" s="17"/>
      <c r="E16" s="17"/>
      <c r="F16" s="17"/>
      <c r="G16" s="42">
        <v>128.69999999999999</v>
      </c>
      <c r="H16" s="42">
        <v>128.69999999999999</v>
      </c>
      <c r="I16" s="43" t="s">
        <v>156</v>
      </c>
      <c r="J16" s="50" t="s">
        <v>139</v>
      </c>
      <c r="K16" s="43" t="s">
        <v>169</v>
      </c>
      <c r="L16" s="44" t="s">
        <v>170</v>
      </c>
      <c r="M16" s="45">
        <v>7142</v>
      </c>
      <c r="N16" s="44" t="s">
        <v>167</v>
      </c>
      <c r="O16" s="17"/>
      <c r="P16" s="17"/>
      <c r="Q16" s="17"/>
      <c r="R16" s="17"/>
      <c r="S16" s="17"/>
      <c r="T16" s="17"/>
      <c r="U16" s="17"/>
      <c r="V16" s="17"/>
      <c r="W16" s="17"/>
      <c r="X16" s="17"/>
      <c r="Y16" s="46" t="str">
        <f ca="1">IFERROR(VLOOKUP(A16,catalogo!$E:$G,2,0),"-")</f>
        <v>-</v>
      </c>
      <c r="Z16" s="47" t="str">
        <f ca="1">IFERROR(VLOOKUP(A16,catalogo!$E:$G,3,0),"-")</f>
        <v>-</v>
      </c>
      <c r="AA16" s="48"/>
      <c r="AB16" s="48"/>
      <c r="AC16" s="48" t="str">
        <f ca="1">IFERROR(VLOOKUP(A16,catalogo!$E:$H,4,0),"-")</f>
        <v>-</v>
      </c>
      <c r="AD16" s="48"/>
      <c r="AE16" s="48"/>
      <c r="AF16" s="48"/>
      <c r="AG16" s="48"/>
      <c r="AH16" s="48"/>
      <c r="AI16" s="48"/>
    </row>
    <row r="17" spans="1:35" ht="12.5">
      <c r="A17" s="37" t="s">
        <v>171</v>
      </c>
      <c r="B17" s="38" t="str">
        <f>IFERROR(VLOOKUP(J17,catalogo!$B$1:$C$75,2,0),"-")</f>
        <v>#16</v>
      </c>
      <c r="C17" s="39">
        <v>46055.416666666664</v>
      </c>
      <c r="D17" s="17"/>
      <c r="E17" s="17"/>
      <c r="F17" s="17"/>
      <c r="G17" s="42">
        <v>363.15</v>
      </c>
      <c r="H17" s="42">
        <v>20</v>
      </c>
      <c r="I17" s="43" t="s">
        <v>172</v>
      </c>
      <c r="J17" s="43" t="s">
        <v>85</v>
      </c>
      <c r="K17" s="43" t="s">
        <v>173</v>
      </c>
      <c r="L17" s="44" t="s">
        <v>174</v>
      </c>
      <c r="M17" s="44" t="s">
        <v>143</v>
      </c>
      <c r="N17" s="44" t="s">
        <v>144</v>
      </c>
      <c r="O17" s="17"/>
      <c r="P17" s="17"/>
      <c r="Q17" s="17"/>
      <c r="R17" s="17"/>
      <c r="S17" s="17"/>
      <c r="T17" s="17"/>
      <c r="U17" s="17"/>
      <c r="V17" s="17"/>
      <c r="W17" s="17"/>
      <c r="X17" s="17"/>
      <c r="Y17" s="46" t="str">
        <f ca="1">IFERROR(VLOOKUP(A17,catalogo!$E:$H,2,0),"-")</f>
        <v>Tech&amp;Product</v>
      </c>
      <c r="Z17" s="47">
        <f ca="1">IFERROR(VLOOKUP(A17,catalogo!$E:$G,3,0),"-")</f>
        <v>0</v>
      </c>
      <c r="AA17" s="48"/>
      <c r="AB17" s="48"/>
      <c r="AC17" s="48">
        <f ca="1">IFERROR(VLOOKUP(A17,catalogo!$E:$H,4,0),"-")</f>
        <v>0</v>
      </c>
      <c r="AD17" s="48"/>
      <c r="AE17" s="48"/>
      <c r="AF17" s="48"/>
      <c r="AG17" s="48"/>
      <c r="AH17" s="48"/>
      <c r="AI17" s="48"/>
    </row>
    <row r="18" spans="1:35" ht="12.5" hidden="1">
      <c r="A18" s="37" t="s">
        <v>175</v>
      </c>
      <c r="B18" s="38" t="str">
        <f>IFERROR(VLOOKUP(J18,catalogo!$B$1:$C$75,2,0),"-")</f>
        <v>#64</v>
      </c>
      <c r="C18" s="39">
        <v>46055.416666666664</v>
      </c>
      <c r="D18" s="17"/>
      <c r="E18" s="17"/>
      <c r="F18" s="17"/>
      <c r="G18" s="42">
        <v>1537</v>
      </c>
      <c r="H18" s="42">
        <v>1537</v>
      </c>
      <c r="I18" s="43" t="s">
        <v>156</v>
      </c>
      <c r="J18" s="50" t="s">
        <v>139</v>
      </c>
      <c r="K18" s="43" t="s">
        <v>176</v>
      </c>
      <c r="L18" s="44" t="s">
        <v>177</v>
      </c>
      <c r="M18" s="44">
        <v>7142</v>
      </c>
      <c r="N18" s="44" t="s">
        <v>167</v>
      </c>
      <c r="O18" s="17"/>
      <c r="P18" s="17"/>
      <c r="Q18" s="17"/>
      <c r="R18" s="17"/>
      <c r="S18" s="17"/>
      <c r="T18" s="17"/>
      <c r="U18" s="17"/>
      <c r="V18" s="17"/>
      <c r="W18" s="17"/>
      <c r="X18" s="17"/>
      <c r="Y18" s="46" t="str">
        <f ca="1">IFERROR(VLOOKUP(A18,catalogo!$E:$H,2,0),"-")</f>
        <v>-</v>
      </c>
      <c r="Z18" s="47" t="str">
        <f ca="1">IFERROR(VLOOKUP(A18,catalogo!$E:$G,3,0),"-")</f>
        <v>-</v>
      </c>
      <c r="AA18" s="48"/>
      <c r="AB18" s="48"/>
      <c r="AC18" s="48" t="str">
        <f ca="1">IFERROR(VLOOKUP(A18,catalogo!$E:$H,4,0),"-")</f>
        <v>-</v>
      </c>
      <c r="AD18" s="48"/>
      <c r="AE18" s="48"/>
      <c r="AF18" s="48"/>
      <c r="AG18" s="48"/>
      <c r="AH18" s="48"/>
      <c r="AI18" s="48"/>
    </row>
    <row r="19" spans="1:35" ht="12.5" hidden="1">
      <c r="A19" s="37" t="s">
        <v>178</v>
      </c>
      <c r="B19" s="38" t="str">
        <f>IFERROR(VLOOKUP(J19,catalogo!$B$1:$C$75,2,0),"-")</f>
        <v>#26</v>
      </c>
      <c r="C19" s="39">
        <v>46056.416666666664</v>
      </c>
      <c r="D19" s="17"/>
      <c r="E19" s="17"/>
      <c r="F19" s="17"/>
      <c r="G19" s="42">
        <v>537.21</v>
      </c>
      <c r="H19" s="42">
        <v>537.21</v>
      </c>
      <c r="I19" s="43" t="s">
        <v>156</v>
      </c>
      <c r="J19" s="43" t="s">
        <v>67</v>
      </c>
      <c r="K19" s="43" t="s">
        <v>157</v>
      </c>
      <c r="L19" s="44" t="s">
        <v>158</v>
      </c>
      <c r="M19" s="44" t="s">
        <v>159</v>
      </c>
      <c r="N19" s="44" t="s">
        <v>144</v>
      </c>
      <c r="O19" s="17"/>
      <c r="P19" s="17"/>
      <c r="Q19" s="17"/>
      <c r="R19" s="17"/>
      <c r="S19" s="17"/>
      <c r="T19" s="17"/>
      <c r="U19" s="17"/>
      <c r="V19" s="17"/>
      <c r="W19" s="17"/>
      <c r="X19" s="17"/>
      <c r="Y19" s="46" t="str">
        <f ca="1">IFERROR(VLOOKUP(A19,catalogo!$E:$G,2,0),"-")</f>
        <v>-</v>
      </c>
      <c r="Z19" s="47" t="str">
        <f ca="1">IFERROR(VLOOKUP(A19,catalogo!$E:$G,3,0),"-")</f>
        <v>-</v>
      </c>
      <c r="AA19" s="48"/>
      <c r="AB19" s="48"/>
      <c r="AC19" s="48" t="str">
        <f ca="1">IFERROR(VLOOKUP(A19,catalogo!$E:$H,4,0),"-")</f>
        <v>-</v>
      </c>
      <c r="AD19" s="48"/>
      <c r="AE19" s="48"/>
      <c r="AF19" s="48"/>
      <c r="AG19" s="48"/>
      <c r="AH19" s="48"/>
      <c r="AI19" s="48"/>
    </row>
    <row r="20" spans="1:35" ht="15.5" hidden="1">
      <c r="A20" s="37" t="s">
        <v>179</v>
      </c>
      <c r="B20" s="38" t="str">
        <f>IFERROR(VLOOKUP(J20,catalogo!$B$1:$C$75,2,0),"-")</f>
        <v>#7</v>
      </c>
      <c r="C20" s="39">
        <v>46056.416666666664</v>
      </c>
      <c r="D20" s="17"/>
      <c r="E20" s="17"/>
      <c r="F20" s="17"/>
      <c r="G20" s="42">
        <v>341.6</v>
      </c>
      <c r="H20" s="42">
        <v>341.6</v>
      </c>
      <c r="I20" s="43" t="s">
        <v>156</v>
      </c>
      <c r="J20" s="43" t="s">
        <v>121</v>
      </c>
      <c r="K20" s="43" t="s">
        <v>180</v>
      </c>
      <c r="L20" s="44" t="s">
        <v>181</v>
      </c>
      <c r="M20" s="44" t="s">
        <v>182</v>
      </c>
      <c r="N20" s="44" t="s">
        <v>144</v>
      </c>
      <c r="O20" s="49"/>
      <c r="P20" s="17"/>
      <c r="Q20" s="17"/>
      <c r="R20" s="17"/>
      <c r="S20" s="17"/>
      <c r="T20" s="17"/>
      <c r="U20" s="17"/>
      <c r="V20" s="17"/>
      <c r="W20" s="17"/>
      <c r="X20" s="17"/>
      <c r="Y20" s="46" t="str">
        <f ca="1">IFERROR(VLOOKUP(A20,catalogo!$E:$H,2,0),"-")</f>
        <v>Office expenses</v>
      </c>
      <c r="Z20" s="47" t="str">
        <f ca="1">IFERROR(VLOOKUP(A20,catalogo!$E:$G,3,0),"-")</f>
        <v>MTY ATP + Maken</v>
      </c>
      <c r="AA20" s="48"/>
      <c r="AB20" s="48"/>
      <c r="AC20" s="48" t="str">
        <f ca="1">IFERROR(VLOOKUP(A20,catalogo!$E:$H,4,0),"-")</f>
        <v>.</v>
      </c>
      <c r="AD20" s="48"/>
      <c r="AE20" s="48"/>
      <c r="AF20" s="48"/>
      <c r="AG20" s="48"/>
      <c r="AH20" s="48"/>
      <c r="AI20" s="48"/>
    </row>
    <row r="21" spans="1:35" ht="12.5" hidden="1">
      <c r="A21" s="37" t="s">
        <v>183</v>
      </c>
      <c r="B21" s="38" t="str">
        <f>IFERROR(VLOOKUP(J21,catalogo!$B$1:$C$75,2,0),"-")</f>
        <v>#64</v>
      </c>
      <c r="C21" s="39">
        <v>46056.416666666664</v>
      </c>
      <c r="D21" s="17"/>
      <c r="E21" s="17"/>
      <c r="F21" s="17"/>
      <c r="G21" s="42">
        <v>175</v>
      </c>
      <c r="H21" s="42">
        <v>175</v>
      </c>
      <c r="I21" s="43" t="s">
        <v>156</v>
      </c>
      <c r="J21" s="43" t="s">
        <v>139</v>
      </c>
      <c r="K21" s="43" t="s">
        <v>184</v>
      </c>
      <c r="L21" s="44" t="s">
        <v>185</v>
      </c>
      <c r="M21" s="45">
        <v>7142</v>
      </c>
      <c r="N21" s="44" t="s">
        <v>167</v>
      </c>
      <c r="O21" s="17"/>
      <c r="P21" s="17"/>
      <c r="Q21" s="17"/>
      <c r="R21" s="17"/>
      <c r="S21" s="17"/>
      <c r="T21" s="17"/>
      <c r="U21" s="17"/>
      <c r="V21" s="17"/>
      <c r="W21" s="17"/>
      <c r="X21" s="17"/>
      <c r="Y21" s="46" t="str">
        <f ca="1">IFERROR(VLOOKUP(A21,catalogo!$E:$G,2,0),"-")</f>
        <v>Sales</v>
      </c>
      <c r="Z21" s="47" t="str">
        <f ca="1">IFERROR(VLOOKUP(A21,catalogo!$E:$G,3,0),"-")</f>
        <v>Comida Cliente. Asistentes:
- Mariela Martínez (Gaya)
- Kenia Durán (Gaya)
- Miguel de Lascurain (Prima)
- Alfonso Bello (Prima)</v>
      </c>
      <c r="AA21" s="48"/>
      <c r="AB21" s="48"/>
      <c r="AC21" s="48" t="str">
        <f ca="1">IFERROR(VLOOKUP(A21,catalogo!$E:$H,4,0),"-")</f>
        <v>8787B2CF-A15D-4633-8ACA-5D36673EEA82103181561770853649271</v>
      </c>
      <c r="AD21" s="48"/>
      <c r="AE21" s="48"/>
      <c r="AF21" s="48"/>
      <c r="AG21" s="48"/>
      <c r="AH21" s="48"/>
      <c r="AI21" s="48"/>
    </row>
    <row r="22" spans="1:35" ht="12.5" hidden="1">
      <c r="A22" s="37" t="s">
        <v>186</v>
      </c>
      <c r="B22" s="38" t="str">
        <f>IFERROR(VLOOKUP(J22,catalogo!$B$1:$C$75,2,0),"-")</f>
        <v>-</v>
      </c>
      <c r="C22" s="39">
        <v>46056.416666666664</v>
      </c>
      <c r="D22" s="17"/>
      <c r="E22" s="17"/>
      <c r="F22" s="17"/>
      <c r="G22" s="42">
        <v>1317.13</v>
      </c>
      <c r="H22" s="42">
        <v>1317.13</v>
      </c>
      <c r="I22" s="43" t="s">
        <v>156</v>
      </c>
      <c r="J22" s="43" t="s">
        <v>187</v>
      </c>
      <c r="K22" s="43" t="s">
        <v>188</v>
      </c>
      <c r="L22" s="44" t="s">
        <v>189</v>
      </c>
      <c r="M22" s="45" t="s">
        <v>190</v>
      </c>
      <c r="N22" s="44" t="s">
        <v>167</v>
      </c>
      <c r="O22" s="17"/>
      <c r="P22" s="17"/>
      <c r="Q22" s="17"/>
      <c r="R22" s="17"/>
      <c r="S22" s="17"/>
      <c r="T22" s="17"/>
      <c r="U22" s="17"/>
      <c r="V22" s="17"/>
      <c r="W22" s="17"/>
      <c r="X22" s="17"/>
      <c r="Y22" s="46" t="str">
        <f ca="1">IFERROR(VLOOKUP(A22,catalogo!$E:$H,2,0),"-")</f>
        <v>-</v>
      </c>
      <c r="Z22" s="47" t="str">
        <f ca="1">IFERROR(VLOOKUP(A22,catalogo!$E:$G,3,0),"-")</f>
        <v>-</v>
      </c>
      <c r="AA22" s="48"/>
      <c r="AB22" s="48"/>
      <c r="AC22" s="48" t="str">
        <f ca="1">IFERROR(VLOOKUP(A22,catalogo!$E:$H,4,0),"-")</f>
        <v>-</v>
      </c>
      <c r="AD22" s="48"/>
      <c r="AE22" s="48"/>
      <c r="AF22" s="48"/>
      <c r="AG22" s="48"/>
      <c r="AH22" s="48"/>
      <c r="AI22" s="48"/>
    </row>
    <row r="23" spans="1:35" ht="15.5" hidden="1">
      <c r="A23" s="37" t="s">
        <v>191</v>
      </c>
      <c r="B23" s="38" t="str">
        <f>IFERROR(VLOOKUP(J23,catalogo!$B$1:$C$75,2,0),"-")</f>
        <v>#4</v>
      </c>
      <c r="C23" s="39">
        <v>46056.416666666664</v>
      </c>
      <c r="D23" s="17"/>
      <c r="E23" s="17"/>
      <c r="F23" s="17"/>
      <c r="G23" s="42">
        <v>915.4</v>
      </c>
      <c r="H23" s="42">
        <v>915.4</v>
      </c>
      <c r="I23" s="43" t="s">
        <v>156</v>
      </c>
      <c r="J23" s="50" t="s">
        <v>95</v>
      </c>
      <c r="K23" s="43" t="s">
        <v>192</v>
      </c>
      <c r="L23" s="44" t="s">
        <v>193</v>
      </c>
      <c r="M23" s="45">
        <v>975</v>
      </c>
      <c r="N23" s="44" t="s">
        <v>167</v>
      </c>
      <c r="O23" s="49"/>
      <c r="P23" s="17"/>
      <c r="Q23" s="17"/>
      <c r="R23" s="17"/>
      <c r="S23" s="17"/>
      <c r="T23" s="17"/>
      <c r="U23" s="17"/>
      <c r="V23" s="17"/>
      <c r="W23" s="17"/>
      <c r="X23" s="17"/>
      <c r="Y23" s="46" t="str">
        <f ca="1">IFERROR(VLOOKUP(A23,catalogo!$E:$H,2,0),"-")</f>
        <v>Recruiting</v>
      </c>
      <c r="Z23" s="47" t="str">
        <f ca="1">IFERROR(VLOOKUP(A23,catalogo!$E:$G,3,0),"-")</f>
        <v>LinkedIn</v>
      </c>
      <c r="AA23" s="48"/>
      <c r="AB23" s="48"/>
      <c r="AC23" s="48" t="str">
        <f ca="1">IFERROR(VLOOKUP(A23,catalogo!$E:$H,4,0),"-")</f>
        <v>.</v>
      </c>
      <c r="AD23" s="48"/>
      <c r="AE23" s="48"/>
      <c r="AF23" s="48"/>
      <c r="AG23" s="48"/>
      <c r="AH23" s="48"/>
      <c r="AI23" s="48"/>
    </row>
    <row r="24" spans="1:35" ht="12.5" hidden="1">
      <c r="A24" s="37" t="s">
        <v>194</v>
      </c>
      <c r="B24" s="38" t="str">
        <f>IFERROR(VLOOKUP(J24,catalogo!$B$1:$C$75,2,0),"-")</f>
        <v>#64</v>
      </c>
      <c r="C24" s="39">
        <v>46056.416666666664</v>
      </c>
      <c r="D24" s="17"/>
      <c r="E24" s="17"/>
      <c r="F24" s="17"/>
      <c r="G24" s="42">
        <v>538.63</v>
      </c>
      <c r="H24" s="42">
        <v>538.63</v>
      </c>
      <c r="I24" s="43" t="s">
        <v>156</v>
      </c>
      <c r="J24" s="43" t="s">
        <v>139</v>
      </c>
      <c r="K24" s="43" t="s">
        <v>195</v>
      </c>
      <c r="L24" s="44" t="s">
        <v>181</v>
      </c>
      <c r="M24" s="45">
        <v>7142</v>
      </c>
      <c r="N24" s="44" t="s">
        <v>167</v>
      </c>
      <c r="O24" s="17"/>
      <c r="P24" s="17"/>
      <c r="Q24" s="17"/>
      <c r="R24" s="17"/>
      <c r="S24" s="17"/>
      <c r="T24" s="17"/>
      <c r="U24" s="17"/>
      <c r="V24" s="17"/>
      <c r="W24" s="17"/>
      <c r="X24" s="17"/>
      <c r="Y24" s="46" t="str">
        <f ca="1">IFERROR(VLOOKUP(A24,catalogo!$E:$G,2,0),"-")</f>
        <v>-</v>
      </c>
      <c r="Z24" s="47" t="str">
        <f ca="1">IFERROR(VLOOKUP(A24,catalogo!$E:$G,3,0),"-")</f>
        <v>-</v>
      </c>
      <c r="AA24" s="48"/>
      <c r="AB24" s="48"/>
      <c r="AC24" s="48" t="str">
        <f ca="1">IFERROR(VLOOKUP(A24,catalogo!$E:$H,4,0),"-")</f>
        <v>-</v>
      </c>
      <c r="AD24" s="48"/>
      <c r="AE24" s="48"/>
      <c r="AF24" s="48"/>
      <c r="AG24" s="48"/>
      <c r="AH24" s="48"/>
      <c r="AI24" s="48"/>
    </row>
    <row r="25" spans="1:35" ht="12.5" hidden="1">
      <c r="A25" s="37" t="s">
        <v>196</v>
      </c>
      <c r="B25" s="38" t="str">
        <f>IFERROR(VLOOKUP(J25,catalogo!$B$1:$C$75,2,0),"-")</f>
        <v>#2</v>
      </c>
      <c r="C25" s="39">
        <v>46056.416666666664</v>
      </c>
      <c r="D25" s="40"/>
      <c r="E25" s="41"/>
      <c r="F25" s="41"/>
      <c r="G25" s="42">
        <v>3642.61</v>
      </c>
      <c r="H25" s="42">
        <v>200.61</v>
      </c>
      <c r="I25" s="43" t="s">
        <v>172</v>
      </c>
      <c r="J25" s="50" t="s">
        <v>75</v>
      </c>
      <c r="K25" s="43" t="s">
        <v>197</v>
      </c>
      <c r="L25" s="44" t="s">
        <v>198</v>
      </c>
      <c r="M25" s="45" t="s">
        <v>199</v>
      </c>
      <c r="N25" s="44" t="s">
        <v>144</v>
      </c>
      <c r="O25" s="41"/>
      <c r="P25" s="41"/>
      <c r="Q25" s="51"/>
      <c r="R25" s="41"/>
      <c r="S25" s="41"/>
      <c r="T25" s="41"/>
      <c r="U25" s="41"/>
      <c r="V25" s="41"/>
      <c r="W25" s="41"/>
      <c r="X25" s="41"/>
      <c r="Y25" s="46" t="str">
        <f ca="1">IFERROR(VLOOKUP(A25,catalogo!$E:$H,2,0),"-")</f>
        <v>Tech&amp;Product</v>
      </c>
      <c r="Z25" s="47">
        <f ca="1">IFERROR(VLOOKUP(A25,catalogo!$E:$G,3,0),"-")</f>
        <v>0</v>
      </c>
      <c r="AA25" s="48"/>
      <c r="AB25" s="48"/>
      <c r="AC25" s="48" t="str">
        <f ca="1">IFERROR(VLOOKUP(A25,catalogo!$E:$H,4,0),"-")</f>
        <v>.</v>
      </c>
      <c r="AD25" s="48"/>
      <c r="AE25" s="48"/>
      <c r="AF25" s="48"/>
      <c r="AG25" s="48"/>
      <c r="AH25" s="48"/>
      <c r="AI25" s="48"/>
    </row>
    <row r="26" spans="1:35" ht="12.5" hidden="1">
      <c r="A26" s="37" t="s">
        <v>200</v>
      </c>
      <c r="B26" s="38" t="str">
        <f>IFERROR(VLOOKUP(J26,catalogo!$B$1:$C$75,2,0),"-")</f>
        <v>#66</v>
      </c>
      <c r="C26" s="39">
        <v>46056.416666666664</v>
      </c>
      <c r="D26" s="17"/>
      <c r="E26" s="17"/>
      <c r="F26" s="17"/>
      <c r="G26" s="42">
        <v>262</v>
      </c>
      <c r="H26" s="42">
        <v>262</v>
      </c>
      <c r="I26" s="43" t="s">
        <v>156</v>
      </c>
      <c r="J26" s="50" t="s">
        <v>80</v>
      </c>
      <c r="K26" s="43" t="s">
        <v>201</v>
      </c>
      <c r="L26" s="44" t="s">
        <v>202</v>
      </c>
      <c r="M26" s="45">
        <v>2406</v>
      </c>
      <c r="N26" s="44" t="s">
        <v>167</v>
      </c>
      <c r="O26" s="17"/>
      <c r="P26" s="17"/>
      <c r="Q26" s="17"/>
      <c r="R26" s="17"/>
      <c r="S26" s="17"/>
      <c r="T26" s="17"/>
      <c r="U26" s="17"/>
      <c r="V26" s="17"/>
      <c r="W26" s="17"/>
      <c r="X26" s="17"/>
      <c r="Y26" s="46" t="str">
        <f ca="1">IFERROR(VLOOKUP(A26,catalogo!$E:$H,2,0),"-")</f>
        <v>Transaction cost</v>
      </c>
      <c r="Z26" s="47" t="str">
        <f ca="1">IFERROR(VLOOKUP(A26,catalogo!$E:$G,3,0),"-")</f>
        <v>PO1953  ARTEVALLEDEBRAVO</v>
      </c>
      <c r="AA26" s="48"/>
      <c r="AB26" s="48"/>
      <c r="AC26" s="48" t="str">
        <f ca="1">IFERROR(VLOOKUP(A26,catalogo!$E:$H,4,0),"-")</f>
        <v>-</v>
      </c>
      <c r="AD26" s="48"/>
      <c r="AE26" s="48"/>
      <c r="AF26" s="48"/>
      <c r="AG26" s="48"/>
      <c r="AH26" s="48"/>
      <c r="AI26" s="48"/>
    </row>
    <row r="27" spans="1:35" ht="12.5" hidden="1">
      <c r="A27" s="37" t="s">
        <v>203</v>
      </c>
      <c r="B27" s="38" t="str">
        <f>IFERROR(VLOOKUP(J27,catalogo!$B$1:$C$75,2,0),"-")</f>
        <v>#64</v>
      </c>
      <c r="C27" s="39">
        <v>46056.416666666664</v>
      </c>
      <c r="D27" s="17"/>
      <c r="E27" s="17"/>
      <c r="F27" s="17"/>
      <c r="G27" s="42">
        <v>3626.74</v>
      </c>
      <c r="H27" s="42">
        <v>3626.74</v>
      </c>
      <c r="I27" s="43" t="s">
        <v>156</v>
      </c>
      <c r="J27" s="50" t="s">
        <v>139</v>
      </c>
      <c r="K27" s="43" t="s">
        <v>204</v>
      </c>
      <c r="L27" s="44" t="s">
        <v>205</v>
      </c>
      <c r="M27" s="44">
        <v>7142</v>
      </c>
      <c r="N27" s="44" t="s">
        <v>167</v>
      </c>
      <c r="O27" s="17"/>
      <c r="P27" s="17"/>
      <c r="Q27" s="17"/>
      <c r="R27" s="17"/>
      <c r="S27" s="17"/>
      <c r="T27" s="17"/>
      <c r="U27" s="17"/>
      <c r="V27" s="17"/>
      <c r="W27" s="17"/>
      <c r="X27" s="17"/>
      <c r="Y27" s="46" t="str">
        <f ca="1">IFERROR(VLOOKUP(A27,catalogo!$E:$G,2,0),"-")</f>
        <v>-</v>
      </c>
      <c r="Z27" s="47" t="str">
        <f ca="1">IFERROR(VLOOKUP(A27,catalogo!$E:$G,3,0),"-")</f>
        <v>-</v>
      </c>
      <c r="AA27" s="48"/>
      <c r="AB27" s="48"/>
      <c r="AC27" s="48" t="str">
        <f ca="1">IFERROR(VLOOKUP(A27,catalogo!$E:$H,4,0),"-")</f>
        <v>-</v>
      </c>
      <c r="AD27" s="48"/>
      <c r="AE27" s="48"/>
      <c r="AF27" s="48"/>
      <c r="AG27" s="48"/>
      <c r="AH27" s="48"/>
      <c r="AI27" s="48"/>
    </row>
    <row r="28" spans="1:35" ht="15.5" hidden="1">
      <c r="A28" s="37" t="s">
        <v>206</v>
      </c>
      <c r="B28" s="38" t="str">
        <f>IFERROR(VLOOKUP(J28,catalogo!$B$1:$C$75,2,0),"-")</f>
        <v>#35</v>
      </c>
      <c r="C28" s="39">
        <v>46056.416666666664</v>
      </c>
      <c r="D28" s="17"/>
      <c r="E28" s="17"/>
      <c r="F28" s="17"/>
      <c r="G28" s="42">
        <v>137.81</v>
      </c>
      <c r="H28" s="42">
        <v>7.59</v>
      </c>
      <c r="I28" s="43" t="s">
        <v>172</v>
      </c>
      <c r="J28" s="50" t="s">
        <v>123</v>
      </c>
      <c r="K28" s="43" t="s">
        <v>207</v>
      </c>
      <c r="L28" s="44" t="s">
        <v>208</v>
      </c>
      <c r="M28" s="45">
        <v>1771</v>
      </c>
      <c r="N28" s="44" t="s">
        <v>167</v>
      </c>
      <c r="O28" s="49"/>
      <c r="P28" s="17"/>
      <c r="Q28" s="17"/>
      <c r="R28" s="17"/>
      <c r="S28" s="17"/>
      <c r="T28" s="17"/>
      <c r="U28" s="17"/>
      <c r="V28" s="17"/>
      <c r="W28" s="17"/>
      <c r="X28" s="17"/>
      <c r="Y28" s="46" t="str">
        <f ca="1">IFERROR(VLOOKUP(A28,catalogo!$E:$H,2,0),"-")</f>
        <v>-</v>
      </c>
      <c r="Z28" s="47" t="str">
        <f ca="1">IFERROR(VLOOKUP(A28,catalogo!$E:$G,3,0),"-")</f>
        <v>-</v>
      </c>
      <c r="AA28" s="48"/>
      <c r="AB28" s="48"/>
      <c r="AC28" s="48" t="str">
        <f ca="1">IFERROR(VLOOKUP(A28,catalogo!$E:$H,4,0),"-")</f>
        <v>-</v>
      </c>
      <c r="AD28" s="48"/>
      <c r="AE28" s="48"/>
      <c r="AF28" s="48"/>
      <c r="AG28" s="48"/>
      <c r="AH28" s="48"/>
      <c r="AI28" s="48"/>
    </row>
    <row r="29" spans="1:35" ht="12.5" hidden="1">
      <c r="A29" s="37" t="s">
        <v>209</v>
      </c>
      <c r="B29" s="38" t="str">
        <f>IFERROR(VLOOKUP(J29,catalogo!$B$1:$C$75,2,0),"-")</f>
        <v>#35</v>
      </c>
      <c r="C29" s="39">
        <v>46056.416666666664</v>
      </c>
      <c r="D29" s="17"/>
      <c r="E29" s="17"/>
      <c r="F29" s="17"/>
      <c r="G29" s="42">
        <v>790</v>
      </c>
      <c r="H29" s="42">
        <v>790</v>
      </c>
      <c r="I29" s="43" t="s">
        <v>156</v>
      </c>
      <c r="J29" s="50" t="s">
        <v>123</v>
      </c>
      <c r="K29" s="43" t="s">
        <v>210</v>
      </c>
      <c r="L29" s="44" t="s">
        <v>211</v>
      </c>
      <c r="M29" s="45">
        <v>1771</v>
      </c>
      <c r="N29" s="44" t="s">
        <v>167</v>
      </c>
      <c r="O29" s="17"/>
      <c r="P29" s="17"/>
      <c r="Q29" s="17"/>
      <c r="R29" s="17"/>
      <c r="S29" s="17"/>
      <c r="T29" s="17"/>
      <c r="U29" s="17"/>
      <c r="V29" s="17"/>
      <c r="W29" s="17"/>
      <c r="X29" s="17"/>
      <c r="Y29" s="46" t="str">
        <f ca="1">IFERROR(VLOOKUP(A29,catalogo!$E:$H,2,0),"-")</f>
        <v>-</v>
      </c>
      <c r="Z29" s="47" t="str">
        <f ca="1">IFERROR(VLOOKUP(A29,catalogo!$E:$G,3,0),"-")</f>
        <v>-</v>
      </c>
      <c r="AA29" s="48"/>
      <c r="AB29" s="48"/>
      <c r="AC29" s="48" t="str">
        <f ca="1">IFERROR(VLOOKUP(A29,catalogo!$E:$H,4,0),"-")</f>
        <v>-</v>
      </c>
      <c r="AD29" s="48"/>
      <c r="AE29" s="48"/>
      <c r="AF29" s="48"/>
      <c r="AG29" s="48"/>
      <c r="AH29" s="48"/>
      <c r="AI29" s="48"/>
    </row>
    <row r="30" spans="1:35" ht="12.5" hidden="1">
      <c r="A30" s="37" t="s">
        <v>212</v>
      </c>
      <c r="B30" s="38" t="str">
        <f>IFERROR(VLOOKUP(J30,catalogo!$B$1:$C$75,2,0),"-")</f>
        <v>#58</v>
      </c>
      <c r="C30" s="39">
        <v>46056.416666666664</v>
      </c>
      <c r="D30" s="17"/>
      <c r="E30" s="17"/>
      <c r="F30" s="17"/>
      <c r="G30" s="42">
        <v>537.41</v>
      </c>
      <c r="H30" s="42">
        <v>537.41</v>
      </c>
      <c r="I30" s="43" t="s">
        <v>156</v>
      </c>
      <c r="J30" s="43" t="s">
        <v>118</v>
      </c>
      <c r="K30" s="43" t="s">
        <v>213</v>
      </c>
      <c r="L30" s="44" t="s">
        <v>214</v>
      </c>
      <c r="M30" s="44">
        <v>5576</v>
      </c>
      <c r="N30" s="44" t="s">
        <v>167</v>
      </c>
      <c r="O30" s="17"/>
      <c r="P30" s="17"/>
      <c r="Q30" s="17"/>
      <c r="R30" s="17"/>
      <c r="S30" s="17"/>
      <c r="T30" s="17"/>
      <c r="U30" s="17"/>
      <c r="V30" s="17"/>
      <c r="W30" s="17"/>
      <c r="X30" s="17"/>
      <c r="Y30" s="46" t="str">
        <f ca="1">IFERROR(VLOOKUP(A30,catalogo!$E:$G,2,0),"-")</f>
        <v>-</v>
      </c>
      <c r="Z30" s="47" t="str">
        <f ca="1">IFERROR(VLOOKUP(A30,catalogo!$E:$G,3,0),"-")</f>
        <v>-</v>
      </c>
      <c r="AA30" s="48"/>
      <c r="AB30" s="48"/>
      <c r="AC30" s="48" t="str">
        <f ca="1">IFERROR(VLOOKUP(A30,catalogo!$E:$H,4,0),"-")</f>
        <v>-</v>
      </c>
      <c r="AD30" s="48"/>
      <c r="AE30" s="48"/>
      <c r="AF30" s="48"/>
      <c r="AG30" s="48"/>
      <c r="AH30" s="48"/>
      <c r="AI30" s="48"/>
    </row>
    <row r="31" spans="1:35" ht="15.5" hidden="1">
      <c r="A31" s="37" t="s">
        <v>215</v>
      </c>
      <c r="B31" s="38" t="str">
        <f>IFERROR(VLOOKUP(J31,catalogo!$B$1:$C$75,2,0),"-")</f>
        <v>#58</v>
      </c>
      <c r="C31" s="39">
        <v>46056.416666666664</v>
      </c>
      <c r="D31" s="17"/>
      <c r="E31" s="17"/>
      <c r="F31" s="17"/>
      <c r="G31" s="42">
        <v>453.95</v>
      </c>
      <c r="H31" s="42">
        <v>25</v>
      </c>
      <c r="I31" s="43" t="s">
        <v>172</v>
      </c>
      <c r="J31" s="43" t="s">
        <v>118</v>
      </c>
      <c r="K31" s="43" t="s">
        <v>216</v>
      </c>
      <c r="L31" s="44" t="s">
        <v>217</v>
      </c>
      <c r="M31" s="45">
        <v>5576</v>
      </c>
      <c r="N31" s="44" t="s">
        <v>167</v>
      </c>
      <c r="O31" s="49"/>
      <c r="P31" s="17"/>
      <c r="Q31" s="17"/>
      <c r="R31" s="17"/>
      <c r="S31" s="17"/>
      <c r="T31" s="17"/>
      <c r="U31" s="17"/>
      <c r="V31" s="17"/>
      <c r="W31" s="17"/>
      <c r="X31" s="17"/>
      <c r="Y31" s="46" t="str">
        <f ca="1">IFERROR(VLOOKUP(A31,catalogo!$E:$H,2,0),"-")</f>
        <v>-</v>
      </c>
      <c r="Z31" s="47" t="str">
        <f ca="1">IFERROR(VLOOKUP(A31,catalogo!$E:$G,3,0),"-")</f>
        <v>-</v>
      </c>
      <c r="AA31" s="48"/>
      <c r="AB31" s="48"/>
      <c r="AC31" s="48" t="str">
        <f ca="1">IFERROR(VLOOKUP(A31,catalogo!$E:$H,4,0),"-")</f>
        <v>-</v>
      </c>
      <c r="AD31" s="48"/>
      <c r="AE31" s="48"/>
      <c r="AF31" s="48"/>
      <c r="AG31" s="48"/>
      <c r="AH31" s="48"/>
      <c r="AI31" s="48"/>
    </row>
    <row r="32" spans="1:35" ht="12.5" hidden="1">
      <c r="A32" s="37" t="s">
        <v>218</v>
      </c>
      <c r="B32" s="38" t="str">
        <f>IFERROR(VLOOKUP(J32,catalogo!$B$1:$C$75,2,0),"-")</f>
        <v>#4</v>
      </c>
      <c r="C32" s="39">
        <v>46056.416666666664</v>
      </c>
      <c r="D32" s="17"/>
      <c r="E32" s="17"/>
      <c r="F32" s="17"/>
      <c r="G32" s="42">
        <v>704.7</v>
      </c>
      <c r="H32" s="42">
        <v>38.81</v>
      </c>
      <c r="I32" s="43" t="s">
        <v>172</v>
      </c>
      <c r="J32" s="43" t="s">
        <v>95</v>
      </c>
      <c r="K32" s="43" t="s">
        <v>219</v>
      </c>
      <c r="L32" s="44" t="s">
        <v>220</v>
      </c>
      <c r="M32" s="45">
        <v>975</v>
      </c>
      <c r="N32" s="44" t="s">
        <v>167</v>
      </c>
      <c r="O32" s="17"/>
      <c r="P32" s="17"/>
      <c r="Q32" s="17"/>
      <c r="R32" s="17"/>
      <c r="S32" s="17"/>
      <c r="T32" s="17"/>
      <c r="U32" s="17"/>
      <c r="V32" s="17"/>
      <c r="W32" s="17"/>
      <c r="X32" s="17"/>
      <c r="Y32" s="46" t="str">
        <f ca="1">IFERROR(VLOOKUP(A32,catalogo!$E:$G,2,0),"-")</f>
        <v>Sales</v>
      </c>
      <c r="Z32" s="47" t="str">
        <f ca="1">IFERROR(VLOOKUP(A32,catalogo!$E:$G,3,0),"-")</f>
        <v>Vuelo a chicago Radioflyer</v>
      </c>
      <c r="AA32" s="48"/>
      <c r="AB32" s="48"/>
      <c r="AC32" s="48" t="str">
        <f ca="1">IFERROR(VLOOKUP(A32,catalogo!$E:$H,4,0),"-")</f>
        <v>.</v>
      </c>
      <c r="AD32" s="48"/>
      <c r="AE32" s="48"/>
      <c r="AF32" s="48"/>
      <c r="AG32" s="48"/>
      <c r="AH32" s="48"/>
      <c r="AI32" s="48"/>
    </row>
    <row r="33" spans="1:35" ht="12.5" hidden="1">
      <c r="A33" s="37" t="s">
        <v>221</v>
      </c>
      <c r="B33" s="38" t="str">
        <f>IFERROR(VLOOKUP(J33,catalogo!$B$1:$C$75,2,0),"-")</f>
        <v>#58</v>
      </c>
      <c r="C33" s="39">
        <v>46056.416666666664</v>
      </c>
      <c r="D33" s="17"/>
      <c r="E33" s="17"/>
      <c r="F33" s="17"/>
      <c r="G33" s="42">
        <v>1852.27</v>
      </c>
      <c r="H33" s="42">
        <v>102.01</v>
      </c>
      <c r="I33" s="43" t="s">
        <v>172</v>
      </c>
      <c r="J33" s="43" t="s">
        <v>118</v>
      </c>
      <c r="K33" s="43" t="s">
        <v>222</v>
      </c>
      <c r="L33" s="44" t="s">
        <v>223</v>
      </c>
      <c r="M33" s="45" t="s">
        <v>163</v>
      </c>
      <c r="N33" s="44" t="s">
        <v>144</v>
      </c>
      <c r="O33" s="17"/>
      <c r="P33" s="17"/>
      <c r="Q33" s="17"/>
      <c r="R33" s="17"/>
      <c r="S33" s="17"/>
      <c r="T33" s="17"/>
      <c r="U33" s="17"/>
      <c r="V33" s="17"/>
      <c r="W33" s="17"/>
      <c r="X33" s="17"/>
      <c r="Y33" s="46" t="str">
        <f ca="1">IFERROR(VLOOKUP(A33,catalogo!$E:$G,2,0),"-")</f>
        <v>-</v>
      </c>
      <c r="Z33" s="47" t="str">
        <f ca="1">IFERROR(VLOOKUP(A33,catalogo!$E:$G,3,0),"-")</f>
        <v>-</v>
      </c>
      <c r="AA33" s="48"/>
      <c r="AB33" s="48"/>
      <c r="AC33" s="48" t="str">
        <f ca="1">IFERROR(VLOOKUP(A33,catalogo!$E:$H,4,0),"-")</f>
        <v>-</v>
      </c>
      <c r="AD33" s="48"/>
      <c r="AE33" s="48"/>
      <c r="AF33" s="48"/>
      <c r="AG33" s="48"/>
      <c r="AH33" s="48"/>
      <c r="AI33" s="48"/>
    </row>
    <row r="34" spans="1:35" ht="12.5" hidden="1">
      <c r="A34" s="37" t="s">
        <v>224</v>
      </c>
      <c r="B34" s="38" t="str">
        <f>IFERROR(VLOOKUP(J34,catalogo!$B$1:$C$75,2,0),"-")</f>
        <v>-</v>
      </c>
      <c r="C34" s="39">
        <v>46057.034722222219</v>
      </c>
      <c r="D34" s="52"/>
      <c r="E34" s="17"/>
      <c r="F34" s="17"/>
      <c r="G34" s="42">
        <v>1282559.56</v>
      </c>
      <c r="H34" s="42">
        <v>1282559.56</v>
      </c>
      <c r="I34" s="43" t="s">
        <v>156</v>
      </c>
      <c r="J34" s="43" t="s">
        <v>225</v>
      </c>
      <c r="K34" s="43" t="s">
        <v>226</v>
      </c>
      <c r="L34" s="44"/>
      <c r="M34" s="45"/>
      <c r="N34" s="44"/>
      <c r="O34" s="17"/>
      <c r="P34" s="17"/>
      <c r="Q34" s="17"/>
      <c r="R34" s="17"/>
      <c r="S34" s="17"/>
      <c r="T34" s="17"/>
      <c r="U34" s="17"/>
      <c r="V34" s="17"/>
      <c r="W34" s="17"/>
      <c r="X34" s="17"/>
      <c r="Y34" s="46" t="str">
        <f ca="1">IFERROR(VLOOKUP(A34,catalogo!$E:$H,2,0),"-")</f>
        <v>Office expenses</v>
      </c>
      <c r="Z34" s="47">
        <f ca="1">IFERROR(VLOOKUP(A34,catalogo!$E:$G,3,0),"-")</f>
        <v>0</v>
      </c>
      <c r="AA34" s="48"/>
      <c r="AB34" s="48"/>
      <c r="AC34" s="48">
        <f ca="1">IFERROR(VLOOKUP(A34,catalogo!$E:$H,4,0),"-")</f>
        <v>0</v>
      </c>
      <c r="AD34" s="48"/>
      <c r="AE34" s="48"/>
      <c r="AF34" s="48"/>
      <c r="AG34" s="48"/>
      <c r="AH34" s="48"/>
      <c r="AI34" s="48"/>
    </row>
    <row r="35" spans="1:35" ht="12.5" hidden="1">
      <c r="A35" s="37" t="s">
        <v>227</v>
      </c>
      <c r="B35" s="38" t="str">
        <f>IFERROR(VLOOKUP(J35,catalogo!$B$1:$C$75,2,0),"-")</f>
        <v>#64</v>
      </c>
      <c r="C35" s="39">
        <v>46057.416666666664</v>
      </c>
      <c r="D35" s="17"/>
      <c r="E35" s="17"/>
      <c r="F35" s="17"/>
      <c r="G35" s="53">
        <v>529.97</v>
      </c>
      <c r="H35" s="53">
        <v>529.97</v>
      </c>
      <c r="I35" s="43" t="s">
        <v>156</v>
      </c>
      <c r="J35" s="43" t="s">
        <v>139</v>
      </c>
      <c r="K35" s="43" t="s">
        <v>180</v>
      </c>
      <c r="L35" s="44" t="s">
        <v>181</v>
      </c>
      <c r="M35" s="44">
        <v>7142</v>
      </c>
      <c r="N35" s="44" t="s">
        <v>167</v>
      </c>
      <c r="O35" s="17"/>
      <c r="P35" s="17"/>
      <c r="Q35" s="17"/>
      <c r="R35" s="17"/>
      <c r="S35" s="17"/>
      <c r="T35" s="17"/>
      <c r="U35" s="17"/>
      <c r="V35" s="17"/>
      <c r="W35" s="17"/>
      <c r="X35" s="17"/>
      <c r="Y35" s="46"/>
      <c r="Z35" s="47"/>
      <c r="AA35" s="48"/>
      <c r="AB35" s="48"/>
      <c r="AC35" s="48"/>
      <c r="AD35" s="48"/>
      <c r="AE35" s="48"/>
      <c r="AF35" s="48"/>
      <c r="AG35" s="48"/>
      <c r="AH35" s="48"/>
      <c r="AI35" s="48"/>
    </row>
    <row r="36" spans="1:35" ht="12.5" hidden="1">
      <c r="A36" s="37" t="s">
        <v>228</v>
      </c>
      <c r="B36" s="38" t="str">
        <f>IFERROR(VLOOKUP(J36,catalogo!$B$1:$C$75,2,0),"-")</f>
        <v>#66</v>
      </c>
      <c r="C36" s="39">
        <v>46057.416666666664</v>
      </c>
      <c r="D36" s="17"/>
      <c r="E36" s="17"/>
      <c r="F36" s="17"/>
      <c r="G36" s="42">
        <v>1214.6500000000001</v>
      </c>
      <c r="H36" s="42">
        <v>1214.6500000000001</v>
      </c>
      <c r="I36" s="43" t="s">
        <v>156</v>
      </c>
      <c r="J36" s="43" t="s">
        <v>80</v>
      </c>
      <c r="K36" s="43" t="s">
        <v>229</v>
      </c>
      <c r="L36" s="44" t="s">
        <v>230</v>
      </c>
      <c r="M36" s="44">
        <v>2406</v>
      </c>
      <c r="N36" s="44" t="s">
        <v>167</v>
      </c>
      <c r="O36" s="17"/>
      <c r="P36" s="17"/>
      <c r="Q36" s="17"/>
      <c r="R36" s="17"/>
      <c r="S36" s="17"/>
      <c r="T36" s="17"/>
      <c r="U36" s="17"/>
      <c r="V36" s="17"/>
      <c r="W36" s="17"/>
      <c r="X36" s="17"/>
      <c r="Y36" s="46" t="str">
        <f ca="1">IFERROR(VLOOKUP(A36,catalogo!$E:$G,2,0),"-")</f>
        <v>-</v>
      </c>
      <c r="Z36" s="47" t="str">
        <f ca="1">IFERROR(VLOOKUP(A36,catalogo!$E:$G,3,0),"-")</f>
        <v>-</v>
      </c>
      <c r="AA36" s="48"/>
      <c r="AB36" s="48"/>
      <c r="AC36" s="48" t="str">
        <f ca="1">IFERROR(VLOOKUP(A36,catalogo!$E:$H,4,0),"-")</f>
        <v>-</v>
      </c>
      <c r="AD36" s="48"/>
      <c r="AE36" s="48"/>
      <c r="AF36" s="48"/>
      <c r="AG36" s="48"/>
      <c r="AH36" s="48"/>
      <c r="AI36" s="48"/>
    </row>
    <row r="37" spans="1:35" ht="12.5" hidden="1">
      <c r="A37" s="37" t="s">
        <v>231</v>
      </c>
      <c r="B37" s="38" t="str">
        <f>IFERROR(VLOOKUP(J37,catalogo!$B$1:$C$75,2,0),"-")</f>
        <v>#56</v>
      </c>
      <c r="C37" s="39">
        <v>46057.416666666664</v>
      </c>
      <c r="D37" s="17"/>
      <c r="E37" s="17"/>
      <c r="F37" s="17"/>
      <c r="G37" s="42">
        <v>429.98</v>
      </c>
      <c r="H37" s="42">
        <v>429.98</v>
      </c>
      <c r="I37" s="43" t="s">
        <v>156</v>
      </c>
      <c r="J37" s="43" t="s">
        <v>99</v>
      </c>
      <c r="K37" s="43" t="s">
        <v>232</v>
      </c>
      <c r="L37" s="44" t="s">
        <v>233</v>
      </c>
      <c r="M37" s="45">
        <v>8949</v>
      </c>
      <c r="N37" s="44" t="s">
        <v>167</v>
      </c>
      <c r="O37" s="17"/>
      <c r="P37" s="17"/>
      <c r="Q37" s="17"/>
      <c r="R37" s="17"/>
      <c r="S37" s="17"/>
      <c r="T37" s="17"/>
      <c r="U37" s="17"/>
      <c r="V37" s="17"/>
      <c r="W37" s="17"/>
      <c r="X37" s="17"/>
      <c r="Y37" s="46" t="str">
        <f ca="1">IFERROR(VLOOKUP(A37,catalogo!$E:$G,2,0),"-")</f>
        <v>-</v>
      </c>
      <c r="Z37" s="47" t="str">
        <f ca="1">IFERROR(VLOOKUP(A37,catalogo!$E:$G,3,0),"-")</f>
        <v>-</v>
      </c>
      <c r="AA37" s="48"/>
      <c r="AB37" s="48"/>
      <c r="AC37" s="48" t="str">
        <f ca="1">IFERROR(VLOOKUP(A37,catalogo!$E:$H,4,0),"-")</f>
        <v>-</v>
      </c>
      <c r="AD37" s="48"/>
      <c r="AE37" s="48"/>
      <c r="AF37" s="48"/>
      <c r="AG37" s="48"/>
      <c r="AH37" s="48"/>
      <c r="AI37" s="48"/>
    </row>
    <row r="38" spans="1:35" ht="12.5" hidden="1">
      <c r="A38" s="37" t="s">
        <v>234</v>
      </c>
      <c r="B38" s="38" t="str">
        <f>IFERROR(VLOOKUP(J38,catalogo!$B$1:$C$75,2,0),"-")</f>
        <v>#58</v>
      </c>
      <c r="C38" s="39">
        <v>46057.416666666664</v>
      </c>
      <c r="D38" s="17"/>
      <c r="E38" s="17"/>
      <c r="F38" s="17"/>
      <c r="G38" s="42">
        <v>90.79</v>
      </c>
      <c r="H38" s="42">
        <v>5</v>
      </c>
      <c r="I38" s="43" t="s">
        <v>172</v>
      </c>
      <c r="J38" s="43" t="s">
        <v>118</v>
      </c>
      <c r="K38" s="43" t="s">
        <v>235</v>
      </c>
      <c r="L38" s="44" t="s">
        <v>236</v>
      </c>
      <c r="M38" s="44">
        <v>5576</v>
      </c>
      <c r="N38" s="44" t="s">
        <v>167</v>
      </c>
      <c r="O38" s="17"/>
      <c r="P38" s="17"/>
      <c r="Q38" s="17"/>
      <c r="R38" s="17"/>
      <c r="S38" s="17"/>
      <c r="T38" s="17"/>
      <c r="U38" s="17"/>
      <c r="V38" s="17"/>
      <c r="W38" s="17"/>
      <c r="X38" s="17"/>
      <c r="Y38" s="46" t="str">
        <f ca="1">IFERROR(VLOOKUP(A38,catalogo!$E:$H,2,0),"-")</f>
        <v>G&amp;A expenses</v>
      </c>
      <c r="Z38" s="47" t="str">
        <f ca="1">IFERROR(VLOOKUP(A38,catalogo!$E:$G,3,0),"-")</f>
        <v>PO1774. Importación material TORQ para IMESA</v>
      </c>
      <c r="AA38" s="48"/>
      <c r="AB38" s="48"/>
      <c r="AC38" s="54" t="str">
        <f ca="1">IFERROR(VLOOKUP(A38,catalogo!$E:$H,4,0),"-")</f>
        <v>https://drive.google.com/drive/folders/1tBRPEiGyYMUgsvzRDRDhDGIf_ZAKNFA1?usp=sharing</v>
      </c>
      <c r="AD38" s="48"/>
      <c r="AE38" s="48"/>
      <c r="AF38" s="48"/>
      <c r="AG38" s="48"/>
      <c r="AH38" s="48"/>
      <c r="AI38" s="48"/>
    </row>
    <row r="39" spans="1:35" ht="12.5" hidden="1">
      <c r="A39" s="37" t="s">
        <v>237</v>
      </c>
      <c r="B39" s="38" t="str">
        <f>IFERROR(VLOOKUP(J39,catalogo!$B$1:$C$75,2,0),"-")</f>
        <v>#4</v>
      </c>
      <c r="C39" s="39">
        <v>46057.416666666664</v>
      </c>
      <c r="D39" s="17"/>
      <c r="E39" s="17"/>
      <c r="F39" s="17"/>
      <c r="G39" s="42">
        <v>1216.2</v>
      </c>
      <c r="H39" s="42">
        <v>66.98</v>
      </c>
      <c r="I39" s="43" t="s">
        <v>172</v>
      </c>
      <c r="J39" s="43" t="s">
        <v>95</v>
      </c>
      <c r="K39" s="43" t="s">
        <v>238</v>
      </c>
      <c r="L39" s="44" t="s">
        <v>239</v>
      </c>
      <c r="M39" s="44">
        <v>975</v>
      </c>
      <c r="N39" s="44" t="s">
        <v>167</v>
      </c>
      <c r="O39" s="17"/>
      <c r="P39" s="17"/>
      <c r="Q39" s="17"/>
      <c r="R39" s="17"/>
      <c r="S39" s="17"/>
      <c r="T39" s="17"/>
      <c r="U39" s="17"/>
      <c r="V39" s="17"/>
      <c r="W39" s="17"/>
      <c r="X39" s="17"/>
      <c r="Y39" s="46" t="str">
        <f ca="1">IFERROR(VLOOKUP(A39,catalogo!$E:$G,2,0),"-")</f>
        <v>Sales</v>
      </c>
      <c r="Z39" s="47">
        <f ca="1">IFERROR(VLOOKUP(A39,catalogo!$E:$G,3,0),"-")</f>
        <v>0</v>
      </c>
      <c r="AA39" s="48"/>
      <c r="AB39" s="48"/>
      <c r="AC39" s="48" t="str">
        <f ca="1">IFERROR(VLOOKUP(A39,catalogo!$E:$H,4,0),"-")</f>
        <v>.</v>
      </c>
      <c r="AD39" s="48"/>
      <c r="AE39" s="48"/>
      <c r="AF39" s="48"/>
      <c r="AG39" s="48"/>
      <c r="AH39" s="48"/>
      <c r="AI39" s="48"/>
    </row>
    <row r="40" spans="1:35" ht="12.5" hidden="1">
      <c r="A40" s="37" t="s">
        <v>240</v>
      </c>
      <c r="B40" s="38" t="str">
        <f>IFERROR(VLOOKUP(J40,catalogo!$B$1:$C$75,2,0),"-")</f>
        <v>#4</v>
      </c>
      <c r="C40" s="39">
        <v>46057.416666666664</v>
      </c>
      <c r="D40" s="17"/>
      <c r="E40" s="17"/>
      <c r="F40" s="17"/>
      <c r="G40" s="42">
        <v>476.1</v>
      </c>
      <c r="H40" s="42">
        <v>26.22</v>
      </c>
      <c r="I40" s="43" t="s">
        <v>172</v>
      </c>
      <c r="J40" s="43" t="s">
        <v>95</v>
      </c>
      <c r="K40" s="43" t="s">
        <v>241</v>
      </c>
      <c r="L40" s="44" t="s">
        <v>242</v>
      </c>
      <c r="M40" s="44">
        <v>975</v>
      </c>
      <c r="N40" s="44" t="s">
        <v>167</v>
      </c>
      <c r="O40" s="17"/>
      <c r="P40" s="17"/>
      <c r="Q40" s="17"/>
      <c r="R40" s="17"/>
      <c r="S40" s="17"/>
      <c r="T40" s="17"/>
      <c r="U40" s="17"/>
      <c r="V40" s="17"/>
      <c r="W40" s="17"/>
      <c r="X40" s="17"/>
      <c r="Y40" s="46" t="str">
        <f ca="1">IFERROR(VLOOKUP(A40,catalogo!$E:$G,2,0),"-")</f>
        <v>Sales</v>
      </c>
      <c r="Z40" s="47">
        <f ca="1">IFERROR(VLOOKUP(A40,catalogo!$E:$G,3,0),"-")</f>
        <v>0</v>
      </c>
      <c r="AA40" s="48"/>
      <c r="AB40" s="48"/>
      <c r="AC40" s="48" t="str">
        <f ca="1">IFERROR(VLOOKUP(A40,catalogo!$E:$H,4,0),"-")</f>
        <v>.</v>
      </c>
      <c r="AD40" s="48"/>
      <c r="AE40" s="48"/>
      <c r="AF40" s="48"/>
      <c r="AG40" s="48"/>
      <c r="AH40" s="48"/>
      <c r="AI40" s="48"/>
    </row>
    <row r="41" spans="1:35" ht="15.5" hidden="1">
      <c r="A41" s="37" t="s">
        <v>243</v>
      </c>
      <c r="B41" s="38" t="str">
        <f>IFERROR(VLOOKUP(J41,catalogo!$B$1:$C$75,2,0),"-")</f>
        <v>#30</v>
      </c>
      <c r="C41" s="39">
        <v>46057.416666666664</v>
      </c>
      <c r="D41" s="17"/>
      <c r="E41" s="17"/>
      <c r="F41" s="17"/>
      <c r="G41" s="42">
        <v>907.88</v>
      </c>
      <c r="H41" s="42">
        <v>50</v>
      </c>
      <c r="I41" s="43" t="s">
        <v>172</v>
      </c>
      <c r="J41" s="50" t="s">
        <v>97</v>
      </c>
      <c r="K41" s="43" t="s">
        <v>244</v>
      </c>
      <c r="L41" s="44" t="s">
        <v>245</v>
      </c>
      <c r="M41" s="45">
        <v>9904</v>
      </c>
      <c r="N41" s="44" t="s">
        <v>167</v>
      </c>
      <c r="O41" s="49"/>
      <c r="P41" s="17"/>
      <c r="Q41" s="17"/>
      <c r="R41" s="17"/>
      <c r="S41" s="17"/>
      <c r="T41" s="17"/>
      <c r="U41" s="17"/>
      <c r="V41" s="17"/>
      <c r="W41" s="17"/>
      <c r="X41" s="17"/>
      <c r="Y41" s="46" t="str">
        <f ca="1">IFERROR(VLOOKUP(A41,catalogo!$E:$H,2,0),"-")</f>
        <v>-</v>
      </c>
      <c r="Z41" s="47" t="str">
        <f ca="1">IFERROR(VLOOKUP(A41,catalogo!$E:$G,3,0),"-")</f>
        <v>-</v>
      </c>
      <c r="AA41" s="48"/>
      <c r="AB41" s="48"/>
      <c r="AC41" s="48" t="str">
        <f ca="1">IFERROR(VLOOKUP(A41,catalogo!$E:$H,4,0),"-")</f>
        <v>-</v>
      </c>
      <c r="AD41" s="48"/>
      <c r="AE41" s="48"/>
      <c r="AF41" s="48"/>
      <c r="AG41" s="48"/>
      <c r="AH41" s="48"/>
      <c r="AI41" s="48"/>
    </row>
    <row r="42" spans="1:35" ht="15.5" hidden="1">
      <c r="A42" s="37" t="s">
        <v>246</v>
      </c>
      <c r="B42" s="38" t="str">
        <f>IFERROR(VLOOKUP(J42,catalogo!$B$1:$C$75,2,0),"-")</f>
        <v>#58</v>
      </c>
      <c r="C42" s="39">
        <v>46057.416666666664</v>
      </c>
      <c r="D42" s="17"/>
      <c r="E42" s="17"/>
      <c r="F42" s="17"/>
      <c r="G42" s="42">
        <v>181.94</v>
      </c>
      <c r="H42" s="42">
        <v>10.02</v>
      </c>
      <c r="I42" s="43" t="s">
        <v>172</v>
      </c>
      <c r="J42" s="50" t="s">
        <v>118</v>
      </c>
      <c r="K42" s="43" t="s">
        <v>247</v>
      </c>
      <c r="L42" s="44" t="s">
        <v>248</v>
      </c>
      <c r="M42" s="45">
        <v>5576</v>
      </c>
      <c r="N42" s="44" t="s">
        <v>167</v>
      </c>
      <c r="O42" s="49"/>
      <c r="P42" s="17"/>
      <c r="Q42" s="17"/>
      <c r="R42" s="17"/>
      <c r="S42" s="17"/>
      <c r="T42" s="17"/>
      <c r="U42" s="17"/>
      <c r="V42" s="17"/>
      <c r="W42" s="17"/>
      <c r="X42" s="17"/>
      <c r="Y42" s="46" t="str">
        <f ca="1">IFERROR(VLOOKUP(A42,catalogo!$E:$H,2,0),"-")</f>
        <v>-</v>
      </c>
      <c r="Z42" s="47" t="str">
        <f ca="1">IFERROR(VLOOKUP(A42,catalogo!$E:$G,3,0),"-")</f>
        <v>-</v>
      </c>
      <c r="AA42" s="48"/>
      <c r="AB42" s="48"/>
      <c r="AC42" s="48" t="str">
        <f ca="1">IFERROR(VLOOKUP(A42,catalogo!$E:$H,4,0),"-")</f>
        <v>-</v>
      </c>
      <c r="AD42" s="48"/>
      <c r="AE42" s="48"/>
      <c r="AF42" s="48"/>
      <c r="AG42" s="48"/>
      <c r="AH42" s="48"/>
      <c r="AI42" s="48"/>
    </row>
    <row r="43" spans="1:35" ht="12.5" hidden="1">
      <c r="A43" s="37" t="s">
        <v>249</v>
      </c>
      <c r="B43" s="38" t="str">
        <f>IFERROR(VLOOKUP(J43,catalogo!$B$1:$C$75,2,0),"-")</f>
        <v>#35</v>
      </c>
      <c r="C43" s="39">
        <v>46057.416666666664</v>
      </c>
      <c r="D43" s="17"/>
      <c r="E43" s="17"/>
      <c r="F43" s="17"/>
      <c r="G43" s="42">
        <v>635.34</v>
      </c>
      <c r="H43" s="42">
        <v>34.99</v>
      </c>
      <c r="I43" s="43" t="s">
        <v>172</v>
      </c>
      <c r="J43" s="50" t="s">
        <v>123</v>
      </c>
      <c r="K43" s="43" t="s">
        <v>250</v>
      </c>
      <c r="L43" s="44" t="s">
        <v>251</v>
      </c>
      <c r="M43" s="45">
        <v>1771</v>
      </c>
      <c r="N43" s="44" t="s">
        <v>167</v>
      </c>
      <c r="O43" s="17"/>
      <c r="P43" s="17"/>
      <c r="Q43" s="17"/>
      <c r="R43" s="17"/>
      <c r="S43" s="17"/>
      <c r="T43" s="17"/>
      <c r="U43" s="17"/>
      <c r="V43" s="17"/>
      <c r="W43" s="17"/>
      <c r="X43" s="17"/>
      <c r="Y43" s="46" t="str">
        <f ca="1">IFERROR(VLOOKUP(A43,catalogo!$E:$H,2,0),"-")</f>
        <v>-</v>
      </c>
      <c r="Z43" s="47" t="str">
        <f ca="1">IFERROR(VLOOKUP(A43,catalogo!$E:$G,3,0),"-")</f>
        <v>-</v>
      </c>
      <c r="AA43" s="48"/>
      <c r="AB43" s="48"/>
      <c r="AC43" s="48" t="str">
        <f ca="1">IFERROR(VLOOKUP(A43,catalogo!$E:$H,4,0),"-")</f>
        <v>-</v>
      </c>
      <c r="AD43" s="48"/>
      <c r="AE43" s="48"/>
      <c r="AF43" s="48"/>
      <c r="AG43" s="48"/>
      <c r="AH43" s="48"/>
      <c r="AI43" s="48"/>
    </row>
    <row r="44" spans="1:35" ht="12.5" hidden="1">
      <c r="A44" s="37" t="s">
        <v>252</v>
      </c>
      <c r="B44" s="38" t="str">
        <f>IFERROR(VLOOKUP(J44,catalogo!$B$1:$C$75,2,0),"-")</f>
        <v>#52</v>
      </c>
      <c r="C44" s="39">
        <v>46057.416666666664</v>
      </c>
      <c r="D44" s="52"/>
      <c r="E44" s="17"/>
      <c r="F44" s="17"/>
      <c r="G44" s="42">
        <v>1051.8699999999999</v>
      </c>
      <c r="H44" s="42">
        <v>57.93</v>
      </c>
      <c r="I44" s="43" t="s">
        <v>172</v>
      </c>
      <c r="J44" s="50" t="s">
        <v>253</v>
      </c>
      <c r="K44" s="43" t="s">
        <v>254</v>
      </c>
      <c r="L44" s="44" t="s">
        <v>255</v>
      </c>
      <c r="M44" s="45">
        <v>6137</v>
      </c>
      <c r="N44" s="44" t="s">
        <v>167</v>
      </c>
      <c r="O44" s="17"/>
      <c r="P44" s="17"/>
      <c r="Q44" s="17"/>
      <c r="R44" s="17"/>
      <c r="S44" s="17"/>
      <c r="T44" s="17"/>
      <c r="U44" s="17"/>
      <c r="V44" s="17"/>
      <c r="W44" s="17"/>
      <c r="X44" s="17"/>
      <c r="Y44" s="46" t="str">
        <f ca="1">IFERROR(VLOOKUP(A44,catalogo!$E:$H,2,0),"-")</f>
        <v>-</v>
      </c>
      <c r="Z44" s="47" t="str">
        <f ca="1">IFERROR(VLOOKUP(A44,catalogo!$E:$G,3,0),"-")</f>
        <v>-</v>
      </c>
      <c r="AA44" s="48"/>
      <c r="AB44" s="48"/>
      <c r="AC44" s="48" t="str">
        <f ca="1">IFERROR(VLOOKUP(A44,catalogo!$E:$H,4,0),"-")</f>
        <v>-</v>
      </c>
      <c r="AD44" s="48"/>
      <c r="AE44" s="48"/>
      <c r="AF44" s="48"/>
      <c r="AG44" s="48"/>
      <c r="AH44" s="48"/>
      <c r="AI44" s="48"/>
    </row>
    <row r="45" spans="1:35" ht="12.5" hidden="1">
      <c r="A45" s="37" t="s">
        <v>256</v>
      </c>
      <c r="B45" s="38" t="str">
        <f>IFERROR(VLOOKUP(J45,catalogo!$B$1:$C$75,2,0),"-")</f>
        <v>#52</v>
      </c>
      <c r="C45" s="39">
        <v>46057.416666666664</v>
      </c>
      <c r="D45" s="17"/>
      <c r="E45" s="17"/>
      <c r="F45" s="17"/>
      <c r="G45" s="42">
        <v>520.04</v>
      </c>
      <c r="H45" s="42">
        <v>28.64</v>
      </c>
      <c r="I45" s="43" t="s">
        <v>172</v>
      </c>
      <c r="J45" s="43" t="s">
        <v>253</v>
      </c>
      <c r="K45" s="43" t="s">
        <v>257</v>
      </c>
      <c r="L45" s="44" t="s">
        <v>181</v>
      </c>
      <c r="M45" s="44">
        <v>6137</v>
      </c>
      <c r="N45" s="44" t="s">
        <v>167</v>
      </c>
      <c r="O45" s="17"/>
      <c r="P45" s="17"/>
      <c r="Q45" s="17"/>
      <c r="R45" s="17"/>
      <c r="S45" s="17"/>
      <c r="T45" s="17"/>
      <c r="U45" s="17"/>
      <c r="V45" s="17"/>
      <c r="W45" s="17"/>
      <c r="X45" s="17"/>
      <c r="Y45" s="46" t="str">
        <f ca="1">IFERROR(VLOOKUP(A45,catalogo!$E:$G,2,0),"-")</f>
        <v>-</v>
      </c>
      <c r="Z45" s="47" t="str">
        <f ca="1">IFERROR(VLOOKUP(A45,catalogo!$E:$G,3,0),"-")</f>
        <v>-</v>
      </c>
      <c r="AA45" s="48"/>
      <c r="AB45" s="48"/>
      <c r="AC45" s="48" t="str">
        <f ca="1">IFERROR(VLOOKUP(A45,catalogo!$E:$H,4,0),"-")</f>
        <v>-</v>
      </c>
      <c r="AD45" s="48"/>
      <c r="AE45" s="48"/>
      <c r="AF45" s="48"/>
      <c r="AG45" s="48"/>
      <c r="AH45" s="48"/>
      <c r="AI45" s="48"/>
    </row>
    <row r="46" spans="1:35" ht="15.5" hidden="1">
      <c r="A46" s="37" t="s">
        <v>258</v>
      </c>
      <c r="B46" s="38" t="str">
        <f>IFERROR(VLOOKUP(J46,catalogo!$B$1:$C$75,2,0),"-")</f>
        <v>#58</v>
      </c>
      <c r="C46" s="39">
        <v>46057.416666666664</v>
      </c>
      <c r="D46" s="17"/>
      <c r="E46" s="17"/>
      <c r="F46" s="17"/>
      <c r="G46" s="42">
        <v>273.27</v>
      </c>
      <c r="H46" s="42">
        <v>15.05</v>
      </c>
      <c r="I46" s="43" t="s">
        <v>172</v>
      </c>
      <c r="J46" s="43" t="s">
        <v>118</v>
      </c>
      <c r="K46" s="43" t="s">
        <v>259</v>
      </c>
      <c r="L46" s="44" t="s">
        <v>260</v>
      </c>
      <c r="M46" s="45">
        <v>5576</v>
      </c>
      <c r="N46" s="44" t="s">
        <v>167</v>
      </c>
      <c r="O46" s="49"/>
      <c r="P46" s="17"/>
      <c r="Q46" s="17"/>
      <c r="R46" s="17"/>
      <c r="S46" s="17"/>
      <c r="T46" s="17"/>
      <c r="U46" s="17"/>
      <c r="V46" s="17"/>
      <c r="W46" s="17"/>
      <c r="X46" s="17"/>
      <c r="Y46" s="46" t="str">
        <f ca="1">IFERROR(VLOOKUP(A46,catalogo!$E:$H,2,0),"-")</f>
        <v>Sales</v>
      </c>
      <c r="Z46" s="47" t="str">
        <f ca="1">IFERROR(VLOOKUP(A46,catalogo!$E:$G,3,0),"-")</f>
        <v>Marketing</v>
      </c>
      <c r="AA46" s="48"/>
      <c r="AB46" s="48"/>
      <c r="AC46" s="48">
        <f ca="1">IFERROR(VLOOKUP(A46,catalogo!$E:$H,4,0),"-")</f>
        <v>0</v>
      </c>
      <c r="AD46" s="48"/>
      <c r="AE46" s="48"/>
      <c r="AF46" s="48"/>
      <c r="AG46" s="48"/>
      <c r="AH46" s="48"/>
      <c r="AI46" s="48"/>
    </row>
    <row r="47" spans="1:35" ht="12.5" hidden="1">
      <c r="A47" s="37" t="s">
        <v>261</v>
      </c>
      <c r="B47" s="38" t="str">
        <f>IFERROR(VLOOKUP(J47,catalogo!$B$1:$C$75,2,0),"-")</f>
        <v>#58</v>
      </c>
      <c r="C47" s="39">
        <v>46057.416666666664</v>
      </c>
      <c r="D47" s="52"/>
      <c r="E47" s="17"/>
      <c r="F47" s="17"/>
      <c r="G47" s="42">
        <v>604.1</v>
      </c>
      <c r="H47" s="42">
        <v>33.270000000000003</v>
      </c>
      <c r="I47" s="43" t="s">
        <v>172</v>
      </c>
      <c r="J47" s="43" t="s">
        <v>118</v>
      </c>
      <c r="K47" s="43" t="s">
        <v>262</v>
      </c>
      <c r="L47" s="44" t="s">
        <v>263</v>
      </c>
      <c r="M47" s="44">
        <v>5576</v>
      </c>
      <c r="N47" s="44" t="s">
        <v>167</v>
      </c>
      <c r="O47" s="17"/>
      <c r="P47" s="17"/>
      <c r="Q47" s="17"/>
      <c r="R47" s="17"/>
      <c r="S47" s="17"/>
      <c r="T47" s="17"/>
      <c r="U47" s="17"/>
      <c r="V47" s="17"/>
      <c r="W47" s="17"/>
      <c r="X47" s="17"/>
      <c r="Y47" s="46" t="str">
        <f ca="1">IFERROR(VLOOKUP(A47,catalogo!$E:$H,2,0),"-")</f>
        <v>-</v>
      </c>
      <c r="Z47" s="47" t="str">
        <f ca="1">IFERROR(VLOOKUP(A47,catalogo!$E:$G,3,0),"-")</f>
        <v>-</v>
      </c>
      <c r="AA47" s="48"/>
      <c r="AB47" s="48"/>
      <c r="AC47" s="48" t="str">
        <f ca="1">IFERROR(VLOOKUP(A47,catalogo!$E:$H,4,0),"-")</f>
        <v>-</v>
      </c>
      <c r="AD47" s="48"/>
      <c r="AE47" s="48"/>
      <c r="AF47" s="48"/>
      <c r="AG47" s="48"/>
      <c r="AH47" s="48"/>
      <c r="AI47" s="48"/>
    </row>
    <row r="48" spans="1:35" ht="12.5" hidden="1">
      <c r="A48" s="37" t="s">
        <v>264</v>
      </c>
      <c r="B48" s="38" t="str">
        <f>IFERROR(VLOOKUP(J48,catalogo!$B$1:$C$75,2,0),"-")</f>
        <v>#58</v>
      </c>
      <c r="C48" s="39">
        <v>46057.416666666664</v>
      </c>
      <c r="D48" s="17"/>
      <c r="E48" s="17"/>
      <c r="F48" s="17"/>
      <c r="G48" s="42">
        <v>389.66</v>
      </c>
      <c r="H48" s="42">
        <v>21.46</v>
      </c>
      <c r="I48" s="43" t="s">
        <v>172</v>
      </c>
      <c r="J48" s="43" t="s">
        <v>118</v>
      </c>
      <c r="K48" s="43" t="s">
        <v>262</v>
      </c>
      <c r="L48" s="44" t="s">
        <v>263</v>
      </c>
      <c r="M48" s="44">
        <v>5576</v>
      </c>
      <c r="N48" s="44" t="s">
        <v>167</v>
      </c>
      <c r="O48" s="17"/>
      <c r="P48" s="17"/>
      <c r="Q48" s="17"/>
      <c r="R48" s="17"/>
      <c r="S48" s="17"/>
      <c r="T48" s="17"/>
      <c r="U48" s="17"/>
      <c r="V48" s="17"/>
      <c r="W48" s="17"/>
      <c r="X48" s="17"/>
      <c r="Y48" s="46" t="str">
        <f ca="1">IFERROR(VLOOKUP(A48,catalogo!$E:$G,2,0),"-")</f>
        <v>-</v>
      </c>
      <c r="Z48" s="47" t="str">
        <f ca="1">IFERROR(VLOOKUP(A48,catalogo!$E:$G,3,0),"-")</f>
        <v>-</v>
      </c>
      <c r="AA48" s="48"/>
      <c r="AB48" s="48"/>
      <c r="AC48" s="48" t="str">
        <f ca="1">IFERROR(VLOOKUP(A48,catalogo!$E:$H,4,0),"-")</f>
        <v>-</v>
      </c>
      <c r="AD48" s="48"/>
      <c r="AE48" s="48"/>
      <c r="AF48" s="48"/>
      <c r="AG48" s="48"/>
      <c r="AH48" s="48"/>
      <c r="AI48" s="48"/>
    </row>
    <row r="49" spans="1:35" ht="12.5" hidden="1">
      <c r="A49" s="37" t="s">
        <v>265</v>
      </c>
      <c r="B49" s="38" t="str">
        <f>IFERROR(VLOOKUP(J49,catalogo!$B$1:$C$75,2,0),"-")</f>
        <v>#26</v>
      </c>
      <c r="C49" s="39">
        <v>46057.416666666664</v>
      </c>
      <c r="D49" s="17"/>
      <c r="E49" s="17"/>
      <c r="F49" s="17"/>
      <c r="G49" s="53">
        <v>126</v>
      </c>
      <c r="H49" s="53">
        <v>126</v>
      </c>
      <c r="I49" s="43" t="s">
        <v>156</v>
      </c>
      <c r="J49" s="50" t="s">
        <v>67</v>
      </c>
      <c r="K49" s="43" t="s">
        <v>266</v>
      </c>
      <c r="L49" s="44" t="s">
        <v>267</v>
      </c>
      <c r="M49" s="45" t="s">
        <v>159</v>
      </c>
      <c r="N49" s="44" t="s">
        <v>144</v>
      </c>
      <c r="O49" s="17"/>
      <c r="P49" s="17"/>
      <c r="Q49" s="17"/>
      <c r="R49" s="17"/>
      <c r="S49" s="17"/>
      <c r="T49" s="17"/>
      <c r="U49" s="17"/>
      <c r="V49" s="17"/>
      <c r="W49" s="17"/>
      <c r="X49" s="17"/>
      <c r="Y49" s="46"/>
      <c r="Z49" s="47"/>
      <c r="AA49" s="48"/>
      <c r="AB49" s="48"/>
      <c r="AC49" s="48"/>
      <c r="AD49" s="48"/>
      <c r="AE49" s="48"/>
      <c r="AF49" s="48"/>
      <c r="AG49" s="48"/>
      <c r="AH49" s="48"/>
      <c r="AI49" s="48"/>
    </row>
    <row r="50" spans="1:35" ht="12.5" hidden="1">
      <c r="A50" s="37" t="s">
        <v>268</v>
      </c>
      <c r="B50" s="38" t="str">
        <f>IFERROR(VLOOKUP(J50,catalogo!$B$1:$C$75,2,0),"-")</f>
        <v>-</v>
      </c>
      <c r="C50" s="39">
        <v>46057.416666666664</v>
      </c>
      <c r="D50" s="17"/>
      <c r="E50" s="17"/>
      <c r="F50" s="17"/>
      <c r="G50" s="42">
        <v>549.98</v>
      </c>
      <c r="H50" s="42">
        <v>549.98</v>
      </c>
      <c r="I50" s="43" t="s">
        <v>156</v>
      </c>
      <c r="J50" s="43" t="s">
        <v>269</v>
      </c>
      <c r="K50" s="43" t="s">
        <v>232</v>
      </c>
      <c r="L50" s="44" t="s">
        <v>233</v>
      </c>
      <c r="M50" s="44" t="s">
        <v>270</v>
      </c>
      <c r="N50" s="44" t="s">
        <v>144</v>
      </c>
      <c r="O50" s="17"/>
      <c r="P50" s="17"/>
      <c r="Q50" s="17"/>
      <c r="R50" s="17"/>
      <c r="S50" s="17"/>
      <c r="T50" s="17"/>
      <c r="U50" s="17"/>
      <c r="V50" s="17"/>
      <c r="W50" s="17"/>
      <c r="X50" s="17"/>
      <c r="Y50" s="46" t="str">
        <f ca="1">IFERROR(VLOOKUP(A50,catalogo!$E:$G,2,0),"-")</f>
        <v>-</v>
      </c>
      <c r="Z50" s="47" t="str">
        <f ca="1">IFERROR(VLOOKUP(A50,catalogo!$E:$G,3,0),"-")</f>
        <v>-</v>
      </c>
      <c r="AA50" s="48"/>
      <c r="AB50" s="48"/>
      <c r="AC50" s="48" t="str">
        <f ca="1">IFERROR(VLOOKUP(A50,catalogo!$E:$H,4,0),"-")</f>
        <v>-</v>
      </c>
      <c r="AD50" s="48"/>
      <c r="AE50" s="48"/>
      <c r="AF50" s="48"/>
      <c r="AG50" s="48"/>
      <c r="AH50" s="48"/>
      <c r="AI50" s="48"/>
    </row>
    <row r="51" spans="1:35" ht="12.5" hidden="1">
      <c r="A51" s="37" t="s">
        <v>271</v>
      </c>
      <c r="B51" s="38" t="str">
        <f>IFERROR(VLOOKUP(J51,catalogo!$B$1:$C$75,2,0),"-")</f>
        <v>-</v>
      </c>
      <c r="C51" s="39">
        <v>46058.416666666664</v>
      </c>
      <c r="D51" s="17"/>
      <c r="E51" s="17"/>
      <c r="F51" s="17"/>
      <c r="G51" s="42">
        <v>500</v>
      </c>
      <c r="H51" s="42">
        <v>500</v>
      </c>
      <c r="I51" s="43" t="s">
        <v>156</v>
      </c>
      <c r="J51" s="43" t="s">
        <v>272</v>
      </c>
      <c r="K51" s="43" t="s">
        <v>273</v>
      </c>
      <c r="L51" s="44" t="s">
        <v>274</v>
      </c>
      <c r="M51" s="45">
        <v>2409</v>
      </c>
      <c r="N51" s="44" t="s">
        <v>167</v>
      </c>
      <c r="O51" s="17"/>
      <c r="P51" s="17"/>
      <c r="Q51" s="17"/>
      <c r="R51" s="17"/>
      <c r="S51" s="17"/>
      <c r="T51" s="17"/>
      <c r="U51" s="17"/>
      <c r="V51" s="17"/>
      <c r="W51" s="17"/>
      <c r="X51" s="17"/>
      <c r="Y51" s="46" t="str">
        <f ca="1">IFERROR(VLOOKUP(A51,catalogo!$E:$G,2,0),"-")</f>
        <v>-</v>
      </c>
      <c r="Z51" s="47" t="str">
        <f ca="1">IFERROR(VLOOKUP(A51,catalogo!$E:$G,3,0),"-")</f>
        <v>-</v>
      </c>
      <c r="AA51" s="48"/>
      <c r="AB51" s="48"/>
      <c r="AC51" s="48" t="str">
        <f ca="1">IFERROR(VLOOKUP(A51,catalogo!$E:$H,4,0),"-")</f>
        <v>-</v>
      </c>
      <c r="AD51" s="48"/>
      <c r="AE51" s="48"/>
      <c r="AF51" s="48"/>
      <c r="AG51" s="48"/>
      <c r="AH51" s="48"/>
      <c r="AI51" s="48"/>
    </row>
    <row r="52" spans="1:35" ht="12.5" hidden="1">
      <c r="A52" s="37" t="s">
        <v>275</v>
      </c>
      <c r="B52" s="38" t="str">
        <f>IFERROR(VLOOKUP(J52,catalogo!$B$1:$C$75,2,0),"-")</f>
        <v>#19</v>
      </c>
      <c r="C52" s="39">
        <v>46058.416666666664</v>
      </c>
      <c r="D52" s="17"/>
      <c r="E52" s="17"/>
      <c r="F52" s="17"/>
      <c r="G52" s="42">
        <v>99.96</v>
      </c>
      <c r="H52" s="42">
        <v>99.96</v>
      </c>
      <c r="I52" s="43" t="s">
        <v>156</v>
      </c>
      <c r="J52" s="43" t="s">
        <v>105</v>
      </c>
      <c r="K52" s="43" t="s">
        <v>232</v>
      </c>
      <c r="L52" s="44" t="s">
        <v>233</v>
      </c>
      <c r="M52" s="44" t="s">
        <v>276</v>
      </c>
      <c r="N52" s="44" t="s">
        <v>144</v>
      </c>
      <c r="O52" s="17"/>
      <c r="P52" s="17"/>
      <c r="Q52" s="17"/>
      <c r="R52" s="17"/>
      <c r="S52" s="17"/>
      <c r="T52" s="17"/>
      <c r="U52" s="17"/>
      <c r="V52" s="17"/>
      <c r="W52" s="17"/>
      <c r="X52" s="17"/>
      <c r="Y52" s="46" t="str">
        <f ca="1">IFERROR(VLOOKUP(A52,catalogo!$E:$H,2,0),"-")</f>
        <v>Transaction cost</v>
      </c>
      <c r="Z52" s="47" t="str">
        <f ca="1">IFERROR(VLOOKUP(A52,catalogo!$E:$G,3,0),"-")</f>
        <v>PO2023 SIB 99 min</v>
      </c>
      <c r="AA52" s="48"/>
      <c r="AB52" s="48"/>
      <c r="AC52" s="48" t="str">
        <f ca="1">IFERROR(VLOOKUP(A52,catalogo!$E:$H,4,0),"-")</f>
        <v>-</v>
      </c>
      <c r="AD52" s="48"/>
      <c r="AE52" s="48"/>
      <c r="AF52" s="48"/>
      <c r="AG52" s="48"/>
      <c r="AH52" s="48"/>
      <c r="AI52" s="48"/>
    </row>
    <row r="53" spans="1:35" ht="12.5" hidden="1">
      <c r="A53" s="37" t="s">
        <v>277</v>
      </c>
      <c r="B53" s="38" t="str">
        <f>IFERROR(VLOOKUP(J53,catalogo!$B$1:$C$75,2,0),"-")</f>
        <v>#26</v>
      </c>
      <c r="C53" s="39">
        <v>46058.416666666664</v>
      </c>
      <c r="D53" s="17"/>
      <c r="E53" s="17"/>
      <c r="F53" s="17"/>
      <c r="G53" s="42">
        <v>61.21</v>
      </c>
      <c r="H53" s="42">
        <v>61.21</v>
      </c>
      <c r="I53" s="43" t="s">
        <v>156</v>
      </c>
      <c r="J53" s="43" t="s">
        <v>67</v>
      </c>
      <c r="K53" s="43" t="s">
        <v>266</v>
      </c>
      <c r="L53" s="44" t="s">
        <v>267</v>
      </c>
      <c r="M53" s="44" t="s">
        <v>159</v>
      </c>
      <c r="N53" s="44" t="s">
        <v>144</v>
      </c>
      <c r="O53" s="17"/>
      <c r="P53" s="17"/>
      <c r="Q53" s="17"/>
      <c r="R53" s="17"/>
      <c r="S53" s="17"/>
      <c r="T53" s="17"/>
      <c r="U53" s="17"/>
      <c r="V53" s="17"/>
      <c r="W53" s="17"/>
      <c r="X53" s="17"/>
      <c r="Y53" s="46" t="str">
        <f ca="1">IFERROR(VLOOKUP(A53,catalogo!$E:$G,2,0),"-")</f>
        <v>Transaction cost</v>
      </c>
      <c r="Z53" s="47" t="str">
        <f ca="1">IFERROR(VLOOKUP(A53,catalogo!$E:$G,3,0),"-")</f>
        <v>PO1953  ARTEVALLEDEBRAVO</v>
      </c>
      <c r="AA53" s="48"/>
      <c r="AB53" s="48"/>
      <c r="AC53" s="48" t="str">
        <f ca="1">IFERROR(VLOOKUP(A53,catalogo!$E:$H,4,0),"-")</f>
        <v>-</v>
      </c>
      <c r="AD53" s="48"/>
      <c r="AE53" s="48"/>
      <c r="AF53" s="48"/>
      <c r="AG53" s="48"/>
      <c r="AH53" s="48"/>
      <c r="AI53" s="48"/>
    </row>
    <row r="54" spans="1:35" ht="12.5" hidden="1">
      <c r="A54" s="37" t="s">
        <v>278</v>
      </c>
      <c r="B54" s="38" t="str">
        <f>IFERROR(VLOOKUP(J54,catalogo!$B$1:$C$75,2,0),"-")</f>
        <v>-</v>
      </c>
      <c r="C54" s="39">
        <v>46058.416666666664</v>
      </c>
      <c r="D54" s="17"/>
      <c r="E54" s="17"/>
      <c r="F54" s="17"/>
      <c r="G54" s="42">
        <v>89.94</v>
      </c>
      <c r="H54" s="42">
        <v>89.94</v>
      </c>
      <c r="I54" s="43" t="s">
        <v>156</v>
      </c>
      <c r="J54" s="43" t="s">
        <v>102</v>
      </c>
      <c r="K54" s="43" t="s">
        <v>232</v>
      </c>
      <c r="L54" s="44" t="s">
        <v>233</v>
      </c>
      <c r="M54" s="45" t="s">
        <v>279</v>
      </c>
      <c r="N54" s="44" t="s">
        <v>144</v>
      </c>
      <c r="O54" s="17"/>
      <c r="P54" s="17"/>
      <c r="Q54" s="17"/>
      <c r="R54" s="17"/>
      <c r="S54" s="17"/>
      <c r="T54" s="17"/>
      <c r="U54" s="17"/>
      <c r="V54" s="17"/>
      <c r="W54" s="17"/>
      <c r="X54" s="17"/>
      <c r="Y54" s="46" t="str">
        <f ca="1">IFERROR(VLOOKUP(A54,catalogo!$E:$G,2,0),"-")</f>
        <v>Transaction cost</v>
      </c>
      <c r="Z54" s="47" t="str">
        <f ca="1">IFERROR(VLOOKUP(A54,catalogo!$E:$G,3,0),"-")</f>
        <v>PO1953  ARTEVALLEDEBRAVO</v>
      </c>
      <c r="AA54" s="48"/>
      <c r="AB54" s="48"/>
      <c r="AC54" s="48" t="str">
        <f ca="1">IFERROR(VLOOKUP(A54,catalogo!$E:$H,4,0),"-")</f>
        <v>-</v>
      </c>
      <c r="AD54" s="48"/>
      <c r="AE54" s="48"/>
      <c r="AF54" s="48"/>
      <c r="AG54" s="48"/>
      <c r="AH54" s="48"/>
      <c r="AI54" s="48"/>
    </row>
    <row r="55" spans="1:35" ht="12.5" hidden="1">
      <c r="A55" s="37" t="s">
        <v>280</v>
      </c>
      <c r="B55" s="38" t="str">
        <f>IFERROR(VLOOKUP(J55,catalogo!$B$1:$C$75,2,0),"-")</f>
        <v>#56</v>
      </c>
      <c r="C55" s="39">
        <v>46058.416666666664</v>
      </c>
      <c r="D55" s="17"/>
      <c r="E55" s="17"/>
      <c r="F55" s="17"/>
      <c r="G55" s="42">
        <v>280</v>
      </c>
      <c r="H55" s="42">
        <v>280</v>
      </c>
      <c r="I55" s="43" t="s">
        <v>156</v>
      </c>
      <c r="J55" s="43" t="s">
        <v>99</v>
      </c>
      <c r="K55" s="43" t="s">
        <v>281</v>
      </c>
      <c r="L55" s="44" t="s">
        <v>282</v>
      </c>
      <c r="M55" s="45">
        <v>8949</v>
      </c>
      <c r="N55" s="44" t="s">
        <v>167</v>
      </c>
      <c r="O55" s="17"/>
      <c r="P55" s="17"/>
      <c r="Q55" s="17"/>
      <c r="R55" s="17"/>
      <c r="S55" s="17"/>
      <c r="T55" s="17"/>
      <c r="U55" s="17"/>
      <c r="V55" s="17"/>
      <c r="W55" s="17"/>
      <c r="X55" s="17"/>
      <c r="Y55" s="46" t="str">
        <f ca="1">IFERROR(VLOOKUP(A55,catalogo!$E:$H,2,0),"-")</f>
        <v>-</v>
      </c>
      <c r="Z55" s="47" t="str">
        <f ca="1">IFERROR(VLOOKUP(A55,catalogo!$E:$G,3,0),"-")</f>
        <v>-</v>
      </c>
      <c r="AA55" s="48"/>
      <c r="AB55" s="48"/>
      <c r="AC55" s="48" t="str">
        <f ca="1">IFERROR(VLOOKUP(A55,catalogo!$E:$H,4,0),"-")</f>
        <v>-</v>
      </c>
      <c r="AD55" s="48"/>
      <c r="AE55" s="48"/>
      <c r="AF55" s="48"/>
      <c r="AG55" s="48"/>
      <c r="AH55" s="48"/>
      <c r="AI55" s="48"/>
    </row>
    <row r="56" spans="1:35" ht="12.5" hidden="1">
      <c r="A56" s="37" t="s">
        <v>283</v>
      </c>
      <c r="B56" s="38" t="str">
        <f>IFERROR(VLOOKUP(J56,catalogo!$B$1:$C$75,2,0),"-")</f>
        <v>#19</v>
      </c>
      <c r="C56" s="39">
        <v>46058.416666666664</v>
      </c>
      <c r="D56" s="17"/>
      <c r="E56" s="17"/>
      <c r="F56" s="17"/>
      <c r="G56" s="42">
        <v>90.25</v>
      </c>
      <c r="H56" s="42">
        <v>90.25</v>
      </c>
      <c r="I56" s="43" t="s">
        <v>156</v>
      </c>
      <c r="J56" s="50" t="s">
        <v>105</v>
      </c>
      <c r="K56" s="43" t="s">
        <v>284</v>
      </c>
      <c r="L56" s="44" t="s">
        <v>233</v>
      </c>
      <c r="M56" s="45" t="s">
        <v>276</v>
      </c>
      <c r="N56" s="44" t="s">
        <v>144</v>
      </c>
      <c r="O56" s="17"/>
      <c r="P56" s="17"/>
      <c r="Q56" s="17"/>
      <c r="R56" s="17"/>
      <c r="S56" s="17"/>
      <c r="T56" s="17"/>
      <c r="U56" s="17"/>
      <c r="V56" s="17"/>
      <c r="W56" s="17"/>
      <c r="X56" s="17"/>
      <c r="Y56" s="46" t="str">
        <f ca="1">IFERROR(VLOOKUP(A56,catalogo!$E:$H,2,0),"-")</f>
        <v>Transaction cost</v>
      </c>
      <c r="Z56" s="47" t="str">
        <f ca="1">IFERROR(VLOOKUP(A56,catalogo!$E:$G,3,0),"-")</f>
        <v>PO2023 SIB 99 min</v>
      </c>
      <c r="AA56" s="48"/>
      <c r="AB56" s="48"/>
      <c r="AC56" s="48" t="str">
        <f ca="1">IFERROR(VLOOKUP(A56,catalogo!$E:$H,4,0),"-")</f>
        <v>-</v>
      </c>
      <c r="AD56" s="48"/>
      <c r="AE56" s="48"/>
      <c r="AF56" s="48"/>
      <c r="AG56" s="48"/>
      <c r="AH56" s="48"/>
      <c r="AI56" s="48"/>
    </row>
    <row r="57" spans="1:35" ht="15" hidden="1" customHeight="1">
      <c r="A57" s="37" t="s">
        <v>285</v>
      </c>
      <c r="B57" s="38" t="str">
        <f>IFERROR(VLOOKUP(J57,catalogo!$B$1:$C$75,2,0),"-")</f>
        <v>#74</v>
      </c>
      <c r="C57" s="39">
        <v>46058.416666666664</v>
      </c>
      <c r="D57" s="17"/>
      <c r="E57" s="17"/>
      <c r="F57" s="17"/>
      <c r="G57" s="42">
        <v>59.94</v>
      </c>
      <c r="H57" s="42">
        <v>59.94</v>
      </c>
      <c r="I57" s="43" t="s">
        <v>156</v>
      </c>
      <c r="J57" s="43" t="s">
        <v>286</v>
      </c>
      <c r="K57" s="43" t="s">
        <v>232</v>
      </c>
      <c r="L57" s="44" t="s">
        <v>233</v>
      </c>
      <c r="M57" s="45">
        <v>5481</v>
      </c>
      <c r="N57" s="44" t="s">
        <v>167</v>
      </c>
      <c r="O57" s="49"/>
      <c r="P57" s="17"/>
      <c r="Q57" s="17"/>
      <c r="R57" s="17"/>
      <c r="S57" s="17"/>
      <c r="T57" s="17"/>
      <c r="U57" s="17"/>
      <c r="V57" s="17"/>
      <c r="W57" s="17"/>
      <c r="X57" s="17"/>
      <c r="Y57" s="46" t="str">
        <f ca="1">IFERROR(VLOOKUP(A57,catalogo!$E:$H,2,0),"-")</f>
        <v>-</v>
      </c>
      <c r="Z57" s="47" t="str">
        <f ca="1">IFERROR(VLOOKUP(A57,catalogo!$E:$G,3,0),"-")</f>
        <v>-</v>
      </c>
      <c r="AA57" s="48"/>
      <c r="AB57" s="48"/>
      <c r="AC57" s="48" t="str">
        <f ca="1">IFERROR(VLOOKUP(A57,catalogo!$E:$H,4,0),"-")</f>
        <v>-</v>
      </c>
      <c r="AD57" s="48"/>
      <c r="AE57" s="48"/>
      <c r="AF57" s="48"/>
      <c r="AG57" s="48"/>
      <c r="AH57" s="48"/>
      <c r="AI57" s="48"/>
    </row>
    <row r="58" spans="1:35" ht="15.5" hidden="1">
      <c r="A58" s="37" t="s">
        <v>287</v>
      </c>
      <c r="B58" s="38" t="str">
        <f>IFERROR(VLOOKUP(J58,catalogo!$B$1:$C$75,2,0),"-")</f>
        <v>#74</v>
      </c>
      <c r="C58" s="39">
        <v>46058.416666666664</v>
      </c>
      <c r="D58" s="17"/>
      <c r="E58" s="17"/>
      <c r="F58" s="17"/>
      <c r="G58" s="42">
        <v>70.81</v>
      </c>
      <c r="H58" s="42">
        <v>70.81</v>
      </c>
      <c r="I58" s="43" t="s">
        <v>156</v>
      </c>
      <c r="J58" s="43" t="s">
        <v>286</v>
      </c>
      <c r="K58" s="43" t="s">
        <v>284</v>
      </c>
      <c r="L58" s="44" t="s">
        <v>233</v>
      </c>
      <c r="M58" s="45">
        <v>5481</v>
      </c>
      <c r="N58" s="44" t="s">
        <v>167</v>
      </c>
      <c r="O58" s="49"/>
      <c r="P58" s="17"/>
      <c r="Q58" s="17"/>
      <c r="R58" s="17"/>
      <c r="S58" s="17"/>
      <c r="T58" s="17"/>
      <c r="U58" s="17"/>
      <c r="V58" s="17"/>
      <c r="W58" s="17"/>
      <c r="X58" s="17"/>
      <c r="Y58" s="46" t="str">
        <f ca="1">IFERROR(VLOOKUP(A58,catalogo!$E:$H,2,0),"-")</f>
        <v>-</v>
      </c>
      <c r="Z58" s="47" t="str">
        <f ca="1">IFERROR(VLOOKUP(A58,catalogo!$E:$G,3,0),"-")</f>
        <v>-</v>
      </c>
      <c r="AA58" s="48"/>
      <c r="AB58" s="48"/>
      <c r="AC58" s="48" t="str">
        <f ca="1">IFERROR(VLOOKUP(A58,catalogo!$E:$H,4,0),"-")</f>
        <v>-</v>
      </c>
      <c r="AD58" s="48"/>
      <c r="AE58" s="48"/>
      <c r="AF58" s="48"/>
      <c r="AG58" s="48"/>
      <c r="AH58" s="48"/>
      <c r="AI58" s="48"/>
    </row>
    <row r="59" spans="1:35" ht="12.5" hidden="1">
      <c r="A59" s="37" t="s">
        <v>288</v>
      </c>
      <c r="B59" s="38" t="str">
        <f>IFERROR(VLOOKUP(J59,catalogo!$B$1:$C$75,2,0),"-")</f>
        <v>#28</v>
      </c>
      <c r="C59" s="39">
        <v>46058.416666666664</v>
      </c>
      <c r="D59" s="40"/>
      <c r="E59" s="41"/>
      <c r="F59" s="41"/>
      <c r="G59" s="42">
        <v>79.959999999999994</v>
      </c>
      <c r="H59" s="42">
        <v>79.959999999999994</v>
      </c>
      <c r="I59" s="43" t="s">
        <v>156</v>
      </c>
      <c r="J59" s="43" t="s">
        <v>77</v>
      </c>
      <c r="K59" s="43" t="s">
        <v>232</v>
      </c>
      <c r="L59" s="44" t="s">
        <v>233</v>
      </c>
      <c r="M59" s="44" t="s">
        <v>289</v>
      </c>
      <c r="N59" s="44" t="s">
        <v>144</v>
      </c>
      <c r="O59" s="41"/>
      <c r="P59" s="41"/>
      <c r="Q59" s="41"/>
      <c r="R59" s="41"/>
      <c r="S59" s="41"/>
      <c r="T59" s="41"/>
      <c r="U59" s="41"/>
      <c r="V59" s="41"/>
      <c r="W59" s="41"/>
      <c r="X59" s="41"/>
      <c r="Y59" s="46" t="str">
        <f ca="1">IFERROR(VLOOKUP(A59,catalogo!$E:$H,2,0),"-")</f>
        <v>-</v>
      </c>
      <c r="Z59" s="47" t="str">
        <f ca="1">IFERROR(VLOOKUP(A59,catalogo!$E:$G,3,0),"-")</f>
        <v>-</v>
      </c>
      <c r="AA59" s="48"/>
      <c r="AB59" s="48"/>
      <c r="AC59" s="48" t="str">
        <f ca="1">IFERROR(VLOOKUP(A59,catalogo!$E:$H,4,0),"-")</f>
        <v>-</v>
      </c>
      <c r="AD59" s="48"/>
      <c r="AE59" s="48"/>
      <c r="AF59" s="48"/>
      <c r="AG59" s="48"/>
      <c r="AH59" s="48"/>
      <c r="AI59" s="48"/>
    </row>
    <row r="60" spans="1:35" ht="12.5" hidden="1">
      <c r="A60" s="37" t="s">
        <v>290</v>
      </c>
      <c r="B60" s="38" t="str">
        <f>IFERROR(VLOOKUP(J60,catalogo!$B$1:$C$75,2,0),"-")</f>
        <v>#8</v>
      </c>
      <c r="C60" s="39">
        <v>46058.416666666664</v>
      </c>
      <c r="D60" s="52"/>
      <c r="E60" s="17"/>
      <c r="F60" s="17"/>
      <c r="G60" s="42">
        <v>489.95</v>
      </c>
      <c r="H60" s="42">
        <v>489.95</v>
      </c>
      <c r="I60" s="43" t="s">
        <v>156</v>
      </c>
      <c r="J60" s="43" t="s">
        <v>128</v>
      </c>
      <c r="K60" s="43" t="s">
        <v>284</v>
      </c>
      <c r="L60" s="44" t="s">
        <v>233</v>
      </c>
      <c r="M60" s="45">
        <v>16</v>
      </c>
      <c r="N60" s="44" t="s">
        <v>167</v>
      </c>
      <c r="O60" s="17"/>
      <c r="P60" s="17"/>
      <c r="Q60" s="17"/>
      <c r="R60" s="17"/>
      <c r="S60" s="17"/>
      <c r="T60" s="17"/>
      <c r="U60" s="17"/>
      <c r="V60" s="17"/>
      <c r="W60" s="17"/>
      <c r="X60" s="17"/>
      <c r="Y60" s="46" t="str">
        <f ca="1">IFERROR(VLOOKUP(A60,catalogo!$E:$H,2,0),"-")</f>
        <v>Office expenses</v>
      </c>
      <c r="Z60" s="47" t="str">
        <f ca="1">IFERROR(VLOOKUP(A60,catalogo!$E:$G,3,0),"-")</f>
        <v xml:space="preserve">Botiquin </v>
      </c>
      <c r="AA60" s="48"/>
      <c r="AB60" s="48"/>
      <c r="AC60" s="48" t="str">
        <f ca="1">IFERROR(VLOOKUP(A60,catalogo!$E:$H,4,0),"-")</f>
        <v>.</v>
      </c>
      <c r="AD60" s="48"/>
      <c r="AE60" s="48"/>
      <c r="AF60" s="48"/>
      <c r="AG60" s="48"/>
      <c r="AH60" s="48"/>
      <c r="AI60" s="48"/>
    </row>
    <row r="61" spans="1:35" ht="12.5" hidden="1">
      <c r="A61" s="37" t="s">
        <v>291</v>
      </c>
      <c r="B61" s="38" t="str">
        <f>IFERROR(VLOOKUP(J61,catalogo!$B$1:$C$75,2,0),"-")</f>
        <v>#74</v>
      </c>
      <c r="C61" s="39">
        <v>46058.416666666664</v>
      </c>
      <c r="D61" s="17"/>
      <c r="E61" s="17"/>
      <c r="F61" s="17"/>
      <c r="G61" s="42">
        <v>69.95</v>
      </c>
      <c r="H61" s="42">
        <v>69.95</v>
      </c>
      <c r="I61" s="43" t="s">
        <v>156</v>
      </c>
      <c r="J61" s="43" t="s">
        <v>286</v>
      </c>
      <c r="K61" s="43" t="s">
        <v>232</v>
      </c>
      <c r="L61" s="44" t="s">
        <v>233</v>
      </c>
      <c r="M61" s="44">
        <v>5481</v>
      </c>
      <c r="N61" s="44" t="s">
        <v>167</v>
      </c>
      <c r="O61" s="17"/>
      <c r="P61" s="17"/>
      <c r="Q61" s="17"/>
      <c r="R61" s="17"/>
      <c r="S61" s="17"/>
      <c r="T61" s="17"/>
      <c r="U61" s="17"/>
      <c r="V61" s="17"/>
      <c r="W61" s="17"/>
      <c r="X61" s="17"/>
      <c r="Y61" s="46" t="str">
        <f ca="1">IFERROR(VLOOKUP(A61,catalogo!$E:$G,2,0),"-")</f>
        <v>-</v>
      </c>
      <c r="Z61" s="47" t="str">
        <f ca="1">IFERROR(VLOOKUP(A61,catalogo!$E:$G,3,0),"-")</f>
        <v>-</v>
      </c>
      <c r="AA61" s="48"/>
      <c r="AB61" s="48"/>
      <c r="AC61" s="48" t="str">
        <f ca="1">IFERROR(VLOOKUP(A61,catalogo!$E:$H,4,0),"-")</f>
        <v>-</v>
      </c>
      <c r="AD61" s="48"/>
      <c r="AE61" s="48"/>
      <c r="AF61" s="48"/>
      <c r="AG61" s="48"/>
      <c r="AH61" s="48"/>
      <c r="AI61" s="48"/>
    </row>
    <row r="62" spans="1:35" ht="12.5" hidden="1">
      <c r="A62" s="37" t="s">
        <v>292</v>
      </c>
      <c r="B62" s="38" t="str">
        <f>IFERROR(VLOOKUP(J62,catalogo!$B$1:$C$75,2,0),"-")</f>
        <v>#56</v>
      </c>
      <c r="C62" s="39">
        <v>46058.416666666664</v>
      </c>
      <c r="D62" s="17"/>
      <c r="E62" s="17"/>
      <c r="F62" s="17"/>
      <c r="G62" s="42">
        <v>276</v>
      </c>
      <c r="H62" s="42">
        <v>276</v>
      </c>
      <c r="I62" s="43" t="s">
        <v>156</v>
      </c>
      <c r="J62" s="43" t="s">
        <v>99</v>
      </c>
      <c r="K62" s="43" t="s">
        <v>293</v>
      </c>
      <c r="L62" s="44" t="s">
        <v>294</v>
      </c>
      <c r="M62" s="45">
        <v>8949</v>
      </c>
      <c r="N62" s="44" t="s">
        <v>167</v>
      </c>
      <c r="O62" s="17"/>
      <c r="P62" s="17"/>
      <c r="Q62" s="17"/>
      <c r="R62" s="17"/>
      <c r="S62" s="17"/>
      <c r="T62" s="17"/>
      <c r="U62" s="17"/>
      <c r="V62" s="17"/>
      <c r="W62" s="17"/>
      <c r="X62" s="17"/>
      <c r="Y62" s="46" t="str">
        <f ca="1">IFERROR(VLOOKUP(A62,catalogo!$E:$G,2,0),"-")</f>
        <v>-</v>
      </c>
      <c r="Z62" s="47" t="str">
        <f ca="1">IFERROR(VLOOKUP(A62,catalogo!$E:$G,3,0),"-")</f>
        <v>-</v>
      </c>
      <c r="AA62" s="48"/>
      <c r="AB62" s="48"/>
      <c r="AC62" s="48" t="str">
        <f ca="1">IFERROR(VLOOKUP(A62,catalogo!$E:$H,4,0),"-")</f>
        <v>-</v>
      </c>
      <c r="AD62" s="48"/>
      <c r="AE62" s="48"/>
      <c r="AF62" s="48"/>
      <c r="AG62" s="48"/>
      <c r="AH62" s="48"/>
      <c r="AI62" s="48"/>
    </row>
    <row r="63" spans="1:35" ht="15.5" hidden="1">
      <c r="A63" s="37" t="s">
        <v>295</v>
      </c>
      <c r="B63" s="38" t="str">
        <f>IFERROR(VLOOKUP(J63,catalogo!$B$1:$C$75,2,0),"-")</f>
        <v>#14</v>
      </c>
      <c r="C63" s="39">
        <v>46058.416666666664</v>
      </c>
      <c r="D63" s="17"/>
      <c r="E63" s="17"/>
      <c r="F63" s="17"/>
      <c r="G63" s="42">
        <v>10</v>
      </c>
      <c r="H63" s="42">
        <v>10</v>
      </c>
      <c r="I63" s="43" t="s">
        <v>156</v>
      </c>
      <c r="J63" s="43" t="s">
        <v>76</v>
      </c>
      <c r="K63" s="43" t="s">
        <v>284</v>
      </c>
      <c r="L63" s="44" t="s">
        <v>233</v>
      </c>
      <c r="M63" s="45">
        <v>7350</v>
      </c>
      <c r="N63" s="44" t="s">
        <v>167</v>
      </c>
      <c r="O63" s="49"/>
      <c r="P63" s="17"/>
      <c r="Q63" s="17"/>
      <c r="R63" s="17"/>
      <c r="S63" s="17"/>
      <c r="T63" s="17"/>
      <c r="U63" s="17"/>
      <c r="V63" s="17"/>
      <c r="W63" s="17"/>
      <c r="X63" s="17"/>
      <c r="Y63" s="46">
        <f ca="1">IFERROR(VLOOKUP(A63,catalogo!$E:$H,2,0),"-")</f>
        <v>0</v>
      </c>
      <c r="Z63" s="47">
        <f ca="1">IFERROR(VLOOKUP(A63,catalogo!$E:$G,3,0),"-")</f>
        <v>0</v>
      </c>
      <c r="AA63" s="48"/>
      <c r="AB63" s="48"/>
      <c r="AC63" s="48" t="str">
        <f ca="1">IFERROR(VLOOKUP(A63,catalogo!$E:$H,4,0),"-")</f>
        <v>.</v>
      </c>
      <c r="AD63" s="48"/>
      <c r="AE63" s="48"/>
      <c r="AF63" s="48"/>
      <c r="AG63" s="48"/>
      <c r="AH63" s="48"/>
      <c r="AI63" s="48"/>
    </row>
    <row r="64" spans="1:35" ht="12.5" hidden="1">
      <c r="A64" s="37" t="s">
        <v>296</v>
      </c>
      <c r="B64" s="38" t="str">
        <f>IFERROR(VLOOKUP(J64,catalogo!$B$1:$C$75,2,0),"-")</f>
        <v>#55</v>
      </c>
      <c r="C64" s="39">
        <v>46058.416666666664</v>
      </c>
      <c r="D64" s="17"/>
      <c r="E64" s="17"/>
      <c r="F64" s="17"/>
      <c r="G64" s="42">
        <v>147.93</v>
      </c>
      <c r="H64" s="42">
        <v>147.93</v>
      </c>
      <c r="I64" s="43" t="s">
        <v>156</v>
      </c>
      <c r="J64" s="43" t="s">
        <v>89</v>
      </c>
      <c r="K64" s="43" t="s">
        <v>284</v>
      </c>
      <c r="L64" s="44" t="s">
        <v>233</v>
      </c>
      <c r="M64" s="44">
        <v>3013</v>
      </c>
      <c r="N64" s="44" t="s">
        <v>167</v>
      </c>
      <c r="O64" s="17"/>
      <c r="P64" s="17"/>
      <c r="Q64" s="17"/>
      <c r="R64" s="17"/>
      <c r="S64" s="17"/>
      <c r="T64" s="17"/>
      <c r="U64" s="17"/>
      <c r="V64" s="17"/>
      <c r="W64" s="17"/>
      <c r="X64" s="17"/>
      <c r="Y64" s="46" t="str">
        <f ca="1">IFERROR(VLOOKUP(A64,catalogo!$E:$G,2,0),"-")</f>
        <v>-</v>
      </c>
      <c r="Z64" s="47" t="str">
        <f ca="1">IFERROR(VLOOKUP(A64,catalogo!$E:$G,3,0),"-")</f>
        <v>-</v>
      </c>
      <c r="AA64" s="48"/>
      <c r="AB64" s="48"/>
      <c r="AC64" s="48" t="str">
        <f ca="1">IFERROR(VLOOKUP(A64,catalogo!$E:$H,4,0),"-")</f>
        <v>-</v>
      </c>
      <c r="AD64" s="48"/>
      <c r="AE64" s="48"/>
      <c r="AF64" s="48"/>
      <c r="AG64" s="48"/>
      <c r="AH64" s="48"/>
      <c r="AI64" s="48"/>
    </row>
    <row r="65" spans="1:35" ht="12.5" hidden="1">
      <c r="A65" s="37" t="s">
        <v>297</v>
      </c>
      <c r="B65" s="38" t="str">
        <f>IFERROR(VLOOKUP(J65,catalogo!$B$1:$C$75,2,0),"-")</f>
        <v>#2</v>
      </c>
      <c r="C65" s="39">
        <v>46058.416666666664</v>
      </c>
      <c r="D65" s="17"/>
      <c r="E65" s="17"/>
      <c r="F65" s="17"/>
      <c r="G65" s="53">
        <v>15105.29</v>
      </c>
      <c r="H65" s="53">
        <v>15105.29</v>
      </c>
      <c r="I65" s="43" t="s">
        <v>156</v>
      </c>
      <c r="J65" s="43" t="s">
        <v>75</v>
      </c>
      <c r="K65" s="43" t="s">
        <v>298</v>
      </c>
      <c r="L65" s="44" t="s">
        <v>299</v>
      </c>
      <c r="M65" s="45" t="s">
        <v>199</v>
      </c>
      <c r="N65" s="44" t="s">
        <v>144</v>
      </c>
      <c r="O65" s="17"/>
      <c r="P65" s="17"/>
      <c r="Q65" s="17"/>
      <c r="R65" s="17"/>
      <c r="S65" s="17"/>
      <c r="T65" s="17"/>
      <c r="U65" s="17"/>
      <c r="V65" s="17"/>
      <c r="W65" s="17"/>
      <c r="X65" s="17"/>
      <c r="Y65" s="46"/>
      <c r="Z65" s="47"/>
      <c r="AA65" s="48"/>
      <c r="AB65" s="48"/>
      <c r="AC65" s="48"/>
      <c r="AD65" s="48"/>
      <c r="AE65" s="48"/>
      <c r="AF65" s="48"/>
      <c r="AG65" s="48"/>
      <c r="AH65" s="48"/>
      <c r="AI65" s="48"/>
    </row>
    <row r="66" spans="1:35" ht="12.5" hidden="1">
      <c r="A66" s="37" t="s">
        <v>300</v>
      </c>
      <c r="B66" s="38" t="str">
        <f>IFERROR(VLOOKUP(J66,catalogo!$B$1:$C$75,2,0),"-")</f>
        <v>#74</v>
      </c>
      <c r="C66" s="39">
        <v>46058.416666666664</v>
      </c>
      <c r="D66" s="17"/>
      <c r="E66" s="17"/>
      <c r="F66" s="17"/>
      <c r="G66" s="42">
        <v>459.94</v>
      </c>
      <c r="H66" s="42">
        <v>459.94</v>
      </c>
      <c r="I66" s="43" t="s">
        <v>156</v>
      </c>
      <c r="J66" s="43" t="s">
        <v>286</v>
      </c>
      <c r="K66" s="43" t="s">
        <v>232</v>
      </c>
      <c r="L66" s="44" t="s">
        <v>233</v>
      </c>
      <c r="M66" s="45">
        <v>5481</v>
      </c>
      <c r="N66" s="44" t="s">
        <v>167</v>
      </c>
      <c r="O66" s="17"/>
      <c r="P66" s="17"/>
      <c r="Q66" s="17"/>
      <c r="R66" s="17"/>
      <c r="S66" s="17"/>
      <c r="T66" s="17"/>
      <c r="U66" s="17"/>
      <c r="V66" s="17"/>
      <c r="W66" s="17"/>
      <c r="X66" s="17"/>
      <c r="Y66" s="46" t="str">
        <f ca="1">IFERROR(VLOOKUP(A66,catalogo!$E:$G,2,0),"-")</f>
        <v>Tech&amp;Product</v>
      </c>
      <c r="Z66" s="47">
        <f ca="1">IFERROR(VLOOKUP(A66,catalogo!$E:$G,3,0),"-")</f>
        <v>0</v>
      </c>
      <c r="AA66" s="48"/>
      <c r="AB66" s="48"/>
      <c r="AC66" s="48" t="str">
        <f ca="1">IFERROR(VLOOKUP(A66,catalogo!$E:$H,4,0),"-")</f>
        <v>.</v>
      </c>
      <c r="AD66" s="48"/>
      <c r="AE66" s="48"/>
      <c r="AF66" s="48"/>
      <c r="AG66" s="48"/>
      <c r="AH66" s="48"/>
      <c r="AI66" s="48"/>
    </row>
    <row r="67" spans="1:35" ht="12.5" hidden="1">
      <c r="A67" s="37" t="s">
        <v>301</v>
      </c>
      <c r="B67" s="38" t="str">
        <f>IFERROR(VLOOKUP(J67,catalogo!$B$1:$C$75,2,0),"-")</f>
        <v>#9</v>
      </c>
      <c r="C67" s="39">
        <v>46058.416666666664</v>
      </c>
      <c r="D67" s="17"/>
      <c r="E67" s="17"/>
      <c r="F67" s="17"/>
      <c r="G67" s="42">
        <v>700</v>
      </c>
      <c r="H67" s="42">
        <v>700</v>
      </c>
      <c r="I67" s="43" t="s">
        <v>156</v>
      </c>
      <c r="J67" s="43" t="s">
        <v>134</v>
      </c>
      <c r="K67" s="43" t="s">
        <v>302</v>
      </c>
      <c r="L67" s="44" t="s">
        <v>303</v>
      </c>
      <c r="M67" s="44">
        <v>1026</v>
      </c>
      <c r="N67" s="44" t="s">
        <v>167</v>
      </c>
      <c r="O67" s="17"/>
      <c r="P67" s="17"/>
      <c r="Q67" s="17"/>
      <c r="R67" s="17"/>
      <c r="S67" s="17"/>
      <c r="T67" s="17"/>
      <c r="U67" s="17"/>
      <c r="V67" s="17"/>
      <c r="W67" s="17"/>
      <c r="X67" s="17"/>
      <c r="Y67" s="46" t="str">
        <f ca="1">IFERROR(VLOOKUP(A67,catalogo!$E:$H,2,0),"-")</f>
        <v>Sales</v>
      </c>
      <c r="Z67" s="47" t="str">
        <f ca="1">IFERROR(VLOOKUP(A67,catalogo!$E:$G,3,0),"-")</f>
        <v xml:space="preserve">Vuelo Mty Grupo GI </v>
      </c>
      <c r="AA67" s="48"/>
      <c r="AB67" s="48"/>
      <c r="AC67" s="48" t="str">
        <f ca="1">IFERROR(VLOOKUP(A67,catalogo!$E:$H,4,0),"-")</f>
        <v>.</v>
      </c>
      <c r="AD67" s="48"/>
      <c r="AE67" s="48"/>
      <c r="AF67" s="48"/>
      <c r="AG67" s="48"/>
      <c r="AH67" s="48"/>
      <c r="AI67" s="48"/>
    </row>
    <row r="68" spans="1:35" ht="12.5" hidden="1">
      <c r="A68" s="37" t="s">
        <v>304</v>
      </c>
      <c r="B68" s="38" t="str">
        <f>IFERROR(VLOOKUP(J68,catalogo!$B$1:$C$75,2,0),"-")</f>
        <v>#74</v>
      </c>
      <c r="C68" s="39">
        <v>46058.416666666664</v>
      </c>
      <c r="D68" s="17"/>
      <c r="E68" s="17"/>
      <c r="F68" s="17"/>
      <c r="G68" s="42">
        <v>462</v>
      </c>
      <c r="H68" s="42">
        <v>462</v>
      </c>
      <c r="I68" s="43" t="s">
        <v>156</v>
      </c>
      <c r="J68" s="43" t="s">
        <v>286</v>
      </c>
      <c r="K68" s="43" t="s">
        <v>305</v>
      </c>
      <c r="L68" s="44" t="s">
        <v>306</v>
      </c>
      <c r="M68" s="44">
        <v>5481</v>
      </c>
      <c r="N68" s="44" t="s">
        <v>167</v>
      </c>
      <c r="O68" s="17"/>
      <c r="P68" s="17"/>
      <c r="Q68" s="17"/>
      <c r="R68" s="17"/>
      <c r="S68" s="17"/>
      <c r="T68" s="17"/>
      <c r="U68" s="17"/>
      <c r="V68" s="17"/>
      <c r="W68" s="17"/>
      <c r="X68" s="17"/>
      <c r="Y68" s="46" t="str">
        <f ca="1">IFERROR(VLOOKUP(A68,catalogo!$E:$H,2,0),"-")</f>
        <v>-</v>
      </c>
      <c r="Z68" s="47" t="str">
        <f ca="1">IFERROR(VLOOKUP(A68,catalogo!$E:$G,3,0),"-")</f>
        <v>-</v>
      </c>
      <c r="AA68" s="48"/>
      <c r="AB68" s="48"/>
      <c r="AC68" s="48" t="str">
        <f ca="1">IFERROR(VLOOKUP(A68,catalogo!$E:$H,4,0),"-")</f>
        <v>-</v>
      </c>
      <c r="AD68" s="48"/>
      <c r="AE68" s="48"/>
      <c r="AF68" s="48"/>
      <c r="AG68" s="48"/>
      <c r="AH68" s="48"/>
      <c r="AI68" s="48"/>
    </row>
    <row r="69" spans="1:35" ht="15.5" hidden="1">
      <c r="A69" s="37" t="s">
        <v>307</v>
      </c>
      <c r="B69" s="38" t="str">
        <f>IFERROR(VLOOKUP(J69,catalogo!$B$1:$C$75,2,0),"-")</f>
        <v>#2</v>
      </c>
      <c r="C69" s="39">
        <v>46058.416666666664</v>
      </c>
      <c r="D69" s="17"/>
      <c r="E69" s="17"/>
      <c r="F69" s="17"/>
      <c r="G69" s="42">
        <v>957.38</v>
      </c>
      <c r="H69" s="42">
        <v>957.38</v>
      </c>
      <c r="I69" s="43" t="s">
        <v>156</v>
      </c>
      <c r="J69" s="43" t="s">
        <v>75</v>
      </c>
      <c r="K69" s="43" t="s">
        <v>298</v>
      </c>
      <c r="L69" s="44" t="s">
        <v>299</v>
      </c>
      <c r="M69" s="45" t="s">
        <v>199</v>
      </c>
      <c r="N69" s="44" t="s">
        <v>144</v>
      </c>
      <c r="O69" s="49"/>
      <c r="P69" s="17"/>
      <c r="Q69" s="17"/>
      <c r="R69" s="17"/>
      <c r="S69" s="17"/>
      <c r="T69" s="17"/>
      <c r="U69" s="17"/>
      <c r="V69" s="17"/>
      <c r="W69" s="17"/>
      <c r="X69" s="17"/>
      <c r="Y69" s="46" t="str">
        <f ca="1">IFERROR(VLOOKUP(A69,catalogo!$E:$H,2,0),"-")</f>
        <v>Tech&amp;Product</v>
      </c>
      <c r="Z69" s="47">
        <f ca="1">IFERROR(VLOOKUP(A69,catalogo!$E:$G,3,0),"-")</f>
        <v>0</v>
      </c>
      <c r="AA69" s="48"/>
      <c r="AB69" s="48"/>
      <c r="AC69" s="48" t="str">
        <f ca="1">IFERROR(VLOOKUP(A69,catalogo!$E:$H,4,0),"-")</f>
        <v>.</v>
      </c>
      <c r="AD69" s="48"/>
      <c r="AE69" s="48"/>
      <c r="AF69" s="48"/>
      <c r="AG69" s="48"/>
      <c r="AH69" s="48"/>
      <c r="AI69" s="48"/>
    </row>
    <row r="70" spans="1:35" ht="12.5" hidden="1">
      <c r="A70" s="37" t="s">
        <v>308</v>
      </c>
      <c r="B70" s="38" t="str">
        <f>IFERROR(VLOOKUP(J70,catalogo!$B$1:$C$75,2,0),"-")</f>
        <v>#35</v>
      </c>
      <c r="C70" s="39">
        <v>46058.416666666664</v>
      </c>
      <c r="D70" s="17"/>
      <c r="E70" s="17"/>
      <c r="F70" s="17"/>
      <c r="G70" s="42">
        <v>1825.31</v>
      </c>
      <c r="H70" s="42">
        <v>1825.31</v>
      </c>
      <c r="I70" s="43" t="s">
        <v>156</v>
      </c>
      <c r="J70" s="50" t="s">
        <v>123</v>
      </c>
      <c r="K70" s="43" t="s">
        <v>298</v>
      </c>
      <c r="L70" s="44" t="s">
        <v>299</v>
      </c>
      <c r="M70" s="45">
        <v>1771</v>
      </c>
      <c r="N70" s="44" t="s">
        <v>167</v>
      </c>
      <c r="O70" s="17"/>
      <c r="P70" s="17"/>
      <c r="Q70" s="17"/>
      <c r="R70" s="17"/>
      <c r="S70" s="17"/>
      <c r="T70" s="17"/>
      <c r="U70" s="17"/>
      <c r="V70" s="17"/>
      <c r="W70" s="17"/>
      <c r="X70" s="17"/>
      <c r="Y70" s="46" t="str">
        <f ca="1">IFERROR(VLOOKUP(A70,catalogo!$E:$H,2,0),"-")</f>
        <v>-</v>
      </c>
      <c r="Z70" s="47" t="str">
        <f ca="1">IFERROR(VLOOKUP(A70,catalogo!$E:$G,3,0),"-")</f>
        <v>-</v>
      </c>
      <c r="AA70" s="48"/>
      <c r="AB70" s="48"/>
      <c r="AC70" s="48" t="str">
        <f ca="1">IFERROR(VLOOKUP(A70,catalogo!$E:$H,4,0),"-")</f>
        <v>-</v>
      </c>
      <c r="AD70" s="48"/>
      <c r="AE70" s="48"/>
      <c r="AF70" s="48"/>
      <c r="AG70" s="48"/>
      <c r="AH70" s="48"/>
      <c r="AI70" s="48"/>
    </row>
    <row r="71" spans="1:35" ht="12.5" hidden="1">
      <c r="A71" s="37" t="s">
        <v>309</v>
      </c>
      <c r="B71" s="38" t="str">
        <f>IFERROR(VLOOKUP(J71,catalogo!$B$1:$C$75,2,0),"-")</f>
        <v>-</v>
      </c>
      <c r="C71" s="39">
        <v>46058.416666666664</v>
      </c>
      <c r="D71" s="52"/>
      <c r="E71" s="17"/>
      <c r="F71" s="17"/>
      <c r="G71" s="42">
        <v>473</v>
      </c>
      <c r="H71" s="42">
        <v>473</v>
      </c>
      <c r="I71" s="43" t="s">
        <v>156</v>
      </c>
      <c r="J71" s="43" t="s">
        <v>269</v>
      </c>
      <c r="K71" s="43" t="s">
        <v>310</v>
      </c>
      <c r="L71" s="44" t="s">
        <v>311</v>
      </c>
      <c r="M71" s="45">
        <v>6130</v>
      </c>
      <c r="N71" s="44" t="s">
        <v>167</v>
      </c>
      <c r="O71" s="17"/>
      <c r="P71" s="17"/>
      <c r="Q71" s="17"/>
      <c r="R71" s="17"/>
      <c r="S71" s="17"/>
      <c r="T71" s="17"/>
      <c r="U71" s="17"/>
      <c r="V71" s="17"/>
      <c r="W71" s="17"/>
      <c r="X71" s="17"/>
      <c r="Y71" s="46" t="str">
        <f ca="1">IFERROR(VLOOKUP(A71,catalogo!$E:$H,2,0),"-")</f>
        <v>-</v>
      </c>
      <c r="Z71" s="47" t="str">
        <f ca="1">IFERROR(VLOOKUP(A71,catalogo!$E:$G,3,0),"-")</f>
        <v>-</v>
      </c>
      <c r="AA71" s="48"/>
      <c r="AB71" s="48"/>
      <c r="AC71" s="48" t="str">
        <f ca="1">IFERROR(VLOOKUP(A71,catalogo!$E:$H,4,0),"-")</f>
        <v>-</v>
      </c>
      <c r="AD71" s="48"/>
      <c r="AE71" s="48"/>
      <c r="AF71" s="48"/>
      <c r="AG71" s="48"/>
      <c r="AH71" s="48"/>
      <c r="AI71" s="48"/>
    </row>
    <row r="72" spans="1:35" ht="15.5" hidden="1">
      <c r="A72" s="37" t="s">
        <v>312</v>
      </c>
      <c r="B72" s="38" t="str">
        <f>IFERROR(VLOOKUP(J72,catalogo!$B$1:$C$75,2,0),"-")</f>
        <v>#3</v>
      </c>
      <c r="C72" s="39">
        <v>46058.416666666664</v>
      </c>
      <c r="D72" s="17"/>
      <c r="E72" s="17"/>
      <c r="F72" s="17"/>
      <c r="G72" s="42">
        <v>1130</v>
      </c>
      <c r="H72" s="42">
        <v>1130</v>
      </c>
      <c r="I72" s="43" t="s">
        <v>156</v>
      </c>
      <c r="J72" s="43" t="s">
        <v>84</v>
      </c>
      <c r="K72" s="43" t="s">
        <v>313</v>
      </c>
      <c r="L72" s="44" t="s">
        <v>314</v>
      </c>
      <c r="M72" s="44">
        <v>8657</v>
      </c>
      <c r="N72" s="44" t="s">
        <v>167</v>
      </c>
      <c r="O72" s="49"/>
      <c r="P72" s="17"/>
      <c r="Q72" s="17"/>
      <c r="R72" s="17"/>
      <c r="S72" s="17"/>
      <c r="T72" s="17"/>
      <c r="U72" s="17"/>
      <c r="V72" s="17"/>
      <c r="W72" s="17"/>
      <c r="X72" s="17"/>
      <c r="Y72" s="46" t="str">
        <f ca="1">IFERROR(VLOOKUP(A72,catalogo!$E:$H,2,0),"-")</f>
        <v>Sales</v>
      </c>
      <c r="Z72" s="47" t="str">
        <f ca="1">IFERROR(VLOOKUP(A72,catalogo!$E:$G,3,0),"-")</f>
        <v>Compra de Pulidora y discos para obra Grajales Robles PO1129</v>
      </c>
      <c r="AA72" s="48"/>
      <c r="AB72" s="48"/>
      <c r="AC72" s="48" t="str">
        <f ca="1">IFERROR(VLOOKUP(A72,catalogo!$E:$H,4,0),"-")</f>
        <v>TICKET</v>
      </c>
      <c r="AD72" s="48"/>
      <c r="AE72" s="48"/>
      <c r="AF72" s="48"/>
      <c r="AG72" s="48"/>
      <c r="AH72" s="48"/>
      <c r="AI72" s="48"/>
    </row>
    <row r="73" spans="1:35" ht="12.5" hidden="1">
      <c r="A73" s="37" t="s">
        <v>315</v>
      </c>
      <c r="B73" s="38" t="str">
        <f>IFERROR(VLOOKUP(J73,catalogo!$B$1:$C$75,2,0),"-")</f>
        <v>#26</v>
      </c>
      <c r="C73" s="39">
        <v>46058.416666666664</v>
      </c>
      <c r="D73" s="17"/>
      <c r="E73" s="17"/>
      <c r="F73" s="17"/>
      <c r="G73" s="42">
        <v>520</v>
      </c>
      <c r="H73" s="42">
        <v>520</v>
      </c>
      <c r="I73" s="43" t="s">
        <v>156</v>
      </c>
      <c r="J73" s="43" t="s">
        <v>67</v>
      </c>
      <c r="K73" s="43" t="s">
        <v>316</v>
      </c>
      <c r="L73" s="44" t="s">
        <v>317</v>
      </c>
      <c r="M73" s="44">
        <v>8061</v>
      </c>
      <c r="N73" s="44" t="s">
        <v>167</v>
      </c>
      <c r="O73" s="17"/>
      <c r="P73" s="17"/>
      <c r="Q73" s="17"/>
      <c r="R73" s="17"/>
      <c r="S73" s="17"/>
      <c r="T73" s="17"/>
      <c r="U73" s="17"/>
      <c r="V73" s="17"/>
      <c r="W73" s="17"/>
      <c r="X73" s="17"/>
      <c r="Y73" s="46" t="str">
        <f ca="1">IFERROR(VLOOKUP(A73,catalogo!$E:$H,2,0),"-")</f>
        <v>-</v>
      </c>
      <c r="Z73" s="47" t="str">
        <f ca="1">IFERROR(VLOOKUP(A73,catalogo!$E:$G,3,0),"-")</f>
        <v>-</v>
      </c>
      <c r="AA73" s="48"/>
      <c r="AB73" s="48"/>
      <c r="AC73" s="48" t="str">
        <f ca="1">IFERROR(VLOOKUP(A73,catalogo!$E:$H,4,0),"-")</f>
        <v>-</v>
      </c>
      <c r="AD73" s="48"/>
      <c r="AE73" s="48"/>
      <c r="AF73" s="48"/>
      <c r="AG73" s="48"/>
      <c r="AH73" s="48"/>
      <c r="AI73" s="48"/>
    </row>
    <row r="74" spans="1:35" ht="12.5" hidden="1">
      <c r="A74" s="37" t="s">
        <v>318</v>
      </c>
      <c r="B74" s="38" t="str">
        <f>IFERROR(VLOOKUP(J74,catalogo!$B$1:$C$75,2,0),"-")</f>
        <v>#9</v>
      </c>
      <c r="C74" s="39">
        <v>46058.416666666664</v>
      </c>
      <c r="D74" s="40"/>
      <c r="E74" s="41"/>
      <c r="F74" s="41"/>
      <c r="G74" s="42">
        <v>210</v>
      </c>
      <c r="H74" s="42">
        <v>210</v>
      </c>
      <c r="I74" s="43" t="s">
        <v>156</v>
      </c>
      <c r="J74" s="43" t="s">
        <v>134</v>
      </c>
      <c r="K74" s="43" t="s">
        <v>319</v>
      </c>
      <c r="L74" s="44" t="s">
        <v>317</v>
      </c>
      <c r="M74" s="44">
        <v>1026</v>
      </c>
      <c r="N74" s="44" t="s">
        <v>167</v>
      </c>
      <c r="O74" s="41"/>
      <c r="P74" s="41"/>
      <c r="Q74" s="41"/>
      <c r="R74" s="41"/>
      <c r="S74" s="41"/>
      <c r="T74" s="41"/>
      <c r="U74" s="41"/>
      <c r="V74" s="41"/>
      <c r="W74" s="41"/>
      <c r="X74" s="41"/>
      <c r="Y74" s="46" t="str">
        <f ca="1">IFERROR(VLOOKUP(A74,catalogo!$E:$H,2,0),"-")</f>
        <v>Sales</v>
      </c>
      <c r="Z74" s="47" t="str">
        <f ca="1">IFERROR(VLOOKUP(A74,catalogo!$E:$G,3,0),"-")</f>
        <v>Comida 2KDC</v>
      </c>
      <c r="AA74" s="48"/>
      <c r="AB74" s="48"/>
      <c r="AC74" s="48" t="str">
        <f ca="1">IFERROR(VLOOKUP(A74,catalogo!$E:$H,4,0),"-")</f>
        <v>.</v>
      </c>
      <c r="AD74" s="48"/>
      <c r="AE74" s="48"/>
      <c r="AF74" s="48"/>
      <c r="AG74" s="48"/>
      <c r="AH74" s="48"/>
      <c r="AI74" s="48"/>
    </row>
    <row r="75" spans="1:35" ht="12.5" hidden="1">
      <c r="A75" s="37" t="s">
        <v>320</v>
      </c>
      <c r="B75" s="38" t="str">
        <f>IFERROR(VLOOKUP(J75,catalogo!$B$1:$C$75,2,0),"-")</f>
        <v>-</v>
      </c>
      <c r="C75" s="39">
        <v>46058.416666666664</v>
      </c>
      <c r="D75" s="17"/>
      <c r="E75" s="17"/>
      <c r="F75" s="17"/>
      <c r="G75" s="42">
        <v>755.7</v>
      </c>
      <c r="H75" s="42">
        <v>755.7</v>
      </c>
      <c r="I75" s="43" t="s">
        <v>156</v>
      </c>
      <c r="J75" s="50" t="s">
        <v>321</v>
      </c>
      <c r="K75" s="43" t="s">
        <v>322</v>
      </c>
      <c r="L75" s="44" t="s">
        <v>323</v>
      </c>
      <c r="M75" s="45">
        <v>3340</v>
      </c>
      <c r="N75" s="44" t="s">
        <v>167</v>
      </c>
      <c r="O75" s="17"/>
      <c r="P75" s="17"/>
      <c r="Q75" s="17"/>
      <c r="R75" s="17"/>
      <c r="S75" s="17"/>
      <c r="T75" s="17"/>
      <c r="U75" s="17"/>
      <c r="V75" s="17"/>
      <c r="W75" s="17"/>
      <c r="X75" s="17"/>
      <c r="Y75" s="46" t="str">
        <f ca="1">IFERROR(VLOOKUP(A75,catalogo!$E:$G,2,0),"-")</f>
        <v>-</v>
      </c>
      <c r="Z75" s="47" t="str">
        <f ca="1">IFERROR(VLOOKUP(A75,catalogo!$E:$G,3,0),"-")</f>
        <v>-</v>
      </c>
      <c r="AA75" s="48"/>
      <c r="AB75" s="48"/>
      <c r="AC75" s="48" t="str">
        <f ca="1">IFERROR(VLOOKUP(A75,catalogo!$E:$H,4,0),"-")</f>
        <v>-</v>
      </c>
      <c r="AD75" s="48"/>
      <c r="AE75" s="48"/>
      <c r="AF75" s="48"/>
      <c r="AG75" s="48"/>
      <c r="AH75" s="48"/>
      <c r="AI75" s="48"/>
    </row>
    <row r="76" spans="1:35" ht="12.5" hidden="1">
      <c r="A76" s="37" t="s">
        <v>324</v>
      </c>
      <c r="B76" s="38" t="str">
        <f>IFERROR(VLOOKUP(J76,catalogo!$B$1:$C$75,2,0),"-")</f>
        <v>-</v>
      </c>
      <c r="C76" s="39">
        <v>46058.416666666664</v>
      </c>
      <c r="D76" s="17"/>
      <c r="E76" s="17"/>
      <c r="F76" s="17"/>
      <c r="G76" s="42">
        <v>171</v>
      </c>
      <c r="H76" s="42">
        <v>171</v>
      </c>
      <c r="I76" s="43" t="s">
        <v>156</v>
      </c>
      <c r="J76" s="43" t="s">
        <v>325</v>
      </c>
      <c r="K76" s="43" t="s">
        <v>316</v>
      </c>
      <c r="L76" s="44" t="s">
        <v>317</v>
      </c>
      <c r="M76" s="45">
        <v>7984</v>
      </c>
      <c r="N76" s="44" t="s">
        <v>167</v>
      </c>
      <c r="O76" s="17"/>
      <c r="P76" s="17"/>
      <c r="Q76" s="17"/>
      <c r="R76" s="17"/>
      <c r="S76" s="17"/>
      <c r="T76" s="17"/>
      <c r="U76" s="17"/>
      <c r="V76" s="17"/>
      <c r="W76" s="17"/>
      <c r="X76" s="17"/>
      <c r="Y76" s="46" t="str">
        <f ca="1">IFERROR(VLOOKUP(A76,catalogo!$E:$G,2,0),"-")</f>
        <v>-</v>
      </c>
      <c r="Z76" s="47" t="str">
        <f ca="1">IFERROR(VLOOKUP(A76,catalogo!$E:$G,3,0),"-")</f>
        <v>-</v>
      </c>
      <c r="AA76" s="48"/>
      <c r="AB76" s="48"/>
      <c r="AC76" s="48" t="str">
        <f ca="1">IFERROR(VLOOKUP(A76,catalogo!$E:$H,4,0),"-")</f>
        <v>-</v>
      </c>
      <c r="AD76" s="48"/>
      <c r="AE76" s="48"/>
      <c r="AF76" s="48"/>
      <c r="AG76" s="48"/>
      <c r="AH76" s="48"/>
      <c r="AI76" s="48"/>
    </row>
    <row r="77" spans="1:35" ht="17.25" hidden="1" customHeight="1">
      <c r="A77" s="37" t="s">
        <v>326</v>
      </c>
      <c r="B77" s="38" t="str">
        <f>IFERROR(VLOOKUP(J77,catalogo!$B$1:$C$75,2,0),"-")</f>
        <v>-</v>
      </c>
      <c r="C77" s="39">
        <v>46058.416666666664</v>
      </c>
      <c r="D77" s="40"/>
      <c r="E77" s="41"/>
      <c r="F77" s="41"/>
      <c r="G77" s="42">
        <v>600</v>
      </c>
      <c r="H77" s="42">
        <v>600</v>
      </c>
      <c r="I77" s="43" t="s">
        <v>156</v>
      </c>
      <c r="J77" s="43" t="s">
        <v>325</v>
      </c>
      <c r="K77" s="43" t="s">
        <v>327</v>
      </c>
      <c r="L77" s="44" t="s">
        <v>328</v>
      </c>
      <c r="M77" s="45">
        <v>7984</v>
      </c>
      <c r="N77" s="44" t="s">
        <v>167</v>
      </c>
      <c r="O77" s="41"/>
      <c r="P77" s="41"/>
      <c r="Q77" s="41"/>
      <c r="R77" s="41"/>
      <c r="S77" s="41"/>
      <c r="T77" s="41"/>
      <c r="U77" s="41"/>
      <c r="V77" s="41"/>
      <c r="W77" s="41"/>
      <c r="X77" s="41"/>
      <c r="Y77" s="46" t="str">
        <f ca="1">IFERROR(VLOOKUP(A77,catalogo!$E:$H,2,0),"-")</f>
        <v>Transaction cost</v>
      </c>
      <c r="Z77" s="47" t="str">
        <f ca="1">IFERROR(VLOOKUP(A77,catalogo!$E:$G,3,0),"-")</f>
        <v>Recarga de tag</v>
      </c>
      <c r="AA77" s="48"/>
      <c r="AB77" s="48"/>
      <c r="AC77" s="48">
        <f ca="1">IFERROR(VLOOKUP(A77,catalogo!$E:$H,4,0),"-")</f>
        <v>0</v>
      </c>
      <c r="AD77" s="48"/>
      <c r="AE77" s="48"/>
      <c r="AF77" s="48"/>
      <c r="AG77" s="48"/>
      <c r="AH77" s="48"/>
      <c r="AI77" s="48"/>
    </row>
    <row r="78" spans="1:35" ht="12.5" hidden="1">
      <c r="A78" s="37" t="s">
        <v>329</v>
      </c>
      <c r="B78" s="38" t="str">
        <f>IFERROR(VLOOKUP(J78,catalogo!$B$1:$C$75,2,0),"-")</f>
        <v>#16</v>
      </c>
      <c r="C78" s="39">
        <v>46058.416666666664</v>
      </c>
      <c r="D78" s="52"/>
      <c r="E78" s="17"/>
      <c r="F78" s="17"/>
      <c r="G78" s="42">
        <v>6615.11</v>
      </c>
      <c r="H78" s="42">
        <v>6615.11</v>
      </c>
      <c r="I78" s="43" t="s">
        <v>156</v>
      </c>
      <c r="J78" s="43" t="s">
        <v>85</v>
      </c>
      <c r="K78" s="43" t="s">
        <v>330</v>
      </c>
      <c r="L78" s="44" t="s">
        <v>331</v>
      </c>
      <c r="M78" s="45" t="s">
        <v>332</v>
      </c>
      <c r="N78" s="44" t="s">
        <v>144</v>
      </c>
      <c r="O78" s="17"/>
      <c r="P78" s="17"/>
      <c r="Q78" s="17"/>
      <c r="R78" s="17"/>
      <c r="S78" s="17"/>
      <c r="T78" s="17"/>
      <c r="U78" s="17"/>
      <c r="V78" s="17"/>
      <c r="W78" s="17"/>
      <c r="X78" s="17"/>
      <c r="Y78" s="46" t="str">
        <f ca="1">IFERROR(VLOOKUP(A78,catalogo!$E:$H,2,0),"-")</f>
        <v>Sales</v>
      </c>
      <c r="Z78" s="47" t="str">
        <f ca="1">IFERROR(VLOOKUP(A78,catalogo!$E:$G,3,0),"-")</f>
        <v>Marketing</v>
      </c>
      <c r="AA78" s="48"/>
      <c r="AB78" s="48"/>
      <c r="AC78" s="48">
        <f ca="1">IFERROR(VLOOKUP(A78,catalogo!$E:$H,4,0),"-")</f>
        <v>0</v>
      </c>
      <c r="AD78" s="48"/>
      <c r="AE78" s="48"/>
      <c r="AF78" s="48"/>
      <c r="AG78" s="48"/>
      <c r="AH78" s="48"/>
      <c r="AI78" s="48"/>
    </row>
    <row r="79" spans="1:35" ht="12.5" hidden="1">
      <c r="A79" s="37" t="s">
        <v>333</v>
      </c>
      <c r="B79" s="38" t="str">
        <f>IFERROR(VLOOKUP(J79,catalogo!$B$1:$C$75,2,0),"-")</f>
        <v>-</v>
      </c>
      <c r="C79" s="39">
        <v>46058.416666666664</v>
      </c>
      <c r="D79" s="17"/>
      <c r="E79" s="17"/>
      <c r="F79" s="17"/>
      <c r="G79" s="42">
        <v>1510</v>
      </c>
      <c r="H79" s="42">
        <v>1510</v>
      </c>
      <c r="I79" s="43" t="s">
        <v>156</v>
      </c>
      <c r="J79" s="43" t="s">
        <v>321</v>
      </c>
      <c r="K79" s="43" t="s">
        <v>319</v>
      </c>
      <c r="L79" s="44" t="s">
        <v>317</v>
      </c>
      <c r="M79" s="45">
        <v>3340</v>
      </c>
      <c r="N79" s="44" t="s">
        <v>167</v>
      </c>
      <c r="O79" s="17"/>
      <c r="P79" s="17"/>
      <c r="Q79" s="17"/>
      <c r="R79" s="17"/>
      <c r="S79" s="17"/>
      <c r="T79" s="17"/>
      <c r="U79" s="17"/>
      <c r="V79" s="17"/>
      <c r="W79" s="17"/>
      <c r="X79" s="17"/>
      <c r="Y79" s="46" t="str">
        <f ca="1">IFERROR(VLOOKUP(A79,catalogo!$E:$H,2,0),"-")</f>
        <v>-</v>
      </c>
      <c r="Z79" s="47" t="str">
        <f ca="1">IFERROR(VLOOKUP(A79,catalogo!$E:$G,3,0),"-")</f>
        <v>-</v>
      </c>
      <c r="AA79" s="48"/>
      <c r="AB79" s="48"/>
      <c r="AC79" s="48" t="str">
        <f ca="1">IFERROR(VLOOKUP(A79,catalogo!$E:$H,4,0),"-")</f>
        <v>-</v>
      </c>
      <c r="AD79" s="48"/>
      <c r="AE79" s="48"/>
      <c r="AF79" s="48"/>
      <c r="AG79" s="48"/>
      <c r="AH79" s="48"/>
      <c r="AI79" s="48"/>
    </row>
    <row r="80" spans="1:35" ht="12.5" hidden="1">
      <c r="A80" s="37" t="s">
        <v>334</v>
      </c>
      <c r="B80" s="38" t="str">
        <f>IFERROR(VLOOKUP(J80,catalogo!$B$1:$C$75,2,0),"-")</f>
        <v>#26</v>
      </c>
      <c r="C80" s="39">
        <v>46058.416666666664</v>
      </c>
      <c r="D80" s="17"/>
      <c r="E80" s="17"/>
      <c r="F80" s="17"/>
      <c r="G80" s="42">
        <v>385</v>
      </c>
      <c r="H80" s="42">
        <v>385</v>
      </c>
      <c r="I80" s="43" t="s">
        <v>156</v>
      </c>
      <c r="J80" s="43" t="s">
        <v>67</v>
      </c>
      <c r="K80" s="43" t="s">
        <v>335</v>
      </c>
      <c r="L80" s="44" t="s">
        <v>336</v>
      </c>
      <c r="M80" s="45" t="s">
        <v>159</v>
      </c>
      <c r="N80" s="44" t="s">
        <v>144</v>
      </c>
      <c r="O80" s="17"/>
      <c r="P80" s="17"/>
      <c r="Q80" s="17"/>
      <c r="R80" s="17"/>
      <c r="S80" s="17"/>
      <c r="T80" s="17"/>
      <c r="U80" s="17"/>
      <c r="V80" s="17"/>
      <c r="W80" s="17"/>
      <c r="X80" s="17"/>
      <c r="Y80" s="46" t="str">
        <f ca="1">IFERROR(VLOOKUP(A80,catalogo!$E:$H,2,0),"-")</f>
        <v>-</v>
      </c>
      <c r="Z80" s="47" t="str">
        <f ca="1">IFERROR(VLOOKUP(A80,catalogo!$E:$G,3,0),"-")</f>
        <v>-</v>
      </c>
      <c r="AA80" s="48"/>
      <c r="AB80" s="48"/>
      <c r="AC80" s="48" t="str">
        <f ca="1">IFERROR(VLOOKUP(A80,catalogo!$E:$H,4,0),"-")</f>
        <v>-</v>
      </c>
      <c r="AD80" s="48"/>
      <c r="AE80" s="48"/>
      <c r="AF80" s="48"/>
      <c r="AG80" s="48"/>
      <c r="AH80" s="48"/>
      <c r="AI80" s="48"/>
    </row>
    <row r="81" spans="1:35" ht="12.5" hidden="1">
      <c r="A81" s="37" t="s">
        <v>337</v>
      </c>
      <c r="B81" s="38" t="str">
        <f>IFERROR(VLOOKUP(J81,catalogo!$B$1:$C$75,2,0),"-")</f>
        <v>-</v>
      </c>
      <c r="C81" s="39">
        <v>46058.416666666664</v>
      </c>
      <c r="D81" s="17"/>
      <c r="E81" s="17"/>
      <c r="F81" s="17"/>
      <c r="G81" s="42">
        <v>1377.87</v>
      </c>
      <c r="H81" s="42">
        <v>1377.87</v>
      </c>
      <c r="I81" s="43" t="s">
        <v>156</v>
      </c>
      <c r="J81" s="43" t="s">
        <v>269</v>
      </c>
      <c r="K81" s="43" t="s">
        <v>338</v>
      </c>
      <c r="L81" s="44" t="s">
        <v>317</v>
      </c>
      <c r="M81" s="44" t="s">
        <v>270</v>
      </c>
      <c r="N81" s="44" t="s">
        <v>144</v>
      </c>
      <c r="O81" s="17"/>
      <c r="P81" s="17"/>
      <c r="Q81" s="17"/>
      <c r="R81" s="17"/>
      <c r="S81" s="17"/>
      <c r="T81" s="17"/>
      <c r="U81" s="17"/>
      <c r="V81" s="17"/>
      <c r="W81" s="17"/>
      <c r="X81" s="17"/>
      <c r="Y81" s="46" t="str">
        <f ca="1">IFERROR(VLOOKUP(A81,catalogo!$E:$H,2,0),"-")</f>
        <v>-</v>
      </c>
      <c r="Z81" s="47" t="str">
        <f ca="1">IFERROR(VLOOKUP(A81,catalogo!$E:$G,3,0),"-")</f>
        <v>-</v>
      </c>
      <c r="AA81" s="48"/>
      <c r="AB81" s="48"/>
      <c r="AC81" s="48" t="str">
        <f ca="1">IFERROR(VLOOKUP(A81,catalogo!$E:$H,4,0),"-")</f>
        <v>-</v>
      </c>
      <c r="AD81" s="48"/>
      <c r="AE81" s="48"/>
      <c r="AF81" s="48"/>
      <c r="AG81" s="48"/>
      <c r="AH81" s="48"/>
      <c r="AI81" s="48"/>
    </row>
    <row r="82" spans="1:35" ht="12.5" hidden="1">
      <c r="A82" s="37" t="s">
        <v>339</v>
      </c>
      <c r="B82" s="38" t="str">
        <f>IFERROR(VLOOKUP(J82,catalogo!$B$1:$C$75,2,0),"-")</f>
        <v>#74</v>
      </c>
      <c r="C82" s="39">
        <v>46058.416666666664</v>
      </c>
      <c r="D82" s="17"/>
      <c r="E82" s="17"/>
      <c r="F82" s="17"/>
      <c r="G82" s="42">
        <v>4468.5600000000004</v>
      </c>
      <c r="H82" s="42">
        <v>4468.5600000000004</v>
      </c>
      <c r="I82" s="43" t="s">
        <v>156</v>
      </c>
      <c r="J82" s="43" t="s">
        <v>286</v>
      </c>
      <c r="K82" s="43" t="s">
        <v>340</v>
      </c>
      <c r="L82" s="44" t="s">
        <v>341</v>
      </c>
      <c r="M82" s="45">
        <v>5481</v>
      </c>
      <c r="N82" s="44" t="s">
        <v>167</v>
      </c>
      <c r="O82" s="17"/>
      <c r="P82" s="17"/>
      <c r="Q82" s="17"/>
      <c r="R82" s="17"/>
      <c r="S82" s="17"/>
      <c r="T82" s="17"/>
      <c r="U82" s="17"/>
      <c r="V82" s="17"/>
      <c r="W82" s="17"/>
      <c r="X82" s="17"/>
      <c r="Y82" s="46" t="str">
        <f ca="1">IFERROR(VLOOKUP(A82,catalogo!$E:$G,2,0),"-")</f>
        <v>-</v>
      </c>
      <c r="Z82" s="47" t="str">
        <f ca="1">IFERROR(VLOOKUP(A82,catalogo!$E:$G,3,0),"-")</f>
        <v>-</v>
      </c>
      <c r="AA82" s="48"/>
      <c r="AB82" s="48"/>
      <c r="AC82" s="48" t="str">
        <f ca="1">IFERROR(VLOOKUP(A82,catalogo!$E:$H,4,0),"-")</f>
        <v>-</v>
      </c>
      <c r="AD82" s="48"/>
      <c r="AE82" s="48"/>
      <c r="AF82" s="48"/>
      <c r="AG82" s="48"/>
      <c r="AH82" s="48"/>
      <c r="AI82" s="48"/>
    </row>
    <row r="83" spans="1:35" ht="12.5" hidden="1">
      <c r="A83" s="37" t="s">
        <v>342</v>
      </c>
      <c r="B83" s="38" t="str">
        <f>IFERROR(VLOOKUP(J83,catalogo!$B$1:$C$75,2,0),"-")</f>
        <v>-</v>
      </c>
      <c r="C83" s="39">
        <v>46058.416666666664</v>
      </c>
      <c r="D83" s="17"/>
      <c r="E83" s="17"/>
      <c r="F83" s="17"/>
      <c r="G83" s="42">
        <v>80</v>
      </c>
      <c r="H83" s="42">
        <v>80</v>
      </c>
      <c r="I83" s="43" t="s">
        <v>156</v>
      </c>
      <c r="J83" s="43" t="s">
        <v>343</v>
      </c>
      <c r="K83" s="43" t="s">
        <v>344</v>
      </c>
      <c r="L83" s="44" t="s">
        <v>345</v>
      </c>
      <c r="M83" s="44">
        <v>6747</v>
      </c>
      <c r="N83" s="44" t="s">
        <v>167</v>
      </c>
      <c r="O83" s="17"/>
      <c r="P83" s="17"/>
      <c r="Q83" s="17"/>
      <c r="R83" s="17"/>
      <c r="S83" s="17"/>
      <c r="T83" s="17"/>
      <c r="U83" s="17"/>
      <c r="V83" s="17"/>
      <c r="W83" s="17"/>
      <c r="X83" s="17"/>
      <c r="Y83" s="46">
        <f ca="1">IFERROR(VLOOKUP(A83,catalogo!$E:$G,2,0),"-")</f>
        <v>0</v>
      </c>
      <c r="Z83" s="47">
        <f ca="1">IFERROR(VLOOKUP(A83,catalogo!$E:$G,3,0),"-")</f>
        <v>0</v>
      </c>
      <c r="AA83" s="48"/>
      <c r="AB83" s="48"/>
      <c r="AC83" s="48" t="str">
        <f ca="1">IFERROR(VLOOKUP(A83,catalogo!$E:$H,4,0),"-")</f>
        <v>.</v>
      </c>
      <c r="AD83" s="48"/>
      <c r="AE83" s="48"/>
      <c r="AF83" s="48"/>
      <c r="AG83" s="48"/>
      <c r="AH83" s="48"/>
      <c r="AI83" s="48"/>
    </row>
    <row r="84" spans="1:35" ht="15.5" hidden="1">
      <c r="A84" s="37" t="s">
        <v>346</v>
      </c>
      <c r="B84" s="38" t="str">
        <f>IFERROR(VLOOKUP(J84,catalogo!$B$1:$C$75,2,0),"-")</f>
        <v>#74</v>
      </c>
      <c r="C84" s="39">
        <v>46058.416666666664</v>
      </c>
      <c r="D84" s="17"/>
      <c r="E84" s="17"/>
      <c r="F84" s="17"/>
      <c r="G84" s="42">
        <v>5423.7</v>
      </c>
      <c r="H84" s="42">
        <v>5423.7</v>
      </c>
      <c r="I84" s="43" t="s">
        <v>156</v>
      </c>
      <c r="J84" s="43" t="s">
        <v>286</v>
      </c>
      <c r="K84" s="43" t="s">
        <v>347</v>
      </c>
      <c r="L84" s="44" t="s">
        <v>348</v>
      </c>
      <c r="M84" s="45">
        <v>5481</v>
      </c>
      <c r="N84" s="44" t="s">
        <v>167</v>
      </c>
      <c r="O84" s="49"/>
      <c r="P84" s="17"/>
      <c r="Q84" s="17"/>
      <c r="R84" s="17"/>
      <c r="S84" s="17"/>
      <c r="T84" s="17"/>
      <c r="U84" s="17"/>
      <c r="V84" s="17"/>
      <c r="W84" s="17"/>
      <c r="X84" s="17"/>
      <c r="Y84" s="46" t="str">
        <f ca="1">IFERROR(VLOOKUP(A84,catalogo!$E:$H,2,0),"-")</f>
        <v>Transaction cost</v>
      </c>
      <c r="Z84" s="47" t="str">
        <f ca="1">IFERROR(VLOOKUP(A84,catalogo!$E:$G,3,0),"-")</f>
        <v>calibracion rugosimetro CC calidad</v>
      </c>
      <c r="AA84" s="48"/>
      <c r="AB84" s="48"/>
      <c r="AC84" s="48" t="str">
        <f ca="1">IFERROR(VLOOKUP(A84,catalogo!$E:$H,4,0),"-")</f>
        <v>-</v>
      </c>
      <c r="AD84" s="48"/>
      <c r="AE84" s="48"/>
      <c r="AF84" s="48"/>
      <c r="AG84" s="48"/>
      <c r="AH84" s="48"/>
      <c r="AI84" s="48"/>
    </row>
    <row r="85" spans="1:35" ht="12.5" hidden="1">
      <c r="A85" s="37" t="s">
        <v>349</v>
      </c>
      <c r="B85" s="38" t="str">
        <f>IFERROR(VLOOKUP(J85,catalogo!$B$1:$C$75,2,0),"-")</f>
        <v>-</v>
      </c>
      <c r="C85" s="39">
        <v>46058.416666666664</v>
      </c>
      <c r="D85" s="17"/>
      <c r="E85" s="17"/>
      <c r="F85" s="17"/>
      <c r="G85" s="42">
        <v>355</v>
      </c>
      <c r="H85" s="42">
        <v>355</v>
      </c>
      <c r="I85" s="43" t="s">
        <v>156</v>
      </c>
      <c r="J85" s="43" t="s">
        <v>187</v>
      </c>
      <c r="K85" s="43" t="s">
        <v>350</v>
      </c>
      <c r="L85" s="44" t="s">
        <v>351</v>
      </c>
      <c r="M85" s="44" t="s">
        <v>190</v>
      </c>
      <c r="N85" s="44" t="s">
        <v>167</v>
      </c>
      <c r="O85" s="17"/>
      <c r="P85" s="17"/>
      <c r="Q85" s="17"/>
      <c r="R85" s="17"/>
      <c r="S85" s="17"/>
      <c r="T85" s="17"/>
      <c r="U85" s="17"/>
      <c r="V85" s="17"/>
      <c r="W85" s="17"/>
      <c r="X85" s="17"/>
      <c r="Y85" s="46" t="str">
        <f ca="1">IFERROR(VLOOKUP(A85,catalogo!$E:$G,2,0),"-")</f>
        <v>-</v>
      </c>
      <c r="Z85" s="47" t="str">
        <f ca="1">IFERROR(VLOOKUP(A85,catalogo!$E:$G,3,0),"-")</f>
        <v>-</v>
      </c>
      <c r="AA85" s="48"/>
      <c r="AB85" s="48"/>
      <c r="AC85" s="48" t="str">
        <f ca="1">IFERROR(VLOOKUP(A85,catalogo!$E:$H,4,0),"-")</f>
        <v>-</v>
      </c>
      <c r="AD85" s="48"/>
      <c r="AE85" s="48"/>
      <c r="AF85" s="48"/>
      <c r="AG85" s="48"/>
      <c r="AH85" s="48"/>
      <c r="AI85" s="48"/>
    </row>
    <row r="86" spans="1:35" ht="15.5" hidden="1">
      <c r="A86" s="37" t="s">
        <v>352</v>
      </c>
      <c r="B86" s="38" t="str">
        <f>IFERROR(VLOOKUP(J86,catalogo!$B$1:$C$75,2,0),"-")</f>
        <v>-</v>
      </c>
      <c r="C86" s="39">
        <v>46058.417361111111</v>
      </c>
      <c r="D86" s="17"/>
      <c r="E86" s="17"/>
      <c r="F86" s="17"/>
      <c r="G86" s="42">
        <v>178</v>
      </c>
      <c r="H86" s="42">
        <v>178</v>
      </c>
      <c r="I86" s="43" t="s">
        <v>156</v>
      </c>
      <c r="J86" s="43" t="s">
        <v>187</v>
      </c>
      <c r="K86" s="43" t="s">
        <v>353</v>
      </c>
      <c r="L86" s="44" t="s">
        <v>354</v>
      </c>
      <c r="M86" s="45" t="s">
        <v>190</v>
      </c>
      <c r="N86" s="44" t="s">
        <v>167</v>
      </c>
      <c r="O86" s="49"/>
      <c r="P86" s="17"/>
      <c r="Q86" s="17"/>
      <c r="R86" s="17"/>
      <c r="S86" s="17"/>
      <c r="T86" s="17"/>
      <c r="U86" s="17"/>
      <c r="V86" s="17"/>
      <c r="W86" s="17"/>
      <c r="X86" s="17"/>
      <c r="Y86" s="46" t="str">
        <f ca="1">IFERROR(VLOOKUP(A86,catalogo!$E:$H,2,0),"-")</f>
        <v>-</v>
      </c>
      <c r="Z86" s="47" t="str">
        <f ca="1">IFERROR(VLOOKUP(A86,catalogo!$E:$G,3,0),"-")</f>
        <v>-</v>
      </c>
      <c r="AA86" s="48"/>
      <c r="AB86" s="48"/>
      <c r="AC86" s="48" t="str">
        <f ca="1">IFERROR(VLOOKUP(A86,catalogo!$E:$H,4,0),"-")</f>
        <v>-</v>
      </c>
      <c r="AD86" s="48"/>
      <c r="AE86" s="48"/>
      <c r="AF86" s="48"/>
      <c r="AG86" s="48"/>
      <c r="AH86" s="48"/>
      <c r="AI86" s="48"/>
    </row>
    <row r="87" spans="1:35" ht="12.5" hidden="1">
      <c r="A87" s="37" t="s">
        <v>355</v>
      </c>
      <c r="B87" s="38" t="str">
        <f>IFERROR(VLOOKUP(J87,catalogo!$B$1:$C$75,2,0),"-")</f>
        <v>-</v>
      </c>
      <c r="C87" s="39">
        <v>46058.417361111111</v>
      </c>
      <c r="D87" s="17"/>
      <c r="E87" s="17"/>
      <c r="F87" s="17"/>
      <c r="G87" s="42">
        <v>110</v>
      </c>
      <c r="H87" s="42">
        <v>110</v>
      </c>
      <c r="I87" s="43" t="s">
        <v>156</v>
      </c>
      <c r="J87" s="50" t="s">
        <v>325</v>
      </c>
      <c r="K87" s="43" t="s">
        <v>356</v>
      </c>
      <c r="L87" s="44" t="s">
        <v>357</v>
      </c>
      <c r="M87" s="44">
        <v>7984</v>
      </c>
      <c r="N87" s="44" t="s">
        <v>167</v>
      </c>
      <c r="O87" s="17"/>
      <c r="P87" s="17"/>
      <c r="Q87" s="17"/>
      <c r="R87" s="17"/>
      <c r="S87" s="17"/>
      <c r="T87" s="17"/>
      <c r="U87" s="17"/>
      <c r="V87" s="17"/>
      <c r="W87" s="17"/>
      <c r="X87" s="17"/>
      <c r="Y87" s="46" t="str">
        <f ca="1">IFERROR(VLOOKUP(A87,catalogo!$E:$G,2,0),"-")</f>
        <v>-</v>
      </c>
      <c r="Z87" s="47" t="str">
        <f ca="1">IFERROR(VLOOKUP(A87,catalogo!$E:$G,3,0),"-")</f>
        <v>-</v>
      </c>
      <c r="AA87" s="48"/>
      <c r="AB87" s="48"/>
      <c r="AC87" s="48" t="str">
        <f ca="1">IFERROR(VLOOKUP(A87,catalogo!$E:$H,4,0),"-")</f>
        <v>-</v>
      </c>
      <c r="AD87" s="48"/>
      <c r="AE87" s="48"/>
      <c r="AF87" s="48"/>
      <c r="AG87" s="48"/>
      <c r="AH87" s="48"/>
      <c r="AI87" s="48"/>
    </row>
    <row r="88" spans="1:35" ht="15.5" hidden="1">
      <c r="A88" s="37" t="s">
        <v>358</v>
      </c>
      <c r="B88" s="38" t="str">
        <f>IFERROR(VLOOKUP(J88,catalogo!$B$1:$C$75,2,0),"-")</f>
        <v>#26</v>
      </c>
      <c r="C88" s="39">
        <v>46058.417361111111</v>
      </c>
      <c r="D88" s="17"/>
      <c r="E88" s="17"/>
      <c r="F88" s="17"/>
      <c r="G88" s="42">
        <v>126</v>
      </c>
      <c r="H88" s="42">
        <v>126</v>
      </c>
      <c r="I88" s="43" t="s">
        <v>156</v>
      </c>
      <c r="J88" s="43" t="s">
        <v>67</v>
      </c>
      <c r="K88" s="43" t="s">
        <v>359</v>
      </c>
      <c r="L88" s="44" t="s">
        <v>336</v>
      </c>
      <c r="M88" s="44" t="s">
        <v>159</v>
      </c>
      <c r="N88" s="44" t="s">
        <v>144</v>
      </c>
      <c r="O88" s="49"/>
      <c r="P88" s="17"/>
      <c r="Q88" s="17"/>
      <c r="R88" s="17"/>
      <c r="S88" s="17"/>
      <c r="T88" s="17"/>
      <c r="U88" s="17"/>
      <c r="V88" s="17"/>
      <c r="W88" s="17"/>
      <c r="X88" s="17"/>
      <c r="Y88" s="46" t="str">
        <f ca="1">IFERROR(VLOOKUP(A88,catalogo!$E:$H,2,0),"-")</f>
        <v>-</v>
      </c>
      <c r="Z88" s="47" t="str">
        <f ca="1">IFERROR(VLOOKUP(A88,catalogo!$E:$G,3,0),"-")</f>
        <v>-</v>
      </c>
      <c r="AA88" s="48"/>
      <c r="AB88" s="48"/>
      <c r="AC88" s="48" t="str">
        <f ca="1">IFERROR(VLOOKUP(A88,catalogo!$E:$H,4,0),"-")</f>
        <v>-</v>
      </c>
      <c r="AD88" s="48"/>
      <c r="AE88" s="48"/>
      <c r="AF88" s="48"/>
      <c r="AG88" s="48"/>
      <c r="AH88" s="48"/>
      <c r="AI88" s="48"/>
    </row>
    <row r="89" spans="1:35" ht="15.5" hidden="1">
      <c r="A89" s="37" t="s">
        <v>360</v>
      </c>
      <c r="B89" s="38" t="str">
        <f>IFERROR(VLOOKUP(J89,catalogo!$B$1:$C$75,2,0),"-")</f>
        <v>#6</v>
      </c>
      <c r="C89" s="39">
        <v>46058.417361111111</v>
      </c>
      <c r="D89" s="17"/>
      <c r="E89" s="17"/>
      <c r="F89" s="17"/>
      <c r="G89" s="42">
        <v>1149</v>
      </c>
      <c r="H89" s="42">
        <v>1149</v>
      </c>
      <c r="I89" s="43" t="s">
        <v>156</v>
      </c>
      <c r="J89" s="43" t="s">
        <v>114</v>
      </c>
      <c r="K89" s="43" t="s">
        <v>361</v>
      </c>
      <c r="L89" s="44" t="s">
        <v>362</v>
      </c>
      <c r="M89" s="45" t="s">
        <v>363</v>
      </c>
      <c r="N89" s="44" t="s">
        <v>144</v>
      </c>
      <c r="O89" s="49"/>
      <c r="P89" s="17"/>
      <c r="Q89" s="17"/>
      <c r="R89" s="17"/>
      <c r="S89" s="17"/>
      <c r="T89" s="17"/>
      <c r="U89" s="17"/>
      <c r="V89" s="17"/>
      <c r="W89" s="17"/>
      <c r="X89" s="17"/>
      <c r="Y89" s="46">
        <f ca="1">IFERROR(VLOOKUP(A89,catalogo!$E:$H,2,0),"-")</f>
        <v>0</v>
      </c>
      <c r="Z89" s="47">
        <f ca="1">IFERROR(VLOOKUP(A89,catalogo!$E:$G,3,0),"-")</f>
        <v>0</v>
      </c>
      <c r="AA89" s="48"/>
      <c r="AB89" s="48"/>
      <c r="AC89" s="48" t="str">
        <f ca="1">IFERROR(VLOOKUP(A89,catalogo!$E:$H,4,0),"-")</f>
        <v>.</v>
      </c>
      <c r="AD89" s="48"/>
      <c r="AE89" s="48"/>
      <c r="AF89" s="48"/>
      <c r="AG89" s="48"/>
      <c r="AH89" s="48"/>
      <c r="AI89" s="48"/>
    </row>
    <row r="90" spans="1:35" ht="15.5" hidden="1">
      <c r="A90" s="37" t="s">
        <v>364</v>
      </c>
      <c r="B90" s="38" t="str">
        <f>IFERROR(VLOOKUP(J90,catalogo!$B$1:$C$75,2,0),"-")</f>
        <v>#26</v>
      </c>
      <c r="C90" s="39">
        <v>46058.417361111111</v>
      </c>
      <c r="D90" s="17"/>
      <c r="E90" s="17"/>
      <c r="F90" s="17"/>
      <c r="G90" s="42">
        <v>410.08</v>
      </c>
      <c r="H90" s="42">
        <v>410.08</v>
      </c>
      <c r="I90" s="43" t="s">
        <v>156</v>
      </c>
      <c r="J90" s="43" t="s">
        <v>67</v>
      </c>
      <c r="K90" s="43" t="s">
        <v>365</v>
      </c>
      <c r="L90" s="44" t="s">
        <v>366</v>
      </c>
      <c r="M90" s="45" t="s">
        <v>159</v>
      </c>
      <c r="N90" s="44" t="s">
        <v>144</v>
      </c>
      <c r="O90" s="49"/>
      <c r="P90" s="17"/>
      <c r="Q90" s="17"/>
      <c r="R90" s="17"/>
      <c r="S90" s="17"/>
      <c r="T90" s="17"/>
      <c r="U90" s="17"/>
      <c r="V90" s="17"/>
      <c r="W90" s="17"/>
      <c r="X90" s="17"/>
      <c r="Y90" s="46" t="str">
        <f ca="1">IFERROR(VLOOKUP(A90,catalogo!$E:$H,2,0),"-")</f>
        <v>-</v>
      </c>
      <c r="Z90" s="47" t="str">
        <f ca="1">IFERROR(VLOOKUP(A90,catalogo!$E:$G,3,0),"-")</f>
        <v>-</v>
      </c>
      <c r="AA90" s="48"/>
      <c r="AB90" s="48"/>
      <c r="AC90" s="48" t="str">
        <f ca="1">IFERROR(VLOOKUP(A90,catalogo!$E:$H,4,0),"-")</f>
        <v>-</v>
      </c>
      <c r="AD90" s="48"/>
      <c r="AE90" s="48"/>
      <c r="AF90" s="48"/>
      <c r="AG90" s="48"/>
      <c r="AH90" s="48"/>
      <c r="AI90" s="48"/>
    </row>
    <row r="91" spans="1:35" ht="12.5" hidden="1">
      <c r="A91" s="37" t="s">
        <v>367</v>
      </c>
      <c r="B91" s="38" t="str">
        <f>IFERROR(VLOOKUP(J91,catalogo!$B$1:$C$75,2,0),"-")</f>
        <v>-</v>
      </c>
      <c r="C91" s="39">
        <v>46058.417361111111</v>
      </c>
      <c r="D91" s="40"/>
      <c r="E91" s="41"/>
      <c r="F91" s="41"/>
      <c r="G91" s="42">
        <v>446</v>
      </c>
      <c r="H91" s="42">
        <v>446</v>
      </c>
      <c r="I91" s="43" t="s">
        <v>156</v>
      </c>
      <c r="J91" s="43" t="s">
        <v>102</v>
      </c>
      <c r="K91" s="43" t="s">
        <v>368</v>
      </c>
      <c r="L91" s="44" t="s">
        <v>369</v>
      </c>
      <c r="M91" s="45">
        <v>6448</v>
      </c>
      <c r="N91" s="44" t="s">
        <v>167</v>
      </c>
      <c r="O91" s="41"/>
      <c r="P91" s="41"/>
      <c r="Q91" s="41"/>
      <c r="R91" s="41"/>
      <c r="S91" s="41"/>
      <c r="T91" s="41"/>
      <c r="U91" s="41"/>
      <c r="V91" s="41"/>
      <c r="W91" s="41"/>
      <c r="X91" s="41"/>
      <c r="Y91" s="46" t="str">
        <f ca="1">IFERROR(VLOOKUP(A91,catalogo!$E:$H,2,0),"-")</f>
        <v>-</v>
      </c>
      <c r="Z91" s="47" t="str">
        <f ca="1">IFERROR(VLOOKUP(A91,catalogo!$E:$G,3,0),"-")</f>
        <v>-</v>
      </c>
      <c r="AA91" s="48"/>
      <c r="AB91" s="48"/>
      <c r="AC91" s="48" t="str">
        <f ca="1">IFERROR(VLOOKUP(A91,catalogo!$E:$H,4,0),"-")</f>
        <v>-</v>
      </c>
      <c r="AD91" s="48"/>
      <c r="AE91" s="48"/>
      <c r="AF91" s="48"/>
      <c r="AG91" s="48"/>
      <c r="AH91" s="48"/>
      <c r="AI91" s="48"/>
    </row>
    <row r="92" spans="1:35" ht="12.5" hidden="1">
      <c r="A92" s="37" t="s">
        <v>370</v>
      </c>
      <c r="B92" s="38" t="str">
        <f>IFERROR(VLOOKUP(J92,catalogo!$B$1:$C$75,2,0),"-")</f>
        <v>#5</v>
      </c>
      <c r="C92" s="39">
        <v>46058.417361111111</v>
      </c>
      <c r="D92" s="40"/>
      <c r="E92" s="41"/>
      <c r="F92" s="41"/>
      <c r="G92" s="42">
        <v>70</v>
      </c>
      <c r="H92" s="42">
        <v>70</v>
      </c>
      <c r="I92" s="43" t="s">
        <v>156</v>
      </c>
      <c r="J92" s="43" t="s">
        <v>104</v>
      </c>
      <c r="K92" s="43" t="s">
        <v>371</v>
      </c>
      <c r="L92" s="44" t="s">
        <v>233</v>
      </c>
      <c r="M92" s="45">
        <v>3283</v>
      </c>
      <c r="N92" s="44" t="s">
        <v>167</v>
      </c>
      <c r="O92" s="41"/>
      <c r="P92" s="41"/>
      <c r="Q92" s="41"/>
      <c r="R92" s="41"/>
      <c r="S92" s="41"/>
      <c r="T92" s="41"/>
      <c r="U92" s="41"/>
      <c r="V92" s="41"/>
      <c r="W92" s="41"/>
      <c r="X92" s="41"/>
      <c r="Y92" s="46" t="str">
        <f ca="1">IFERROR(VLOOKUP(A92,catalogo!$E:$H,2,0),"-")</f>
        <v>Office expenses</v>
      </c>
      <c r="Z92" s="47" t="str">
        <f ca="1">IFERROR(VLOOKUP(A92,catalogo!$E:$G,3,0),"-")</f>
        <v>Snacks para la oficina</v>
      </c>
      <c r="AA92" s="48"/>
      <c r="AB92" s="48"/>
      <c r="AC92" s="48" t="str">
        <f ca="1">IFERROR(VLOOKUP(A92,catalogo!$E:$H,4,0),"-")</f>
        <v>.</v>
      </c>
      <c r="AD92" s="48"/>
      <c r="AE92" s="48"/>
      <c r="AF92" s="48"/>
      <c r="AG92" s="48"/>
      <c r="AH92" s="48"/>
      <c r="AI92" s="48"/>
    </row>
    <row r="93" spans="1:35" ht="12.5" hidden="1">
      <c r="A93" s="37" t="s">
        <v>372</v>
      </c>
      <c r="B93" s="38" t="str">
        <f>IFERROR(VLOOKUP(J93,catalogo!$B$1:$C$75,2,0),"-")</f>
        <v>#64</v>
      </c>
      <c r="C93" s="39">
        <v>46058.417361111111</v>
      </c>
      <c r="D93" s="17"/>
      <c r="E93" s="17"/>
      <c r="F93" s="17"/>
      <c r="G93" s="42">
        <v>380</v>
      </c>
      <c r="H93" s="42">
        <v>380</v>
      </c>
      <c r="I93" s="43" t="s">
        <v>156</v>
      </c>
      <c r="J93" s="43" t="s">
        <v>139</v>
      </c>
      <c r="K93" s="43" t="s">
        <v>184</v>
      </c>
      <c r="L93" s="44" t="s">
        <v>185</v>
      </c>
      <c r="M93" s="45">
        <v>7142</v>
      </c>
      <c r="N93" s="44" t="s">
        <v>167</v>
      </c>
      <c r="O93" s="17"/>
      <c r="P93" s="17"/>
      <c r="Q93" s="17"/>
      <c r="R93" s="17"/>
      <c r="S93" s="17"/>
      <c r="T93" s="17"/>
      <c r="U93" s="17"/>
      <c r="V93" s="17"/>
      <c r="W93" s="17"/>
      <c r="X93" s="17"/>
      <c r="Y93" s="46" t="str">
        <f ca="1">IFERROR(VLOOKUP(A93,catalogo!$E:$H,2,0),"-")</f>
        <v>-</v>
      </c>
      <c r="Z93" s="47" t="str">
        <f ca="1">IFERROR(VLOOKUP(A93,catalogo!$E:$G,3,0),"-")</f>
        <v>-</v>
      </c>
      <c r="AA93" s="48"/>
      <c r="AB93" s="48"/>
      <c r="AC93" s="48" t="str">
        <f ca="1">IFERROR(VLOOKUP(A93,catalogo!$E:$H,4,0),"-")</f>
        <v>-</v>
      </c>
      <c r="AD93" s="48"/>
      <c r="AE93" s="48"/>
      <c r="AF93" s="48"/>
      <c r="AG93" s="48"/>
      <c r="AH93" s="48"/>
      <c r="AI93" s="48"/>
    </row>
    <row r="94" spans="1:35" ht="12.5" hidden="1">
      <c r="A94" s="37" t="s">
        <v>373</v>
      </c>
      <c r="B94" s="38" t="str">
        <f>IFERROR(VLOOKUP(J94,catalogo!$B$1:$C$75,2,0),"-")</f>
        <v>-</v>
      </c>
      <c r="C94" s="39">
        <v>46058.417361111111</v>
      </c>
      <c r="D94" s="17"/>
      <c r="E94" s="17"/>
      <c r="F94" s="17"/>
      <c r="G94" s="42">
        <v>61.2</v>
      </c>
      <c r="H94" s="42">
        <v>61.2</v>
      </c>
      <c r="I94" s="43" t="s">
        <v>156</v>
      </c>
      <c r="J94" s="43" t="s">
        <v>269</v>
      </c>
      <c r="K94" s="43" t="s">
        <v>374</v>
      </c>
      <c r="L94" s="44" t="s">
        <v>375</v>
      </c>
      <c r="M94" s="45">
        <v>6130</v>
      </c>
      <c r="N94" s="44" t="s">
        <v>167</v>
      </c>
      <c r="O94" s="17"/>
      <c r="P94" s="17"/>
      <c r="Q94" s="17"/>
      <c r="R94" s="17"/>
      <c r="S94" s="17"/>
      <c r="T94" s="17"/>
      <c r="U94" s="17"/>
      <c r="V94" s="17"/>
      <c r="W94" s="17"/>
      <c r="X94" s="17"/>
      <c r="Y94" s="46" t="str">
        <f ca="1">IFERROR(VLOOKUP(A94,catalogo!$E:$G,2,0),"-")</f>
        <v>-</v>
      </c>
      <c r="Z94" s="47" t="str">
        <f ca="1">IFERROR(VLOOKUP(A94,catalogo!$E:$G,3,0),"-")</f>
        <v>-</v>
      </c>
      <c r="AA94" s="48"/>
      <c r="AB94" s="48"/>
      <c r="AC94" s="48" t="str">
        <f ca="1">IFERROR(VLOOKUP(A94,catalogo!$E:$H,4,0),"-")</f>
        <v>-</v>
      </c>
      <c r="AD94" s="48"/>
      <c r="AE94" s="48"/>
      <c r="AF94" s="48"/>
      <c r="AG94" s="48"/>
      <c r="AH94" s="48"/>
      <c r="AI94" s="48"/>
    </row>
    <row r="95" spans="1:35" ht="12.5" hidden="1">
      <c r="A95" s="37" t="s">
        <v>376</v>
      </c>
      <c r="B95" s="38" t="str">
        <f>IFERROR(VLOOKUP(J95,catalogo!$B$1:$C$75,2,0),"-")</f>
        <v>-</v>
      </c>
      <c r="C95" s="39">
        <v>46058.417361111111</v>
      </c>
      <c r="D95" s="17"/>
      <c r="E95" s="17"/>
      <c r="F95" s="17"/>
      <c r="G95" s="42">
        <v>462</v>
      </c>
      <c r="H95" s="42">
        <v>462</v>
      </c>
      <c r="I95" s="55" t="s">
        <v>156</v>
      </c>
      <c r="J95" s="43" t="s">
        <v>269</v>
      </c>
      <c r="K95" s="43" t="s">
        <v>377</v>
      </c>
      <c r="L95" s="44" t="s">
        <v>378</v>
      </c>
      <c r="M95" s="44">
        <v>6130</v>
      </c>
      <c r="N95" s="44" t="s">
        <v>167</v>
      </c>
      <c r="O95" s="17"/>
      <c r="P95" s="17"/>
      <c r="Q95" s="17"/>
      <c r="R95" s="17"/>
      <c r="S95" s="17"/>
      <c r="T95" s="17"/>
      <c r="U95" s="17"/>
      <c r="V95" s="17"/>
      <c r="W95" s="17"/>
      <c r="X95" s="17"/>
      <c r="Y95" s="46" t="str">
        <f ca="1">IFERROR(VLOOKUP(A95,catalogo!$E:$H,2,0),"-")</f>
        <v>-</v>
      </c>
      <c r="Z95" s="47" t="str">
        <f ca="1">IFERROR(VLOOKUP(A95,catalogo!$E:$G,3,0),"-")</f>
        <v>-</v>
      </c>
      <c r="AA95" s="48"/>
      <c r="AB95" s="48"/>
      <c r="AC95" s="48" t="str">
        <f ca="1">IFERROR(VLOOKUP(A95,catalogo!$E:$H,4,0),"-")</f>
        <v>-</v>
      </c>
      <c r="AD95" s="48"/>
      <c r="AE95" s="48"/>
      <c r="AF95" s="48"/>
      <c r="AG95" s="48"/>
      <c r="AH95" s="48"/>
      <c r="AI95" s="48"/>
    </row>
    <row r="96" spans="1:35" ht="12.5" hidden="1">
      <c r="A96" s="37" t="s">
        <v>379</v>
      </c>
      <c r="B96" s="38" t="str">
        <f>IFERROR(VLOOKUP(J96,catalogo!$B$1:$C$75,2,0),"-")</f>
        <v>#64</v>
      </c>
      <c r="C96" s="39">
        <v>46058.417361111111</v>
      </c>
      <c r="D96" s="17"/>
      <c r="E96" s="17"/>
      <c r="F96" s="17"/>
      <c r="G96" s="42">
        <v>233.15</v>
      </c>
      <c r="H96" s="42">
        <v>233.15</v>
      </c>
      <c r="I96" s="43" t="s">
        <v>156</v>
      </c>
      <c r="J96" s="43" t="s">
        <v>139</v>
      </c>
      <c r="K96" s="43" t="s">
        <v>169</v>
      </c>
      <c r="L96" s="44" t="s">
        <v>170</v>
      </c>
      <c r="M96" s="45">
        <v>7142</v>
      </c>
      <c r="N96" s="44" t="s">
        <v>167</v>
      </c>
      <c r="O96" s="17"/>
      <c r="P96" s="17"/>
      <c r="Q96" s="17"/>
      <c r="R96" s="17"/>
      <c r="S96" s="17"/>
      <c r="T96" s="17"/>
      <c r="U96" s="17"/>
      <c r="V96" s="17"/>
      <c r="W96" s="17"/>
      <c r="X96" s="17"/>
      <c r="Y96" s="46" t="str">
        <f ca="1">IFERROR(VLOOKUP(A96,catalogo!$E:$G,2,0),"-")</f>
        <v>-</v>
      </c>
      <c r="Z96" s="47" t="str">
        <f ca="1">IFERROR(VLOOKUP(A96,catalogo!$E:$G,3,0),"-")</f>
        <v>-</v>
      </c>
      <c r="AA96" s="48"/>
      <c r="AB96" s="48"/>
      <c r="AC96" s="48" t="str">
        <f ca="1">IFERROR(VLOOKUP(A96,catalogo!$E:$H,4,0),"-")</f>
        <v>-</v>
      </c>
      <c r="AD96" s="48"/>
      <c r="AE96" s="48"/>
      <c r="AF96" s="48"/>
      <c r="AG96" s="48"/>
      <c r="AH96" s="48"/>
      <c r="AI96" s="48"/>
    </row>
    <row r="97" spans="1:35" ht="12.5" hidden="1">
      <c r="A97" s="37" t="s">
        <v>380</v>
      </c>
      <c r="B97" s="38" t="str">
        <f>IFERROR(VLOOKUP(J97,catalogo!$B$1:$C$75,2,0),"-")</f>
        <v>#19</v>
      </c>
      <c r="C97" s="39">
        <v>46058.417361111111</v>
      </c>
      <c r="D97" s="17"/>
      <c r="E97" s="17"/>
      <c r="F97" s="17"/>
      <c r="G97" s="42">
        <v>213</v>
      </c>
      <c r="H97" s="42">
        <v>213</v>
      </c>
      <c r="I97" s="43" t="s">
        <v>156</v>
      </c>
      <c r="J97" s="50" t="s">
        <v>105</v>
      </c>
      <c r="K97" s="43" t="s">
        <v>381</v>
      </c>
      <c r="L97" s="44" t="s">
        <v>382</v>
      </c>
      <c r="M97" s="45">
        <v>5778</v>
      </c>
      <c r="N97" s="44" t="s">
        <v>167</v>
      </c>
      <c r="O97" s="17"/>
      <c r="P97" s="17"/>
      <c r="Q97" s="17"/>
      <c r="R97" s="17"/>
      <c r="S97" s="17"/>
      <c r="T97" s="17"/>
      <c r="U97" s="17"/>
      <c r="V97" s="17"/>
      <c r="W97" s="17"/>
      <c r="X97" s="17"/>
      <c r="Y97" s="46" t="str">
        <f ca="1">IFERROR(VLOOKUP(A97,catalogo!$E:$G,2,0),"-")</f>
        <v>Transaction cost</v>
      </c>
      <c r="Z97" s="47" t="str">
        <f ca="1">IFERROR(VLOOKUP(A97,catalogo!$E:$G,3,0),"-")</f>
        <v>PO2023 SIB 99 min</v>
      </c>
      <c r="AA97" s="48"/>
      <c r="AB97" s="48"/>
      <c r="AC97" s="48" t="str">
        <f ca="1">IFERROR(VLOOKUP(A97,catalogo!$E:$H,4,0),"-")</f>
        <v>-</v>
      </c>
      <c r="AD97" s="48"/>
      <c r="AE97" s="48"/>
      <c r="AF97" s="48"/>
      <c r="AG97" s="48"/>
      <c r="AH97" s="48"/>
      <c r="AI97" s="48"/>
    </row>
    <row r="98" spans="1:35" ht="12.5" hidden="1">
      <c r="A98" s="37" t="s">
        <v>383</v>
      </c>
      <c r="B98" s="38" t="str">
        <f>IFERROR(VLOOKUP(J98,catalogo!$B$1:$C$75,2,0),"-")</f>
        <v>#68</v>
      </c>
      <c r="C98" s="39">
        <v>46058.417361111111</v>
      </c>
      <c r="D98" s="17"/>
      <c r="E98" s="17"/>
      <c r="F98" s="17"/>
      <c r="G98" s="42">
        <v>68.5</v>
      </c>
      <c r="H98" s="42">
        <v>68.5</v>
      </c>
      <c r="I98" s="43" t="s">
        <v>156</v>
      </c>
      <c r="J98" s="43" t="s">
        <v>384</v>
      </c>
      <c r="K98" s="43" t="s">
        <v>385</v>
      </c>
      <c r="L98" s="44" t="s">
        <v>386</v>
      </c>
      <c r="M98" s="44">
        <v>2937</v>
      </c>
      <c r="N98" s="44" t="s">
        <v>167</v>
      </c>
      <c r="O98" s="17"/>
      <c r="P98" s="17"/>
      <c r="Q98" s="17"/>
      <c r="R98" s="17"/>
      <c r="S98" s="17"/>
      <c r="T98" s="17"/>
      <c r="U98" s="17"/>
      <c r="V98" s="17"/>
      <c r="W98" s="17"/>
      <c r="X98" s="17"/>
      <c r="Y98" s="46" t="str">
        <f ca="1">IFERROR(VLOOKUP(A98,catalogo!$E:$H,2,0),"-")</f>
        <v>-</v>
      </c>
      <c r="Z98" s="47" t="str">
        <f ca="1">IFERROR(VLOOKUP(A98,catalogo!$E:$G,3,0),"-")</f>
        <v>-</v>
      </c>
      <c r="AA98" s="48"/>
      <c r="AB98" s="48"/>
      <c r="AC98" s="48" t="str">
        <f ca="1">IFERROR(VLOOKUP(A98,catalogo!$E:$H,4,0),"-")</f>
        <v>-</v>
      </c>
      <c r="AD98" s="48"/>
      <c r="AE98" s="48"/>
      <c r="AF98" s="48"/>
      <c r="AG98" s="48"/>
      <c r="AH98" s="48"/>
      <c r="AI98" s="48"/>
    </row>
    <row r="99" spans="1:35" ht="15.5" hidden="1">
      <c r="A99" s="37" t="s">
        <v>387</v>
      </c>
      <c r="B99" s="38" t="str">
        <f>IFERROR(VLOOKUP(J99,catalogo!$B$1:$C$75,2,0),"-")</f>
        <v>#34</v>
      </c>
      <c r="C99" s="39">
        <v>46058.417361111111</v>
      </c>
      <c r="D99" s="17"/>
      <c r="E99" s="17"/>
      <c r="F99" s="17"/>
      <c r="G99" s="42">
        <v>661.25</v>
      </c>
      <c r="H99" s="42">
        <v>661.25</v>
      </c>
      <c r="I99" s="43" t="s">
        <v>156</v>
      </c>
      <c r="J99" s="43" t="s">
        <v>116</v>
      </c>
      <c r="K99" s="43" t="s">
        <v>388</v>
      </c>
      <c r="L99" s="44" t="s">
        <v>389</v>
      </c>
      <c r="M99" s="45">
        <v>333</v>
      </c>
      <c r="N99" s="44" t="s">
        <v>167</v>
      </c>
      <c r="O99" s="49"/>
      <c r="P99" s="17"/>
      <c r="Q99" s="17"/>
      <c r="R99" s="17"/>
      <c r="S99" s="17"/>
      <c r="T99" s="17"/>
      <c r="U99" s="17"/>
      <c r="V99" s="17"/>
      <c r="W99" s="17"/>
      <c r="X99" s="17"/>
      <c r="Y99" s="46" t="str">
        <f ca="1">IFERROR(VLOOKUP(A99,catalogo!$E:$H,2,0),"-")</f>
        <v>-</v>
      </c>
      <c r="Z99" s="47" t="str">
        <f ca="1">IFERROR(VLOOKUP(A99,catalogo!$E:$G,3,0),"-")</f>
        <v>-</v>
      </c>
      <c r="AA99" s="48"/>
      <c r="AB99" s="48"/>
      <c r="AC99" s="48" t="str">
        <f ca="1">IFERROR(VLOOKUP(A99,catalogo!$E:$H,4,0),"-")</f>
        <v>-</v>
      </c>
      <c r="AD99" s="48"/>
      <c r="AE99" s="48"/>
      <c r="AF99" s="48"/>
      <c r="AG99" s="48"/>
      <c r="AH99" s="48"/>
      <c r="AI99" s="48"/>
    </row>
    <row r="100" spans="1:35" ht="12.5" hidden="1">
      <c r="A100" s="37" t="s">
        <v>390</v>
      </c>
      <c r="B100" s="38" t="str">
        <f>IFERROR(VLOOKUP(J100,catalogo!$B$1:$C$75,2,0),"-")</f>
        <v>-</v>
      </c>
      <c r="C100" s="39">
        <v>46058.417361111111</v>
      </c>
      <c r="D100" s="17"/>
      <c r="E100" s="17"/>
      <c r="F100" s="17"/>
      <c r="G100" s="42">
        <v>389.4</v>
      </c>
      <c r="H100" s="42">
        <v>389.4</v>
      </c>
      <c r="I100" s="43" t="s">
        <v>156</v>
      </c>
      <c r="J100" s="43" t="s">
        <v>269</v>
      </c>
      <c r="K100" s="43" t="s">
        <v>391</v>
      </c>
      <c r="L100" s="44" t="s">
        <v>392</v>
      </c>
      <c r="M100" s="44">
        <v>6130</v>
      </c>
      <c r="N100" s="44" t="s">
        <v>167</v>
      </c>
      <c r="O100" s="17"/>
      <c r="P100" s="17"/>
      <c r="Q100" s="17"/>
      <c r="R100" s="17"/>
      <c r="S100" s="17"/>
      <c r="T100" s="17"/>
      <c r="U100" s="17"/>
      <c r="V100" s="17"/>
      <c r="W100" s="17"/>
      <c r="X100" s="17"/>
      <c r="Y100" s="46" t="str">
        <f ca="1">IFERROR(VLOOKUP(A100,catalogo!$E:$H,2,0),"-")</f>
        <v>-</v>
      </c>
      <c r="Z100" s="47" t="str">
        <f ca="1">IFERROR(VLOOKUP(A100,catalogo!$E:$G,3,0),"-")</f>
        <v>-</v>
      </c>
      <c r="AA100" s="48"/>
      <c r="AB100" s="48"/>
      <c r="AC100" s="48" t="str">
        <f ca="1">IFERROR(VLOOKUP(A100,catalogo!$E:$H,4,0),"-")</f>
        <v>-</v>
      </c>
      <c r="AD100" s="48"/>
      <c r="AE100" s="48"/>
      <c r="AF100" s="48"/>
      <c r="AG100" s="48"/>
      <c r="AH100" s="48"/>
      <c r="AI100" s="48"/>
    </row>
    <row r="101" spans="1:35" ht="12.5" hidden="1">
      <c r="A101" s="37" t="s">
        <v>393</v>
      </c>
      <c r="B101" s="38" t="str">
        <f>IFERROR(VLOOKUP(J101,catalogo!$B$1:$C$75,2,0),"-")</f>
        <v>#26</v>
      </c>
      <c r="C101" s="39">
        <v>46058.417361111111</v>
      </c>
      <c r="D101" s="17"/>
      <c r="E101" s="17"/>
      <c r="F101" s="17"/>
      <c r="G101" s="42">
        <v>125</v>
      </c>
      <c r="H101" s="42">
        <v>125</v>
      </c>
      <c r="I101" s="43" t="s">
        <v>156</v>
      </c>
      <c r="J101" s="43" t="s">
        <v>67</v>
      </c>
      <c r="K101" s="43" t="s">
        <v>335</v>
      </c>
      <c r="L101" s="44" t="s">
        <v>336</v>
      </c>
      <c r="M101" s="45" t="s">
        <v>159</v>
      </c>
      <c r="N101" s="44" t="s">
        <v>144</v>
      </c>
      <c r="O101" s="17"/>
      <c r="P101" s="17"/>
      <c r="Q101" s="17"/>
      <c r="R101" s="17"/>
      <c r="S101" s="17"/>
      <c r="T101" s="17"/>
      <c r="U101" s="17"/>
      <c r="V101" s="17"/>
      <c r="W101" s="17"/>
      <c r="X101" s="17"/>
      <c r="Y101" s="46" t="str">
        <f ca="1">IFERROR(VLOOKUP(A101,catalogo!$E:$G,2,0),"-")</f>
        <v>-</v>
      </c>
      <c r="Z101" s="47" t="str">
        <f ca="1">IFERROR(VLOOKUP(A101,catalogo!$E:$G,3,0),"-")</f>
        <v>-</v>
      </c>
      <c r="AA101" s="48"/>
      <c r="AB101" s="48"/>
      <c r="AC101" s="48" t="str">
        <f ca="1">IFERROR(VLOOKUP(A101,catalogo!$E:$H,4,0),"-")</f>
        <v>-</v>
      </c>
      <c r="AD101" s="48"/>
      <c r="AE101" s="48"/>
      <c r="AF101" s="48"/>
      <c r="AG101" s="48"/>
      <c r="AH101" s="48"/>
      <c r="AI101" s="48"/>
    </row>
    <row r="102" spans="1:35" ht="12.5" hidden="1">
      <c r="A102" s="37" t="s">
        <v>394</v>
      </c>
      <c r="B102" s="38" t="str">
        <f>IFERROR(VLOOKUP(J102,catalogo!$B$1:$C$75,2,0),"-")</f>
        <v>#26</v>
      </c>
      <c r="C102" s="39">
        <v>46058.417361111111</v>
      </c>
      <c r="D102" s="52"/>
      <c r="E102" s="17"/>
      <c r="F102" s="17"/>
      <c r="G102" s="42">
        <v>125</v>
      </c>
      <c r="H102" s="42">
        <v>125</v>
      </c>
      <c r="I102" s="43" t="s">
        <v>156</v>
      </c>
      <c r="J102" s="43" t="s">
        <v>67</v>
      </c>
      <c r="K102" s="43" t="s">
        <v>395</v>
      </c>
      <c r="L102" s="44" t="s">
        <v>336</v>
      </c>
      <c r="M102" s="44" t="s">
        <v>159</v>
      </c>
      <c r="N102" s="44" t="s">
        <v>144</v>
      </c>
      <c r="O102" s="17"/>
      <c r="P102" s="17"/>
      <c r="Q102" s="17"/>
      <c r="R102" s="17"/>
      <c r="S102" s="17"/>
      <c r="T102" s="17"/>
      <c r="U102" s="17"/>
      <c r="V102" s="17"/>
      <c r="W102" s="17"/>
      <c r="X102" s="17"/>
      <c r="Y102" s="46" t="str">
        <f ca="1">IFERROR(VLOOKUP(A102,catalogo!$E:$H,2,0),"-")</f>
        <v>-</v>
      </c>
      <c r="Z102" s="47" t="str">
        <f ca="1">IFERROR(VLOOKUP(A102,catalogo!$E:$G,3,0),"-")</f>
        <v>-</v>
      </c>
      <c r="AA102" s="48"/>
      <c r="AB102" s="48"/>
      <c r="AC102" s="48" t="str">
        <f ca="1">IFERROR(VLOOKUP(A102,catalogo!$E:$H,4,0),"-")</f>
        <v>-</v>
      </c>
      <c r="AD102" s="48"/>
      <c r="AE102" s="48"/>
      <c r="AF102" s="48"/>
      <c r="AG102" s="48"/>
      <c r="AH102" s="48"/>
      <c r="AI102" s="48"/>
    </row>
    <row r="103" spans="1:35" ht="12.5" hidden="1">
      <c r="A103" s="37" t="s">
        <v>396</v>
      </c>
      <c r="B103" s="38" t="str">
        <f>IFERROR(VLOOKUP(J103,catalogo!$B$1:$C$75,2,0),"-")</f>
        <v>#56</v>
      </c>
      <c r="C103" s="39">
        <v>46058.417361111111</v>
      </c>
      <c r="D103" s="17"/>
      <c r="E103" s="17"/>
      <c r="F103" s="17"/>
      <c r="G103" s="42">
        <v>122</v>
      </c>
      <c r="H103" s="42">
        <v>122</v>
      </c>
      <c r="I103" s="43" t="s">
        <v>156</v>
      </c>
      <c r="J103" s="43" t="s">
        <v>99</v>
      </c>
      <c r="K103" s="43" t="s">
        <v>359</v>
      </c>
      <c r="L103" s="44" t="s">
        <v>336</v>
      </c>
      <c r="M103" s="45">
        <v>8949</v>
      </c>
      <c r="N103" s="44" t="s">
        <v>167</v>
      </c>
      <c r="O103" s="17"/>
      <c r="P103" s="17"/>
      <c r="Q103" s="17"/>
      <c r="R103" s="17"/>
      <c r="S103" s="17"/>
      <c r="T103" s="17"/>
      <c r="U103" s="17"/>
      <c r="V103" s="17"/>
      <c r="W103" s="17"/>
      <c r="X103" s="17"/>
      <c r="Y103" s="46" t="str">
        <f ca="1">IFERROR(VLOOKUP(A103,catalogo!$E:$G,2,0),"-")</f>
        <v>-</v>
      </c>
      <c r="Z103" s="47" t="str">
        <f ca="1">IFERROR(VLOOKUP(A103,catalogo!$E:$G,3,0),"-")</f>
        <v>-</v>
      </c>
      <c r="AA103" s="48"/>
      <c r="AB103" s="48"/>
      <c r="AC103" s="48" t="str">
        <f ca="1">IFERROR(VLOOKUP(A103,catalogo!$E:$H,4,0),"-")</f>
        <v>-</v>
      </c>
      <c r="AD103" s="48"/>
      <c r="AE103" s="48"/>
      <c r="AF103" s="48"/>
      <c r="AG103" s="48"/>
      <c r="AH103" s="48"/>
      <c r="AI103" s="48"/>
    </row>
    <row r="104" spans="1:35" ht="12.5" hidden="1">
      <c r="A104" s="37" t="s">
        <v>397</v>
      </c>
      <c r="B104" s="38" t="str">
        <f>IFERROR(VLOOKUP(J104,catalogo!$B$1:$C$75,2,0),"-")</f>
        <v>#56</v>
      </c>
      <c r="C104" s="39">
        <v>46058.417361111111</v>
      </c>
      <c r="D104" s="17"/>
      <c r="E104" s="17"/>
      <c r="F104" s="17"/>
      <c r="G104" s="42">
        <v>133</v>
      </c>
      <c r="H104" s="42">
        <v>133</v>
      </c>
      <c r="I104" s="43" t="s">
        <v>156</v>
      </c>
      <c r="J104" s="43" t="s">
        <v>99</v>
      </c>
      <c r="K104" s="43" t="s">
        <v>359</v>
      </c>
      <c r="L104" s="44" t="s">
        <v>336</v>
      </c>
      <c r="M104" s="45">
        <v>8949</v>
      </c>
      <c r="N104" s="44" t="s">
        <v>167</v>
      </c>
      <c r="O104" s="17"/>
      <c r="P104" s="17"/>
      <c r="Q104" s="17"/>
      <c r="R104" s="17"/>
      <c r="S104" s="17"/>
      <c r="T104" s="17"/>
      <c r="U104" s="17"/>
      <c r="V104" s="17"/>
      <c r="W104" s="17"/>
      <c r="X104" s="17"/>
      <c r="Y104" s="46" t="str">
        <f ca="1">IFERROR(VLOOKUP(A104,catalogo!$E:$G,2,0),"-")</f>
        <v>-</v>
      </c>
      <c r="Z104" s="47" t="str">
        <f ca="1">IFERROR(VLOOKUP(A104,catalogo!$E:$G,3,0),"-")</f>
        <v>-</v>
      </c>
      <c r="AA104" s="48"/>
      <c r="AB104" s="48"/>
      <c r="AC104" s="48" t="str">
        <f ca="1">IFERROR(VLOOKUP(A104,catalogo!$E:$H,4,0),"-")</f>
        <v>-</v>
      </c>
      <c r="AD104" s="48"/>
      <c r="AE104" s="48"/>
      <c r="AF104" s="48"/>
      <c r="AG104" s="48"/>
      <c r="AH104" s="48"/>
      <c r="AI104" s="48"/>
    </row>
    <row r="105" spans="1:35" ht="12.5" hidden="1">
      <c r="A105" s="37" t="s">
        <v>398</v>
      </c>
      <c r="B105" s="38" t="str">
        <f>IFERROR(VLOOKUP(J105,catalogo!$B$1:$C$75,2,0),"-")</f>
        <v>#5</v>
      </c>
      <c r="C105" s="39">
        <v>46058.417361111111</v>
      </c>
      <c r="D105" s="17"/>
      <c r="E105" s="17"/>
      <c r="F105" s="17"/>
      <c r="G105" s="42">
        <v>1186.28</v>
      </c>
      <c r="H105" s="42">
        <v>1186.28</v>
      </c>
      <c r="I105" s="43" t="s">
        <v>156</v>
      </c>
      <c r="J105" s="43" t="s">
        <v>104</v>
      </c>
      <c r="K105" s="43" t="s">
        <v>399</v>
      </c>
      <c r="L105" s="44" t="s">
        <v>400</v>
      </c>
      <c r="M105" s="45">
        <v>3283</v>
      </c>
      <c r="N105" s="44" t="s">
        <v>167</v>
      </c>
      <c r="O105" s="17"/>
      <c r="P105" s="17"/>
      <c r="Q105" s="17"/>
      <c r="R105" s="17"/>
      <c r="S105" s="17"/>
      <c r="T105" s="17"/>
      <c r="U105" s="17"/>
      <c r="V105" s="17"/>
      <c r="W105" s="17"/>
      <c r="X105" s="17"/>
      <c r="Y105" s="46" t="str">
        <f ca="1">IFERROR(VLOOKUP(A105,catalogo!$E:$H,2,0),"-")</f>
        <v>Office expenses</v>
      </c>
      <c r="Z105" s="47">
        <f ca="1">IFERROR(VLOOKUP(A105,catalogo!$E:$G,3,0),"-")</f>
        <v>0</v>
      </c>
      <c r="AA105" s="48"/>
      <c r="AB105" s="48"/>
      <c r="AC105" s="48" t="str">
        <f ca="1">IFERROR(VLOOKUP(A105,catalogo!$E:$H,4,0),"-")</f>
        <v>.</v>
      </c>
      <c r="AD105" s="48"/>
      <c r="AE105" s="48"/>
      <c r="AF105" s="48"/>
      <c r="AG105" s="48"/>
      <c r="AH105" s="48"/>
      <c r="AI105" s="48"/>
    </row>
    <row r="106" spans="1:35" ht="15.5" hidden="1">
      <c r="A106" s="37" t="s">
        <v>401</v>
      </c>
      <c r="B106" s="38" t="str">
        <f>IFERROR(VLOOKUP(J106,catalogo!$B$1:$C$75,2,0),"-")</f>
        <v>#64</v>
      </c>
      <c r="C106" s="39">
        <v>46058.417361111111</v>
      </c>
      <c r="D106" s="17"/>
      <c r="E106" s="17"/>
      <c r="F106" s="17"/>
      <c r="G106" s="42">
        <v>54</v>
      </c>
      <c r="H106" s="42">
        <v>54</v>
      </c>
      <c r="I106" s="43" t="s">
        <v>156</v>
      </c>
      <c r="J106" s="43" t="s">
        <v>139</v>
      </c>
      <c r="K106" s="43" t="s">
        <v>169</v>
      </c>
      <c r="L106" s="44" t="s">
        <v>170</v>
      </c>
      <c r="M106" s="44">
        <v>7142</v>
      </c>
      <c r="N106" s="44" t="s">
        <v>167</v>
      </c>
      <c r="O106" s="49"/>
      <c r="P106" s="17"/>
      <c r="Q106" s="17"/>
      <c r="R106" s="17"/>
      <c r="S106" s="17"/>
      <c r="T106" s="17"/>
      <c r="U106" s="17"/>
      <c r="V106" s="17"/>
      <c r="W106" s="17"/>
      <c r="X106" s="17"/>
      <c r="Y106" s="46" t="str">
        <f ca="1">IFERROR(VLOOKUP(A106,catalogo!$E:$H,2,0),"-")</f>
        <v>-</v>
      </c>
      <c r="Z106" s="47" t="str">
        <f ca="1">IFERROR(VLOOKUP(A106,catalogo!$E:$G,3,0),"-")</f>
        <v>-</v>
      </c>
      <c r="AA106" s="48"/>
      <c r="AB106" s="48"/>
      <c r="AC106" s="48" t="str">
        <f ca="1">IFERROR(VLOOKUP(A106,catalogo!$E:$H,4,0),"-")</f>
        <v>-</v>
      </c>
      <c r="AD106" s="48"/>
      <c r="AE106" s="48"/>
      <c r="AF106" s="48"/>
      <c r="AG106" s="48"/>
      <c r="AH106" s="48"/>
      <c r="AI106" s="48"/>
    </row>
    <row r="107" spans="1:35" ht="12.5" hidden="1">
      <c r="A107" s="37" t="s">
        <v>402</v>
      </c>
      <c r="B107" s="38" t="str">
        <f>IFERROR(VLOOKUP(J107,catalogo!$B$1:$C$75,2,0),"-")</f>
        <v>#56</v>
      </c>
      <c r="C107" s="39">
        <v>46058.417361111111</v>
      </c>
      <c r="D107" s="17"/>
      <c r="E107" s="17"/>
      <c r="F107" s="17"/>
      <c r="G107" s="42">
        <v>438</v>
      </c>
      <c r="H107" s="42">
        <v>438</v>
      </c>
      <c r="I107" s="43" t="s">
        <v>156</v>
      </c>
      <c r="J107" s="43" t="s">
        <v>99</v>
      </c>
      <c r="K107" s="43" t="s">
        <v>403</v>
      </c>
      <c r="L107" s="44" t="s">
        <v>404</v>
      </c>
      <c r="M107" s="44">
        <v>8949</v>
      </c>
      <c r="N107" s="44" t="s">
        <v>167</v>
      </c>
      <c r="O107" s="17"/>
      <c r="P107" s="17"/>
      <c r="Q107" s="17"/>
      <c r="R107" s="17"/>
      <c r="S107" s="17"/>
      <c r="T107" s="17"/>
      <c r="U107" s="17"/>
      <c r="V107" s="17"/>
      <c r="W107" s="17"/>
      <c r="X107" s="17"/>
      <c r="Y107" s="46" t="str">
        <f ca="1">IFERROR(VLOOKUP(A107,catalogo!$E:$H,2,0),"-")</f>
        <v>-</v>
      </c>
      <c r="Z107" s="47" t="str">
        <f ca="1">IFERROR(VLOOKUP(A107,catalogo!$E:$G,3,0),"-")</f>
        <v>-</v>
      </c>
      <c r="AA107" s="48"/>
      <c r="AB107" s="48"/>
      <c r="AC107" s="48" t="str">
        <f ca="1">IFERROR(VLOOKUP(A107,catalogo!$E:$H,4,0),"-")</f>
        <v>-</v>
      </c>
      <c r="AD107" s="48"/>
      <c r="AE107" s="48"/>
      <c r="AF107" s="48"/>
      <c r="AG107" s="48"/>
      <c r="AH107" s="48"/>
      <c r="AI107" s="48"/>
    </row>
    <row r="108" spans="1:35" ht="12.5" hidden="1">
      <c r="A108" s="37" t="s">
        <v>405</v>
      </c>
      <c r="B108" s="38" t="str">
        <f>IFERROR(VLOOKUP(J108,catalogo!$B$1:$C$75,2,0),"-")</f>
        <v>#68</v>
      </c>
      <c r="C108" s="39">
        <v>46058.417361111111</v>
      </c>
      <c r="D108" s="17"/>
      <c r="E108" s="17"/>
      <c r="F108" s="17"/>
      <c r="G108" s="42">
        <v>200</v>
      </c>
      <c r="H108" s="42">
        <v>200</v>
      </c>
      <c r="I108" s="43" t="s">
        <v>156</v>
      </c>
      <c r="J108" s="43" t="s">
        <v>384</v>
      </c>
      <c r="K108" s="43" t="s">
        <v>406</v>
      </c>
      <c r="L108" s="44" t="s">
        <v>407</v>
      </c>
      <c r="M108" s="45">
        <v>2937</v>
      </c>
      <c r="N108" s="44" t="s">
        <v>167</v>
      </c>
      <c r="O108" s="17"/>
      <c r="P108" s="17"/>
      <c r="Q108" s="17"/>
      <c r="R108" s="17"/>
      <c r="S108" s="17"/>
      <c r="T108" s="17"/>
      <c r="U108" s="17"/>
      <c r="V108" s="17"/>
      <c r="W108" s="17"/>
      <c r="X108" s="17"/>
      <c r="Y108" s="46" t="str">
        <f ca="1">IFERROR(VLOOKUP(A108,catalogo!$E:$H,2,0),"-")</f>
        <v>-</v>
      </c>
      <c r="Z108" s="47" t="str">
        <f ca="1">IFERROR(VLOOKUP(A108,catalogo!$E:$G,3,0),"-")</f>
        <v>-</v>
      </c>
      <c r="AA108" s="48"/>
      <c r="AB108" s="48"/>
      <c r="AC108" s="48" t="str">
        <f ca="1">IFERROR(VLOOKUP(A108,catalogo!$E:$H,4,0),"-")</f>
        <v>-</v>
      </c>
      <c r="AD108" s="48"/>
      <c r="AE108" s="48"/>
      <c r="AF108" s="48"/>
      <c r="AG108" s="48"/>
      <c r="AH108" s="48"/>
      <c r="AI108" s="48"/>
    </row>
    <row r="109" spans="1:35" ht="15.5" hidden="1">
      <c r="A109" s="37" t="s">
        <v>408</v>
      </c>
      <c r="B109" s="38" t="str">
        <f>IFERROR(VLOOKUP(J109,catalogo!$B$1:$C$75,2,0),"-")</f>
        <v>#6</v>
      </c>
      <c r="C109" s="39">
        <v>46058.417361111111</v>
      </c>
      <c r="D109" s="17"/>
      <c r="E109" s="17"/>
      <c r="F109" s="17"/>
      <c r="G109" s="42">
        <v>91</v>
      </c>
      <c r="H109" s="42">
        <v>91</v>
      </c>
      <c r="I109" s="43" t="s">
        <v>156</v>
      </c>
      <c r="J109" s="43" t="s">
        <v>114</v>
      </c>
      <c r="K109" s="43" t="s">
        <v>359</v>
      </c>
      <c r="L109" s="44" t="s">
        <v>336</v>
      </c>
      <c r="M109" s="45">
        <v>3893</v>
      </c>
      <c r="N109" s="44" t="s">
        <v>167</v>
      </c>
      <c r="O109" s="49"/>
      <c r="P109" s="17"/>
      <c r="Q109" s="17"/>
      <c r="R109" s="17"/>
      <c r="S109" s="17"/>
      <c r="T109" s="17"/>
      <c r="U109" s="17"/>
      <c r="V109" s="17"/>
      <c r="W109" s="17"/>
      <c r="X109" s="17"/>
      <c r="Y109" s="46" t="str">
        <f ca="1">IFERROR(VLOOKUP(A109,catalogo!$E:$H,2,0),"-")</f>
        <v>Transaction cost</v>
      </c>
      <c r="Z109" s="47" t="str">
        <f ca="1">IFERROR(VLOOKUP(A109,catalogo!$E:$G,3,0),"-")</f>
        <v xml:space="preserve">Comida visita fer Marcelo </v>
      </c>
      <c r="AA109" s="48"/>
      <c r="AB109" s="48"/>
      <c r="AC109" s="48">
        <f ca="1">IFERROR(VLOOKUP(A109,catalogo!$E:$H,4,0),"-")</f>
        <v>0</v>
      </c>
      <c r="AD109" s="48"/>
      <c r="AE109" s="48"/>
      <c r="AF109" s="48"/>
      <c r="AG109" s="48"/>
      <c r="AH109" s="48"/>
      <c r="AI109" s="48"/>
    </row>
    <row r="110" spans="1:35" ht="12.5" hidden="1">
      <c r="A110" s="37" t="s">
        <v>409</v>
      </c>
      <c r="B110" s="38" t="str">
        <f>IFERROR(VLOOKUP(J110,catalogo!$B$1:$C$75,2,0),"-")</f>
        <v>#8</v>
      </c>
      <c r="C110" s="39">
        <v>46058.417361111111</v>
      </c>
      <c r="D110" s="17"/>
      <c r="E110" s="17"/>
      <c r="F110" s="17"/>
      <c r="G110" s="42">
        <v>744.75</v>
      </c>
      <c r="H110" s="42">
        <v>744.75</v>
      </c>
      <c r="I110" s="43" t="s">
        <v>156</v>
      </c>
      <c r="J110" s="43" t="s">
        <v>128</v>
      </c>
      <c r="K110" s="43" t="s">
        <v>410</v>
      </c>
      <c r="L110" s="44" t="s">
        <v>411</v>
      </c>
      <c r="M110" s="45">
        <v>16</v>
      </c>
      <c r="N110" s="44" t="s">
        <v>167</v>
      </c>
      <c r="O110" s="17"/>
      <c r="P110" s="17"/>
      <c r="Q110" s="17"/>
      <c r="R110" s="17"/>
      <c r="S110" s="17"/>
      <c r="T110" s="17"/>
      <c r="U110" s="17"/>
      <c r="V110" s="17"/>
      <c r="W110" s="17"/>
      <c r="X110" s="17"/>
      <c r="Y110" s="46" t="str">
        <f ca="1">IFERROR(VLOOKUP(A110,catalogo!$E:$G,2,0),"-")</f>
        <v>Transaction cost</v>
      </c>
      <c r="Z110" s="47" t="str">
        <f ca="1">IFERROR(VLOOKUP(A110,catalogo!$E:$G,3,0),"-")</f>
        <v>PAGO A CUENTA DE UN GASTO DE GASOLINA QUE NO PASO CON LA JEEVES PO2165 - ENSAMBLE UF/CEB MECANICO</v>
      </c>
      <c r="AA110" s="48"/>
      <c r="AB110" s="48"/>
      <c r="AC110" s="48" t="str">
        <f ca="1">IFERROR(VLOOKUP(A110,catalogo!$E:$H,4,0),"-")</f>
        <v>.</v>
      </c>
      <c r="AD110" s="48"/>
      <c r="AE110" s="48"/>
      <c r="AF110" s="48"/>
      <c r="AG110" s="48"/>
      <c r="AH110" s="48"/>
      <c r="AI110" s="48"/>
    </row>
    <row r="111" spans="1:35" ht="12.5" hidden="1">
      <c r="A111" s="37" t="s">
        <v>412</v>
      </c>
      <c r="B111" s="38" t="str">
        <f>IFERROR(VLOOKUP(J111,catalogo!$B$1:$C$75,2,0),"-")</f>
        <v>-</v>
      </c>
      <c r="C111" s="39">
        <v>46058.417361111111</v>
      </c>
      <c r="D111" s="52"/>
      <c r="E111" s="17"/>
      <c r="F111" s="17"/>
      <c r="G111" s="42">
        <v>500</v>
      </c>
      <c r="H111" s="42">
        <v>500</v>
      </c>
      <c r="I111" s="43" t="s">
        <v>156</v>
      </c>
      <c r="J111" s="43" t="s">
        <v>321</v>
      </c>
      <c r="K111" s="43" t="s">
        <v>413</v>
      </c>
      <c r="L111" s="44" t="s">
        <v>414</v>
      </c>
      <c r="M111" s="45">
        <v>3340</v>
      </c>
      <c r="N111" s="44" t="s">
        <v>167</v>
      </c>
      <c r="O111" s="17"/>
      <c r="P111" s="17"/>
      <c r="Q111" s="17"/>
      <c r="R111" s="17"/>
      <c r="S111" s="17"/>
      <c r="T111" s="17"/>
      <c r="U111" s="17"/>
      <c r="V111" s="17"/>
      <c r="W111" s="17"/>
      <c r="X111" s="17"/>
      <c r="Y111" s="46" t="str">
        <f ca="1">IFERROR(VLOOKUP(A111,catalogo!$E:$H,2,0),"-")</f>
        <v>-</v>
      </c>
      <c r="Z111" s="47" t="str">
        <f ca="1">IFERROR(VLOOKUP(A111,catalogo!$E:$G,3,0),"-")</f>
        <v>-</v>
      </c>
      <c r="AA111" s="48"/>
      <c r="AB111" s="48"/>
      <c r="AC111" s="48" t="str">
        <f ca="1">IFERROR(VLOOKUP(A111,catalogo!$E:$H,4,0),"-")</f>
        <v>-</v>
      </c>
      <c r="AD111" s="48"/>
      <c r="AE111" s="48"/>
      <c r="AF111" s="48"/>
      <c r="AG111" s="48"/>
      <c r="AH111" s="48"/>
      <c r="AI111" s="48"/>
    </row>
    <row r="112" spans="1:35" ht="12.5" hidden="1">
      <c r="A112" s="37" t="s">
        <v>415</v>
      </c>
      <c r="B112" s="38" t="str">
        <f>IFERROR(VLOOKUP(J112,catalogo!$B$1:$C$75,2,0),"-")</f>
        <v>#55</v>
      </c>
      <c r="C112" s="39">
        <v>46058.417361111111</v>
      </c>
      <c r="D112" s="17"/>
      <c r="E112" s="17"/>
      <c r="F112" s="17"/>
      <c r="G112" s="42">
        <v>210</v>
      </c>
      <c r="H112" s="42">
        <v>210</v>
      </c>
      <c r="I112" s="43" t="s">
        <v>156</v>
      </c>
      <c r="J112" s="43" t="s">
        <v>89</v>
      </c>
      <c r="K112" s="43" t="s">
        <v>416</v>
      </c>
      <c r="L112" s="44" t="s">
        <v>417</v>
      </c>
      <c r="M112" s="44">
        <v>3013</v>
      </c>
      <c r="N112" s="44" t="s">
        <v>167</v>
      </c>
      <c r="O112" s="17"/>
      <c r="P112" s="17"/>
      <c r="Q112" s="17"/>
      <c r="R112" s="17"/>
      <c r="S112" s="17"/>
      <c r="T112" s="17"/>
      <c r="U112" s="17"/>
      <c r="V112" s="17"/>
      <c r="W112" s="17"/>
      <c r="X112" s="17"/>
      <c r="Y112" s="46" t="str">
        <f ca="1">IFERROR(VLOOKUP(A112,catalogo!$E:$H,2,0),"-")</f>
        <v>-</v>
      </c>
      <c r="Z112" s="47" t="str">
        <f ca="1">IFERROR(VLOOKUP(A112,catalogo!$E:$G,3,0),"-")</f>
        <v>-</v>
      </c>
      <c r="AA112" s="48"/>
      <c r="AB112" s="48"/>
      <c r="AC112" s="48" t="str">
        <f ca="1">IFERROR(VLOOKUP(A112,catalogo!$E:$H,4,0),"-")</f>
        <v>-</v>
      </c>
      <c r="AD112" s="48"/>
      <c r="AE112" s="48"/>
      <c r="AF112" s="48"/>
      <c r="AG112" s="48"/>
      <c r="AH112" s="48"/>
      <c r="AI112" s="48"/>
    </row>
    <row r="113" spans="1:35" ht="12.5" hidden="1">
      <c r="A113" s="37" t="s">
        <v>418</v>
      </c>
      <c r="B113" s="38" t="str">
        <f>IFERROR(VLOOKUP(J113,catalogo!$B$1:$C$75,2,0),"-")</f>
        <v>#8</v>
      </c>
      <c r="C113" s="39">
        <v>46058.417361111111</v>
      </c>
      <c r="D113" s="17"/>
      <c r="E113" s="17"/>
      <c r="F113" s="17"/>
      <c r="G113" s="42">
        <v>91</v>
      </c>
      <c r="H113" s="42">
        <v>91</v>
      </c>
      <c r="I113" s="43" t="s">
        <v>156</v>
      </c>
      <c r="J113" s="43" t="s">
        <v>128</v>
      </c>
      <c r="K113" s="43" t="s">
        <v>419</v>
      </c>
      <c r="L113" s="44" t="s">
        <v>420</v>
      </c>
      <c r="M113" s="45">
        <v>16</v>
      </c>
      <c r="N113" s="44" t="s">
        <v>167</v>
      </c>
      <c r="O113" s="17"/>
      <c r="P113" s="17"/>
      <c r="Q113" s="17"/>
      <c r="R113" s="17"/>
      <c r="S113" s="17"/>
      <c r="T113" s="17"/>
      <c r="U113" s="17"/>
      <c r="V113" s="17"/>
      <c r="W113" s="17"/>
      <c r="X113" s="17"/>
      <c r="Y113" s="46" t="str">
        <f ca="1">IFERROR(VLOOKUP(A113,catalogo!$E:$G,2,0),"-")</f>
        <v>Transaction cost</v>
      </c>
      <c r="Z113" s="47" t="str">
        <f ca="1">IFERROR(VLOOKUP(A113,catalogo!$E:$G,3,0),"-")</f>
        <v>COMIDA   PO2165 - ENSAMBLE UF/CEB MECANICO</v>
      </c>
      <c r="AA113" s="48"/>
      <c r="AB113" s="48"/>
      <c r="AC113" s="48" t="str">
        <f ca="1">IFERROR(VLOOKUP(A113,catalogo!$E:$H,4,0),"-")</f>
        <v>.</v>
      </c>
      <c r="AD113" s="48"/>
      <c r="AE113" s="48"/>
      <c r="AF113" s="48"/>
      <c r="AG113" s="48"/>
      <c r="AH113" s="48"/>
      <c r="AI113" s="48"/>
    </row>
    <row r="114" spans="1:35" ht="12.5" hidden="1">
      <c r="A114" s="37" t="s">
        <v>421</v>
      </c>
      <c r="B114" s="38" t="str">
        <f>IFERROR(VLOOKUP(J114,catalogo!$B$1:$C$75,2,0),"-")</f>
        <v>#64</v>
      </c>
      <c r="C114" s="39">
        <v>46058.417361111111</v>
      </c>
      <c r="D114" s="17"/>
      <c r="E114" s="17"/>
      <c r="F114" s="17"/>
      <c r="G114" s="42">
        <v>2290</v>
      </c>
      <c r="H114" s="42">
        <v>2290</v>
      </c>
      <c r="I114" s="43" t="s">
        <v>156</v>
      </c>
      <c r="J114" s="43" t="s">
        <v>139</v>
      </c>
      <c r="K114" s="43" t="s">
        <v>422</v>
      </c>
      <c r="L114" s="44" t="s">
        <v>423</v>
      </c>
      <c r="M114" s="44">
        <v>7142</v>
      </c>
      <c r="N114" s="44" t="s">
        <v>167</v>
      </c>
      <c r="O114" s="17"/>
      <c r="P114" s="17"/>
      <c r="Q114" s="17"/>
      <c r="R114" s="17"/>
      <c r="S114" s="17"/>
      <c r="T114" s="17"/>
      <c r="U114" s="17"/>
      <c r="V114" s="17"/>
      <c r="W114" s="17"/>
      <c r="X114" s="17"/>
      <c r="Y114" s="46" t="str">
        <f ca="1">IFERROR(VLOOKUP(A114,catalogo!$E:$H,2,0),"-")</f>
        <v>-</v>
      </c>
      <c r="Z114" s="47" t="str">
        <f ca="1">IFERROR(VLOOKUP(A114,catalogo!$E:$G,3,0),"-")</f>
        <v>-</v>
      </c>
      <c r="AA114" s="48"/>
      <c r="AB114" s="48"/>
      <c r="AC114" s="48" t="str">
        <f ca="1">IFERROR(VLOOKUP(A114,catalogo!$E:$H,4,0),"-")</f>
        <v>-</v>
      </c>
      <c r="AD114" s="48"/>
      <c r="AE114" s="48"/>
      <c r="AF114" s="48"/>
      <c r="AG114" s="48"/>
      <c r="AH114" s="48"/>
      <c r="AI114" s="48"/>
    </row>
    <row r="115" spans="1:35" ht="12.5" hidden="1">
      <c r="A115" s="37" t="s">
        <v>424</v>
      </c>
      <c r="B115" s="38" t="str">
        <f>IFERROR(VLOOKUP(J115,catalogo!$B$1:$C$75,2,0),"-")</f>
        <v>#4</v>
      </c>
      <c r="C115" s="39">
        <v>46058.417361111111</v>
      </c>
      <c r="D115" s="40"/>
      <c r="E115" s="41"/>
      <c r="F115" s="41"/>
      <c r="G115" s="42">
        <v>11358</v>
      </c>
      <c r="H115" s="42">
        <v>625.52</v>
      </c>
      <c r="I115" s="43" t="s">
        <v>172</v>
      </c>
      <c r="J115" s="43" t="s">
        <v>95</v>
      </c>
      <c r="K115" s="43" t="s">
        <v>425</v>
      </c>
      <c r="L115" s="44" t="s">
        <v>426</v>
      </c>
      <c r="M115" s="44">
        <v>975</v>
      </c>
      <c r="N115" s="44" t="s">
        <v>167</v>
      </c>
      <c r="O115" s="41"/>
      <c r="P115" s="41"/>
      <c r="Q115" s="41"/>
      <c r="R115" s="41"/>
      <c r="S115" s="41"/>
      <c r="T115" s="41"/>
      <c r="U115" s="41"/>
      <c r="V115" s="41"/>
      <c r="W115" s="41"/>
      <c r="X115" s="41"/>
      <c r="Y115" s="46" t="str">
        <f ca="1">IFERROR(VLOOKUP(A115,catalogo!$E:$H,2,0),"-")</f>
        <v>G&amp;A expenses</v>
      </c>
      <c r="Z115" s="47">
        <f ca="1">IFERROR(VLOOKUP(A115,catalogo!$E:$G,3,0),"-")</f>
        <v>0</v>
      </c>
      <c r="AA115" s="48"/>
      <c r="AB115" s="48"/>
      <c r="AC115" s="48" t="str">
        <f ca="1">IFERROR(VLOOKUP(A115,catalogo!$E:$H,4,0),"-")</f>
        <v>.</v>
      </c>
      <c r="AD115" s="48"/>
      <c r="AE115" s="48"/>
      <c r="AF115" s="48"/>
      <c r="AG115" s="48"/>
      <c r="AH115" s="48"/>
      <c r="AI115" s="48"/>
    </row>
    <row r="116" spans="1:35" ht="12.5" hidden="1">
      <c r="A116" s="37" t="s">
        <v>427</v>
      </c>
      <c r="B116" s="38" t="str">
        <f>IFERROR(VLOOKUP(J116,catalogo!$B$1:$C$75,2,0),"-")</f>
        <v>#58</v>
      </c>
      <c r="C116" s="39">
        <v>46058.417361111111</v>
      </c>
      <c r="D116" s="17"/>
      <c r="E116" s="17"/>
      <c r="F116" s="17"/>
      <c r="G116" s="42">
        <v>363.15</v>
      </c>
      <c r="H116" s="42">
        <v>20</v>
      </c>
      <c r="I116" s="43" t="s">
        <v>172</v>
      </c>
      <c r="J116" s="43" t="s">
        <v>118</v>
      </c>
      <c r="K116" s="43" t="s">
        <v>428</v>
      </c>
      <c r="L116" s="44" t="s">
        <v>429</v>
      </c>
      <c r="M116" s="45">
        <v>5576</v>
      </c>
      <c r="N116" s="44" t="s">
        <v>167</v>
      </c>
      <c r="O116" s="17"/>
      <c r="P116" s="17"/>
      <c r="Q116" s="17"/>
      <c r="R116" s="17"/>
      <c r="S116" s="17"/>
      <c r="T116" s="17"/>
      <c r="U116" s="17"/>
      <c r="V116" s="17"/>
      <c r="W116" s="17"/>
      <c r="X116" s="17"/>
      <c r="Y116" s="46" t="str">
        <f ca="1">IFERROR(VLOOKUP(A116,catalogo!$E:$G,2,0),"-")</f>
        <v>-</v>
      </c>
      <c r="Z116" s="47" t="str">
        <f ca="1">IFERROR(VLOOKUP(A116,catalogo!$E:$G,3,0),"-")</f>
        <v>-</v>
      </c>
      <c r="AA116" s="48"/>
      <c r="AB116" s="48"/>
      <c r="AC116" s="48" t="str">
        <f ca="1">IFERROR(VLOOKUP(A116,catalogo!$E:$H,4,0),"-")</f>
        <v>-</v>
      </c>
      <c r="AD116" s="48"/>
      <c r="AE116" s="48"/>
      <c r="AF116" s="48"/>
      <c r="AG116" s="48"/>
      <c r="AH116" s="48"/>
      <c r="AI116" s="48"/>
    </row>
    <row r="117" spans="1:35" ht="15.5" hidden="1">
      <c r="A117" s="37" t="s">
        <v>430</v>
      </c>
      <c r="B117" s="38" t="str">
        <f>IFERROR(VLOOKUP(J117,catalogo!$B$1:$C$75,2,0),"-")</f>
        <v>-</v>
      </c>
      <c r="C117" s="39">
        <v>46058.418055555558</v>
      </c>
      <c r="D117" s="17"/>
      <c r="E117" s="17"/>
      <c r="F117" s="17"/>
      <c r="G117" s="42">
        <v>3540.75</v>
      </c>
      <c r="H117" s="42">
        <v>195</v>
      </c>
      <c r="I117" s="43" t="s">
        <v>172</v>
      </c>
      <c r="J117" s="43" t="s">
        <v>343</v>
      </c>
      <c r="K117" s="43" t="s">
        <v>431</v>
      </c>
      <c r="L117" s="44" t="s">
        <v>432</v>
      </c>
      <c r="M117" s="45" t="s">
        <v>433</v>
      </c>
      <c r="N117" s="44" t="s">
        <v>144</v>
      </c>
      <c r="O117" s="49"/>
      <c r="P117" s="17"/>
      <c r="Q117" s="17"/>
      <c r="R117" s="17"/>
      <c r="S117" s="17"/>
      <c r="T117" s="17"/>
      <c r="U117" s="17"/>
      <c r="V117" s="17"/>
      <c r="W117" s="17"/>
      <c r="X117" s="17"/>
      <c r="Y117" s="46" t="str">
        <f ca="1">IFERROR(VLOOKUP(A117,catalogo!$E:$H,2,0),"-")</f>
        <v>-</v>
      </c>
      <c r="Z117" s="47" t="str">
        <f ca="1">IFERROR(VLOOKUP(A117,catalogo!$E:$G,3,0),"-")</f>
        <v>-</v>
      </c>
      <c r="AA117" s="48"/>
      <c r="AB117" s="48"/>
      <c r="AC117" s="48" t="str">
        <f ca="1">IFERROR(VLOOKUP(A117,catalogo!$E:$H,4,0),"-")</f>
        <v>-</v>
      </c>
      <c r="AD117" s="48"/>
      <c r="AE117" s="48"/>
      <c r="AF117" s="48"/>
      <c r="AG117" s="48"/>
      <c r="AH117" s="48"/>
      <c r="AI117" s="48"/>
    </row>
    <row r="118" spans="1:35" ht="15.5" hidden="1">
      <c r="A118" s="37" t="s">
        <v>434</v>
      </c>
      <c r="B118" s="38" t="str">
        <f>IFERROR(VLOOKUP(J118,catalogo!$B$1:$C$75,2,0),"-")</f>
        <v>#4</v>
      </c>
      <c r="C118" s="39">
        <v>46058.418055555558</v>
      </c>
      <c r="D118" s="17"/>
      <c r="E118" s="17"/>
      <c r="F118" s="17"/>
      <c r="G118" s="42">
        <v>181.58</v>
      </c>
      <c r="H118" s="42">
        <v>10</v>
      </c>
      <c r="I118" s="43" t="s">
        <v>172</v>
      </c>
      <c r="J118" s="43" t="s">
        <v>95</v>
      </c>
      <c r="K118" s="43" t="s">
        <v>435</v>
      </c>
      <c r="L118" s="44" t="s">
        <v>436</v>
      </c>
      <c r="M118" s="44">
        <v>975</v>
      </c>
      <c r="N118" s="44" t="s">
        <v>167</v>
      </c>
      <c r="O118" s="49"/>
      <c r="P118" s="17"/>
      <c r="Q118" s="17"/>
      <c r="R118" s="17"/>
      <c r="S118" s="17"/>
      <c r="T118" s="17"/>
      <c r="U118" s="17"/>
      <c r="V118" s="17"/>
      <c r="W118" s="17"/>
      <c r="X118" s="17"/>
      <c r="Y118" s="46" t="str">
        <f ca="1">IFERROR(VLOOKUP(A118,catalogo!$E:$H,2,0),"-")</f>
        <v>Sales</v>
      </c>
      <c r="Z118" s="47">
        <f ca="1">IFERROR(VLOOKUP(A118,catalogo!$E:$G,3,0),"-")</f>
        <v>0</v>
      </c>
      <c r="AA118" s="48"/>
      <c r="AB118" s="48"/>
      <c r="AC118" s="48" t="str">
        <f ca="1">IFERROR(VLOOKUP(A118,catalogo!$E:$H,4,0),"-")</f>
        <v>.</v>
      </c>
      <c r="AD118" s="48"/>
      <c r="AE118" s="48"/>
      <c r="AF118" s="48"/>
      <c r="AG118" s="48"/>
      <c r="AH118" s="48"/>
      <c r="AI118" s="48"/>
    </row>
    <row r="119" spans="1:35" ht="12.5" hidden="1">
      <c r="A119" s="37" t="s">
        <v>437</v>
      </c>
      <c r="B119" s="38" t="str">
        <f>IFERROR(VLOOKUP(J119,catalogo!$B$1:$C$75,2,0),"-")</f>
        <v>#58</v>
      </c>
      <c r="C119" s="39">
        <v>46058.418055555558</v>
      </c>
      <c r="D119" s="17"/>
      <c r="E119" s="17"/>
      <c r="F119" s="17"/>
      <c r="G119" s="42">
        <v>272.37</v>
      </c>
      <c r="H119" s="42">
        <v>15</v>
      </c>
      <c r="I119" s="43" t="s">
        <v>172</v>
      </c>
      <c r="J119" s="43" t="s">
        <v>118</v>
      </c>
      <c r="K119" s="43" t="s">
        <v>438</v>
      </c>
      <c r="L119" s="44" t="s">
        <v>439</v>
      </c>
      <c r="M119" s="44">
        <v>5576</v>
      </c>
      <c r="N119" s="44" t="s">
        <v>167</v>
      </c>
      <c r="O119" s="17"/>
      <c r="P119" s="17"/>
      <c r="Q119" s="17"/>
      <c r="R119" s="17"/>
      <c r="S119" s="17"/>
      <c r="T119" s="17"/>
      <c r="U119" s="17"/>
      <c r="V119" s="17"/>
      <c r="W119" s="17"/>
      <c r="X119" s="17"/>
      <c r="Y119" s="46" t="str">
        <f ca="1">IFERROR(VLOOKUP(A119,catalogo!$E:$H,2,0),"-")</f>
        <v>G&amp;A expenses</v>
      </c>
      <c r="Z119" s="47" t="str">
        <f ca="1">IFERROR(VLOOKUP(A119,catalogo!$E:$G,3,0),"-")</f>
        <v>PO1865. Muestras IMESA</v>
      </c>
      <c r="AA119" s="48"/>
      <c r="AB119" s="48"/>
      <c r="AC119" s="48" t="str">
        <f ca="1">IFERROR(VLOOKUP(A119,catalogo!$E:$H,4,0),"-")</f>
        <v>3DE869E6-DCD7-4ABC-AFD2-38BDA403C7EF</v>
      </c>
      <c r="AD119" s="48"/>
      <c r="AE119" s="48"/>
      <c r="AF119" s="48"/>
      <c r="AG119" s="48"/>
      <c r="AH119" s="48"/>
      <c r="AI119" s="48"/>
    </row>
    <row r="120" spans="1:35" ht="12.5" hidden="1">
      <c r="A120" s="37" t="s">
        <v>440</v>
      </c>
      <c r="B120" s="38" t="str">
        <f>IFERROR(VLOOKUP(J120,catalogo!$B$1:$C$75,2,0),"-")</f>
        <v>-</v>
      </c>
      <c r="C120" s="39">
        <v>46058.418055555558</v>
      </c>
      <c r="D120" s="17"/>
      <c r="E120" s="17"/>
      <c r="F120" s="17"/>
      <c r="G120" s="42">
        <v>113.49</v>
      </c>
      <c r="H120" s="42">
        <v>6.25</v>
      </c>
      <c r="I120" s="43" t="s">
        <v>172</v>
      </c>
      <c r="J120" s="43" t="s">
        <v>343</v>
      </c>
      <c r="K120" s="43" t="s">
        <v>431</v>
      </c>
      <c r="L120" s="44" t="s">
        <v>432</v>
      </c>
      <c r="M120" s="45" t="s">
        <v>433</v>
      </c>
      <c r="N120" s="44" t="s">
        <v>144</v>
      </c>
      <c r="O120" s="17"/>
      <c r="P120" s="17"/>
      <c r="Q120" s="17"/>
      <c r="R120" s="17"/>
      <c r="S120" s="17"/>
      <c r="T120" s="17"/>
      <c r="U120" s="17"/>
      <c r="V120" s="17"/>
      <c r="W120" s="17"/>
      <c r="X120" s="17"/>
      <c r="Y120" s="46" t="str">
        <f ca="1">IFERROR(VLOOKUP(A120,catalogo!$E:$G,2,0),"-")</f>
        <v>G&amp;A expenses</v>
      </c>
      <c r="Z120" s="47" t="str">
        <f ca="1">IFERROR(VLOOKUP(A120,catalogo!$E:$G,3,0),"-")</f>
        <v>PO1777 Envío de equipo de seguridad</v>
      </c>
      <c r="AA120" s="48"/>
      <c r="AB120" s="48"/>
      <c r="AC120" s="48" t="str">
        <f ca="1">IFERROR(VLOOKUP(A120,catalogo!$E:$H,4,0),"-")</f>
        <v>04448AE5-5603-4B71-8558-13ED476D9B9D</v>
      </c>
      <c r="AD120" s="48"/>
      <c r="AE120" s="48"/>
      <c r="AF120" s="48"/>
      <c r="AG120" s="48"/>
      <c r="AH120" s="48"/>
      <c r="AI120" s="48"/>
    </row>
    <row r="121" spans="1:35" ht="15.5" hidden="1">
      <c r="A121" s="37" t="s">
        <v>441</v>
      </c>
      <c r="B121" s="38" t="str">
        <f>IFERROR(VLOOKUP(J121,catalogo!$B$1:$C$75,2,0),"-")</f>
        <v>#58</v>
      </c>
      <c r="C121" s="39">
        <v>46058.418055555558</v>
      </c>
      <c r="D121" s="17"/>
      <c r="E121" s="17"/>
      <c r="F121" s="17"/>
      <c r="G121" s="42">
        <v>627.71</v>
      </c>
      <c r="H121" s="42">
        <v>34.57</v>
      </c>
      <c r="I121" s="43" t="s">
        <v>172</v>
      </c>
      <c r="J121" s="43" t="s">
        <v>118</v>
      </c>
      <c r="K121" s="43" t="s">
        <v>442</v>
      </c>
      <c r="L121" s="44" t="s">
        <v>443</v>
      </c>
      <c r="M121" s="45">
        <v>5576</v>
      </c>
      <c r="N121" s="44" t="s">
        <v>167</v>
      </c>
      <c r="O121" s="49"/>
      <c r="P121" s="17"/>
      <c r="Q121" s="17"/>
      <c r="R121" s="17"/>
      <c r="S121" s="17"/>
      <c r="T121" s="17"/>
      <c r="U121" s="17"/>
      <c r="V121" s="17"/>
      <c r="W121" s="17"/>
      <c r="X121" s="17"/>
      <c r="Y121" s="46" t="str">
        <f ca="1">IFERROR(VLOOKUP(A121,catalogo!$E:$H,2,0),"-")</f>
        <v>Transaction cost</v>
      </c>
      <c r="Z121" s="47" t="str">
        <f ca="1">IFERROR(VLOOKUP(A121,catalogo!$E:$G,3,0),"-")</f>
        <v>PO4573 escaleras y barandales</v>
      </c>
      <c r="AA121" s="48"/>
      <c r="AB121" s="48"/>
      <c r="AC121" s="48" t="str">
        <f ca="1">IFERROR(VLOOKUP(A121,catalogo!$E:$H,4,0),"-")</f>
        <v>F4445FC1-D14F-4669-BB6B-F5BD1EBC1D19</v>
      </c>
      <c r="AD121" s="48"/>
      <c r="AE121" s="48"/>
      <c r="AF121" s="48"/>
      <c r="AG121" s="48"/>
      <c r="AH121" s="48"/>
      <c r="AI121" s="48"/>
    </row>
    <row r="122" spans="1:35" ht="15.5" hidden="1">
      <c r="A122" s="37" t="s">
        <v>444</v>
      </c>
      <c r="B122" s="38" t="str">
        <f>IFERROR(VLOOKUP(J122,catalogo!$B$1:$C$75,2,0),"-")</f>
        <v>#58</v>
      </c>
      <c r="C122" s="39">
        <v>46058.418055555558</v>
      </c>
      <c r="D122" s="17"/>
      <c r="E122" s="17"/>
      <c r="F122" s="17"/>
      <c r="G122" s="42">
        <v>95.88</v>
      </c>
      <c r="H122" s="42">
        <v>5.28</v>
      </c>
      <c r="I122" s="43" t="s">
        <v>172</v>
      </c>
      <c r="J122" s="43" t="s">
        <v>118</v>
      </c>
      <c r="K122" s="43" t="s">
        <v>442</v>
      </c>
      <c r="L122" s="44" t="s">
        <v>443</v>
      </c>
      <c r="M122" s="45">
        <v>5576</v>
      </c>
      <c r="N122" s="44" t="s">
        <v>167</v>
      </c>
      <c r="O122" s="49"/>
      <c r="P122" s="17"/>
      <c r="Q122" s="17"/>
      <c r="R122" s="17"/>
      <c r="S122" s="17"/>
      <c r="T122" s="17"/>
      <c r="U122" s="17"/>
      <c r="V122" s="17"/>
      <c r="W122" s="17"/>
      <c r="X122" s="17"/>
      <c r="Y122" s="46" t="str">
        <f ca="1">IFERROR(VLOOKUP(A122,catalogo!$E:$H,2,0),"-")</f>
        <v>-</v>
      </c>
      <c r="Z122" s="47" t="str">
        <f ca="1">IFERROR(VLOOKUP(A122,catalogo!$E:$G,3,0),"-")</f>
        <v>-</v>
      </c>
      <c r="AA122" s="48"/>
      <c r="AB122" s="48"/>
      <c r="AC122" s="48" t="str">
        <f ca="1">IFERROR(VLOOKUP(A122,catalogo!$E:$H,4,0),"-")</f>
        <v>-</v>
      </c>
      <c r="AD122" s="48"/>
      <c r="AE122" s="48"/>
      <c r="AF122" s="48"/>
      <c r="AG122" s="48"/>
      <c r="AH122" s="48"/>
      <c r="AI122" s="48"/>
    </row>
    <row r="123" spans="1:35" ht="12.5" hidden="1">
      <c r="A123" s="37" t="s">
        <v>445</v>
      </c>
      <c r="B123" s="38" t="str">
        <f>IFERROR(VLOOKUP(J123,catalogo!$B$1:$C$75,2,0),"-")</f>
        <v>#58</v>
      </c>
      <c r="C123" s="39">
        <v>46058.418055555558</v>
      </c>
      <c r="D123" s="17"/>
      <c r="E123" s="17"/>
      <c r="F123" s="17"/>
      <c r="G123" s="42">
        <v>363.15</v>
      </c>
      <c r="H123" s="42">
        <v>20</v>
      </c>
      <c r="I123" s="43" t="s">
        <v>172</v>
      </c>
      <c r="J123" s="43" t="s">
        <v>118</v>
      </c>
      <c r="K123" s="43" t="s">
        <v>446</v>
      </c>
      <c r="L123" s="44" t="s">
        <v>447</v>
      </c>
      <c r="M123" s="44">
        <v>5576</v>
      </c>
      <c r="N123" s="44" t="s">
        <v>167</v>
      </c>
      <c r="O123" s="17"/>
      <c r="P123" s="17"/>
      <c r="Q123" s="17"/>
      <c r="R123" s="17"/>
      <c r="S123" s="17"/>
      <c r="T123" s="17"/>
      <c r="U123" s="17"/>
      <c r="V123" s="17"/>
      <c r="W123" s="17"/>
      <c r="X123" s="17"/>
      <c r="Y123" s="46" t="str">
        <f ca="1">IFERROR(VLOOKUP(A123,catalogo!$E:$G,2,0),"-")</f>
        <v>Sales</v>
      </c>
      <c r="Z123" s="47" t="str">
        <f ca="1">IFERROR(VLOOKUP(A123,catalogo!$E:$G,3,0),"-")</f>
        <v>Comida Cliente. Asistentes:
- Mariano García (Plexo)
- Miguel de Lascurain (Prima)</v>
      </c>
      <c r="AA123" s="48"/>
      <c r="AB123" s="48"/>
      <c r="AC123" s="48" t="str">
        <f ca="1">IFERROR(VLOOKUP(A123,catalogo!$E:$H,4,0),"-")</f>
        <v>18D35FF7-B120-4B07-8A58-A31600016077103297401771006817878</v>
      </c>
      <c r="AD123" s="48"/>
      <c r="AE123" s="48"/>
      <c r="AF123" s="48"/>
      <c r="AG123" s="48"/>
      <c r="AH123" s="48"/>
      <c r="AI123" s="48"/>
    </row>
    <row r="124" spans="1:35" ht="15.5" hidden="1">
      <c r="A124" s="37" t="s">
        <v>448</v>
      </c>
      <c r="B124" s="38" t="str">
        <f>IFERROR(VLOOKUP(J124,catalogo!$B$1:$C$75,2,0),"-")</f>
        <v>-</v>
      </c>
      <c r="C124" s="39">
        <v>46058.418055555558</v>
      </c>
      <c r="D124" s="17"/>
      <c r="E124" s="17"/>
      <c r="F124" s="17"/>
      <c r="G124" s="42">
        <v>1970.84</v>
      </c>
      <c r="H124" s="42">
        <v>108.54</v>
      </c>
      <c r="I124" s="43" t="s">
        <v>172</v>
      </c>
      <c r="J124" s="43" t="s">
        <v>343</v>
      </c>
      <c r="K124" s="43" t="s">
        <v>449</v>
      </c>
      <c r="L124" s="44" t="s">
        <v>450</v>
      </c>
      <c r="M124" s="44">
        <v>6747</v>
      </c>
      <c r="N124" s="44" t="s">
        <v>167</v>
      </c>
      <c r="O124" s="49"/>
      <c r="P124" s="17"/>
      <c r="Q124" s="17"/>
      <c r="R124" s="17"/>
      <c r="S124" s="17"/>
      <c r="T124" s="17"/>
      <c r="U124" s="17"/>
      <c r="V124" s="17"/>
      <c r="W124" s="17"/>
      <c r="X124" s="17"/>
      <c r="Y124" s="46" t="str">
        <f ca="1">IFERROR(VLOOKUP(A124,catalogo!$E:$H,2,0),"-")</f>
        <v>-</v>
      </c>
      <c r="Z124" s="47" t="str">
        <f ca="1">IFERROR(VLOOKUP(A124,catalogo!$E:$G,3,0),"-")</f>
        <v>-</v>
      </c>
      <c r="AA124" s="48"/>
      <c r="AB124" s="48"/>
      <c r="AC124" s="48" t="str">
        <f ca="1">IFERROR(VLOOKUP(A124,catalogo!$E:$H,4,0),"-")</f>
        <v>-</v>
      </c>
      <c r="AD124" s="48"/>
      <c r="AE124" s="48"/>
      <c r="AF124" s="48"/>
      <c r="AG124" s="48"/>
      <c r="AH124" s="48"/>
      <c r="AI124" s="48"/>
    </row>
    <row r="125" spans="1:35" ht="12.5" hidden="1">
      <c r="A125" s="37" t="s">
        <v>451</v>
      </c>
      <c r="B125" s="38" t="str">
        <f>IFERROR(VLOOKUP(J125,catalogo!$B$1:$C$75,2,0),"-")</f>
        <v>#52</v>
      </c>
      <c r="C125" s="39">
        <v>46058.418055555558</v>
      </c>
      <c r="D125" s="17"/>
      <c r="E125" s="17"/>
      <c r="F125" s="17"/>
      <c r="G125" s="42">
        <v>307.95</v>
      </c>
      <c r="H125" s="42">
        <v>16.96</v>
      </c>
      <c r="I125" s="43" t="s">
        <v>172</v>
      </c>
      <c r="J125" s="43" t="s">
        <v>253</v>
      </c>
      <c r="K125" s="43" t="s">
        <v>452</v>
      </c>
      <c r="L125" s="44" t="s">
        <v>233</v>
      </c>
      <c r="M125" s="45">
        <v>6137</v>
      </c>
      <c r="N125" s="44" t="s">
        <v>167</v>
      </c>
      <c r="O125" s="17"/>
      <c r="P125" s="17"/>
      <c r="Q125" s="17"/>
      <c r="R125" s="17"/>
      <c r="S125" s="17"/>
      <c r="T125" s="17"/>
      <c r="U125" s="17"/>
      <c r="V125" s="17"/>
      <c r="W125" s="17"/>
      <c r="X125" s="17"/>
      <c r="Y125" s="46" t="str">
        <f ca="1">IFERROR(VLOOKUP(A125,catalogo!$E:$H,2,0),"-")</f>
        <v>-</v>
      </c>
      <c r="Z125" s="47" t="str">
        <f ca="1">IFERROR(VLOOKUP(A125,catalogo!$E:$G,3,0),"-")</f>
        <v>-</v>
      </c>
      <c r="AA125" s="48"/>
      <c r="AB125" s="48"/>
      <c r="AC125" s="48" t="str">
        <f ca="1">IFERROR(VLOOKUP(A125,catalogo!$E:$H,4,0),"-")</f>
        <v>-</v>
      </c>
      <c r="AD125" s="48"/>
      <c r="AE125" s="48"/>
      <c r="AF125" s="48"/>
      <c r="AG125" s="48"/>
      <c r="AH125" s="48"/>
      <c r="AI125" s="48"/>
    </row>
    <row r="126" spans="1:35" ht="15.5" hidden="1">
      <c r="A126" s="37" t="s">
        <v>453</v>
      </c>
      <c r="B126" s="38" t="str">
        <f>IFERROR(VLOOKUP(J126,catalogo!$B$1:$C$75,2,0),"-")</f>
        <v>#16</v>
      </c>
      <c r="C126" s="39">
        <v>46059.416666666664</v>
      </c>
      <c r="D126" s="17"/>
      <c r="E126" s="17"/>
      <c r="F126" s="17"/>
      <c r="G126" s="42">
        <v>696.88</v>
      </c>
      <c r="H126" s="42">
        <v>696.88</v>
      </c>
      <c r="I126" s="43" t="s">
        <v>156</v>
      </c>
      <c r="J126" s="43" t="s">
        <v>85</v>
      </c>
      <c r="K126" s="43" t="s">
        <v>454</v>
      </c>
      <c r="L126" s="44" t="s">
        <v>455</v>
      </c>
      <c r="M126" s="45" t="s">
        <v>143</v>
      </c>
      <c r="N126" s="44" t="s">
        <v>144</v>
      </c>
      <c r="O126" s="49"/>
      <c r="P126" s="17"/>
      <c r="Q126" s="17"/>
      <c r="R126" s="17"/>
      <c r="S126" s="17"/>
      <c r="T126" s="17"/>
      <c r="U126" s="17"/>
      <c r="V126" s="17"/>
      <c r="W126" s="17"/>
      <c r="X126" s="17"/>
      <c r="Y126" s="46" t="str">
        <f ca="1">IFERROR(VLOOKUP(A126,catalogo!$E:$H,2,0),"-")</f>
        <v>Office expenses</v>
      </c>
      <c r="Z126" s="47">
        <f ca="1">IFERROR(VLOOKUP(A126,catalogo!$E:$G,3,0),"-")</f>
        <v>0</v>
      </c>
      <c r="AA126" s="48"/>
      <c r="AB126" s="48"/>
      <c r="AC126" s="48">
        <f ca="1">IFERROR(VLOOKUP(A126,catalogo!$E:$H,4,0),"-")</f>
        <v>0</v>
      </c>
      <c r="AD126" s="48"/>
      <c r="AE126" s="48"/>
      <c r="AF126" s="48"/>
      <c r="AG126" s="48"/>
      <c r="AH126" s="48"/>
      <c r="AI126" s="48"/>
    </row>
    <row r="127" spans="1:35" ht="12.5" hidden="1">
      <c r="A127" s="37" t="s">
        <v>456</v>
      </c>
      <c r="B127" s="38" t="str">
        <f>IFERROR(VLOOKUP(J127,catalogo!$B$1:$C$75,2,0),"-")</f>
        <v>#16</v>
      </c>
      <c r="C127" s="39">
        <v>46059.416666666664</v>
      </c>
      <c r="D127" s="17"/>
      <c r="E127" s="17"/>
      <c r="F127" s="17"/>
      <c r="G127" s="42">
        <v>903.99</v>
      </c>
      <c r="H127" s="42">
        <v>903.99</v>
      </c>
      <c r="I127" s="43" t="s">
        <v>156</v>
      </c>
      <c r="J127" s="43" t="s">
        <v>85</v>
      </c>
      <c r="K127" s="43" t="s">
        <v>454</v>
      </c>
      <c r="L127" s="44" t="s">
        <v>455</v>
      </c>
      <c r="M127" s="44" t="s">
        <v>143</v>
      </c>
      <c r="N127" s="44" t="s">
        <v>144</v>
      </c>
      <c r="O127" s="17"/>
      <c r="P127" s="17"/>
      <c r="Q127" s="17"/>
      <c r="R127" s="17"/>
      <c r="S127" s="17"/>
      <c r="T127" s="17"/>
      <c r="U127" s="17"/>
      <c r="V127" s="17"/>
      <c r="W127" s="17"/>
      <c r="X127" s="17"/>
      <c r="Y127" s="46" t="str">
        <f ca="1">IFERROR(VLOOKUP(A127,catalogo!$E:$H,2,0),"-")</f>
        <v>Office expenses</v>
      </c>
      <c r="Z127" s="47">
        <f ca="1">IFERROR(VLOOKUP(A127,catalogo!$E:$G,3,0),"-")</f>
        <v>0</v>
      </c>
      <c r="AA127" s="48"/>
      <c r="AB127" s="48"/>
      <c r="AC127" s="48">
        <f ca="1">IFERROR(VLOOKUP(A127,catalogo!$E:$H,4,0),"-")</f>
        <v>0</v>
      </c>
      <c r="AD127" s="48"/>
      <c r="AE127" s="48"/>
      <c r="AF127" s="48"/>
      <c r="AG127" s="48"/>
      <c r="AH127" s="48"/>
      <c r="AI127" s="48"/>
    </row>
    <row r="128" spans="1:35" ht="12.5" hidden="1">
      <c r="A128" s="37" t="s">
        <v>457</v>
      </c>
      <c r="B128" s="38" t="str">
        <f>IFERROR(VLOOKUP(J128,catalogo!$B$1:$C$75,2,0),"-")</f>
        <v>#56</v>
      </c>
      <c r="C128" s="39">
        <v>46059.416666666664</v>
      </c>
      <c r="D128" s="17"/>
      <c r="E128" s="17"/>
      <c r="F128" s="17"/>
      <c r="G128" s="42">
        <v>196</v>
      </c>
      <c r="H128" s="42">
        <v>196</v>
      </c>
      <c r="I128" s="43" t="s">
        <v>156</v>
      </c>
      <c r="J128" s="43" t="s">
        <v>99</v>
      </c>
      <c r="K128" s="43" t="s">
        <v>458</v>
      </c>
      <c r="L128" s="44" t="s">
        <v>459</v>
      </c>
      <c r="M128" s="45">
        <v>8949</v>
      </c>
      <c r="N128" s="44" t="s">
        <v>167</v>
      </c>
      <c r="O128" s="17"/>
      <c r="P128" s="17"/>
      <c r="Q128" s="17"/>
      <c r="R128" s="17"/>
      <c r="S128" s="17"/>
      <c r="T128" s="17"/>
      <c r="U128" s="17"/>
      <c r="V128" s="17"/>
      <c r="W128" s="17"/>
      <c r="X128" s="17"/>
      <c r="Y128" s="46" t="str">
        <f ca="1">IFERROR(VLOOKUP(A128,catalogo!$E:$H,2,0),"-")</f>
        <v>-</v>
      </c>
      <c r="Z128" s="47" t="str">
        <f ca="1">IFERROR(VLOOKUP(A128,catalogo!$E:$G,3,0),"-")</f>
        <v>-</v>
      </c>
      <c r="AA128" s="48"/>
      <c r="AB128" s="48"/>
      <c r="AC128" s="48" t="str">
        <f ca="1">IFERROR(VLOOKUP(A128,catalogo!$E:$H,4,0),"-")</f>
        <v>-</v>
      </c>
      <c r="AD128" s="48"/>
      <c r="AE128" s="48"/>
      <c r="AF128" s="48"/>
      <c r="AG128" s="48"/>
      <c r="AH128" s="48"/>
      <c r="AI128" s="48"/>
    </row>
    <row r="129" spans="1:35" ht="12.5" hidden="1">
      <c r="A129" s="37" t="s">
        <v>460</v>
      </c>
      <c r="B129" s="38" t="str">
        <f>IFERROR(VLOOKUP(J129,catalogo!$B$1:$C$75,2,0),"-")</f>
        <v>#26</v>
      </c>
      <c r="C129" s="39">
        <v>46059.416666666664</v>
      </c>
      <c r="D129" s="17"/>
      <c r="E129" s="17"/>
      <c r="F129" s="17"/>
      <c r="G129" s="42">
        <v>216.7</v>
      </c>
      <c r="H129" s="42">
        <v>216.7</v>
      </c>
      <c r="I129" s="43" t="s">
        <v>156</v>
      </c>
      <c r="J129" s="43" t="s">
        <v>67</v>
      </c>
      <c r="K129" s="43" t="s">
        <v>461</v>
      </c>
      <c r="L129" s="44" t="s">
        <v>462</v>
      </c>
      <c r="M129" s="44">
        <v>8061</v>
      </c>
      <c r="N129" s="44" t="s">
        <v>167</v>
      </c>
      <c r="O129" s="17"/>
      <c r="P129" s="17"/>
      <c r="Q129" s="17"/>
      <c r="R129" s="17"/>
      <c r="S129" s="17"/>
      <c r="T129" s="17"/>
      <c r="U129" s="17"/>
      <c r="V129" s="17"/>
      <c r="W129" s="17"/>
      <c r="X129" s="17"/>
      <c r="Y129" s="46" t="str">
        <f ca="1">IFERROR(VLOOKUP(A129,catalogo!$E:$H,2,0),"-")</f>
        <v>-</v>
      </c>
      <c r="Z129" s="47" t="str">
        <f ca="1">IFERROR(VLOOKUP(A129,catalogo!$E:$G,3,0),"-")</f>
        <v>-</v>
      </c>
      <c r="AA129" s="48"/>
      <c r="AB129" s="48"/>
      <c r="AC129" s="48" t="str">
        <f ca="1">IFERROR(VLOOKUP(A129,catalogo!$E:$H,4,0),"-")</f>
        <v>-</v>
      </c>
      <c r="AD129" s="48"/>
      <c r="AE129" s="48"/>
      <c r="AF129" s="48"/>
      <c r="AG129" s="48"/>
      <c r="AH129" s="48"/>
      <c r="AI129" s="48"/>
    </row>
    <row r="130" spans="1:35" ht="12.5" hidden="1">
      <c r="A130" s="37" t="s">
        <v>463</v>
      </c>
      <c r="B130" s="38" t="str">
        <f>IFERROR(VLOOKUP(J130,catalogo!$B$1:$C$75,2,0),"-")</f>
        <v>#69</v>
      </c>
      <c r="C130" s="39">
        <v>46059.416666666664</v>
      </c>
      <c r="D130" s="17"/>
      <c r="E130" s="17"/>
      <c r="F130" s="17"/>
      <c r="G130" s="42">
        <v>375.79</v>
      </c>
      <c r="H130" s="42">
        <v>375.79</v>
      </c>
      <c r="I130" s="43" t="s">
        <v>156</v>
      </c>
      <c r="J130" s="43" t="s">
        <v>110</v>
      </c>
      <c r="K130" s="43" t="s">
        <v>284</v>
      </c>
      <c r="L130" s="44" t="s">
        <v>233</v>
      </c>
      <c r="M130" s="45" t="s">
        <v>464</v>
      </c>
      <c r="N130" s="44" t="s">
        <v>144</v>
      </c>
      <c r="O130" s="17"/>
      <c r="P130" s="17"/>
      <c r="Q130" s="17"/>
      <c r="R130" s="17"/>
      <c r="S130" s="17"/>
      <c r="T130" s="17"/>
      <c r="U130" s="17"/>
      <c r="V130" s="17"/>
      <c r="W130" s="17"/>
      <c r="X130" s="17"/>
      <c r="Y130" s="46" t="str">
        <f ca="1">IFERROR(VLOOKUP(A130,catalogo!$E:$G,2,0),"-")</f>
        <v>-</v>
      </c>
      <c r="Z130" s="47" t="str">
        <f ca="1">IFERROR(VLOOKUP(A130,catalogo!$E:$G,3,0),"-")</f>
        <v>-</v>
      </c>
      <c r="AA130" s="48"/>
      <c r="AB130" s="48"/>
      <c r="AC130" s="48" t="str">
        <f ca="1">IFERROR(VLOOKUP(A130,catalogo!$E:$H,4,0),"-")</f>
        <v>-</v>
      </c>
      <c r="AD130" s="48"/>
      <c r="AE130" s="48"/>
      <c r="AF130" s="48"/>
      <c r="AG130" s="48"/>
      <c r="AH130" s="48"/>
      <c r="AI130" s="48"/>
    </row>
    <row r="131" spans="1:35" ht="12.5" hidden="1">
      <c r="A131" s="37" t="s">
        <v>465</v>
      </c>
      <c r="B131" s="38" t="str">
        <f>IFERROR(VLOOKUP(J131,catalogo!$B$1:$C$75,2,0),"-")</f>
        <v>#69</v>
      </c>
      <c r="C131" s="39">
        <v>46059.416666666664</v>
      </c>
      <c r="D131" s="17"/>
      <c r="E131" s="17"/>
      <c r="F131" s="17"/>
      <c r="G131" s="42">
        <v>394</v>
      </c>
      <c r="H131" s="42">
        <v>394</v>
      </c>
      <c r="I131" s="43" t="s">
        <v>156</v>
      </c>
      <c r="J131" s="43" t="s">
        <v>110</v>
      </c>
      <c r="K131" s="43" t="s">
        <v>466</v>
      </c>
      <c r="L131" s="44" t="s">
        <v>467</v>
      </c>
      <c r="M131" s="45">
        <v>8231</v>
      </c>
      <c r="N131" s="44" t="s">
        <v>167</v>
      </c>
      <c r="O131" s="17"/>
      <c r="P131" s="17"/>
      <c r="Q131" s="17"/>
      <c r="R131" s="17"/>
      <c r="S131" s="17"/>
      <c r="T131" s="17"/>
      <c r="U131" s="17"/>
      <c r="V131" s="17"/>
      <c r="W131" s="17"/>
      <c r="X131" s="17"/>
      <c r="Y131" s="46" t="str">
        <f ca="1">IFERROR(VLOOKUP(A131,catalogo!$E:$G,2,0),"-")</f>
        <v>-</v>
      </c>
      <c r="Z131" s="47" t="str">
        <f ca="1">IFERROR(VLOOKUP(A131,catalogo!$E:$G,3,0),"-")</f>
        <v>-</v>
      </c>
      <c r="AA131" s="48"/>
      <c r="AB131" s="48"/>
      <c r="AC131" s="48" t="str">
        <f ca="1">IFERROR(VLOOKUP(A131,catalogo!$E:$H,4,0),"-")</f>
        <v>-</v>
      </c>
      <c r="AD131" s="48"/>
      <c r="AE131" s="48"/>
      <c r="AF131" s="48"/>
      <c r="AG131" s="48"/>
      <c r="AH131" s="48"/>
      <c r="AI131" s="48"/>
    </row>
    <row r="132" spans="1:35" ht="12.5" hidden="1">
      <c r="A132" s="37" t="s">
        <v>468</v>
      </c>
      <c r="B132" s="38" t="str">
        <f>IFERROR(VLOOKUP(J132,catalogo!$B$1:$C$75,2,0),"-")</f>
        <v>#16</v>
      </c>
      <c r="C132" s="39">
        <v>46059.416666666664</v>
      </c>
      <c r="D132" s="17"/>
      <c r="E132" s="17"/>
      <c r="F132" s="17"/>
      <c r="G132" s="53">
        <v>647.16999999999996</v>
      </c>
      <c r="H132" s="53">
        <v>647.16999999999996</v>
      </c>
      <c r="I132" s="43" t="s">
        <v>156</v>
      </c>
      <c r="J132" s="43" t="s">
        <v>85</v>
      </c>
      <c r="K132" s="43" t="s">
        <v>454</v>
      </c>
      <c r="L132" s="44" t="s">
        <v>455</v>
      </c>
      <c r="M132" s="44" t="s">
        <v>143</v>
      </c>
      <c r="N132" s="44" t="s">
        <v>144</v>
      </c>
      <c r="O132" s="17"/>
      <c r="P132" s="17"/>
      <c r="Q132" s="17"/>
      <c r="R132" s="17"/>
      <c r="S132" s="17"/>
      <c r="T132" s="17"/>
      <c r="U132" s="17"/>
      <c r="V132" s="17"/>
      <c r="W132" s="17"/>
      <c r="X132" s="17"/>
      <c r="Y132" s="46"/>
      <c r="Z132" s="47"/>
      <c r="AA132" s="48"/>
      <c r="AB132" s="48"/>
      <c r="AC132" s="48"/>
      <c r="AD132" s="48"/>
      <c r="AE132" s="48"/>
      <c r="AF132" s="48"/>
      <c r="AG132" s="48"/>
      <c r="AH132" s="48"/>
      <c r="AI132" s="48"/>
    </row>
    <row r="133" spans="1:35" ht="12.5" hidden="1">
      <c r="A133" s="37" t="s">
        <v>469</v>
      </c>
      <c r="B133" s="38" t="str">
        <f>IFERROR(VLOOKUP(J133,catalogo!$B$1:$C$75,2,0),"-")</f>
        <v>#26</v>
      </c>
      <c r="C133" s="39">
        <v>46059.416666666664</v>
      </c>
      <c r="D133" s="17"/>
      <c r="E133" s="17"/>
      <c r="F133" s="17"/>
      <c r="G133" s="42">
        <v>86</v>
      </c>
      <c r="H133" s="42">
        <v>86</v>
      </c>
      <c r="I133" s="43" t="s">
        <v>156</v>
      </c>
      <c r="J133" s="43" t="s">
        <v>67</v>
      </c>
      <c r="K133" s="43" t="s">
        <v>266</v>
      </c>
      <c r="L133" s="44" t="s">
        <v>267</v>
      </c>
      <c r="M133" s="45" t="s">
        <v>159</v>
      </c>
      <c r="N133" s="44" t="s">
        <v>144</v>
      </c>
      <c r="O133" s="17"/>
      <c r="P133" s="17"/>
      <c r="Q133" s="17"/>
      <c r="R133" s="17"/>
      <c r="S133" s="17"/>
      <c r="T133" s="17"/>
      <c r="U133" s="17"/>
      <c r="V133" s="17"/>
      <c r="W133" s="17"/>
      <c r="X133" s="17"/>
      <c r="Y133" s="46" t="str">
        <f ca="1">IFERROR(VLOOKUP(A133,catalogo!$E:$H,2,0),"-")</f>
        <v>-</v>
      </c>
      <c r="Z133" s="47" t="str">
        <f ca="1">IFERROR(VLOOKUP(A133,catalogo!$E:$G,3,0),"-")</f>
        <v>-</v>
      </c>
      <c r="AA133" s="48"/>
      <c r="AB133" s="48"/>
      <c r="AC133" s="48" t="str">
        <f ca="1">IFERROR(VLOOKUP(A133,catalogo!$E:$H,4,0),"-")</f>
        <v>-</v>
      </c>
      <c r="AD133" s="48"/>
      <c r="AE133" s="48"/>
      <c r="AF133" s="48"/>
      <c r="AG133" s="48"/>
      <c r="AH133" s="48"/>
      <c r="AI133" s="48"/>
    </row>
    <row r="134" spans="1:35" ht="12.5" hidden="1">
      <c r="A134" s="37" t="s">
        <v>470</v>
      </c>
      <c r="B134" s="38" t="str">
        <f>IFERROR(VLOOKUP(J134,catalogo!$B$1:$C$75,2,0),"-")</f>
        <v>#16</v>
      </c>
      <c r="C134" s="39">
        <v>46059.416666666664</v>
      </c>
      <c r="D134" s="17"/>
      <c r="E134" s="17"/>
      <c r="F134" s="17"/>
      <c r="G134" s="42">
        <v>620.01</v>
      </c>
      <c r="H134" s="42">
        <v>620.01</v>
      </c>
      <c r="I134" s="43" t="s">
        <v>156</v>
      </c>
      <c r="J134" s="43" t="s">
        <v>85</v>
      </c>
      <c r="K134" s="43" t="s">
        <v>454</v>
      </c>
      <c r="L134" s="44" t="s">
        <v>455</v>
      </c>
      <c r="M134" s="45" t="s">
        <v>143</v>
      </c>
      <c r="N134" s="44" t="s">
        <v>144</v>
      </c>
      <c r="O134" s="17"/>
      <c r="P134" s="17"/>
      <c r="Q134" s="17"/>
      <c r="R134" s="17"/>
      <c r="S134" s="17"/>
      <c r="T134" s="17"/>
      <c r="U134" s="17"/>
      <c r="V134" s="17"/>
      <c r="W134" s="17"/>
      <c r="X134" s="17"/>
      <c r="Y134" s="46" t="str">
        <f ca="1">IFERROR(VLOOKUP(A134,catalogo!$E:$G,2,0),"-")</f>
        <v>Office expenses</v>
      </c>
      <c r="Z134" s="47">
        <f ca="1">IFERROR(VLOOKUP(A134,catalogo!$E:$G,3,0),"-")</f>
        <v>0</v>
      </c>
      <c r="AA134" s="48"/>
      <c r="AB134" s="48"/>
      <c r="AC134" s="48">
        <f ca="1">IFERROR(VLOOKUP(A134,catalogo!$E:$H,4,0),"-")</f>
        <v>0</v>
      </c>
      <c r="AD134" s="48"/>
      <c r="AE134" s="48"/>
      <c r="AF134" s="48"/>
      <c r="AG134" s="48"/>
      <c r="AH134" s="48"/>
      <c r="AI134" s="48"/>
    </row>
    <row r="135" spans="1:35" ht="15.5" hidden="1">
      <c r="A135" s="37" t="s">
        <v>471</v>
      </c>
      <c r="B135" s="38" t="str">
        <f>IFERROR(VLOOKUP(J135,catalogo!$B$1:$C$75,2,0),"-")</f>
        <v>#6</v>
      </c>
      <c r="C135" s="39">
        <v>46059.416666666664</v>
      </c>
      <c r="D135" s="17"/>
      <c r="E135" s="17"/>
      <c r="F135" s="17"/>
      <c r="G135" s="42">
        <v>791.04</v>
      </c>
      <c r="H135" s="42">
        <v>791.04</v>
      </c>
      <c r="I135" s="43" t="s">
        <v>156</v>
      </c>
      <c r="J135" s="43" t="s">
        <v>114</v>
      </c>
      <c r="K135" s="43" t="s">
        <v>273</v>
      </c>
      <c r="L135" s="44" t="s">
        <v>274</v>
      </c>
      <c r="M135" s="45">
        <v>3893</v>
      </c>
      <c r="N135" s="44" t="s">
        <v>167</v>
      </c>
      <c r="O135" s="49"/>
      <c r="P135" s="17"/>
      <c r="Q135" s="17"/>
      <c r="R135" s="17"/>
      <c r="S135" s="17"/>
      <c r="T135" s="17"/>
      <c r="U135" s="17"/>
      <c r="V135" s="17"/>
      <c r="W135" s="17"/>
      <c r="X135" s="17"/>
      <c r="Y135" s="46" t="str">
        <f ca="1">IFERROR(VLOOKUP(A135,catalogo!$E:$H,2,0),"-")</f>
        <v>Transaction cost</v>
      </c>
      <c r="Z135" s="47" t="str">
        <f ca="1">IFERROR(VLOOKUP(A135,catalogo!$E:$G,3,0),"-")</f>
        <v>Recarga de tag</v>
      </c>
      <c r="AA135" s="48"/>
      <c r="AB135" s="48"/>
      <c r="AC135" s="48">
        <f ca="1">IFERROR(VLOOKUP(A135,catalogo!$E:$H,4,0),"-")</f>
        <v>0</v>
      </c>
      <c r="AD135" s="48"/>
      <c r="AE135" s="48"/>
      <c r="AF135" s="48"/>
      <c r="AG135" s="48"/>
      <c r="AH135" s="48"/>
      <c r="AI135" s="48"/>
    </row>
    <row r="136" spans="1:35" ht="15.5" hidden="1">
      <c r="A136" s="37" t="s">
        <v>472</v>
      </c>
      <c r="B136" s="38" t="str">
        <f>IFERROR(VLOOKUP(J136,catalogo!$B$1:$C$75,2,0),"-")</f>
        <v>-</v>
      </c>
      <c r="C136" s="39">
        <v>46059.416666666664</v>
      </c>
      <c r="D136" s="17"/>
      <c r="E136" s="17"/>
      <c r="F136" s="17"/>
      <c r="G136" s="42">
        <v>20</v>
      </c>
      <c r="H136" s="42">
        <v>20</v>
      </c>
      <c r="I136" s="43" t="s">
        <v>156</v>
      </c>
      <c r="J136" s="43" t="s">
        <v>343</v>
      </c>
      <c r="K136" s="43" t="s">
        <v>284</v>
      </c>
      <c r="L136" s="44" t="s">
        <v>233</v>
      </c>
      <c r="M136" s="45" t="s">
        <v>433</v>
      </c>
      <c r="N136" s="44" t="s">
        <v>144</v>
      </c>
      <c r="O136" s="49"/>
      <c r="P136" s="17"/>
      <c r="Q136" s="17"/>
      <c r="R136" s="17"/>
      <c r="S136" s="17"/>
      <c r="T136" s="17"/>
      <c r="U136" s="17"/>
      <c r="V136" s="17"/>
      <c r="W136" s="17"/>
      <c r="X136" s="17"/>
      <c r="Y136" s="46" t="str">
        <f ca="1">IFERROR(VLOOKUP(A136,catalogo!$E:$H,2,0),"-")</f>
        <v>-</v>
      </c>
      <c r="Z136" s="47" t="str">
        <f ca="1">IFERROR(VLOOKUP(A136,catalogo!$E:$G,3,0),"-")</f>
        <v>-</v>
      </c>
      <c r="AA136" s="48"/>
      <c r="AB136" s="48"/>
      <c r="AC136" s="48" t="str">
        <f ca="1">IFERROR(VLOOKUP(A136,catalogo!$E:$H,4,0),"-")</f>
        <v>-</v>
      </c>
      <c r="AD136" s="48"/>
      <c r="AE136" s="48"/>
      <c r="AF136" s="48"/>
      <c r="AG136" s="48"/>
      <c r="AH136" s="48"/>
      <c r="AI136" s="48"/>
    </row>
    <row r="137" spans="1:35" ht="15.5" hidden="1">
      <c r="A137" s="37" t="s">
        <v>473</v>
      </c>
      <c r="B137" s="38" t="str">
        <f>IFERROR(VLOOKUP(J137,catalogo!$B$1:$C$75,2,0),"-")</f>
        <v>-</v>
      </c>
      <c r="C137" s="39">
        <v>46059.416666666664</v>
      </c>
      <c r="D137" s="17"/>
      <c r="E137" s="17"/>
      <c r="F137" s="17"/>
      <c r="G137" s="42">
        <v>117</v>
      </c>
      <c r="H137" s="42">
        <v>117</v>
      </c>
      <c r="I137" s="43" t="s">
        <v>156</v>
      </c>
      <c r="J137" s="43" t="s">
        <v>269</v>
      </c>
      <c r="K137" s="43" t="s">
        <v>474</v>
      </c>
      <c r="L137" s="44" t="s">
        <v>475</v>
      </c>
      <c r="M137" s="45">
        <v>6130</v>
      </c>
      <c r="N137" s="44" t="s">
        <v>167</v>
      </c>
      <c r="O137" s="49"/>
      <c r="P137" s="17"/>
      <c r="Q137" s="17"/>
      <c r="R137" s="17"/>
      <c r="S137" s="17"/>
      <c r="T137" s="17"/>
      <c r="U137" s="17"/>
      <c r="V137" s="17"/>
      <c r="W137" s="17"/>
      <c r="X137" s="17"/>
      <c r="Y137" s="46" t="str">
        <f ca="1">IFERROR(VLOOKUP(A137,catalogo!$E:$H,2,0),"-")</f>
        <v>-</v>
      </c>
      <c r="Z137" s="47" t="str">
        <f ca="1">IFERROR(VLOOKUP(A137,catalogo!$E:$G,3,0),"-")</f>
        <v>-</v>
      </c>
      <c r="AA137" s="48"/>
      <c r="AB137" s="48"/>
      <c r="AC137" s="48" t="str">
        <f ca="1">IFERROR(VLOOKUP(A137,catalogo!$E:$H,4,0),"-")</f>
        <v>-</v>
      </c>
      <c r="AD137" s="48"/>
      <c r="AE137" s="48"/>
      <c r="AF137" s="48"/>
      <c r="AG137" s="48"/>
      <c r="AH137" s="48"/>
      <c r="AI137" s="48"/>
    </row>
    <row r="138" spans="1:35" ht="12.5" hidden="1">
      <c r="A138" s="37" t="s">
        <v>476</v>
      </c>
      <c r="B138" s="38" t="str">
        <f>IFERROR(VLOOKUP(J138,catalogo!$B$1:$C$75,2,0),"-")</f>
        <v>-</v>
      </c>
      <c r="C138" s="39">
        <v>46059.416666666664</v>
      </c>
      <c r="D138" s="17"/>
      <c r="E138" s="17"/>
      <c r="F138" s="17"/>
      <c r="G138" s="42">
        <v>41.91</v>
      </c>
      <c r="H138" s="42">
        <v>41.91</v>
      </c>
      <c r="I138" s="43" t="s">
        <v>156</v>
      </c>
      <c r="J138" s="50" t="s">
        <v>187</v>
      </c>
      <c r="K138" s="43" t="s">
        <v>232</v>
      </c>
      <c r="L138" s="44" t="s">
        <v>233</v>
      </c>
      <c r="M138" s="45" t="s">
        <v>477</v>
      </c>
      <c r="N138" s="44" t="s">
        <v>144</v>
      </c>
      <c r="O138" s="17"/>
      <c r="P138" s="17"/>
      <c r="Q138" s="17"/>
      <c r="R138" s="17"/>
      <c r="S138" s="17"/>
      <c r="T138" s="17"/>
      <c r="U138" s="17"/>
      <c r="V138" s="17"/>
      <c r="W138" s="17"/>
      <c r="X138" s="17"/>
      <c r="Y138" s="46" t="str">
        <f ca="1">IFERROR(VLOOKUP(A138,catalogo!$E:$G,2,0),"-")</f>
        <v>-</v>
      </c>
      <c r="Z138" s="47" t="str">
        <f ca="1">IFERROR(VLOOKUP(A138,catalogo!$E:$G,3,0),"-")</f>
        <v>-</v>
      </c>
      <c r="AA138" s="48"/>
      <c r="AB138" s="48"/>
      <c r="AC138" s="48" t="str">
        <f ca="1">IFERROR(VLOOKUP(A138,catalogo!$E:$H,4,0),"-")</f>
        <v>-</v>
      </c>
      <c r="AD138" s="48"/>
      <c r="AE138" s="48"/>
      <c r="AF138" s="48"/>
      <c r="AG138" s="48"/>
      <c r="AH138" s="48"/>
      <c r="AI138" s="48"/>
    </row>
    <row r="139" spans="1:35" ht="12.5" hidden="1">
      <c r="A139" s="37" t="s">
        <v>478</v>
      </c>
      <c r="B139" s="38" t="str">
        <f>IFERROR(VLOOKUP(J139,catalogo!$B$1:$C$75,2,0),"-")</f>
        <v>-</v>
      </c>
      <c r="C139" s="39">
        <v>46059.416666666664</v>
      </c>
      <c r="D139" s="17"/>
      <c r="E139" s="17"/>
      <c r="F139" s="17"/>
      <c r="G139" s="42">
        <v>2203.88</v>
      </c>
      <c r="H139" s="42">
        <v>2203.88</v>
      </c>
      <c r="I139" s="43" t="s">
        <v>156</v>
      </c>
      <c r="J139" s="43" t="s">
        <v>343</v>
      </c>
      <c r="K139" s="43" t="s">
        <v>479</v>
      </c>
      <c r="L139" s="44" t="s">
        <v>480</v>
      </c>
      <c r="M139" s="44">
        <v>6747</v>
      </c>
      <c r="N139" s="44" t="s">
        <v>167</v>
      </c>
      <c r="O139" s="17"/>
      <c r="P139" s="17"/>
      <c r="Q139" s="17"/>
      <c r="R139" s="17"/>
      <c r="S139" s="17"/>
      <c r="T139" s="17"/>
      <c r="U139" s="17"/>
      <c r="V139" s="17"/>
      <c r="W139" s="17"/>
      <c r="X139" s="17"/>
      <c r="Y139" s="46" t="str">
        <f ca="1">IFERROR(VLOOKUP(A139,catalogo!$E:$G,2,0),"-")</f>
        <v>-</v>
      </c>
      <c r="Z139" s="47" t="str">
        <f ca="1">IFERROR(VLOOKUP(A139,catalogo!$E:$G,3,0),"-")</f>
        <v>-</v>
      </c>
      <c r="AA139" s="48"/>
      <c r="AB139" s="48"/>
      <c r="AC139" s="48" t="str">
        <f ca="1">IFERROR(VLOOKUP(A139,catalogo!$E:$H,4,0),"-")</f>
        <v>-</v>
      </c>
      <c r="AD139" s="48"/>
      <c r="AE139" s="48"/>
      <c r="AF139" s="48"/>
      <c r="AG139" s="48"/>
      <c r="AH139" s="48"/>
      <c r="AI139" s="48"/>
    </row>
    <row r="140" spans="1:35" ht="69.75" hidden="1" customHeight="1">
      <c r="A140" s="37" t="s">
        <v>481</v>
      </c>
      <c r="B140" s="38" t="str">
        <f>IFERROR(VLOOKUP(J140,catalogo!$B$1:$C$75,2,0),"-")</f>
        <v>#31</v>
      </c>
      <c r="C140" s="39">
        <v>46059.416666666664</v>
      </c>
      <c r="D140" s="17"/>
      <c r="E140" s="17"/>
      <c r="F140" s="17"/>
      <c r="G140" s="42">
        <v>61.2</v>
      </c>
      <c r="H140" s="42">
        <v>61.2</v>
      </c>
      <c r="I140" s="43" t="s">
        <v>156</v>
      </c>
      <c r="J140" s="43" t="s">
        <v>106</v>
      </c>
      <c r="K140" s="43" t="s">
        <v>374</v>
      </c>
      <c r="L140" s="44" t="s">
        <v>375</v>
      </c>
      <c r="M140" s="44">
        <v>3902</v>
      </c>
      <c r="N140" s="44" t="s">
        <v>167</v>
      </c>
      <c r="O140" s="17"/>
      <c r="P140" s="17"/>
      <c r="Q140" s="17"/>
      <c r="R140" s="17"/>
      <c r="S140" s="17"/>
      <c r="T140" s="17"/>
      <c r="U140" s="17"/>
      <c r="V140" s="17"/>
      <c r="W140" s="17"/>
      <c r="X140" s="17"/>
      <c r="Y140" s="46" t="str">
        <f ca="1">IFERROR(VLOOKUP(A140,catalogo!$E:$H,2,0),"-")</f>
        <v>-</v>
      </c>
      <c r="Z140" s="47" t="str">
        <f ca="1">IFERROR(VLOOKUP(A140,catalogo!$E:$G,3,0),"-")</f>
        <v>-</v>
      </c>
      <c r="AA140" s="48"/>
      <c r="AB140" s="48"/>
      <c r="AC140" s="48" t="str">
        <f ca="1">IFERROR(VLOOKUP(A140,catalogo!$E:$H,4,0),"-")</f>
        <v>-</v>
      </c>
      <c r="AD140" s="48"/>
      <c r="AE140" s="48"/>
      <c r="AF140" s="48"/>
      <c r="AG140" s="48"/>
      <c r="AH140" s="48"/>
      <c r="AI140" s="48"/>
    </row>
    <row r="141" spans="1:35" ht="12.5" hidden="1">
      <c r="A141" s="37" t="s">
        <v>482</v>
      </c>
      <c r="B141" s="38" t="str">
        <f>IFERROR(VLOOKUP(J141,catalogo!$B$1:$C$75,2,0),"-")</f>
        <v>#16</v>
      </c>
      <c r="C141" s="39">
        <v>46059.416666666664</v>
      </c>
      <c r="D141" s="17"/>
      <c r="E141" s="17"/>
      <c r="F141" s="17"/>
      <c r="G141" s="42">
        <v>4420</v>
      </c>
      <c r="H141" s="42">
        <v>4420</v>
      </c>
      <c r="I141" s="43" t="s">
        <v>156</v>
      </c>
      <c r="J141" s="43" t="s">
        <v>85</v>
      </c>
      <c r="K141" s="43" t="s">
        <v>483</v>
      </c>
      <c r="L141" s="44" t="s">
        <v>317</v>
      </c>
      <c r="M141" s="45" t="s">
        <v>143</v>
      </c>
      <c r="N141" s="44" t="s">
        <v>144</v>
      </c>
      <c r="O141" s="17"/>
      <c r="P141" s="17"/>
      <c r="Q141" s="17"/>
      <c r="R141" s="17"/>
      <c r="S141" s="17"/>
      <c r="T141" s="17"/>
      <c r="U141" s="17"/>
      <c r="V141" s="17"/>
      <c r="W141" s="17"/>
      <c r="X141" s="17"/>
      <c r="Y141" s="46" t="str">
        <f ca="1">IFERROR(VLOOKUP(A141,catalogo!$E:$G,2,0),"-")</f>
        <v>Office expenses</v>
      </c>
      <c r="Z141" s="47">
        <f ca="1">IFERROR(VLOOKUP(A141,catalogo!$E:$G,3,0),"-")</f>
        <v>0</v>
      </c>
      <c r="AA141" s="48"/>
      <c r="AB141" s="48"/>
      <c r="AC141" s="48">
        <f ca="1">IFERROR(VLOOKUP(A141,catalogo!$E:$H,4,0),"-")</f>
        <v>0</v>
      </c>
      <c r="AD141" s="48"/>
      <c r="AE141" s="48"/>
      <c r="AF141" s="48"/>
      <c r="AG141" s="48"/>
      <c r="AH141" s="48"/>
      <c r="AI141" s="48"/>
    </row>
    <row r="142" spans="1:35" ht="15.5" hidden="1">
      <c r="A142" s="37" t="s">
        <v>484</v>
      </c>
      <c r="B142" s="38" t="str">
        <f>IFERROR(VLOOKUP(J142,catalogo!$B$1:$C$75,2,0),"-")</f>
        <v>#26</v>
      </c>
      <c r="C142" s="39">
        <v>46059.416666666664</v>
      </c>
      <c r="D142" s="17"/>
      <c r="E142" s="17"/>
      <c r="F142" s="17"/>
      <c r="G142" s="42">
        <v>309.93</v>
      </c>
      <c r="H142" s="42">
        <v>309.93</v>
      </c>
      <c r="I142" s="43" t="s">
        <v>156</v>
      </c>
      <c r="J142" s="43" t="s">
        <v>67</v>
      </c>
      <c r="K142" s="43" t="s">
        <v>485</v>
      </c>
      <c r="L142" s="44" t="s">
        <v>233</v>
      </c>
      <c r="M142" s="45" t="s">
        <v>159</v>
      </c>
      <c r="N142" s="44" t="s">
        <v>144</v>
      </c>
      <c r="O142" s="49"/>
      <c r="P142" s="17"/>
      <c r="Q142" s="17"/>
      <c r="R142" s="17"/>
      <c r="S142" s="17"/>
      <c r="T142" s="17"/>
      <c r="U142" s="17"/>
      <c r="V142" s="17"/>
      <c r="W142" s="17"/>
      <c r="X142" s="17"/>
      <c r="Y142" s="46" t="str">
        <f ca="1">IFERROR(VLOOKUP(A142,catalogo!$E:$H,2,0),"-")</f>
        <v>Transaction cost</v>
      </c>
      <c r="Z142" s="47" t="str">
        <f ca="1">IFERROR(VLOOKUP(A142,catalogo!$E:$G,3,0),"-")</f>
        <v>calibracion rugosimetro CC calidad</v>
      </c>
      <c r="AA142" s="48"/>
      <c r="AB142" s="48"/>
      <c r="AC142" s="48" t="str">
        <f ca="1">IFERROR(VLOOKUP(A142,catalogo!$E:$H,4,0),"-")</f>
        <v>-</v>
      </c>
      <c r="AD142" s="48"/>
      <c r="AE142" s="48"/>
      <c r="AF142" s="48"/>
      <c r="AG142" s="48"/>
      <c r="AH142" s="48"/>
      <c r="AI142" s="48"/>
    </row>
    <row r="143" spans="1:35" ht="15.5" hidden="1">
      <c r="A143" s="37" t="s">
        <v>486</v>
      </c>
      <c r="B143" s="38" t="str">
        <f>IFERROR(VLOOKUP(J143,catalogo!$B$1:$C$75,2,0),"-")</f>
        <v>#56</v>
      </c>
      <c r="C143" s="39">
        <v>46059.416666666664</v>
      </c>
      <c r="D143" s="17"/>
      <c r="E143" s="17"/>
      <c r="F143" s="17"/>
      <c r="G143" s="42">
        <v>151</v>
      </c>
      <c r="H143" s="42">
        <v>151</v>
      </c>
      <c r="I143" s="43" t="s">
        <v>156</v>
      </c>
      <c r="J143" s="43" t="s">
        <v>99</v>
      </c>
      <c r="K143" s="43" t="s">
        <v>359</v>
      </c>
      <c r="L143" s="44" t="s">
        <v>336</v>
      </c>
      <c r="M143" s="44">
        <v>8949</v>
      </c>
      <c r="N143" s="44" t="s">
        <v>167</v>
      </c>
      <c r="O143" s="49"/>
      <c r="P143" s="17"/>
      <c r="Q143" s="17"/>
      <c r="R143" s="17"/>
      <c r="S143" s="17"/>
      <c r="T143" s="17"/>
      <c r="U143" s="17"/>
      <c r="V143" s="17"/>
      <c r="W143" s="17"/>
      <c r="X143" s="17"/>
      <c r="Y143" s="46" t="str">
        <f ca="1">IFERROR(VLOOKUP(A143,catalogo!$E:$H,2,0),"-")</f>
        <v>-</v>
      </c>
      <c r="Z143" s="47" t="str">
        <f ca="1">IFERROR(VLOOKUP(A143,catalogo!$E:$G,3,0),"-")</f>
        <v>-</v>
      </c>
      <c r="AA143" s="48"/>
      <c r="AB143" s="48"/>
      <c r="AC143" s="48" t="str">
        <f ca="1">IFERROR(VLOOKUP(A143,catalogo!$E:$H,4,0),"-")</f>
        <v>-</v>
      </c>
      <c r="AD143" s="48"/>
      <c r="AE143" s="48"/>
      <c r="AF143" s="48"/>
      <c r="AG143" s="48"/>
      <c r="AH143" s="48"/>
      <c r="AI143" s="48"/>
    </row>
    <row r="144" spans="1:35" ht="15.5" hidden="1">
      <c r="A144" s="37" t="s">
        <v>487</v>
      </c>
      <c r="B144" s="38" t="str">
        <f>IFERROR(VLOOKUP(J144,catalogo!$B$1:$C$75,2,0),"-")</f>
        <v>#55</v>
      </c>
      <c r="C144" s="39">
        <v>46059.416666666664</v>
      </c>
      <c r="D144" s="17"/>
      <c r="E144" s="17"/>
      <c r="F144" s="17"/>
      <c r="G144" s="42">
        <v>2377.29</v>
      </c>
      <c r="H144" s="42">
        <v>2377.29</v>
      </c>
      <c r="I144" s="43" t="s">
        <v>156</v>
      </c>
      <c r="J144" s="43" t="s">
        <v>89</v>
      </c>
      <c r="K144" s="43" t="s">
        <v>454</v>
      </c>
      <c r="L144" s="44" t="s">
        <v>455</v>
      </c>
      <c r="M144" s="45" t="s">
        <v>488</v>
      </c>
      <c r="N144" s="44" t="s">
        <v>144</v>
      </c>
      <c r="O144" s="49"/>
      <c r="P144" s="17"/>
      <c r="Q144" s="17"/>
      <c r="R144" s="17"/>
      <c r="S144" s="17"/>
      <c r="T144" s="17"/>
      <c r="U144" s="17"/>
      <c r="V144" s="17"/>
      <c r="W144" s="17"/>
      <c r="X144" s="17"/>
      <c r="Y144" s="46" t="str">
        <f ca="1">IFERROR(VLOOKUP(A144,catalogo!$E:$H,2,0),"-")</f>
        <v>-</v>
      </c>
      <c r="Z144" s="47" t="str">
        <f ca="1">IFERROR(VLOOKUP(A144,catalogo!$E:$G,3,0),"-")</f>
        <v>-</v>
      </c>
      <c r="AA144" s="48"/>
      <c r="AB144" s="48"/>
      <c r="AC144" s="48" t="str">
        <f ca="1">IFERROR(VLOOKUP(A144,catalogo!$E:$H,4,0),"-")</f>
        <v>-</v>
      </c>
      <c r="AD144" s="48"/>
      <c r="AE144" s="48"/>
      <c r="AF144" s="48"/>
      <c r="AG144" s="48"/>
      <c r="AH144" s="48"/>
      <c r="AI144" s="48"/>
    </row>
    <row r="145" spans="1:35" ht="12.5" hidden="1">
      <c r="A145" s="37" t="s">
        <v>489</v>
      </c>
      <c r="B145" s="38" t="str">
        <f>IFERROR(VLOOKUP(J145,catalogo!$B$1:$C$75,2,0),"-")</f>
        <v>#68</v>
      </c>
      <c r="C145" s="39">
        <v>46059.416666666664</v>
      </c>
      <c r="D145" s="17"/>
      <c r="E145" s="17"/>
      <c r="F145" s="17"/>
      <c r="G145" s="42">
        <v>543</v>
      </c>
      <c r="H145" s="42">
        <v>543</v>
      </c>
      <c r="I145" s="43" t="s">
        <v>156</v>
      </c>
      <c r="J145" s="43" t="s">
        <v>384</v>
      </c>
      <c r="K145" s="43" t="s">
        <v>490</v>
      </c>
      <c r="L145" s="44" t="s">
        <v>491</v>
      </c>
      <c r="M145" s="44">
        <v>2937</v>
      </c>
      <c r="N145" s="44" t="s">
        <v>167</v>
      </c>
      <c r="O145" s="17"/>
      <c r="P145" s="17"/>
      <c r="Q145" s="17"/>
      <c r="R145" s="17"/>
      <c r="S145" s="17"/>
      <c r="T145" s="17"/>
      <c r="U145" s="17"/>
      <c r="V145" s="17"/>
      <c r="W145" s="17"/>
      <c r="X145" s="17"/>
      <c r="Y145" s="46" t="str">
        <f ca="1">IFERROR(VLOOKUP(A145,catalogo!$E:$G,2,0),"-")</f>
        <v>Sales</v>
      </c>
      <c r="Z145" s="47" t="str">
        <f ca="1">IFERROR(VLOOKUP(A145,catalogo!$E:$G,3,0),"-")</f>
        <v xml:space="preserve">Hotel mty </v>
      </c>
      <c r="AA145" s="48"/>
      <c r="AB145" s="48"/>
      <c r="AC145" s="48" t="str">
        <f ca="1">IFERROR(VLOOKUP(A145,catalogo!$E:$H,4,0),"-")</f>
        <v>.</v>
      </c>
      <c r="AD145" s="48"/>
      <c r="AE145" s="48"/>
      <c r="AF145" s="48"/>
      <c r="AG145" s="48"/>
      <c r="AH145" s="48"/>
      <c r="AI145" s="48"/>
    </row>
    <row r="146" spans="1:35" ht="12.5" hidden="1">
      <c r="A146" s="37" t="s">
        <v>492</v>
      </c>
      <c r="B146" s="38" t="str">
        <f>IFERROR(VLOOKUP(J146,catalogo!$B$1:$C$75,2,0),"-")</f>
        <v>-</v>
      </c>
      <c r="C146" s="39">
        <v>46059.416666666664</v>
      </c>
      <c r="D146" s="17"/>
      <c r="E146" s="17"/>
      <c r="F146" s="17"/>
      <c r="G146" s="42">
        <v>3119.1</v>
      </c>
      <c r="H146" s="42">
        <v>3119.1</v>
      </c>
      <c r="I146" s="43" t="s">
        <v>156</v>
      </c>
      <c r="J146" s="43" t="s">
        <v>493</v>
      </c>
      <c r="K146" s="43" t="s">
        <v>347</v>
      </c>
      <c r="L146" s="44" t="s">
        <v>348</v>
      </c>
      <c r="M146" s="45">
        <v>4682</v>
      </c>
      <c r="N146" s="44" t="s">
        <v>167</v>
      </c>
      <c r="O146" s="17"/>
      <c r="P146" s="17"/>
      <c r="Q146" s="17"/>
      <c r="R146" s="17"/>
      <c r="S146" s="17"/>
      <c r="T146" s="17"/>
      <c r="U146" s="17"/>
      <c r="V146" s="17"/>
      <c r="W146" s="17"/>
      <c r="X146" s="17"/>
      <c r="Y146" s="46" t="str">
        <f ca="1">IFERROR(VLOOKUP(A146,catalogo!$E:$G,2,0),"-")</f>
        <v>-</v>
      </c>
      <c r="Z146" s="47" t="str">
        <f ca="1">IFERROR(VLOOKUP(A146,catalogo!$E:$G,3,0),"-")</f>
        <v>-</v>
      </c>
      <c r="AA146" s="48"/>
      <c r="AB146" s="48"/>
      <c r="AC146" s="48" t="str">
        <f ca="1">IFERROR(VLOOKUP(A146,catalogo!$E:$H,4,0),"-")</f>
        <v>-</v>
      </c>
      <c r="AD146" s="48"/>
      <c r="AE146" s="48"/>
      <c r="AF146" s="48"/>
      <c r="AG146" s="48"/>
      <c r="AH146" s="48"/>
      <c r="AI146" s="48"/>
    </row>
    <row r="147" spans="1:35" ht="12.5" hidden="1">
      <c r="A147" s="37" t="s">
        <v>494</v>
      </c>
      <c r="B147" s="38" t="str">
        <f>IFERROR(VLOOKUP(J147,catalogo!$B$1:$C$75,2,0),"-")</f>
        <v>#26</v>
      </c>
      <c r="C147" s="39">
        <v>46059.416666666664</v>
      </c>
      <c r="D147" s="52"/>
      <c r="E147" s="17"/>
      <c r="F147" s="17"/>
      <c r="G147" s="42">
        <v>202</v>
      </c>
      <c r="H147" s="42">
        <v>202</v>
      </c>
      <c r="I147" s="43" t="s">
        <v>156</v>
      </c>
      <c r="J147" s="43" t="s">
        <v>67</v>
      </c>
      <c r="K147" s="43" t="s">
        <v>495</v>
      </c>
      <c r="L147" s="44" t="s">
        <v>294</v>
      </c>
      <c r="M147" s="44">
        <v>8061</v>
      </c>
      <c r="N147" s="44" t="s">
        <v>167</v>
      </c>
      <c r="O147" s="17"/>
      <c r="P147" s="17"/>
      <c r="Q147" s="17"/>
      <c r="R147" s="17"/>
      <c r="S147" s="17"/>
      <c r="T147" s="17"/>
      <c r="U147" s="17"/>
      <c r="V147" s="17"/>
      <c r="W147" s="17"/>
      <c r="X147" s="17"/>
      <c r="Y147" s="46" t="str">
        <f ca="1">IFERROR(VLOOKUP(A147,catalogo!$E:$H,2,0),"-")</f>
        <v>-</v>
      </c>
      <c r="Z147" s="47" t="str">
        <f ca="1">IFERROR(VLOOKUP(A147,catalogo!$E:$G,3,0),"-")</f>
        <v>-</v>
      </c>
      <c r="AA147" s="48"/>
      <c r="AB147" s="48"/>
      <c r="AC147" s="48" t="str">
        <f ca="1">IFERROR(VLOOKUP(A147,catalogo!$E:$H,4,0),"-")</f>
        <v>-</v>
      </c>
      <c r="AD147" s="48"/>
      <c r="AE147" s="48"/>
      <c r="AF147" s="48"/>
      <c r="AG147" s="48"/>
      <c r="AH147" s="48"/>
      <c r="AI147" s="48"/>
    </row>
    <row r="148" spans="1:35" ht="12.5" hidden="1">
      <c r="A148" s="37" t="s">
        <v>496</v>
      </c>
      <c r="B148" s="38" t="str">
        <f>IFERROR(VLOOKUP(J148,catalogo!$B$1:$C$75,2,0),"-")</f>
        <v>-</v>
      </c>
      <c r="C148" s="39">
        <v>46059.416666666664</v>
      </c>
      <c r="D148" s="17"/>
      <c r="E148" s="17"/>
      <c r="F148" s="17"/>
      <c r="G148" s="42">
        <v>171</v>
      </c>
      <c r="H148" s="42">
        <v>171</v>
      </c>
      <c r="I148" s="43" t="s">
        <v>156</v>
      </c>
      <c r="J148" s="43" t="s">
        <v>187</v>
      </c>
      <c r="K148" s="43" t="s">
        <v>495</v>
      </c>
      <c r="L148" s="44" t="s">
        <v>294</v>
      </c>
      <c r="M148" s="44" t="s">
        <v>190</v>
      </c>
      <c r="N148" s="44" t="s">
        <v>167</v>
      </c>
      <c r="O148" s="17"/>
      <c r="P148" s="17"/>
      <c r="Q148" s="17"/>
      <c r="R148" s="17"/>
      <c r="S148" s="17"/>
      <c r="T148" s="17"/>
      <c r="U148" s="17"/>
      <c r="V148" s="17"/>
      <c r="W148" s="17"/>
      <c r="X148" s="17"/>
      <c r="Y148" s="46" t="str">
        <f ca="1">IFERROR(VLOOKUP(A148,catalogo!$E:$H,2,0),"-")</f>
        <v>-</v>
      </c>
      <c r="Z148" s="47" t="str">
        <f ca="1">IFERROR(VLOOKUP(A148,catalogo!$E:$G,3,0),"-")</f>
        <v>-</v>
      </c>
      <c r="AA148" s="48"/>
      <c r="AB148" s="48"/>
      <c r="AC148" s="48" t="str">
        <f ca="1">IFERROR(VLOOKUP(A148,catalogo!$E:$H,4,0),"-")</f>
        <v>-</v>
      </c>
      <c r="AD148" s="48"/>
      <c r="AE148" s="48"/>
      <c r="AF148" s="48"/>
      <c r="AG148" s="48"/>
      <c r="AH148" s="48"/>
      <c r="AI148" s="48"/>
    </row>
    <row r="149" spans="1:35" ht="12.5" hidden="1">
      <c r="A149" s="37" t="s">
        <v>497</v>
      </c>
      <c r="B149" s="38" t="str">
        <f>IFERROR(VLOOKUP(J149,catalogo!$B$1:$C$75,2,0),"-")</f>
        <v>-</v>
      </c>
      <c r="C149" s="39">
        <v>46059.416666666664</v>
      </c>
      <c r="D149" s="40"/>
      <c r="E149" s="41"/>
      <c r="F149" s="41"/>
      <c r="G149" s="42">
        <v>689.97</v>
      </c>
      <c r="H149" s="42">
        <v>689.97</v>
      </c>
      <c r="I149" s="43" t="s">
        <v>156</v>
      </c>
      <c r="J149" s="43" t="s">
        <v>343</v>
      </c>
      <c r="K149" s="43" t="s">
        <v>371</v>
      </c>
      <c r="L149" s="44" t="s">
        <v>233</v>
      </c>
      <c r="M149" s="44" t="s">
        <v>433</v>
      </c>
      <c r="N149" s="44" t="s">
        <v>144</v>
      </c>
      <c r="O149" s="41"/>
      <c r="P149" s="41"/>
      <c r="Q149" s="41"/>
      <c r="R149" s="41"/>
      <c r="S149" s="41"/>
      <c r="T149" s="41"/>
      <c r="U149" s="41"/>
      <c r="V149" s="41"/>
      <c r="W149" s="41"/>
      <c r="X149" s="41"/>
      <c r="Y149" s="46" t="str">
        <f ca="1">IFERROR(VLOOKUP(A149,catalogo!$E:$H,2,0),"-")</f>
        <v>-</v>
      </c>
      <c r="Z149" s="47" t="str">
        <f ca="1">IFERROR(VLOOKUP(A149,catalogo!$E:$G,3,0),"-")</f>
        <v>-</v>
      </c>
      <c r="AA149" s="48"/>
      <c r="AB149" s="48"/>
      <c r="AC149" s="48" t="str">
        <f ca="1">IFERROR(VLOOKUP(A149,catalogo!$E:$H,4,0),"-")</f>
        <v>-</v>
      </c>
      <c r="AD149" s="48"/>
      <c r="AE149" s="48"/>
      <c r="AF149" s="48"/>
      <c r="AG149" s="48"/>
      <c r="AH149" s="48"/>
      <c r="AI149" s="48"/>
    </row>
    <row r="150" spans="1:35" ht="12.5" hidden="1">
      <c r="A150" s="37" t="s">
        <v>498</v>
      </c>
      <c r="B150" s="38" t="str">
        <f>IFERROR(VLOOKUP(J150,catalogo!$B$1:$C$75,2,0),"-")</f>
        <v>#56</v>
      </c>
      <c r="C150" s="39">
        <v>46059.416666666664</v>
      </c>
      <c r="D150" s="17"/>
      <c r="E150" s="17"/>
      <c r="F150" s="17"/>
      <c r="G150" s="42">
        <v>2639</v>
      </c>
      <c r="H150" s="42">
        <v>2639</v>
      </c>
      <c r="I150" s="43" t="s">
        <v>156</v>
      </c>
      <c r="J150" s="43" t="s">
        <v>99</v>
      </c>
      <c r="K150" s="43" t="s">
        <v>499</v>
      </c>
      <c r="L150" s="44" t="s">
        <v>500</v>
      </c>
      <c r="M150" s="44">
        <v>8949</v>
      </c>
      <c r="N150" s="44" t="s">
        <v>167</v>
      </c>
      <c r="O150" s="17"/>
      <c r="P150" s="17"/>
      <c r="Q150" s="17"/>
      <c r="R150" s="17"/>
      <c r="S150" s="17"/>
      <c r="T150" s="17"/>
      <c r="U150" s="17"/>
      <c r="V150" s="17"/>
      <c r="W150" s="17"/>
      <c r="X150" s="17"/>
      <c r="Y150" s="46" t="str">
        <f ca="1">IFERROR(VLOOKUP(A150,catalogo!$E:$G,2,0),"-")</f>
        <v>-</v>
      </c>
      <c r="Z150" s="47" t="str">
        <f ca="1">IFERROR(VLOOKUP(A150,catalogo!$E:$G,3,0),"-")</f>
        <v>-</v>
      </c>
      <c r="AA150" s="48"/>
      <c r="AB150" s="48"/>
      <c r="AC150" s="48" t="str">
        <f ca="1">IFERROR(VLOOKUP(A150,catalogo!$E:$H,4,0),"-")</f>
        <v>-</v>
      </c>
      <c r="AD150" s="48"/>
      <c r="AE150" s="48"/>
      <c r="AF150" s="48"/>
      <c r="AG150" s="48"/>
      <c r="AH150" s="48"/>
      <c r="AI150" s="48"/>
    </row>
    <row r="151" spans="1:35" ht="12.5" hidden="1">
      <c r="A151" s="37" t="s">
        <v>501</v>
      </c>
      <c r="B151" s="38" t="str">
        <f>IFERROR(VLOOKUP(J151,catalogo!$B$1:$C$75,2,0),"-")</f>
        <v>#26</v>
      </c>
      <c r="C151" s="39">
        <v>46059.416666666664</v>
      </c>
      <c r="D151" s="17"/>
      <c r="E151" s="17"/>
      <c r="F151" s="17"/>
      <c r="G151" s="42">
        <v>57</v>
      </c>
      <c r="H151" s="42">
        <v>57</v>
      </c>
      <c r="I151" s="43" t="s">
        <v>156</v>
      </c>
      <c r="J151" s="43" t="s">
        <v>67</v>
      </c>
      <c r="K151" s="43" t="s">
        <v>335</v>
      </c>
      <c r="L151" s="44" t="s">
        <v>336</v>
      </c>
      <c r="M151" s="44" t="s">
        <v>159</v>
      </c>
      <c r="N151" s="44" t="s">
        <v>144</v>
      </c>
      <c r="O151" s="17"/>
      <c r="P151" s="17"/>
      <c r="Q151" s="17"/>
      <c r="R151" s="17"/>
      <c r="S151" s="17"/>
      <c r="T151" s="17"/>
      <c r="U151" s="17"/>
      <c r="V151" s="17"/>
      <c r="W151" s="17"/>
      <c r="X151" s="17"/>
      <c r="Y151" s="46" t="str">
        <f ca="1">IFERROR(VLOOKUP(A151,catalogo!$E:$H,2,0),"-")</f>
        <v>Office expenses</v>
      </c>
      <c r="Z151" s="47" t="str">
        <f ca="1">IFERROR(VLOOKUP(A151,catalogo!$E:$G,3,0),"-")</f>
        <v>Viaje Puebla - Industrias Norm</v>
      </c>
      <c r="AA151" s="48"/>
      <c r="AB151" s="48"/>
      <c r="AC151" s="48" t="str">
        <f ca="1">IFERROR(VLOOKUP(A151,catalogo!$E:$H,4,0),"-")</f>
        <v>.</v>
      </c>
      <c r="AD151" s="48"/>
      <c r="AE151" s="48"/>
      <c r="AF151" s="48"/>
      <c r="AG151" s="48"/>
      <c r="AH151" s="48"/>
      <c r="AI151" s="48"/>
    </row>
    <row r="152" spans="1:35" ht="12.5" hidden="1">
      <c r="A152" s="37" t="s">
        <v>502</v>
      </c>
      <c r="B152" s="38" t="str">
        <f>IFERROR(VLOOKUP(J152,catalogo!$B$1:$C$75,2,0),"-")</f>
        <v>#26</v>
      </c>
      <c r="C152" s="39">
        <v>46059.417361111111</v>
      </c>
      <c r="D152" s="17"/>
      <c r="E152" s="17"/>
      <c r="F152" s="17"/>
      <c r="G152" s="42">
        <v>62</v>
      </c>
      <c r="H152" s="42">
        <v>62</v>
      </c>
      <c r="I152" s="43" t="s">
        <v>156</v>
      </c>
      <c r="J152" s="43" t="s">
        <v>67</v>
      </c>
      <c r="K152" s="43" t="s">
        <v>335</v>
      </c>
      <c r="L152" s="44" t="s">
        <v>336</v>
      </c>
      <c r="M152" s="44" t="s">
        <v>159</v>
      </c>
      <c r="N152" s="44" t="s">
        <v>144</v>
      </c>
      <c r="O152" s="17"/>
      <c r="P152" s="17"/>
      <c r="Q152" s="17"/>
      <c r="R152" s="17"/>
      <c r="S152" s="17"/>
      <c r="T152" s="17"/>
      <c r="U152" s="17"/>
      <c r="V152" s="17"/>
      <c r="W152" s="17"/>
      <c r="X152" s="17"/>
      <c r="Y152" s="46" t="str">
        <f ca="1">IFERROR(VLOOKUP(A152,catalogo!$E:$G,2,0),"-")</f>
        <v>-</v>
      </c>
      <c r="Z152" s="47" t="str">
        <f ca="1">IFERROR(VLOOKUP(A152,catalogo!$E:$G,3,0),"-")</f>
        <v>-</v>
      </c>
      <c r="AA152" s="48"/>
      <c r="AB152" s="48"/>
      <c r="AC152" s="48" t="str">
        <f ca="1">IFERROR(VLOOKUP(A152,catalogo!$E:$H,4,0),"-")</f>
        <v>-</v>
      </c>
      <c r="AD152" s="48"/>
      <c r="AE152" s="48"/>
      <c r="AF152" s="48"/>
      <c r="AG152" s="48"/>
      <c r="AH152" s="48"/>
      <c r="AI152" s="48"/>
    </row>
    <row r="153" spans="1:35" ht="12.5" hidden="1">
      <c r="A153" s="37" t="s">
        <v>503</v>
      </c>
      <c r="B153" s="38" t="str">
        <f>IFERROR(VLOOKUP(J153,catalogo!$B$1:$C$75,2,0),"-")</f>
        <v>-</v>
      </c>
      <c r="C153" s="39">
        <v>46059.417361111111</v>
      </c>
      <c r="D153" s="17"/>
      <c r="E153" s="17"/>
      <c r="F153" s="17"/>
      <c r="G153" s="42">
        <v>328.9</v>
      </c>
      <c r="H153" s="42">
        <v>328.9</v>
      </c>
      <c r="I153" s="43" t="s">
        <v>156</v>
      </c>
      <c r="J153" s="43" t="s">
        <v>187</v>
      </c>
      <c r="K153" s="43" t="s">
        <v>504</v>
      </c>
      <c r="L153" s="44" t="s">
        <v>505</v>
      </c>
      <c r="M153" s="45" t="s">
        <v>190</v>
      </c>
      <c r="N153" s="44" t="s">
        <v>167</v>
      </c>
      <c r="O153" s="17"/>
      <c r="P153" s="17"/>
      <c r="Q153" s="17"/>
      <c r="R153" s="17"/>
      <c r="S153" s="17"/>
      <c r="T153" s="17"/>
      <c r="U153" s="17"/>
      <c r="V153" s="17"/>
      <c r="W153" s="17"/>
      <c r="X153" s="17"/>
      <c r="Y153" s="46" t="str">
        <f ca="1">IFERROR(VLOOKUP(A153,catalogo!$E:$G,2,0),"-")</f>
        <v>-</v>
      </c>
      <c r="Z153" s="47" t="str">
        <f ca="1">IFERROR(VLOOKUP(A153,catalogo!$E:$G,3,0),"-")</f>
        <v>-</v>
      </c>
      <c r="AA153" s="48"/>
      <c r="AB153" s="48"/>
      <c r="AC153" s="48" t="str">
        <f ca="1">IFERROR(VLOOKUP(A153,catalogo!$E:$H,4,0),"-")</f>
        <v>-</v>
      </c>
      <c r="AD153" s="48"/>
      <c r="AE153" s="48"/>
      <c r="AF153" s="48"/>
      <c r="AG153" s="48"/>
      <c r="AH153" s="48"/>
      <c r="AI153" s="48"/>
    </row>
    <row r="154" spans="1:35" ht="12.5" hidden="1">
      <c r="A154" s="37" t="s">
        <v>506</v>
      </c>
      <c r="B154" s="38" t="str">
        <f>IFERROR(VLOOKUP(J154,catalogo!$B$1:$C$75,2,0),"-")</f>
        <v>#16</v>
      </c>
      <c r="C154" s="39">
        <v>46059.417361111111</v>
      </c>
      <c r="D154" s="52"/>
      <c r="E154" s="17"/>
      <c r="F154" s="17"/>
      <c r="G154" s="42">
        <v>8990</v>
      </c>
      <c r="H154" s="42">
        <v>8990</v>
      </c>
      <c r="I154" s="43" t="s">
        <v>156</v>
      </c>
      <c r="J154" s="43" t="s">
        <v>85</v>
      </c>
      <c r="K154" s="43" t="s">
        <v>507</v>
      </c>
      <c r="L154" s="44" t="s">
        <v>508</v>
      </c>
      <c r="M154" s="44" t="s">
        <v>332</v>
      </c>
      <c r="N154" s="44" t="s">
        <v>144</v>
      </c>
      <c r="O154" s="17"/>
      <c r="P154" s="17"/>
      <c r="Q154" s="17"/>
      <c r="R154" s="17"/>
      <c r="S154" s="17"/>
      <c r="T154" s="17"/>
      <c r="U154" s="17"/>
      <c r="V154" s="17"/>
      <c r="W154" s="17"/>
      <c r="X154" s="17"/>
      <c r="Y154" s="46" t="str">
        <f ca="1">IFERROR(VLOOKUP(A154,catalogo!$E:$H,2,0),"-")</f>
        <v>Office expenses</v>
      </c>
      <c r="Z154" s="47">
        <f ca="1">IFERROR(VLOOKUP(A154,catalogo!$E:$G,3,0),"-")</f>
        <v>0</v>
      </c>
      <c r="AA154" s="48"/>
      <c r="AB154" s="48"/>
      <c r="AC154" s="48">
        <f ca="1">IFERROR(VLOOKUP(A154,catalogo!$E:$H,4,0),"-")</f>
        <v>0</v>
      </c>
      <c r="AD154" s="48"/>
      <c r="AE154" s="48"/>
      <c r="AF154" s="48"/>
      <c r="AG154" s="48"/>
      <c r="AH154" s="48"/>
      <c r="AI154" s="48"/>
    </row>
    <row r="155" spans="1:35" ht="12.5" hidden="1">
      <c r="A155" s="37" t="s">
        <v>509</v>
      </c>
      <c r="B155" s="38" t="str">
        <f>IFERROR(VLOOKUP(J155,catalogo!$B$1:$C$75,2,0),"-")</f>
        <v>#7</v>
      </c>
      <c r="C155" s="39">
        <v>46059.417361111111</v>
      </c>
      <c r="D155" s="17"/>
      <c r="E155" s="17"/>
      <c r="F155" s="17"/>
      <c r="G155" s="42">
        <v>120</v>
      </c>
      <c r="H155" s="42">
        <v>120</v>
      </c>
      <c r="I155" s="43" t="s">
        <v>156</v>
      </c>
      <c r="J155" s="43" t="s">
        <v>121</v>
      </c>
      <c r="K155" s="43" t="s">
        <v>510</v>
      </c>
      <c r="L155" s="44" t="s">
        <v>511</v>
      </c>
      <c r="M155" s="44">
        <v>4557</v>
      </c>
      <c r="N155" s="44" t="s">
        <v>167</v>
      </c>
      <c r="O155" s="17"/>
      <c r="P155" s="17"/>
      <c r="Q155" s="17"/>
      <c r="R155" s="17"/>
      <c r="S155" s="17"/>
      <c r="T155" s="17"/>
      <c r="U155" s="17"/>
      <c r="V155" s="17"/>
      <c r="W155" s="17"/>
      <c r="X155" s="17"/>
      <c r="Y155" s="46" t="str">
        <f ca="1">IFERROR(VLOOKUP(A155,catalogo!$E:$H,2,0),"-")</f>
        <v>Office expenses</v>
      </c>
      <c r="Z155" s="47" t="str">
        <f ca="1">IFERROR(VLOOKUP(A155,catalogo!$E:$G,3,0),"-")</f>
        <v>MTY ATP + Maken</v>
      </c>
      <c r="AA155" s="48"/>
      <c r="AB155" s="48"/>
      <c r="AC155" s="48" t="str">
        <f ca="1">IFERROR(VLOOKUP(A155,catalogo!$E:$H,4,0),"-")</f>
        <v>.</v>
      </c>
      <c r="AD155" s="48"/>
      <c r="AE155" s="48"/>
      <c r="AF155" s="48"/>
      <c r="AG155" s="48"/>
      <c r="AH155" s="48"/>
      <c r="AI155" s="48"/>
    </row>
    <row r="156" spans="1:35" ht="12.5" hidden="1">
      <c r="A156" s="37" t="s">
        <v>512</v>
      </c>
      <c r="B156" s="38" t="str">
        <f>IFERROR(VLOOKUP(J156,catalogo!$B$1:$C$75,2,0),"-")</f>
        <v>#6</v>
      </c>
      <c r="C156" s="39">
        <v>46059.417361111111</v>
      </c>
      <c r="D156" s="17"/>
      <c r="E156" s="17"/>
      <c r="F156" s="17"/>
      <c r="G156" s="42">
        <v>193</v>
      </c>
      <c r="H156" s="42">
        <v>193</v>
      </c>
      <c r="I156" s="43" t="s">
        <v>156</v>
      </c>
      <c r="J156" s="43" t="s">
        <v>114</v>
      </c>
      <c r="K156" s="43" t="s">
        <v>513</v>
      </c>
      <c r="L156" s="44" t="s">
        <v>407</v>
      </c>
      <c r="M156" s="44">
        <v>3893</v>
      </c>
      <c r="N156" s="44" t="s">
        <v>167</v>
      </c>
      <c r="O156" s="17"/>
      <c r="P156" s="17"/>
      <c r="Q156" s="17"/>
      <c r="R156" s="17"/>
      <c r="S156" s="17"/>
      <c r="T156" s="17"/>
      <c r="U156" s="17"/>
      <c r="V156" s="17"/>
      <c r="W156" s="17"/>
      <c r="X156" s="17"/>
      <c r="Y156" s="46" t="str">
        <f ca="1">IFERROR(VLOOKUP(A156,catalogo!$E:$H,2,0),"-")</f>
        <v>Transaction cost</v>
      </c>
      <c r="Z156" s="47" t="str">
        <f ca="1">IFERROR(VLOOKUP(A156,catalogo!$E:$G,3,0),"-")</f>
        <v xml:space="preserve">Gasolina, entrega en Deacero </v>
      </c>
      <c r="AA156" s="48"/>
      <c r="AB156" s="48"/>
      <c r="AC156" s="48">
        <f ca="1">IFERROR(VLOOKUP(A156,catalogo!$E:$H,4,0),"-")</f>
        <v>0</v>
      </c>
      <c r="AD156" s="48"/>
      <c r="AE156" s="48"/>
      <c r="AF156" s="48"/>
      <c r="AG156" s="48"/>
      <c r="AH156" s="48"/>
      <c r="AI156" s="48"/>
    </row>
    <row r="157" spans="1:35" ht="12.5" hidden="1">
      <c r="A157" s="37" t="s">
        <v>514</v>
      </c>
      <c r="B157" s="38" t="str">
        <f>IFERROR(VLOOKUP(J157,catalogo!$B$1:$C$75,2,0),"-")</f>
        <v>#56</v>
      </c>
      <c r="C157" s="39">
        <v>46059.417361111111</v>
      </c>
      <c r="D157" s="17"/>
      <c r="E157" s="17"/>
      <c r="F157" s="17"/>
      <c r="G157" s="42">
        <v>90</v>
      </c>
      <c r="H157" s="42">
        <v>90</v>
      </c>
      <c r="I157" s="43" t="s">
        <v>156</v>
      </c>
      <c r="J157" s="43" t="s">
        <v>99</v>
      </c>
      <c r="K157" s="43" t="s">
        <v>359</v>
      </c>
      <c r="L157" s="44" t="s">
        <v>336</v>
      </c>
      <c r="M157" s="45">
        <v>8949</v>
      </c>
      <c r="N157" s="44" t="s">
        <v>167</v>
      </c>
      <c r="O157" s="17"/>
      <c r="P157" s="17"/>
      <c r="Q157" s="17"/>
      <c r="R157" s="17"/>
      <c r="S157" s="17"/>
      <c r="T157" s="17"/>
      <c r="U157" s="17"/>
      <c r="V157" s="17"/>
      <c r="W157" s="17"/>
      <c r="X157" s="17"/>
      <c r="Y157" s="46" t="str">
        <f ca="1">IFERROR(VLOOKUP(A157,catalogo!$E:$H,2,0),"-")</f>
        <v>Office expenses</v>
      </c>
      <c r="Z157" s="47" t="str">
        <f ca="1">IFERROR(VLOOKUP(A157,catalogo!$E:$G,3,0),"-")</f>
        <v>MTY ATP + Maken</v>
      </c>
      <c r="AA157" s="48"/>
      <c r="AB157" s="48"/>
      <c r="AC157" s="48" t="str">
        <f ca="1">IFERROR(VLOOKUP(A157,catalogo!$E:$H,4,0),"-")</f>
        <v>.</v>
      </c>
      <c r="AD157" s="48"/>
      <c r="AE157" s="48"/>
      <c r="AF157" s="48"/>
      <c r="AG157" s="48"/>
      <c r="AH157" s="48"/>
      <c r="AI157" s="48"/>
    </row>
    <row r="158" spans="1:35" ht="12.5" hidden="1">
      <c r="A158" s="37" t="s">
        <v>515</v>
      </c>
      <c r="B158" s="38" t="str">
        <f>IFERROR(VLOOKUP(J158,catalogo!$B$1:$C$75,2,0),"-")</f>
        <v>#64</v>
      </c>
      <c r="C158" s="39">
        <v>46059.417361111111</v>
      </c>
      <c r="D158" s="52"/>
      <c r="E158" s="17"/>
      <c r="F158" s="17"/>
      <c r="G158" s="42">
        <v>300</v>
      </c>
      <c r="H158" s="42">
        <v>300</v>
      </c>
      <c r="I158" s="43" t="s">
        <v>156</v>
      </c>
      <c r="J158" s="43" t="s">
        <v>139</v>
      </c>
      <c r="K158" s="43" t="s">
        <v>184</v>
      </c>
      <c r="L158" s="44" t="s">
        <v>185</v>
      </c>
      <c r="M158" s="44">
        <v>7142</v>
      </c>
      <c r="N158" s="44" t="s">
        <v>167</v>
      </c>
      <c r="O158" s="17"/>
      <c r="P158" s="17"/>
      <c r="Q158" s="17"/>
      <c r="R158" s="17"/>
      <c r="S158" s="17"/>
      <c r="T158" s="17"/>
      <c r="U158" s="17"/>
      <c r="V158" s="17"/>
      <c r="W158" s="17"/>
      <c r="X158" s="17"/>
      <c r="Y158" s="46" t="str">
        <f ca="1">IFERROR(VLOOKUP(A158,catalogo!$E:$H,2,0),"-")</f>
        <v>-</v>
      </c>
      <c r="Z158" s="47" t="str">
        <f ca="1">IFERROR(VLOOKUP(A158,catalogo!$E:$G,3,0),"-")</f>
        <v>-</v>
      </c>
      <c r="AA158" s="48"/>
      <c r="AB158" s="48"/>
      <c r="AC158" s="48" t="str">
        <f ca="1">IFERROR(VLOOKUP(A158,catalogo!$E:$H,4,0),"-")</f>
        <v>-</v>
      </c>
      <c r="AD158" s="48"/>
      <c r="AE158" s="48"/>
      <c r="AF158" s="48"/>
      <c r="AG158" s="48"/>
      <c r="AH158" s="48"/>
      <c r="AI158" s="48"/>
    </row>
    <row r="159" spans="1:35" ht="15.5" hidden="1">
      <c r="A159" s="37" t="s">
        <v>516</v>
      </c>
      <c r="B159" s="38" t="str">
        <f>IFERROR(VLOOKUP(J159,catalogo!$B$1:$C$75,2,0),"-")</f>
        <v>#26</v>
      </c>
      <c r="C159" s="39">
        <v>46059.417361111111</v>
      </c>
      <c r="D159" s="17"/>
      <c r="E159" s="17"/>
      <c r="F159" s="17"/>
      <c r="G159" s="42">
        <v>328.9</v>
      </c>
      <c r="H159" s="42">
        <v>328.9</v>
      </c>
      <c r="I159" s="43" t="s">
        <v>156</v>
      </c>
      <c r="J159" s="43" t="s">
        <v>67</v>
      </c>
      <c r="K159" s="43" t="s">
        <v>504</v>
      </c>
      <c r="L159" s="44" t="s">
        <v>505</v>
      </c>
      <c r="M159" s="44">
        <v>8061</v>
      </c>
      <c r="N159" s="44" t="s">
        <v>167</v>
      </c>
      <c r="O159" s="49"/>
      <c r="P159" s="17"/>
      <c r="Q159" s="17"/>
      <c r="R159" s="17"/>
      <c r="S159" s="17"/>
      <c r="T159" s="17"/>
      <c r="U159" s="17"/>
      <c r="V159" s="17"/>
      <c r="W159" s="17"/>
      <c r="X159" s="17"/>
      <c r="Y159" s="46" t="str">
        <f ca="1">IFERROR(VLOOKUP(A159,catalogo!$E:$H,2,0),"-")</f>
        <v>Transaction cost</v>
      </c>
      <c r="Z159" s="47" t="str">
        <f ca="1">IFERROR(VLOOKUP(A159,catalogo!$E:$G,3,0),"-")</f>
        <v>PO2165 veolia UFCEB</v>
      </c>
      <c r="AA159" s="48"/>
      <c r="AB159" s="48"/>
      <c r="AC159" s="48" t="str">
        <f ca="1">IFERROR(VLOOKUP(A159,catalogo!$E:$H,4,0),"-")</f>
        <v>-</v>
      </c>
      <c r="AD159" s="48"/>
      <c r="AE159" s="48"/>
      <c r="AF159" s="48"/>
      <c r="AG159" s="48"/>
      <c r="AH159" s="48"/>
      <c r="AI159" s="48"/>
    </row>
    <row r="160" spans="1:35" ht="12.5" hidden="1">
      <c r="A160" s="37" t="s">
        <v>517</v>
      </c>
      <c r="B160" s="38" t="str">
        <f>IFERROR(VLOOKUP(J160,catalogo!$B$1:$C$75,2,0),"-")</f>
        <v>#3</v>
      </c>
      <c r="C160" s="39">
        <v>46059.417361111111</v>
      </c>
      <c r="D160" s="17"/>
      <c r="E160" s="17"/>
      <c r="F160" s="17"/>
      <c r="G160" s="42">
        <v>344.25</v>
      </c>
      <c r="H160" s="42">
        <v>344.25</v>
      </c>
      <c r="I160" s="43" t="s">
        <v>156</v>
      </c>
      <c r="J160" s="43" t="s">
        <v>84</v>
      </c>
      <c r="K160" s="43" t="s">
        <v>518</v>
      </c>
      <c r="L160" s="44" t="s">
        <v>519</v>
      </c>
      <c r="M160" s="45">
        <v>8657</v>
      </c>
      <c r="N160" s="44" t="s">
        <v>167</v>
      </c>
      <c r="O160" s="17"/>
      <c r="P160" s="17"/>
      <c r="Q160" s="17"/>
      <c r="R160" s="17"/>
      <c r="S160" s="17"/>
      <c r="T160" s="17"/>
      <c r="U160" s="17"/>
      <c r="V160" s="17"/>
      <c r="W160" s="17"/>
      <c r="X160" s="17"/>
      <c r="Y160" s="46" t="str">
        <f ca="1">IFERROR(VLOOKUP(A160,catalogo!$E:$G,2,0),"-")</f>
        <v>Sales</v>
      </c>
      <c r="Z160" s="47" t="str">
        <f ca="1">IFERROR(VLOOKUP(A160,catalogo!$E:$G,3,0),"-")</f>
        <v>Gasolina visita desmontaje de Grua Grajales Robles PO1129</v>
      </c>
      <c r="AA160" s="48"/>
      <c r="AB160" s="48"/>
      <c r="AC160" s="48" t="str">
        <f ca="1">IFERROR(VLOOKUP(A160,catalogo!$E:$H,4,0),"-")</f>
        <v>TICKET</v>
      </c>
      <c r="AD160" s="48"/>
      <c r="AE160" s="48"/>
      <c r="AF160" s="48"/>
      <c r="AG160" s="48"/>
      <c r="AH160" s="48"/>
      <c r="AI160" s="48"/>
    </row>
    <row r="161" spans="1:35" ht="12.5" hidden="1">
      <c r="A161" s="37" t="s">
        <v>520</v>
      </c>
      <c r="B161" s="38" t="str">
        <f>IFERROR(VLOOKUP(J161,catalogo!$B$1:$C$75,2,0),"-")</f>
        <v>#26</v>
      </c>
      <c r="C161" s="39">
        <v>46059.417361111111</v>
      </c>
      <c r="D161" s="17"/>
      <c r="E161" s="17"/>
      <c r="F161" s="17"/>
      <c r="G161" s="42">
        <v>220</v>
      </c>
      <c r="H161" s="42">
        <v>220</v>
      </c>
      <c r="I161" s="43" t="s">
        <v>156</v>
      </c>
      <c r="J161" s="43" t="s">
        <v>67</v>
      </c>
      <c r="K161" s="43" t="s">
        <v>521</v>
      </c>
      <c r="L161" s="44" t="s">
        <v>522</v>
      </c>
      <c r="M161" s="45">
        <v>8061</v>
      </c>
      <c r="N161" s="44" t="s">
        <v>167</v>
      </c>
      <c r="O161" s="17"/>
      <c r="P161" s="17"/>
      <c r="Q161" s="17"/>
      <c r="R161" s="17"/>
      <c r="S161" s="17"/>
      <c r="T161" s="17"/>
      <c r="U161" s="17"/>
      <c r="V161" s="17"/>
      <c r="W161" s="17"/>
      <c r="X161" s="17"/>
      <c r="Y161" s="46" t="str">
        <f ca="1">IFERROR(VLOOKUP(A161,catalogo!$E:$G,2,0),"-")</f>
        <v>-</v>
      </c>
      <c r="Z161" s="47" t="str">
        <f ca="1">IFERROR(VLOOKUP(A161,catalogo!$E:$G,3,0),"-")</f>
        <v>-</v>
      </c>
      <c r="AA161" s="48"/>
      <c r="AB161" s="48"/>
      <c r="AC161" s="48" t="str">
        <f ca="1">IFERROR(VLOOKUP(A161,catalogo!$E:$H,4,0),"-")</f>
        <v>-</v>
      </c>
      <c r="AD161" s="48"/>
      <c r="AE161" s="48"/>
      <c r="AF161" s="48"/>
      <c r="AG161" s="48"/>
      <c r="AH161" s="48"/>
      <c r="AI161" s="48"/>
    </row>
    <row r="162" spans="1:35" ht="12.5" hidden="1">
      <c r="A162" s="37" t="s">
        <v>523</v>
      </c>
      <c r="B162" s="38" t="str">
        <f>IFERROR(VLOOKUP(J162,catalogo!$B$1:$C$75,2,0),"-")</f>
        <v>#6</v>
      </c>
      <c r="C162" s="39">
        <v>46059.417361111111</v>
      </c>
      <c r="D162" s="17"/>
      <c r="E162" s="17"/>
      <c r="F162" s="17"/>
      <c r="G162" s="42">
        <v>1000</v>
      </c>
      <c r="H162" s="42">
        <v>1000</v>
      </c>
      <c r="I162" s="43" t="s">
        <v>156</v>
      </c>
      <c r="J162" s="43" t="s">
        <v>114</v>
      </c>
      <c r="K162" s="43" t="s">
        <v>524</v>
      </c>
      <c r="L162" s="44" t="s">
        <v>525</v>
      </c>
      <c r="M162" s="45">
        <v>3893</v>
      </c>
      <c r="N162" s="44" t="s">
        <v>167</v>
      </c>
      <c r="O162" s="17"/>
      <c r="P162" s="17"/>
      <c r="Q162" s="17"/>
      <c r="R162" s="17"/>
      <c r="S162" s="17"/>
      <c r="T162" s="17"/>
      <c r="U162" s="17"/>
      <c r="V162" s="17"/>
      <c r="W162" s="17"/>
      <c r="X162" s="17"/>
      <c r="Y162" s="46" t="str">
        <f ca="1">IFERROR(VLOOKUP(A162,catalogo!$E:$H,2,0),"-")</f>
        <v>Transaction cost</v>
      </c>
      <c r="Z162" s="47" t="str">
        <f ca="1">IFERROR(VLOOKUP(A162,catalogo!$E:$G,3,0),"-")</f>
        <v xml:space="preserve">Comida, entrega en Deacero </v>
      </c>
      <c r="AA162" s="48"/>
      <c r="AB162" s="48"/>
      <c r="AC162" s="48">
        <f ca="1">IFERROR(VLOOKUP(A162,catalogo!$E:$H,4,0),"-")</f>
        <v>0</v>
      </c>
      <c r="AD162" s="48"/>
      <c r="AE162" s="48"/>
      <c r="AF162" s="48"/>
      <c r="AG162" s="48"/>
      <c r="AH162" s="48"/>
      <c r="AI162" s="48"/>
    </row>
    <row r="163" spans="1:35" ht="12.5" hidden="1">
      <c r="A163" s="37" t="s">
        <v>526</v>
      </c>
      <c r="B163" s="38" t="str">
        <f>IFERROR(VLOOKUP(J163,catalogo!$B$1:$C$75,2,0),"-")</f>
        <v>#26</v>
      </c>
      <c r="C163" s="39">
        <v>46059.417361111111</v>
      </c>
      <c r="D163" s="52"/>
      <c r="E163" s="17"/>
      <c r="F163" s="17"/>
      <c r="G163" s="42">
        <v>52.9</v>
      </c>
      <c r="H163" s="42">
        <v>52.9</v>
      </c>
      <c r="I163" s="43" t="s">
        <v>156</v>
      </c>
      <c r="J163" s="43" t="s">
        <v>67</v>
      </c>
      <c r="K163" s="43" t="s">
        <v>527</v>
      </c>
      <c r="L163" s="44" t="s">
        <v>528</v>
      </c>
      <c r="M163" s="45">
        <v>8061</v>
      </c>
      <c r="N163" s="44" t="s">
        <v>167</v>
      </c>
      <c r="O163" s="17"/>
      <c r="P163" s="17"/>
      <c r="Q163" s="17"/>
      <c r="R163" s="17"/>
      <c r="S163" s="17"/>
      <c r="T163" s="17"/>
      <c r="U163" s="17"/>
      <c r="V163" s="17"/>
      <c r="W163" s="17"/>
      <c r="X163" s="17"/>
      <c r="Y163" s="46" t="str">
        <f ca="1">IFERROR(VLOOKUP(A163,catalogo!$E:$H,2,0),"-")</f>
        <v>-</v>
      </c>
      <c r="Z163" s="47" t="str">
        <f ca="1">IFERROR(VLOOKUP(A163,catalogo!$E:$G,3,0),"-")</f>
        <v>-</v>
      </c>
      <c r="AA163" s="48"/>
      <c r="AB163" s="48"/>
      <c r="AC163" s="48" t="str">
        <f ca="1">IFERROR(VLOOKUP(A163,catalogo!$E:$H,4,0),"-")</f>
        <v>-</v>
      </c>
      <c r="AD163" s="48"/>
      <c r="AE163" s="48"/>
      <c r="AF163" s="48"/>
      <c r="AG163" s="48"/>
      <c r="AH163" s="48"/>
      <c r="AI163" s="48"/>
    </row>
    <row r="164" spans="1:35" ht="12.5" hidden="1">
      <c r="A164" s="37" t="s">
        <v>529</v>
      </c>
      <c r="B164" s="38" t="str">
        <f>IFERROR(VLOOKUP(J164,catalogo!$B$1:$C$75,2,0),"-")</f>
        <v>#26</v>
      </c>
      <c r="C164" s="39">
        <v>46059.417361111111</v>
      </c>
      <c r="D164" s="40"/>
      <c r="E164" s="41"/>
      <c r="F164" s="41"/>
      <c r="G164" s="42">
        <v>264</v>
      </c>
      <c r="H164" s="42">
        <v>264</v>
      </c>
      <c r="I164" s="43" t="s">
        <v>156</v>
      </c>
      <c r="J164" s="43" t="s">
        <v>67</v>
      </c>
      <c r="K164" s="43" t="s">
        <v>335</v>
      </c>
      <c r="L164" s="44" t="s">
        <v>336</v>
      </c>
      <c r="M164" s="44" t="s">
        <v>159</v>
      </c>
      <c r="N164" s="44" t="s">
        <v>144</v>
      </c>
      <c r="O164" s="41"/>
      <c r="P164" s="41"/>
      <c r="Q164" s="41"/>
      <c r="R164" s="41"/>
      <c r="S164" s="41"/>
      <c r="T164" s="41"/>
      <c r="U164" s="41"/>
      <c r="V164" s="41"/>
      <c r="W164" s="41"/>
      <c r="X164" s="41"/>
      <c r="Y164" s="46" t="str">
        <f ca="1">IFERROR(VLOOKUP(A164,catalogo!$E:$H,2,0),"-")</f>
        <v>-</v>
      </c>
      <c r="Z164" s="47" t="str">
        <f ca="1">IFERROR(VLOOKUP(A164,catalogo!$E:$G,3,0),"-")</f>
        <v>-</v>
      </c>
      <c r="AA164" s="48"/>
      <c r="AB164" s="48"/>
      <c r="AC164" s="48" t="str">
        <f ca="1">IFERROR(VLOOKUP(A164,catalogo!$E:$H,4,0),"-")</f>
        <v>-</v>
      </c>
      <c r="AD164" s="48"/>
      <c r="AE164" s="48"/>
      <c r="AF164" s="48"/>
      <c r="AG164" s="48"/>
      <c r="AH164" s="48"/>
      <c r="AI164" s="48"/>
    </row>
    <row r="165" spans="1:35" ht="12.5" hidden="1">
      <c r="A165" s="37" t="s">
        <v>530</v>
      </c>
      <c r="B165" s="38" t="str">
        <f>IFERROR(VLOOKUP(J165,catalogo!$B$1:$C$70,2,0),"-")</f>
        <v>#68</v>
      </c>
      <c r="C165" s="39">
        <v>46059.417361111111</v>
      </c>
      <c r="D165" s="17"/>
      <c r="E165" s="17"/>
      <c r="F165" s="17"/>
      <c r="G165" s="42">
        <v>127</v>
      </c>
      <c r="H165" s="42">
        <v>127</v>
      </c>
      <c r="I165" s="43" t="s">
        <v>156</v>
      </c>
      <c r="J165" s="43" t="s">
        <v>384</v>
      </c>
      <c r="K165" s="43" t="s">
        <v>385</v>
      </c>
      <c r="L165" s="44" t="s">
        <v>386</v>
      </c>
      <c r="M165" s="45">
        <v>2937</v>
      </c>
      <c r="N165" s="44" t="s">
        <v>167</v>
      </c>
      <c r="O165" s="17"/>
      <c r="P165" s="17"/>
      <c r="Q165" s="17"/>
      <c r="R165" s="17"/>
      <c r="S165" s="17"/>
      <c r="T165" s="17"/>
      <c r="U165" s="17"/>
      <c r="V165" s="17"/>
      <c r="W165" s="17"/>
      <c r="X165" s="17"/>
      <c r="Y165" s="46" t="str">
        <f ca="1">IFERROR(VLOOKUP(A165,catalogo!$E:$G,2,0),"-")</f>
        <v>-</v>
      </c>
      <c r="Z165" s="47" t="str">
        <f ca="1">IFERROR(VLOOKUP(A165,catalogo!$E:$G,3,0),"-")</f>
        <v>-</v>
      </c>
      <c r="AA165" s="48"/>
      <c r="AB165" s="48"/>
      <c r="AC165" s="48" t="str">
        <f ca="1">IFERROR(VLOOKUP(A165,catalogo!$E:$H,4,0),"-")</f>
        <v>-</v>
      </c>
      <c r="AD165" s="48"/>
      <c r="AE165" s="48"/>
      <c r="AF165" s="48"/>
      <c r="AG165" s="48"/>
      <c r="AH165" s="48"/>
      <c r="AI165" s="48"/>
    </row>
    <row r="166" spans="1:35" ht="15.5" hidden="1">
      <c r="A166" s="37" t="s">
        <v>531</v>
      </c>
      <c r="B166" s="38" t="str">
        <f>IFERROR(VLOOKUP(J166,catalogo!$B$1:$C$75,2,0),"-")</f>
        <v>#49</v>
      </c>
      <c r="C166" s="39">
        <v>46059.417361111111</v>
      </c>
      <c r="D166" s="17"/>
      <c r="E166" s="17"/>
      <c r="F166" s="17"/>
      <c r="G166" s="42">
        <v>287</v>
      </c>
      <c r="H166" s="42">
        <v>287</v>
      </c>
      <c r="I166" s="43" t="s">
        <v>156</v>
      </c>
      <c r="J166" s="43" t="s">
        <v>124</v>
      </c>
      <c r="K166" s="43" t="s">
        <v>532</v>
      </c>
      <c r="L166" s="44" t="s">
        <v>533</v>
      </c>
      <c r="M166" s="44">
        <v>4488</v>
      </c>
      <c r="N166" s="44" t="s">
        <v>167</v>
      </c>
      <c r="O166" s="49"/>
      <c r="P166" s="17"/>
      <c r="Q166" s="17"/>
      <c r="R166" s="17"/>
      <c r="S166" s="17"/>
      <c r="T166" s="17"/>
      <c r="U166" s="17"/>
      <c r="V166" s="17"/>
      <c r="W166" s="17"/>
      <c r="X166" s="17"/>
      <c r="Y166" s="46" t="str">
        <f ca="1">IFERROR(VLOOKUP(A166,catalogo!$E:$H,2,0),"-")</f>
        <v>-</v>
      </c>
      <c r="Z166" s="47" t="str">
        <f ca="1">IFERROR(VLOOKUP(A166,catalogo!$E:$G,3,0),"-")</f>
        <v>-</v>
      </c>
      <c r="AA166" s="48"/>
      <c r="AB166" s="48"/>
      <c r="AC166" s="48" t="str">
        <f ca="1">IFERROR(VLOOKUP(A166,catalogo!$E:$H,4,0),"-")</f>
        <v>-</v>
      </c>
      <c r="AD166" s="48"/>
      <c r="AE166" s="48"/>
      <c r="AF166" s="48"/>
      <c r="AG166" s="48"/>
      <c r="AH166" s="48"/>
      <c r="AI166" s="48"/>
    </row>
    <row r="167" spans="1:35" ht="12.5" hidden="1">
      <c r="A167" s="37" t="s">
        <v>534</v>
      </c>
      <c r="B167" s="38" t="str">
        <f>IFERROR(VLOOKUP(J167,catalogo!$B$1:$C$100,2,0),"-")</f>
        <v>#2</v>
      </c>
      <c r="C167" s="39">
        <v>46059.417361111111</v>
      </c>
      <c r="D167" s="17"/>
      <c r="E167" s="17"/>
      <c r="F167" s="17"/>
      <c r="G167" s="42">
        <v>10214.06</v>
      </c>
      <c r="H167" s="42">
        <v>562.52</v>
      </c>
      <c r="I167" s="43" t="s">
        <v>172</v>
      </c>
      <c r="J167" s="43" t="s">
        <v>75</v>
      </c>
      <c r="K167" s="43" t="s">
        <v>535</v>
      </c>
      <c r="L167" s="44" t="s">
        <v>536</v>
      </c>
      <c r="M167" s="44" t="s">
        <v>199</v>
      </c>
      <c r="N167" s="44" t="s">
        <v>144</v>
      </c>
      <c r="O167" s="17"/>
      <c r="P167" s="17"/>
      <c r="Q167" s="17"/>
      <c r="R167" s="17"/>
      <c r="S167" s="17"/>
      <c r="T167" s="17"/>
      <c r="U167" s="17"/>
      <c r="V167" s="17"/>
      <c r="W167" s="17"/>
      <c r="X167" s="17"/>
      <c r="Y167" s="46" t="str">
        <f ca="1">IFERROR(VLOOKUP(A167,catalogo!$E:$G,2,0),"-")</f>
        <v>Tech&amp;Product</v>
      </c>
      <c r="Z167" s="47">
        <f ca="1">IFERROR(VLOOKUP(A167,catalogo!$E:$G,3,0),"-")</f>
        <v>0</v>
      </c>
      <c r="AA167" s="48"/>
      <c r="AB167" s="48"/>
      <c r="AC167" s="48" t="str">
        <f ca="1">IFERROR(VLOOKUP(A167,catalogo!$E:$H,4,0),"-")</f>
        <v>.</v>
      </c>
      <c r="AD167" s="48"/>
      <c r="AE167" s="48"/>
      <c r="AF167" s="48"/>
      <c r="AG167" s="48"/>
      <c r="AH167" s="48"/>
      <c r="AI167" s="48"/>
    </row>
    <row r="168" spans="1:35" ht="12.5" hidden="1">
      <c r="A168" s="37" t="s">
        <v>398</v>
      </c>
      <c r="B168" s="38" t="str">
        <f>IFERROR(VLOOKUP(J168,catalogo!$B$1:$C$75,2,0),"-")</f>
        <v>-</v>
      </c>
      <c r="C168" s="39">
        <v>46059.417361111111</v>
      </c>
      <c r="D168" s="52"/>
      <c r="E168" s="17"/>
      <c r="F168" s="17"/>
      <c r="G168" s="42">
        <v>976.34</v>
      </c>
      <c r="H168" s="42">
        <v>53.77</v>
      </c>
      <c r="I168" s="43" t="s">
        <v>172</v>
      </c>
      <c r="J168" s="43" t="s">
        <v>343</v>
      </c>
      <c r="K168" s="43" t="s">
        <v>537</v>
      </c>
      <c r="L168" s="44" t="s">
        <v>233</v>
      </c>
      <c r="M168" s="44" t="s">
        <v>433</v>
      </c>
      <c r="N168" s="44" t="s">
        <v>144</v>
      </c>
      <c r="O168" s="17"/>
      <c r="P168" s="17"/>
      <c r="Q168" s="17"/>
      <c r="R168" s="17"/>
      <c r="S168" s="17"/>
      <c r="T168" s="17"/>
      <c r="U168" s="17"/>
      <c r="V168" s="17"/>
      <c r="W168" s="17"/>
      <c r="X168" s="17"/>
      <c r="Y168" s="46" t="str">
        <f ca="1">IFERROR(VLOOKUP(A168,catalogo!$E:$H,2,0),"-")</f>
        <v>Office expenses</v>
      </c>
      <c r="Z168" s="47">
        <f ca="1">IFERROR(VLOOKUP(A168,catalogo!$E:$G,3,0),"-")</f>
        <v>0</v>
      </c>
      <c r="AA168" s="48"/>
      <c r="AB168" s="48"/>
      <c r="AC168" s="48" t="str">
        <f ca="1">IFERROR(VLOOKUP(A168,catalogo!$E:$H,4,0),"-")</f>
        <v>.</v>
      </c>
      <c r="AD168" s="48"/>
      <c r="AE168" s="48"/>
      <c r="AF168" s="48"/>
      <c r="AG168" s="48"/>
      <c r="AH168" s="48"/>
      <c r="AI168" s="48"/>
    </row>
    <row r="169" spans="1:35" ht="12.5" hidden="1">
      <c r="A169" s="37" t="s">
        <v>538</v>
      </c>
      <c r="B169" s="38" t="str">
        <f>IFERROR(VLOOKUP(J169,catalogo!$B$1:$C$75,2,0),"-")</f>
        <v>#56</v>
      </c>
      <c r="C169" s="39">
        <v>46059.417361111111</v>
      </c>
      <c r="D169" s="40"/>
      <c r="E169" s="41"/>
      <c r="F169" s="41"/>
      <c r="G169" s="42">
        <v>374</v>
      </c>
      <c r="H169" s="42">
        <v>374</v>
      </c>
      <c r="I169" s="43" t="s">
        <v>156</v>
      </c>
      <c r="J169" s="43" t="s">
        <v>99</v>
      </c>
      <c r="K169" s="43" t="s">
        <v>539</v>
      </c>
      <c r="L169" s="44" t="s">
        <v>540</v>
      </c>
      <c r="M169" s="44">
        <v>8949</v>
      </c>
      <c r="N169" s="44" t="s">
        <v>167</v>
      </c>
      <c r="O169" s="41"/>
      <c r="P169" s="41"/>
      <c r="Q169" s="51"/>
      <c r="R169" s="41"/>
      <c r="S169" s="41"/>
      <c r="T169" s="41"/>
      <c r="U169" s="41"/>
      <c r="V169" s="41"/>
      <c r="W169" s="41"/>
      <c r="X169" s="41"/>
      <c r="Y169" s="46" t="str">
        <f ca="1">IFERROR(VLOOKUP(A169,catalogo!$E:$H,2,0),"-")</f>
        <v>Transaction cost</v>
      </c>
      <c r="Z169" s="47" t="str">
        <f ca="1">IFERROR(VLOOKUP(A169,catalogo!$E:$G,3,0),"-")</f>
        <v>PO1953  ARTEVALLEDEBRAVO</v>
      </c>
      <c r="AA169" s="48"/>
      <c r="AB169" s="48"/>
      <c r="AC169" s="48" t="str">
        <f ca="1">IFERROR(VLOOKUP(A169,catalogo!$E:$H,4,0),"-")</f>
        <v>-</v>
      </c>
      <c r="AD169" s="48"/>
      <c r="AE169" s="48"/>
      <c r="AF169" s="48"/>
      <c r="AG169" s="48"/>
      <c r="AH169" s="48"/>
      <c r="AI169" s="48"/>
    </row>
    <row r="170" spans="1:35" ht="15.5" hidden="1">
      <c r="A170" s="37" t="s">
        <v>541</v>
      </c>
      <c r="B170" s="38" t="str">
        <f>IFERROR(VLOOKUP(J170,catalogo!$B$1:$C$75,2,0),"-")</f>
        <v>#69</v>
      </c>
      <c r="C170" s="39">
        <v>46059.417361111111</v>
      </c>
      <c r="D170" s="17"/>
      <c r="E170" s="17"/>
      <c r="F170" s="17"/>
      <c r="G170" s="42">
        <v>2859.51</v>
      </c>
      <c r="H170" s="42">
        <v>2859.51</v>
      </c>
      <c r="I170" s="43" t="s">
        <v>156</v>
      </c>
      <c r="J170" s="43" t="s">
        <v>110</v>
      </c>
      <c r="K170" s="43" t="s">
        <v>542</v>
      </c>
      <c r="L170" s="44" t="s">
        <v>543</v>
      </c>
      <c r="M170" s="45">
        <v>8231</v>
      </c>
      <c r="N170" s="44" t="s">
        <v>167</v>
      </c>
      <c r="O170" s="49"/>
      <c r="P170" s="17"/>
      <c r="Q170" s="17"/>
      <c r="R170" s="17"/>
      <c r="S170" s="17"/>
      <c r="T170" s="17"/>
      <c r="U170" s="17"/>
      <c r="V170" s="17"/>
      <c r="W170" s="17"/>
      <c r="X170" s="17"/>
      <c r="Y170" s="46" t="str">
        <f ca="1">IFERROR(VLOOKUP(A170,catalogo!$E:$H,2,0),"-")</f>
        <v>-</v>
      </c>
      <c r="Z170" s="47" t="str">
        <f ca="1">IFERROR(VLOOKUP(A170,catalogo!$E:$G,3,0),"-")</f>
        <v>-</v>
      </c>
      <c r="AA170" s="48"/>
      <c r="AB170" s="48"/>
      <c r="AC170" s="48" t="str">
        <f ca="1">IFERROR(VLOOKUP(A170,catalogo!$E:$H,4,0),"-")</f>
        <v>-</v>
      </c>
      <c r="AD170" s="48"/>
      <c r="AE170" s="48"/>
      <c r="AF170" s="48"/>
      <c r="AG170" s="48"/>
      <c r="AH170" s="48"/>
      <c r="AI170" s="48"/>
    </row>
    <row r="171" spans="1:35" ht="12.5" hidden="1">
      <c r="A171" s="37" t="s">
        <v>544</v>
      </c>
      <c r="B171" s="38" t="str">
        <f>IFERROR(VLOOKUP(J171,catalogo!$B$1:$C$85,2,0),"-")</f>
        <v>#26</v>
      </c>
      <c r="C171" s="39">
        <v>46059.417361111111</v>
      </c>
      <c r="D171" s="17"/>
      <c r="E171" s="17"/>
      <c r="F171" s="17"/>
      <c r="G171" s="42">
        <v>268.94</v>
      </c>
      <c r="H171" s="42">
        <v>268.94</v>
      </c>
      <c r="I171" s="43" t="s">
        <v>156</v>
      </c>
      <c r="J171" s="43" t="s">
        <v>67</v>
      </c>
      <c r="K171" s="43" t="s">
        <v>545</v>
      </c>
      <c r="L171" s="44" t="s">
        <v>546</v>
      </c>
      <c r="M171" s="44">
        <v>8061</v>
      </c>
      <c r="N171" s="44" t="s">
        <v>167</v>
      </c>
      <c r="O171" s="17"/>
      <c r="P171" s="17"/>
      <c r="Q171" s="17"/>
      <c r="R171" s="17"/>
      <c r="S171" s="17"/>
      <c r="T171" s="17"/>
      <c r="U171" s="17"/>
      <c r="V171" s="17"/>
      <c r="W171" s="17"/>
      <c r="X171" s="17"/>
      <c r="Y171" s="46" t="str">
        <f ca="1">IFERROR(VLOOKUP(A171,catalogo!$E:$G,2,0),"-")</f>
        <v>-</v>
      </c>
      <c r="Z171" s="47" t="str">
        <f ca="1">IFERROR(VLOOKUP(A171,catalogo!$E:$G,3,0),"-")</f>
        <v>-</v>
      </c>
      <c r="AA171" s="48"/>
      <c r="AB171" s="48"/>
      <c r="AC171" s="48" t="str">
        <f ca="1">IFERROR(VLOOKUP(A171,catalogo!$E:$H,4,0),"-")</f>
        <v>-</v>
      </c>
      <c r="AD171" s="48"/>
      <c r="AE171" s="48"/>
      <c r="AF171" s="48"/>
      <c r="AG171" s="48"/>
      <c r="AH171" s="48"/>
      <c r="AI171" s="48"/>
    </row>
    <row r="172" spans="1:35" ht="12.5" hidden="1">
      <c r="A172" s="37" t="s">
        <v>547</v>
      </c>
      <c r="B172" s="38" t="str">
        <f>IFERROR(VLOOKUP(J172,catalogo!$B$1:$C$75,2,0),"-")</f>
        <v>#26</v>
      </c>
      <c r="C172" s="39">
        <v>46059.417361111111</v>
      </c>
      <c r="D172" s="17"/>
      <c r="E172" s="17"/>
      <c r="F172" s="17"/>
      <c r="G172" s="42">
        <v>150</v>
      </c>
      <c r="H172" s="42">
        <v>150</v>
      </c>
      <c r="I172" s="43" t="s">
        <v>156</v>
      </c>
      <c r="J172" s="43" t="s">
        <v>67</v>
      </c>
      <c r="K172" s="43" t="s">
        <v>548</v>
      </c>
      <c r="L172" s="44" t="s">
        <v>331</v>
      </c>
      <c r="M172" s="44" t="s">
        <v>159</v>
      </c>
      <c r="N172" s="44" t="s">
        <v>144</v>
      </c>
      <c r="O172" s="17"/>
      <c r="P172" s="17"/>
      <c r="Q172" s="17"/>
      <c r="R172" s="17"/>
      <c r="S172" s="17"/>
      <c r="T172" s="17"/>
      <c r="U172" s="17"/>
      <c r="V172" s="17"/>
      <c r="W172" s="17"/>
      <c r="X172" s="17"/>
      <c r="Y172" s="46" t="str">
        <f ca="1">IFERROR(VLOOKUP(A172,catalogo!$E:$H,2,0),"-")</f>
        <v>-</v>
      </c>
      <c r="Z172" s="47" t="str">
        <f ca="1">IFERROR(VLOOKUP(A172,catalogo!$E:$G,3,0),"-")</f>
        <v>-</v>
      </c>
      <c r="AA172" s="48"/>
      <c r="AB172" s="48"/>
      <c r="AC172" s="48" t="str">
        <f ca="1">IFERROR(VLOOKUP(A172,catalogo!$E:$H,4,0),"-")</f>
        <v>-</v>
      </c>
      <c r="AD172" s="48"/>
      <c r="AE172" s="48"/>
      <c r="AF172" s="48"/>
      <c r="AG172" s="48"/>
      <c r="AH172" s="48"/>
      <c r="AI172" s="48"/>
    </row>
    <row r="173" spans="1:35" ht="12.5" hidden="1">
      <c r="A173" s="37" t="s">
        <v>549</v>
      </c>
      <c r="B173" s="38" t="str">
        <f>IFERROR(VLOOKUP(J173,catalogo!$B$1:$C$70,2,0),"-")</f>
        <v>#66</v>
      </c>
      <c r="C173" s="39">
        <v>46059.417361111111</v>
      </c>
      <c r="D173" s="17"/>
      <c r="E173" s="17"/>
      <c r="F173" s="17"/>
      <c r="G173" s="42">
        <v>107.5</v>
      </c>
      <c r="H173" s="42">
        <v>107.5</v>
      </c>
      <c r="I173" s="43" t="s">
        <v>156</v>
      </c>
      <c r="J173" s="43" t="s">
        <v>80</v>
      </c>
      <c r="K173" s="43" t="s">
        <v>419</v>
      </c>
      <c r="L173" s="44" t="s">
        <v>420</v>
      </c>
      <c r="M173" s="44">
        <v>2406</v>
      </c>
      <c r="N173" s="44" t="s">
        <v>167</v>
      </c>
      <c r="O173" s="17"/>
      <c r="P173" s="17"/>
      <c r="Q173" s="17"/>
      <c r="R173" s="17"/>
      <c r="S173" s="17"/>
      <c r="T173" s="17"/>
      <c r="U173" s="17"/>
      <c r="V173" s="17"/>
      <c r="W173" s="17"/>
      <c r="X173" s="17"/>
      <c r="Y173" s="46" t="str">
        <f ca="1">IFERROR(VLOOKUP(A173,catalogo!$E:$G,2,0),"-")</f>
        <v>-</v>
      </c>
      <c r="Z173" s="47" t="str">
        <f ca="1">IFERROR(VLOOKUP(A173,catalogo!$E:$G,3,0),"-")</f>
        <v>-</v>
      </c>
      <c r="AA173" s="48"/>
      <c r="AB173" s="48"/>
      <c r="AC173" s="48" t="str">
        <f ca="1">IFERROR(VLOOKUP(A173,catalogo!$E:$H,4,0),"-")</f>
        <v>-</v>
      </c>
      <c r="AD173" s="48"/>
      <c r="AE173" s="48"/>
      <c r="AF173" s="48"/>
      <c r="AG173" s="48"/>
      <c r="AH173" s="48"/>
      <c r="AI173" s="48"/>
    </row>
    <row r="174" spans="1:35" ht="12.5" hidden="1">
      <c r="A174" s="37" t="s">
        <v>550</v>
      </c>
      <c r="B174" s="38" t="str">
        <f>IFERROR(VLOOKUP(J174,catalogo!$B$1:$C$70,2,0),"-")</f>
        <v>-</v>
      </c>
      <c r="C174" s="39">
        <v>46059.417361111111</v>
      </c>
      <c r="D174" s="17"/>
      <c r="E174" s="17"/>
      <c r="F174" s="17"/>
      <c r="G174" s="42">
        <v>2719</v>
      </c>
      <c r="H174" s="42">
        <v>2719</v>
      </c>
      <c r="I174" s="43" t="s">
        <v>156</v>
      </c>
      <c r="J174" s="43" t="s">
        <v>286</v>
      </c>
      <c r="K174" s="43" t="s">
        <v>551</v>
      </c>
      <c r="L174" s="44" t="s">
        <v>552</v>
      </c>
      <c r="M174" s="45">
        <v>5481</v>
      </c>
      <c r="N174" s="44" t="s">
        <v>167</v>
      </c>
      <c r="O174" s="17"/>
      <c r="P174" s="17"/>
      <c r="Q174" s="17"/>
      <c r="R174" s="17"/>
      <c r="S174" s="17"/>
      <c r="T174" s="17"/>
      <c r="U174" s="17"/>
      <c r="V174" s="17"/>
      <c r="W174" s="17"/>
      <c r="X174" s="17"/>
      <c r="Y174" s="46" t="str">
        <f ca="1">IFERROR(VLOOKUP(A174,catalogo!$E:$G,2,0),"-")</f>
        <v>-</v>
      </c>
      <c r="Z174" s="47" t="str">
        <f ca="1">IFERROR(VLOOKUP(A174,catalogo!$E:$G,3,0),"-")</f>
        <v>-</v>
      </c>
      <c r="AA174" s="48"/>
      <c r="AB174" s="48"/>
      <c r="AC174" s="48" t="str">
        <f ca="1">IFERROR(VLOOKUP(A174,catalogo!$E:$H,4,0),"-")</f>
        <v>-</v>
      </c>
      <c r="AD174" s="48"/>
      <c r="AE174" s="48"/>
      <c r="AF174" s="48"/>
      <c r="AG174" s="48"/>
      <c r="AH174" s="48"/>
      <c r="AI174" s="48"/>
    </row>
    <row r="175" spans="1:35" ht="12.5" hidden="1">
      <c r="A175" s="37" t="s">
        <v>553</v>
      </c>
      <c r="B175" s="38" t="str">
        <f>IFERROR(VLOOKUP(J175,catalogo!$B$1:$C$75,2,0),"-")</f>
        <v>#64</v>
      </c>
      <c r="C175" s="39">
        <v>46059.417361111111</v>
      </c>
      <c r="D175" s="17"/>
      <c r="E175" s="17"/>
      <c r="F175" s="17"/>
      <c r="G175" s="42">
        <v>37.9</v>
      </c>
      <c r="H175" s="42">
        <v>37.9</v>
      </c>
      <c r="I175" s="43" t="s">
        <v>156</v>
      </c>
      <c r="J175" s="43" t="s">
        <v>139</v>
      </c>
      <c r="K175" s="43" t="s">
        <v>169</v>
      </c>
      <c r="L175" s="44" t="s">
        <v>170</v>
      </c>
      <c r="M175" s="45">
        <v>7142</v>
      </c>
      <c r="N175" s="44" t="s">
        <v>167</v>
      </c>
      <c r="O175" s="17"/>
      <c r="P175" s="17"/>
      <c r="Q175" s="17"/>
      <c r="R175" s="17"/>
      <c r="S175" s="17"/>
      <c r="T175" s="17"/>
      <c r="U175" s="17"/>
      <c r="V175" s="17"/>
      <c r="W175" s="17"/>
      <c r="X175" s="17"/>
      <c r="Y175" s="46" t="str">
        <f ca="1">IFERROR(VLOOKUP(A175,catalogo!$E:$H,2,0),"-")</f>
        <v>-</v>
      </c>
      <c r="Z175" s="47" t="str">
        <f ca="1">IFERROR(VLOOKUP(A175,catalogo!$E:$G,3,0),"-")</f>
        <v>-</v>
      </c>
      <c r="AA175" s="48"/>
      <c r="AB175" s="48"/>
      <c r="AC175" s="48" t="str">
        <f ca="1">IFERROR(VLOOKUP(A175,catalogo!$E:$H,4,0),"-")</f>
        <v>-</v>
      </c>
      <c r="AD175" s="48"/>
      <c r="AE175" s="48"/>
      <c r="AF175" s="48"/>
      <c r="AG175" s="48"/>
      <c r="AH175" s="48"/>
      <c r="AI175" s="48"/>
    </row>
    <row r="176" spans="1:35" ht="12.5" hidden="1">
      <c r="A176" s="37" t="s">
        <v>554</v>
      </c>
      <c r="B176" s="38" t="str">
        <f>IFERROR(VLOOKUP(J176,catalogo!$B$1:$C$100,2,0),"-")</f>
        <v>#68</v>
      </c>
      <c r="C176" s="39">
        <v>46059.417361111111</v>
      </c>
      <c r="D176" s="17"/>
      <c r="E176" s="17"/>
      <c r="F176" s="17"/>
      <c r="G176" s="53">
        <v>337</v>
      </c>
      <c r="H176" s="53">
        <v>337</v>
      </c>
      <c r="I176" s="43" t="s">
        <v>156</v>
      </c>
      <c r="J176" s="43" t="s">
        <v>384</v>
      </c>
      <c r="K176" s="43" t="s">
        <v>555</v>
      </c>
      <c r="L176" s="44" t="s">
        <v>556</v>
      </c>
      <c r="M176" s="44">
        <v>2937</v>
      </c>
      <c r="N176" s="44" t="s">
        <v>167</v>
      </c>
      <c r="O176" s="17"/>
      <c r="P176" s="17"/>
      <c r="Q176" s="17"/>
      <c r="R176" s="17"/>
      <c r="S176" s="17"/>
      <c r="T176" s="17"/>
      <c r="U176" s="17"/>
      <c r="V176" s="17"/>
      <c r="W176" s="17"/>
      <c r="X176" s="17"/>
      <c r="Y176" s="46"/>
      <c r="Z176" s="47"/>
      <c r="AA176" s="48"/>
      <c r="AB176" s="48"/>
      <c r="AC176" s="48"/>
      <c r="AD176" s="48"/>
      <c r="AE176" s="48"/>
      <c r="AF176" s="48"/>
      <c r="AG176" s="48"/>
      <c r="AH176" s="48"/>
      <c r="AI176" s="48"/>
    </row>
    <row r="177" spans="1:35" ht="12.5" hidden="1">
      <c r="A177" s="37" t="s">
        <v>557</v>
      </c>
      <c r="B177" s="38" t="str">
        <f>IFERROR(VLOOKUP(J177,catalogo!$B$1:$C$75,2,0),"-")</f>
        <v>-</v>
      </c>
      <c r="C177" s="39">
        <v>46059.417361111111</v>
      </c>
      <c r="D177" s="17"/>
      <c r="E177" s="17"/>
      <c r="F177" s="17"/>
      <c r="G177" s="42">
        <v>2255</v>
      </c>
      <c r="H177" s="42">
        <v>2255</v>
      </c>
      <c r="I177" s="43" t="s">
        <v>156</v>
      </c>
      <c r="J177" s="43" t="s">
        <v>269</v>
      </c>
      <c r="K177" s="43" t="s">
        <v>558</v>
      </c>
      <c r="L177" s="44" t="s">
        <v>559</v>
      </c>
      <c r="M177" s="45">
        <v>6130</v>
      </c>
      <c r="N177" s="44" t="s">
        <v>167</v>
      </c>
      <c r="O177" s="17"/>
      <c r="P177" s="17"/>
      <c r="Q177" s="17"/>
      <c r="R177" s="17"/>
      <c r="S177" s="17"/>
      <c r="T177" s="17"/>
      <c r="U177" s="17"/>
      <c r="V177" s="17"/>
      <c r="W177" s="17"/>
      <c r="X177" s="17"/>
      <c r="Y177" s="46" t="str">
        <f ca="1">IFERROR(VLOOKUP(A177,catalogo!$E:$H,2,0),"-")</f>
        <v>-</v>
      </c>
      <c r="Z177" s="47" t="str">
        <f ca="1">IFERROR(VLOOKUP(A177,catalogo!$E:$G,3,0),"-")</f>
        <v>-</v>
      </c>
      <c r="AA177" s="48"/>
      <c r="AB177" s="48"/>
      <c r="AC177" s="48" t="str">
        <f ca="1">IFERROR(VLOOKUP(A177,catalogo!$E:$H,4,0),"-")</f>
        <v>-</v>
      </c>
      <c r="AD177" s="48"/>
      <c r="AE177" s="48"/>
      <c r="AF177" s="48"/>
      <c r="AG177" s="48"/>
      <c r="AH177" s="48"/>
      <c r="AI177" s="48"/>
    </row>
    <row r="178" spans="1:35" ht="12.5" hidden="1">
      <c r="A178" s="37" t="s">
        <v>560</v>
      </c>
      <c r="B178" s="38" t="str">
        <f>IFERROR(VLOOKUP(J178,catalogo!$B$1:$C$100,2,0),"-")</f>
        <v>#58</v>
      </c>
      <c r="C178" s="39">
        <v>46059.417361111111</v>
      </c>
      <c r="D178" s="17"/>
      <c r="E178" s="17"/>
      <c r="F178" s="17"/>
      <c r="G178" s="42">
        <v>1564</v>
      </c>
      <c r="H178" s="42">
        <v>1564</v>
      </c>
      <c r="I178" s="55" t="s">
        <v>156</v>
      </c>
      <c r="J178" s="43" t="s">
        <v>118</v>
      </c>
      <c r="K178" s="43" t="s">
        <v>561</v>
      </c>
      <c r="L178" s="44" t="s">
        <v>562</v>
      </c>
      <c r="M178" s="45">
        <v>5576</v>
      </c>
      <c r="N178" s="44" t="s">
        <v>167</v>
      </c>
      <c r="O178" s="17"/>
      <c r="P178" s="17"/>
      <c r="Q178" s="17"/>
      <c r="R178" s="17"/>
      <c r="S178" s="17"/>
      <c r="T178" s="17"/>
      <c r="U178" s="17"/>
      <c r="V178" s="17"/>
      <c r="W178" s="17"/>
      <c r="X178" s="17"/>
      <c r="Y178" s="46" t="str">
        <f ca="1">IFERROR(VLOOKUP(A178,catalogo!$E:$H,2,0),"-")</f>
        <v>-</v>
      </c>
      <c r="Z178" s="47" t="str">
        <f ca="1">IFERROR(VLOOKUP(A178,catalogo!$E:$G,3,0),"-")</f>
        <v>-</v>
      </c>
      <c r="AA178" s="48"/>
      <c r="AB178" s="48"/>
      <c r="AC178" s="48" t="str">
        <f ca="1">IFERROR(VLOOKUP(A178,catalogo!$E:$H,4,0),"-")</f>
        <v>-</v>
      </c>
      <c r="AD178" s="48"/>
      <c r="AE178" s="48"/>
      <c r="AF178" s="48"/>
      <c r="AG178" s="48"/>
      <c r="AH178" s="48"/>
      <c r="AI178" s="48"/>
    </row>
    <row r="179" spans="1:35" ht="15.5" hidden="1">
      <c r="A179" s="37" t="s">
        <v>563</v>
      </c>
      <c r="B179" s="38" t="str">
        <f>IFERROR(VLOOKUP(J179,catalogo!$B$1:$C$75,2,0),"-")</f>
        <v>-</v>
      </c>
      <c r="C179" s="39">
        <v>46059.417361111111</v>
      </c>
      <c r="D179" s="17"/>
      <c r="E179" s="17"/>
      <c r="F179" s="17"/>
      <c r="G179" s="42">
        <v>997.7</v>
      </c>
      <c r="H179" s="42">
        <v>997.7</v>
      </c>
      <c r="I179" s="43" t="s">
        <v>156</v>
      </c>
      <c r="J179" s="43" t="s">
        <v>343</v>
      </c>
      <c r="K179" s="43" t="s">
        <v>564</v>
      </c>
      <c r="L179" s="44" t="s">
        <v>565</v>
      </c>
      <c r="M179" s="45">
        <v>6747</v>
      </c>
      <c r="N179" s="44" t="s">
        <v>167</v>
      </c>
      <c r="O179" s="49"/>
      <c r="P179" s="17"/>
      <c r="Q179" s="17"/>
      <c r="R179" s="17"/>
      <c r="S179" s="17"/>
      <c r="T179" s="17"/>
      <c r="U179" s="17"/>
      <c r="V179" s="17"/>
      <c r="W179" s="17"/>
      <c r="X179" s="17"/>
      <c r="Y179" s="46" t="str">
        <f ca="1">IFERROR(VLOOKUP(A179,catalogo!$E:$H,2,0),"-")</f>
        <v>-</v>
      </c>
      <c r="Z179" s="47" t="str">
        <f ca="1">IFERROR(VLOOKUP(A179,catalogo!$E:$G,3,0),"-")</f>
        <v>-</v>
      </c>
      <c r="AA179" s="48"/>
      <c r="AB179" s="48"/>
      <c r="AC179" s="48" t="str">
        <f ca="1">IFERROR(VLOOKUP(A179,catalogo!$E:$H,4,0),"-")</f>
        <v>-</v>
      </c>
      <c r="AD179" s="48"/>
      <c r="AE179" s="48"/>
      <c r="AF179" s="48"/>
      <c r="AG179" s="48"/>
      <c r="AH179" s="48"/>
      <c r="AI179" s="48"/>
    </row>
    <row r="180" spans="1:35" ht="12.5" hidden="1">
      <c r="A180" s="37" t="s">
        <v>566</v>
      </c>
      <c r="B180" s="38" t="str">
        <f>IFERROR(VLOOKUP(J180,catalogo!$B$1:$C$70,2,0),"-")</f>
        <v>#31</v>
      </c>
      <c r="C180" s="39">
        <v>46059.417361111111</v>
      </c>
      <c r="D180" s="17"/>
      <c r="E180" s="17"/>
      <c r="F180" s="17"/>
      <c r="G180" s="42">
        <v>61.2</v>
      </c>
      <c r="H180" s="42">
        <v>61.2</v>
      </c>
      <c r="I180" s="43" t="s">
        <v>156</v>
      </c>
      <c r="J180" s="43" t="s">
        <v>106</v>
      </c>
      <c r="K180" s="43" t="s">
        <v>374</v>
      </c>
      <c r="L180" s="44" t="s">
        <v>375</v>
      </c>
      <c r="M180" s="45">
        <v>3902</v>
      </c>
      <c r="N180" s="44" t="s">
        <v>167</v>
      </c>
      <c r="O180" s="17"/>
      <c r="P180" s="17"/>
      <c r="Q180" s="17"/>
      <c r="R180" s="17"/>
      <c r="S180" s="17"/>
      <c r="T180" s="17"/>
      <c r="U180" s="17"/>
      <c r="V180" s="17"/>
      <c r="W180" s="17"/>
      <c r="X180" s="17"/>
      <c r="Y180" s="46" t="str">
        <f ca="1">IFERROR(VLOOKUP(A180,catalogo!$E:$G,2,0),"-")</f>
        <v>-</v>
      </c>
      <c r="Z180" s="47" t="str">
        <f ca="1">IFERROR(VLOOKUP(A180,catalogo!$E:$G,3,0),"-")</f>
        <v>-</v>
      </c>
      <c r="AA180" s="48"/>
      <c r="AB180" s="48"/>
      <c r="AC180" s="48" t="str">
        <f ca="1">IFERROR(VLOOKUP(A180,catalogo!$E:$H,4,0),"-")</f>
        <v>-</v>
      </c>
      <c r="AD180" s="48"/>
      <c r="AE180" s="48"/>
      <c r="AF180" s="48"/>
      <c r="AG180" s="48"/>
      <c r="AH180" s="48"/>
      <c r="AI180" s="48"/>
    </row>
    <row r="181" spans="1:35" ht="12.5" hidden="1">
      <c r="A181" s="37" t="s">
        <v>567</v>
      </c>
      <c r="B181" s="38" t="str">
        <f>IFERROR(VLOOKUP(J181,catalogo!$B$1:$C$75,2,0),"-")</f>
        <v>-</v>
      </c>
      <c r="C181" s="39">
        <v>46059.417361111111</v>
      </c>
      <c r="D181" s="52"/>
      <c r="E181" s="17"/>
      <c r="F181" s="17"/>
      <c r="G181" s="42">
        <v>1083.25</v>
      </c>
      <c r="H181" s="42">
        <v>59.99</v>
      </c>
      <c r="I181" s="43" t="s">
        <v>172</v>
      </c>
      <c r="J181" s="43" t="s">
        <v>343</v>
      </c>
      <c r="K181" s="43" t="s">
        <v>537</v>
      </c>
      <c r="L181" s="44" t="s">
        <v>233</v>
      </c>
      <c r="M181" s="45" t="s">
        <v>433</v>
      </c>
      <c r="N181" s="44" t="s">
        <v>144</v>
      </c>
      <c r="O181" s="17"/>
      <c r="P181" s="17"/>
      <c r="Q181" s="17"/>
      <c r="R181" s="17"/>
      <c r="S181" s="17"/>
      <c r="T181" s="17"/>
      <c r="U181" s="17"/>
      <c r="V181" s="17"/>
      <c r="W181" s="17"/>
      <c r="X181" s="17"/>
      <c r="Y181" s="46" t="str">
        <f ca="1">IFERROR(VLOOKUP(A181,catalogo!$E:$H,2,0),"-")</f>
        <v>-</v>
      </c>
      <c r="Z181" s="47" t="str">
        <f ca="1">IFERROR(VLOOKUP(A181,catalogo!$E:$G,3,0),"-")</f>
        <v>-</v>
      </c>
      <c r="AA181" s="48"/>
      <c r="AB181" s="48"/>
      <c r="AC181" s="48" t="str">
        <f ca="1">IFERROR(VLOOKUP(A181,catalogo!$E:$H,4,0),"-")</f>
        <v>-</v>
      </c>
      <c r="AD181" s="48"/>
      <c r="AE181" s="48"/>
      <c r="AF181" s="48"/>
      <c r="AG181" s="48"/>
      <c r="AH181" s="48"/>
      <c r="AI181" s="48"/>
    </row>
    <row r="182" spans="1:35" ht="12.5" hidden="1">
      <c r="A182" s="37" t="s">
        <v>568</v>
      </c>
      <c r="B182" s="38" t="str">
        <f>IFERROR(VLOOKUP(J182,catalogo!$B$1:$C$75,2,0),"-")</f>
        <v>-</v>
      </c>
      <c r="C182" s="39">
        <v>46059.417361111111</v>
      </c>
      <c r="D182" s="40"/>
      <c r="E182" s="41"/>
      <c r="F182" s="41"/>
      <c r="G182" s="42">
        <v>90.29</v>
      </c>
      <c r="H182" s="42">
        <v>5</v>
      </c>
      <c r="I182" s="43" t="s">
        <v>172</v>
      </c>
      <c r="J182" s="43" t="s">
        <v>343</v>
      </c>
      <c r="K182" s="43" t="s">
        <v>537</v>
      </c>
      <c r="L182" s="44" t="s">
        <v>233</v>
      </c>
      <c r="M182" s="44" t="s">
        <v>433</v>
      </c>
      <c r="N182" s="44" t="s">
        <v>144</v>
      </c>
      <c r="O182" s="41"/>
      <c r="P182" s="41"/>
      <c r="Q182" s="41"/>
      <c r="R182" s="41"/>
      <c r="S182" s="41"/>
      <c r="T182" s="41"/>
      <c r="U182" s="41"/>
      <c r="V182" s="41"/>
      <c r="W182" s="41"/>
      <c r="X182" s="41"/>
      <c r="Y182" s="46" t="str">
        <f ca="1">IFERROR(VLOOKUP(A182,catalogo!$E:$H,2,0),"-")</f>
        <v>-</v>
      </c>
      <c r="Z182" s="47" t="str">
        <f ca="1">IFERROR(VLOOKUP(A182,catalogo!$E:$G,3,0),"-")</f>
        <v>-</v>
      </c>
      <c r="AA182" s="48"/>
      <c r="AB182" s="48"/>
      <c r="AC182" s="48" t="str">
        <f ca="1">IFERROR(VLOOKUP(A182,catalogo!$E:$H,4,0),"-")</f>
        <v>-</v>
      </c>
      <c r="AD182" s="48"/>
      <c r="AE182" s="48"/>
      <c r="AF182" s="48"/>
      <c r="AG182" s="48"/>
      <c r="AH182" s="48"/>
      <c r="AI182" s="48"/>
    </row>
    <row r="183" spans="1:35" ht="12.5" hidden="1">
      <c r="A183" s="37" t="s">
        <v>569</v>
      </c>
      <c r="B183" s="38" t="str">
        <f>IFERROR(VLOOKUP(J183,catalogo!$B$1:$C$80,2,0),"-")</f>
        <v>#6</v>
      </c>
      <c r="C183" s="39">
        <v>46059.417361111111</v>
      </c>
      <c r="D183" s="17"/>
      <c r="E183" s="17"/>
      <c r="F183" s="17"/>
      <c r="G183" s="42">
        <v>186</v>
      </c>
      <c r="H183" s="42">
        <v>186</v>
      </c>
      <c r="I183" s="43" t="s">
        <v>156</v>
      </c>
      <c r="J183" s="43" t="s">
        <v>114</v>
      </c>
      <c r="K183" s="43" t="s">
        <v>570</v>
      </c>
      <c r="L183" s="44" t="s">
        <v>571</v>
      </c>
      <c r="M183" s="45">
        <v>3893</v>
      </c>
      <c r="N183" s="44" t="s">
        <v>167</v>
      </c>
      <c r="O183" s="17"/>
      <c r="P183" s="17"/>
      <c r="Q183" s="17"/>
      <c r="R183" s="17"/>
      <c r="S183" s="17"/>
      <c r="T183" s="17"/>
      <c r="U183" s="17"/>
      <c r="V183" s="17"/>
      <c r="W183" s="17"/>
      <c r="X183" s="17"/>
      <c r="Y183" s="46" t="str">
        <f ca="1">IFERROR(VLOOKUP(A183,catalogo!$E:$G,2,0),"-")</f>
        <v>Transaction cost</v>
      </c>
      <c r="Z183" s="47" t="str">
        <f ca="1">IFERROR(VLOOKUP(A183,catalogo!$E:$G,3,0),"-")</f>
        <v xml:space="preserve">Comida, entrega en Deacero </v>
      </c>
      <c r="AA183" s="48"/>
      <c r="AB183" s="48"/>
      <c r="AC183" s="48">
        <f ca="1">IFERROR(VLOOKUP(A183,catalogo!$E:$H,4,0),"-")</f>
        <v>0</v>
      </c>
      <c r="AD183" s="48"/>
      <c r="AE183" s="48"/>
      <c r="AF183" s="48"/>
      <c r="AG183" s="48"/>
      <c r="AH183" s="48"/>
      <c r="AI183" s="48"/>
    </row>
    <row r="184" spans="1:35" ht="12.5" hidden="1">
      <c r="A184" s="37" t="s">
        <v>572</v>
      </c>
      <c r="B184" s="38" t="str">
        <f>IFERROR(VLOOKUP(J184,catalogo!$B$1:$C$70,2,0),"-")</f>
        <v>#6</v>
      </c>
      <c r="C184" s="39">
        <v>46059.417361111111</v>
      </c>
      <c r="D184" s="17"/>
      <c r="E184" s="17"/>
      <c r="F184" s="17"/>
      <c r="G184" s="42">
        <v>1545.3</v>
      </c>
      <c r="H184" s="42">
        <v>1545.3</v>
      </c>
      <c r="I184" s="43" t="s">
        <v>156</v>
      </c>
      <c r="J184" s="43" t="s">
        <v>114</v>
      </c>
      <c r="K184" s="43" t="s">
        <v>573</v>
      </c>
      <c r="L184" s="44" t="s">
        <v>574</v>
      </c>
      <c r="M184" s="44">
        <v>3893</v>
      </c>
      <c r="N184" s="44" t="s">
        <v>167</v>
      </c>
      <c r="O184" s="17"/>
      <c r="P184" s="17"/>
      <c r="Q184" s="17"/>
      <c r="R184" s="17"/>
      <c r="S184" s="17"/>
      <c r="T184" s="17"/>
      <c r="U184" s="17"/>
      <c r="V184" s="17"/>
      <c r="W184" s="17"/>
      <c r="X184" s="17"/>
      <c r="Y184" s="46" t="str">
        <f ca="1">IFERROR(VLOOKUP(A184,catalogo!$E:$G,2,0),"-")</f>
        <v>Transaction cost</v>
      </c>
      <c r="Z184" s="47" t="str">
        <f ca="1">IFERROR(VLOOKUP(A184,catalogo!$E:$G,3,0),"-")</f>
        <v xml:space="preserve">Gasolina, entrega en SALJAMEX </v>
      </c>
      <c r="AA184" s="48"/>
      <c r="AB184" s="48"/>
      <c r="AC184" s="48">
        <f ca="1">IFERROR(VLOOKUP(A184,catalogo!$E:$H,4,0),"-")</f>
        <v>0</v>
      </c>
      <c r="AD184" s="48"/>
      <c r="AE184" s="48"/>
      <c r="AF184" s="48"/>
      <c r="AG184" s="48"/>
      <c r="AH184" s="48"/>
      <c r="AI184" s="48"/>
    </row>
    <row r="185" spans="1:35" ht="15.5" hidden="1">
      <c r="A185" s="37" t="s">
        <v>575</v>
      </c>
      <c r="B185" s="38" t="str">
        <f>IFERROR(VLOOKUP(J185,catalogo!$B$1:$C$75,2,0),"-")</f>
        <v>#64</v>
      </c>
      <c r="C185" s="39">
        <v>46059.417361111111</v>
      </c>
      <c r="D185" s="17"/>
      <c r="E185" s="17"/>
      <c r="F185" s="17"/>
      <c r="G185" s="42">
        <v>110</v>
      </c>
      <c r="H185" s="42">
        <v>110</v>
      </c>
      <c r="I185" s="43" t="s">
        <v>156</v>
      </c>
      <c r="J185" s="43" t="s">
        <v>139</v>
      </c>
      <c r="K185" s="43" t="s">
        <v>169</v>
      </c>
      <c r="L185" s="44" t="s">
        <v>170</v>
      </c>
      <c r="M185" s="44">
        <v>7142</v>
      </c>
      <c r="N185" s="44" t="s">
        <v>167</v>
      </c>
      <c r="O185" s="49"/>
      <c r="P185" s="17"/>
      <c r="Q185" s="17"/>
      <c r="R185" s="17"/>
      <c r="S185" s="17"/>
      <c r="T185" s="17"/>
      <c r="U185" s="17"/>
      <c r="V185" s="17"/>
      <c r="W185" s="17"/>
      <c r="X185" s="17"/>
      <c r="Y185" s="46" t="str">
        <f ca="1">IFERROR(VLOOKUP(A185,catalogo!$E:$H,2,0),"-")</f>
        <v>-</v>
      </c>
      <c r="Z185" s="47" t="str">
        <f ca="1">IFERROR(VLOOKUP(A185,catalogo!$E:$G,3,0),"-")</f>
        <v>-</v>
      </c>
      <c r="AA185" s="48"/>
      <c r="AB185" s="48"/>
      <c r="AC185" s="48" t="str">
        <f ca="1">IFERROR(VLOOKUP(A185,catalogo!$E:$H,4,0),"-")</f>
        <v>-</v>
      </c>
      <c r="AD185" s="48"/>
      <c r="AE185" s="48"/>
      <c r="AF185" s="48"/>
      <c r="AG185" s="48"/>
      <c r="AH185" s="48"/>
      <c r="AI185" s="48"/>
    </row>
    <row r="186" spans="1:35" ht="12.5" hidden="1">
      <c r="A186" s="37" t="s">
        <v>409</v>
      </c>
      <c r="B186" s="38" t="str">
        <f>IFERROR(VLOOKUP(J186,catalogo!$B$1:$C$75,2,0),"-")</f>
        <v>#14</v>
      </c>
      <c r="C186" s="39">
        <v>46059.417361111111</v>
      </c>
      <c r="D186" s="52"/>
      <c r="E186" s="17"/>
      <c r="F186" s="17"/>
      <c r="G186" s="42">
        <v>2939.4</v>
      </c>
      <c r="H186" s="42">
        <v>2939.4</v>
      </c>
      <c r="I186" s="43" t="s">
        <v>156</v>
      </c>
      <c r="J186" s="43" t="s">
        <v>76</v>
      </c>
      <c r="K186" s="43" t="s">
        <v>576</v>
      </c>
      <c r="L186" s="44" t="s">
        <v>577</v>
      </c>
      <c r="M186" s="44">
        <v>7350</v>
      </c>
      <c r="N186" s="44" t="s">
        <v>167</v>
      </c>
      <c r="O186" s="17"/>
      <c r="P186" s="17"/>
      <c r="Q186" s="17"/>
      <c r="R186" s="17"/>
      <c r="S186" s="17"/>
      <c r="T186" s="17"/>
      <c r="U186" s="17"/>
      <c r="V186" s="17"/>
      <c r="W186" s="17"/>
      <c r="X186" s="17"/>
      <c r="Y186" s="46" t="str">
        <f ca="1">IFERROR(VLOOKUP(A186,catalogo!$E:$H,2,0),"-")</f>
        <v>Transaction cost</v>
      </c>
      <c r="Z186" s="47" t="str">
        <f ca="1">IFERROR(VLOOKUP(A186,catalogo!$E:$G,3,0),"-")</f>
        <v>PAGO A CUENTA DE UN GASTO DE GASOLINA QUE NO PASO CON LA JEEVES PO2165 - ENSAMBLE UF/CEB MECANICO</v>
      </c>
      <c r="AA186" s="48"/>
      <c r="AB186" s="48"/>
      <c r="AC186" s="48" t="str">
        <f ca="1">IFERROR(VLOOKUP(A186,catalogo!$E:$H,4,0),"-")</f>
        <v>.</v>
      </c>
      <c r="AD186" s="48"/>
      <c r="AE186" s="48"/>
      <c r="AF186" s="48"/>
      <c r="AG186" s="48"/>
      <c r="AH186" s="48"/>
      <c r="AI186" s="48"/>
    </row>
    <row r="187" spans="1:35" ht="12.5" hidden="1">
      <c r="A187" s="37" t="s">
        <v>578</v>
      </c>
      <c r="B187" s="38" t="str">
        <f>IFERROR(VLOOKUP(J187,catalogo!$B$1:$C$70,2,0),"-")</f>
        <v>#6</v>
      </c>
      <c r="C187" s="39">
        <v>46059.417361111111</v>
      </c>
      <c r="D187" s="17"/>
      <c r="E187" s="17"/>
      <c r="F187" s="17"/>
      <c r="G187" s="42">
        <v>1912.76</v>
      </c>
      <c r="H187" s="42">
        <v>1912.76</v>
      </c>
      <c r="I187" s="43" t="s">
        <v>156</v>
      </c>
      <c r="J187" s="43" t="s">
        <v>114</v>
      </c>
      <c r="K187" s="43" t="s">
        <v>579</v>
      </c>
      <c r="L187" s="44" t="s">
        <v>580</v>
      </c>
      <c r="M187" s="45">
        <v>3893</v>
      </c>
      <c r="N187" s="44" t="s">
        <v>167</v>
      </c>
      <c r="O187" s="17"/>
      <c r="P187" s="17"/>
      <c r="Q187" s="17"/>
      <c r="R187" s="17"/>
      <c r="S187" s="17"/>
      <c r="T187" s="17"/>
      <c r="U187" s="17"/>
      <c r="V187" s="17"/>
      <c r="W187" s="17"/>
      <c r="X187" s="17"/>
      <c r="Y187" s="46" t="str">
        <f ca="1">IFERROR(VLOOKUP(A187,catalogo!$E:$G,2,0),"-")</f>
        <v>Transaction cost</v>
      </c>
      <c r="Z187" s="47">
        <f ca="1">IFERROR(VLOOKUP(A187,catalogo!$E:$G,3,0),"-")</f>
        <v>0</v>
      </c>
      <c r="AA187" s="48"/>
      <c r="AB187" s="48"/>
      <c r="AC187" s="48">
        <f ca="1">IFERROR(VLOOKUP(A187,catalogo!$E:$H,4,0),"-")</f>
        <v>0</v>
      </c>
      <c r="AD187" s="48"/>
      <c r="AE187" s="48"/>
      <c r="AF187" s="48"/>
      <c r="AG187" s="48"/>
      <c r="AH187" s="48"/>
      <c r="AI187" s="48"/>
    </row>
    <row r="188" spans="1:35" ht="12.5" hidden="1">
      <c r="A188" s="37" t="s">
        <v>581</v>
      </c>
      <c r="B188" s="38" t="str">
        <f>IFERROR(VLOOKUP(J188,catalogo!$B$1:$C$85,2,0),"-")</f>
        <v>#52</v>
      </c>
      <c r="C188" s="39">
        <v>46059.417361111111</v>
      </c>
      <c r="D188" s="17"/>
      <c r="E188" s="17"/>
      <c r="F188" s="17"/>
      <c r="G188" s="42">
        <v>54.47</v>
      </c>
      <c r="H188" s="42">
        <v>3</v>
      </c>
      <c r="I188" s="43" t="s">
        <v>172</v>
      </c>
      <c r="J188" s="43" t="s">
        <v>253</v>
      </c>
      <c r="K188" s="43" t="s">
        <v>537</v>
      </c>
      <c r="L188" s="44" t="s">
        <v>233</v>
      </c>
      <c r="M188" s="45">
        <v>6137</v>
      </c>
      <c r="N188" s="44" t="s">
        <v>167</v>
      </c>
      <c r="O188" s="17"/>
      <c r="P188" s="17"/>
      <c r="Q188" s="17"/>
      <c r="R188" s="17"/>
      <c r="S188" s="17"/>
      <c r="T188" s="17"/>
      <c r="U188" s="17"/>
      <c r="V188" s="17"/>
      <c r="W188" s="17"/>
      <c r="X188" s="17"/>
      <c r="Y188" s="46" t="str">
        <f ca="1">IFERROR(VLOOKUP(A188,catalogo!$E:$G,2,0),"-")</f>
        <v>-</v>
      </c>
      <c r="Z188" s="47" t="str">
        <f ca="1">IFERROR(VLOOKUP(A188,catalogo!$E:$G,3,0),"-")</f>
        <v>-</v>
      </c>
      <c r="AA188" s="48"/>
      <c r="AB188" s="48"/>
      <c r="AC188" s="48" t="str">
        <f ca="1">IFERROR(VLOOKUP(A188,catalogo!$E:$H,4,0),"-")</f>
        <v>-</v>
      </c>
      <c r="AD188" s="48"/>
      <c r="AE188" s="48"/>
      <c r="AF188" s="48"/>
      <c r="AG188" s="48"/>
      <c r="AH188" s="48"/>
      <c r="AI188" s="48"/>
    </row>
    <row r="189" spans="1:35" ht="12.5" hidden="1">
      <c r="A189" s="37" t="s">
        <v>582</v>
      </c>
      <c r="B189" s="38" t="str">
        <f>IFERROR(VLOOKUP(J189,catalogo!$B$1:$C$75,2,0),"-")</f>
        <v>#52</v>
      </c>
      <c r="C189" s="39">
        <v>46059.417361111111</v>
      </c>
      <c r="D189" s="52"/>
      <c r="E189" s="17"/>
      <c r="F189" s="17"/>
      <c r="G189" s="42">
        <v>398.38</v>
      </c>
      <c r="H189" s="42">
        <v>21.94</v>
      </c>
      <c r="I189" s="43" t="s">
        <v>172</v>
      </c>
      <c r="J189" s="43" t="s">
        <v>253</v>
      </c>
      <c r="K189" s="43" t="s">
        <v>452</v>
      </c>
      <c r="L189" s="44" t="s">
        <v>233</v>
      </c>
      <c r="M189" s="44">
        <v>6137</v>
      </c>
      <c r="N189" s="44" t="s">
        <v>167</v>
      </c>
      <c r="O189" s="17"/>
      <c r="P189" s="17"/>
      <c r="Q189" s="17"/>
      <c r="R189" s="17"/>
      <c r="S189" s="17"/>
      <c r="T189" s="17"/>
      <c r="U189" s="17"/>
      <c r="V189" s="17"/>
      <c r="W189" s="17"/>
      <c r="X189" s="17"/>
      <c r="Y189" s="46" t="str">
        <f ca="1">IFERROR(VLOOKUP(A189,catalogo!$E:$H,2,0),"-")</f>
        <v>-</v>
      </c>
      <c r="Z189" s="47" t="str">
        <f ca="1">IFERROR(VLOOKUP(A189,catalogo!$E:$G,3,0),"-")</f>
        <v>-</v>
      </c>
      <c r="AA189" s="48"/>
      <c r="AB189" s="48"/>
      <c r="AC189" s="48" t="str">
        <f ca="1">IFERROR(VLOOKUP(A189,catalogo!$E:$H,4,0),"-")</f>
        <v>-</v>
      </c>
      <c r="AD189" s="48"/>
      <c r="AE189" s="48"/>
      <c r="AF189" s="48"/>
      <c r="AG189" s="48"/>
      <c r="AH189" s="48"/>
      <c r="AI189" s="48"/>
    </row>
    <row r="190" spans="1:35" ht="12.5" hidden="1">
      <c r="A190" s="37" t="s">
        <v>583</v>
      </c>
      <c r="B190" s="38" t="str">
        <f>IFERROR(VLOOKUP(J190,catalogo!$B$1:$C$70,2,0),"-")</f>
        <v>#52</v>
      </c>
      <c r="C190" s="39">
        <v>46059.417361111111</v>
      </c>
      <c r="D190" s="17"/>
      <c r="E190" s="17"/>
      <c r="F190" s="17"/>
      <c r="G190" s="42">
        <v>402.19</v>
      </c>
      <c r="H190" s="42">
        <v>22.15</v>
      </c>
      <c r="I190" s="43" t="s">
        <v>172</v>
      </c>
      <c r="J190" s="43" t="s">
        <v>253</v>
      </c>
      <c r="K190" s="43" t="s">
        <v>584</v>
      </c>
      <c r="L190" s="44" t="s">
        <v>585</v>
      </c>
      <c r="M190" s="44">
        <v>6137</v>
      </c>
      <c r="N190" s="44" t="s">
        <v>167</v>
      </c>
      <c r="O190" s="17"/>
      <c r="P190" s="17"/>
      <c r="Q190" s="17"/>
      <c r="R190" s="17"/>
      <c r="S190" s="17"/>
      <c r="T190" s="17"/>
      <c r="U190" s="17"/>
      <c r="V190" s="17"/>
      <c r="W190" s="17"/>
      <c r="X190" s="17"/>
      <c r="Y190" s="46" t="str">
        <f ca="1">IFERROR(VLOOKUP(A190,catalogo!$E:$G,2,0),"-")</f>
        <v>-</v>
      </c>
      <c r="Z190" s="47" t="str">
        <f ca="1">IFERROR(VLOOKUP(A190,catalogo!$E:$G,3,0),"-")</f>
        <v>-</v>
      </c>
      <c r="AA190" s="48"/>
      <c r="AB190" s="48"/>
      <c r="AC190" s="48" t="str">
        <f ca="1">IFERROR(VLOOKUP(A190,catalogo!$E:$H,4,0),"-")</f>
        <v>-</v>
      </c>
      <c r="AD190" s="48"/>
      <c r="AE190" s="48"/>
      <c r="AF190" s="48"/>
      <c r="AG190" s="48"/>
      <c r="AH190" s="48"/>
      <c r="AI190" s="48"/>
    </row>
    <row r="191" spans="1:35" ht="15.5" hidden="1">
      <c r="A191" s="37" t="s">
        <v>586</v>
      </c>
      <c r="B191" s="38" t="str">
        <f>IFERROR(VLOOKUP(J191,catalogo!$B$1:$C$75,2,0),"-")</f>
        <v>#58</v>
      </c>
      <c r="C191" s="39">
        <v>46059.417361111111</v>
      </c>
      <c r="D191" s="17"/>
      <c r="E191" s="17"/>
      <c r="F191" s="17"/>
      <c r="G191" s="42">
        <v>363.15</v>
      </c>
      <c r="H191" s="42">
        <v>20</v>
      </c>
      <c r="I191" s="43" t="s">
        <v>172</v>
      </c>
      <c r="J191" s="43" t="s">
        <v>118</v>
      </c>
      <c r="K191" s="43" t="s">
        <v>428</v>
      </c>
      <c r="L191" s="44" t="s">
        <v>429</v>
      </c>
      <c r="M191" s="45">
        <v>5576</v>
      </c>
      <c r="N191" s="44" t="s">
        <v>167</v>
      </c>
      <c r="O191" s="49"/>
      <c r="P191" s="17"/>
      <c r="Q191" s="17"/>
      <c r="R191" s="17"/>
      <c r="S191" s="17"/>
      <c r="T191" s="17"/>
      <c r="U191" s="17"/>
      <c r="V191" s="17"/>
      <c r="W191" s="17"/>
      <c r="X191" s="17"/>
      <c r="Y191" s="46" t="str">
        <f ca="1">IFERROR(VLOOKUP(A191,catalogo!$E:$H,2,0),"-")</f>
        <v>-</v>
      </c>
      <c r="Z191" s="47" t="str">
        <f ca="1">IFERROR(VLOOKUP(A191,catalogo!$E:$G,3,0),"-")</f>
        <v>-</v>
      </c>
      <c r="AA191" s="48"/>
      <c r="AB191" s="48"/>
      <c r="AC191" s="48" t="str">
        <f ca="1">IFERROR(VLOOKUP(A191,catalogo!$E:$H,4,0),"-")</f>
        <v>-</v>
      </c>
      <c r="AD191" s="48"/>
      <c r="AE191" s="48"/>
      <c r="AF191" s="48"/>
      <c r="AG191" s="48"/>
      <c r="AH191" s="48"/>
      <c r="AI191" s="48"/>
    </row>
    <row r="192" spans="1:35" ht="12.5" hidden="1">
      <c r="A192" s="37" t="s">
        <v>587</v>
      </c>
      <c r="B192" s="38" t="str">
        <f>IFERROR(VLOOKUP(J192,catalogo!$B$1:$C$75,2,0),"-")</f>
        <v>#58</v>
      </c>
      <c r="C192" s="39">
        <v>46059.417361111111</v>
      </c>
      <c r="D192" s="40"/>
      <c r="E192" s="41"/>
      <c r="F192" s="41"/>
      <c r="G192" s="42">
        <v>907.88</v>
      </c>
      <c r="H192" s="42">
        <v>50</v>
      </c>
      <c r="I192" s="43" t="s">
        <v>172</v>
      </c>
      <c r="J192" s="43" t="s">
        <v>118</v>
      </c>
      <c r="K192" s="43" t="s">
        <v>244</v>
      </c>
      <c r="L192" s="44" t="s">
        <v>245</v>
      </c>
      <c r="M192" s="45">
        <v>5576</v>
      </c>
      <c r="N192" s="44" t="s">
        <v>167</v>
      </c>
      <c r="O192" s="41"/>
      <c r="P192" s="41"/>
      <c r="Q192" s="41"/>
      <c r="R192" s="41"/>
      <c r="S192" s="41"/>
      <c r="T192" s="41"/>
      <c r="U192" s="41"/>
      <c r="V192" s="41"/>
      <c r="W192" s="41"/>
      <c r="X192" s="41"/>
      <c r="Y192" s="46" t="str">
        <f ca="1">IFERROR(VLOOKUP(A192,catalogo!$E:$H,2,0),"-")</f>
        <v>-</v>
      </c>
      <c r="Z192" s="47" t="str">
        <f ca="1">IFERROR(VLOOKUP(A192,catalogo!$E:$G,3,0),"-")</f>
        <v>-</v>
      </c>
      <c r="AA192" s="48"/>
      <c r="AB192" s="48"/>
      <c r="AC192" s="48" t="str">
        <f ca="1">IFERROR(VLOOKUP(A192,catalogo!$E:$H,4,0),"-")</f>
        <v>-</v>
      </c>
      <c r="AD192" s="48"/>
      <c r="AE192" s="48"/>
      <c r="AF192" s="48"/>
      <c r="AG192" s="48"/>
      <c r="AH192" s="48"/>
      <c r="AI192" s="48"/>
    </row>
    <row r="193" spans="1:35" ht="12.5" hidden="1">
      <c r="A193" s="37" t="s">
        <v>588</v>
      </c>
      <c r="B193" s="38" t="str">
        <f>IFERROR(VLOOKUP(J193,catalogo!$B$1:$C$75,2,0),"-")</f>
        <v>#4</v>
      </c>
      <c r="C193" s="39">
        <v>46059.417361111111</v>
      </c>
      <c r="D193" s="17"/>
      <c r="E193" s="17"/>
      <c r="F193" s="17"/>
      <c r="G193" s="42">
        <v>13052.62</v>
      </c>
      <c r="H193" s="42">
        <v>13052.62</v>
      </c>
      <c r="I193" s="43" t="s">
        <v>156</v>
      </c>
      <c r="J193" s="43" t="s">
        <v>95</v>
      </c>
      <c r="K193" s="43" t="s">
        <v>589</v>
      </c>
      <c r="L193" s="44" t="s">
        <v>590</v>
      </c>
      <c r="M193" s="45">
        <v>975</v>
      </c>
      <c r="N193" s="44" t="s">
        <v>167</v>
      </c>
      <c r="O193" s="17"/>
      <c r="P193" s="17"/>
      <c r="Q193" s="17"/>
      <c r="R193" s="17"/>
      <c r="S193" s="17"/>
      <c r="T193" s="17"/>
      <c r="U193" s="17"/>
      <c r="V193" s="17"/>
      <c r="W193" s="17"/>
      <c r="X193" s="17"/>
      <c r="Y193" s="46" t="str">
        <f ca="1">IFERROR(VLOOKUP(A193,catalogo!$E:$H,2,0),"-")</f>
        <v>Sales</v>
      </c>
      <c r="Z193" s="47">
        <f ca="1">IFERROR(VLOOKUP(A193,catalogo!$E:$G,3,0),"-")</f>
        <v>0</v>
      </c>
      <c r="AA193" s="48"/>
      <c r="AB193" s="48"/>
      <c r="AC193" s="48" t="str">
        <f ca="1">IFERROR(VLOOKUP(A193,catalogo!$E:$H,4,0),"-")</f>
        <v>.</v>
      </c>
      <c r="AD193" s="48"/>
      <c r="AE193" s="48"/>
      <c r="AF193" s="48"/>
      <c r="AG193" s="48"/>
      <c r="AH193" s="48"/>
      <c r="AI193" s="48"/>
    </row>
    <row r="194" spans="1:35" ht="12.5" hidden="1">
      <c r="A194" s="37" t="s">
        <v>591</v>
      </c>
      <c r="B194" s="38" t="str">
        <f>IFERROR(VLOOKUP(J194,catalogo!$B$1:$C$80,2,0),"-")</f>
        <v>#52</v>
      </c>
      <c r="C194" s="39">
        <v>46059.417361111111</v>
      </c>
      <c r="D194" s="40"/>
      <c r="E194" s="41"/>
      <c r="F194" s="41"/>
      <c r="G194" s="42">
        <v>462.48</v>
      </c>
      <c r="H194" s="42">
        <v>25.47</v>
      </c>
      <c r="I194" s="43" t="s">
        <v>172</v>
      </c>
      <c r="J194" s="43" t="s">
        <v>253</v>
      </c>
      <c r="K194" s="43" t="s">
        <v>592</v>
      </c>
      <c r="L194" s="44" t="s">
        <v>233</v>
      </c>
      <c r="M194" s="45">
        <v>6137</v>
      </c>
      <c r="N194" s="44" t="s">
        <v>167</v>
      </c>
      <c r="O194" s="41"/>
      <c r="P194" s="41"/>
      <c r="Q194" s="41"/>
      <c r="R194" s="41"/>
      <c r="S194" s="41"/>
      <c r="T194" s="41"/>
      <c r="U194" s="41"/>
      <c r="V194" s="41"/>
      <c r="W194" s="41"/>
      <c r="X194" s="41"/>
      <c r="Y194" s="46" t="str">
        <f ca="1">IFERROR(VLOOKUP(A194,catalogo!$E:$H,2,0),"-")</f>
        <v>-</v>
      </c>
      <c r="Z194" s="47" t="str">
        <f ca="1">IFERROR(VLOOKUP(A194,catalogo!$E:$G,3,0),"-")</f>
        <v>-</v>
      </c>
      <c r="AA194" s="48"/>
      <c r="AB194" s="48"/>
      <c r="AC194" s="48" t="str">
        <f ca="1">IFERROR(VLOOKUP(A194,catalogo!$E:$H,4,0),"-")</f>
        <v>-</v>
      </c>
      <c r="AD194" s="48"/>
      <c r="AE194" s="48"/>
      <c r="AF194" s="48"/>
      <c r="AG194" s="48"/>
      <c r="AH194" s="48"/>
      <c r="AI194" s="48"/>
    </row>
    <row r="195" spans="1:35" ht="15.5" hidden="1">
      <c r="A195" s="37" t="s">
        <v>593</v>
      </c>
      <c r="B195" s="38" t="str">
        <f>IFERROR(VLOOKUP(J195,catalogo!$B$1:$C$75,2,0),"-")</f>
        <v>#58</v>
      </c>
      <c r="C195" s="39">
        <v>46059.417361111111</v>
      </c>
      <c r="D195" s="17"/>
      <c r="E195" s="17"/>
      <c r="F195" s="17"/>
      <c r="G195" s="42">
        <v>490.44</v>
      </c>
      <c r="H195" s="42">
        <v>27.01</v>
      </c>
      <c r="I195" s="43" t="s">
        <v>172</v>
      </c>
      <c r="J195" s="43" t="s">
        <v>118</v>
      </c>
      <c r="K195" s="43" t="s">
        <v>594</v>
      </c>
      <c r="L195" s="44" t="s">
        <v>595</v>
      </c>
      <c r="M195" s="45">
        <v>5576</v>
      </c>
      <c r="N195" s="44" t="s">
        <v>167</v>
      </c>
      <c r="O195" s="49"/>
      <c r="P195" s="17"/>
      <c r="Q195" s="17"/>
      <c r="R195" s="17"/>
      <c r="S195" s="17"/>
      <c r="T195" s="17"/>
      <c r="U195" s="17"/>
      <c r="V195" s="17"/>
      <c r="W195" s="17"/>
      <c r="X195" s="17"/>
      <c r="Y195" s="46" t="str">
        <f ca="1">IFERROR(VLOOKUP(A195,catalogo!$E:$H,2,0),"-")</f>
        <v>-</v>
      </c>
      <c r="Z195" s="47" t="str">
        <f ca="1">IFERROR(VLOOKUP(A195,catalogo!$E:$G,3,0),"-")</f>
        <v>-</v>
      </c>
      <c r="AA195" s="48"/>
      <c r="AB195" s="48"/>
      <c r="AC195" s="48" t="str">
        <f ca="1">IFERROR(VLOOKUP(A195,catalogo!$E:$H,4,0),"-")</f>
        <v>-</v>
      </c>
      <c r="AD195" s="48"/>
      <c r="AE195" s="48"/>
      <c r="AF195" s="48"/>
      <c r="AG195" s="48"/>
      <c r="AH195" s="48"/>
      <c r="AI195" s="48"/>
    </row>
    <row r="196" spans="1:35" ht="12.5" hidden="1">
      <c r="A196" s="37" t="s">
        <v>596</v>
      </c>
      <c r="B196" s="38" t="str">
        <f>IFERROR(VLOOKUP(J196,catalogo!$B$1:$C$100,2,0),"-")</f>
        <v>#52</v>
      </c>
      <c r="C196" s="39">
        <v>46059.417361111111</v>
      </c>
      <c r="D196" s="40"/>
      <c r="E196" s="41"/>
      <c r="F196" s="41"/>
      <c r="G196" s="42">
        <v>235.32</v>
      </c>
      <c r="H196" s="42">
        <v>12.96</v>
      </c>
      <c r="I196" s="43" t="s">
        <v>172</v>
      </c>
      <c r="J196" s="43" t="s">
        <v>253</v>
      </c>
      <c r="K196" s="43" t="s">
        <v>537</v>
      </c>
      <c r="L196" s="44" t="s">
        <v>233</v>
      </c>
      <c r="M196" s="45">
        <v>6137</v>
      </c>
      <c r="N196" s="44" t="s">
        <v>167</v>
      </c>
      <c r="O196" s="41"/>
      <c r="P196" s="41"/>
      <c r="Q196" s="41"/>
      <c r="R196" s="41"/>
      <c r="S196" s="41"/>
      <c r="T196" s="41"/>
      <c r="U196" s="41"/>
      <c r="V196" s="41"/>
      <c r="W196" s="41"/>
      <c r="X196" s="41"/>
      <c r="Y196" s="46" t="str">
        <f ca="1">IFERROR(VLOOKUP(A196,catalogo!$E:$H,2,0),"-")</f>
        <v>-</v>
      </c>
      <c r="Z196" s="47" t="str">
        <f ca="1">IFERROR(VLOOKUP(A196,catalogo!$E:$G,3,0),"-")</f>
        <v>-</v>
      </c>
      <c r="AA196" s="48"/>
      <c r="AB196" s="48"/>
      <c r="AC196" s="48" t="str">
        <f ca="1">IFERROR(VLOOKUP(A196,catalogo!$E:$H,4,0),"-")</f>
        <v>-</v>
      </c>
      <c r="AD196" s="48"/>
      <c r="AE196" s="48"/>
      <c r="AF196" s="48"/>
      <c r="AG196" s="48"/>
      <c r="AH196" s="48"/>
      <c r="AI196" s="48"/>
    </row>
    <row r="197" spans="1:35" ht="15.5" hidden="1">
      <c r="A197" s="37" t="s">
        <v>597</v>
      </c>
      <c r="B197" s="38" t="str">
        <f>IFERROR(VLOOKUP(J197,catalogo!$B$1:$C$75,2,0),"-")</f>
        <v>#35</v>
      </c>
      <c r="C197" s="39">
        <v>46059.417361111111</v>
      </c>
      <c r="D197" s="17"/>
      <c r="E197" s="17"/>
      <c r="F197" s="17"/>
      <c r="G197" s="42">
        <v>884.8</v>
      </c>
      <c r="H197" s="42">
        <v>49</v>
      </c>
      <c r="I197" s="43" t="s">
        <v>172</v>
      </c>
      <c r="J197" s="50" t="s">
        <v>123</v>
      </c>
      <c r="K197" s="43" t="s">
        <v>598</v>
      </c>
      <c r="L197" s="44" t="s">
        <v>599</v>
      </c>
      <c r="M197" s="44">
        <v>1771</v>
      </c>
      <c r="N197" s="44" t="s">
        <v>167</v>
      </c>
      <c r="O197" s="49"/>
      <c r="P197" s="17"/>
      <c r="Q197" s="17"/>
      <c r="R197" s="17"/>
      <c r="S197" s="17"/>
      <c r="T197" s="17"/>
      <c r="U197" s="17"/>
      <c r="V197" s="17"/>
      <c r="W197" s="17"/>
      <c r="X197" s="17"/>
      <c r="Y197" s="46" t="str">
        <f ca="1">IFERROR(VLOOKUP(A197,catalogo!$E:$H,2,0),"-")</f>
        <v>-</v>
      </c>
      <c r="Z197" s="47" t="str">
        <f ca="1">IFERROR(VLOOKUP(A197,catalogo!$E:$G,3,0),"-")</f>
        <v>-</v>
      </c>
      <c r="AA197" s="48"/>
      <c r="AB197" s="48"/>
      <c r="AC197" s="48" t="str">
        <f ca="1">IFERROR(VLOOKUP(A197,catalogo!$E:$H,4,0),"-")</f>
        <v>-</v>
      </c>
      <c r="AD197" s="48"/>
      <c r="AE197" s="48"/>
      <c r="AF197" s="48"/>
      <c r="AG197" s="48"/>
      <c r="AH197" s="48"/>
      <c r="AI197" s="48"/>
    </row>
    <row r="198" spans="1:35" ht="12.5" hidden="1">
      <c r="A198" s="37" t="s">
        <v>288</v>
      </c>
      <c r="B198" s="38" t="str">
        <f>IFERROR(VLOOKUP(J198,catalogo!$B$1:$C$75,2,0),"-")</f>
        <v>#52</v>
      </c>
      <c r="C198" s="39">
        <v>46059.417361111111</v>
      </c>
      <c r="D198" s="17"/>
      <c r="E198" s="17"/>
      <c r="F198" s="17"/>
      <c r="G198" s="42">
        <v>592.63</v>
      </c>
      <c r="H198" s="42">
        <v>32.82</v>
      </c>
      <c r="I198" s="43" t="s">
        <v>172</v>
      </c>
      <c r="J198" s="43" t="s">
        <v>253</v>
      </c>
      <c r="K198" s="43" t="s">
        <v>257</v>
      </c>
      <c r="L198" s="44" t="s">
        <v>181</v>
      </c>
      <c r="M198" s="45">
        <v>6137</v>
      </c>
      <c r="N198" s="44" t="s">
        <v>167</v>
      </c>
      <c r="O198" s="17"/>
      <c r="P198" s="17"/>
      <c r="Q198" s="17"/>
      <c r="R198" s="17"/>
      <c r="S198" s="17"/>
      <c r="T198" s="17"/>
      <c r="U198" s="17"/>
      <c r="V198" s="17"/>
      <c r="W198" s="17"/>
      <c r="X198" s="17"/>
      <c r="Y198" s="46" t="str">
        <f ca="1">IFERROR(VLOOKUP(A198,catalogo!$E:$H,2,0),"-")</f>
        <v>-</v>
      </c>
      <c r="Z198" s="47" t="str">
        <f ca="1">IFERROR(VLOOKUP(A198,catalogo!$E:$G,3,0),"-")</f>
        <v>-</v>
      </c>
      <c r="AA198" s="48"/>
      <c r="AB198" s="48"/>
      <c r="AC198" s="48" t="str">
        <f ca="1">IFERROR(VLOOKUP(A198,catalogo!$E:$H,4,0),"-")</f>
        <v>-</v>
      </c>
      <c r="AD198" s="48"/>
      <c r="AE198" s="48"/>
      <c r="AF198" s="48"/>
      <c r="AG198" s="48"/>
      <c r="AH198" s="48"/>
      <c r="AI198" s="48"/>
    </row>
    <row r="199" spans="1:35" ht="12.5" hidden="1">
      <c r="A199" s="37" t="s">
        <v>430</v>
      </c>
      <c r="B199" s="38" t="str">
        <f>IFERROR(VLOOKUP(J199,catalogo!$B$1:$C$75,2,0),"-")</f>
        <v>-</v>
      </c>
      <c r="C199" s="39">
        <v>46059.417361111111</v>
      </c>
      <c r="D199" s="52"/>
      <c r="E199" s="17"/>
      <c r="F199" s="17"/>
      <c r="G199" s="42">
        <v>2169.48</v>
      </c>
      <c r="H199" s="42">
        <v>119.48</v>
      </c>
      <c r="I199" s="43" t="s">
        <v>172</v>
      </c>
      <c r="J199" s="43" t="s">
        <v>600</v>
      </c>
      <c r="K199" s="43" t="s">
        <v>601</v>
      </c>
      <c r="L199" s="44" t="s">
        <v>602</v>
      </c>
      <c r="M199" s="45">
        <v>9794</v>
      </c>
      <c r="N199" s="44" t="s">
        <v>167</v>
      </c>
      <c r="O199" s="17"/>
      <c r="P199" s="17"/>
      <c r="Q199" s="17"/>
      <c r="R199" s="17"/>
      <c r="S199" s="17"/>
      <c r="T199" s="17"/>
      <c r="U199" s="17"/>
      <c r="V199" s="17"/>
      <c r="W199" s="17"/>
      <c r="X199" s="17"/>
      <c r="Y199" s="46" t="str">
        <f ca="1">IFERROR(VLOOKUP(A199,catalogo!$E:$H,2,0),"-")</f>
        <v>-</v>
      </c>
      <c r="Z199" s="47" t="str">
        <f ca="1">IFERROR(VLOOKUP(A199,catalogo!$E:$G,3,0),"-")</f>
        <v>-</v>
      </c>
      <c r="AA199" s="48"/>
      <c r="AB199" s="48"/>
      <c r="AC199" s="48" t="str">
        <f ca="1">IFERROR(VLOOKUP(A199,catalogo!$E:$H,4,0),"-")</f>
        <v>-</v>
      </c>
      <c r="AD199" s="48"/>
      <c r="AE199" s="48"/>
      <c r="AF199" s="48"/>
      <c r="AG199" s="48"/>
      <c r="AH199" s="48"/>
      <c r="AI199" s="48"/>
    </row>
    <row r="200" spans="1:35" ht="12.5" hidden="1">
      <c r="A200" s="37" t="s">
        <v>603</v>
      </c>
      <c r="B200" s="38" t="str">
        <f>IFERROR(VLOOKUP(J200,catalogo!$B$1:$C$100,2,0),"-")</f>
        <v>#30</v>
      </c>
      <c r="C200" s="39">
        <v>46059.417361111111</v>
      </c>
      <c r="D200" s="17"/>
      <c r="E200" s="17"/>
      <c r="F200" s="17"/>
      <c r="G200" s="42">
        <v>187.02</v>
      </c>
      <c r="H200" s="42">
        <v>10.3</v>
      </c>
      <c r="I200" s="43" t="s">
        <v>172</v>
      </c>
      <c r="J200" s="43" t="s">
        <v>97</v>
      </c>
      <c r="K200" s="43" t="s">
        <v>262</v>
      </c>
      <c r="L200" s="44" t="s">
        <v>263</v>
      </c>
      <c r="M200" s="45">
        <v>9904</v>
      </c>
      <c r="N200" s="44" t="s">
        <v>167</v>
      </c>
      <c r="O200" s="17"/>
      <c r="P200" s="17"/>
      <c r="Q200" s="17"/>
      <c r="R200" s="17"/>
      <c r="S200" s="17"/>
      <c r="T200" s="17"/>
      <c r="U200" s="17"/>
      <c r="V200" s="17"/>
      <c r="W200" s="17"/>
      <c r="X200" s="17"/>
      <c r="Y200" s="46" t="str">
        <f ca="1">IFERROR(VLOOKUP(A200,catalogo!$E:$G,2,0),"-")</f>
        <v>-</v>
      </c>
      <c r="Z200" s="47" t="str">
        <f ca="1">IFERROR(VLOOKUP(A200,catalogo!$E:$G,3,0),"-")</f>
        <v>-</v>
      </c>
      <c r="AA200" s="48"/>
      <c r="AB200" s="48"/>
      <c r="AC200" s="48" t="str">
        <f ca="1">IFERROR(VLOOKUP(A200,catalogo!$E:$H,4,0),"-")</f>
        <v>-</v>
      </c>
      <c r="AD200" s="48"/>
      <c r="AE200" s="48"/>
      <c r="AF200" s="48"/>
      <c r="AG200" s="48"/>
      <c r="AH200" s="48"/>
      <c r="AI200" s="48"/>
    </row>
    <row r="201" spans="1:35" ht="12.5" hidden="1">
      <c r="A201" s="37" t="s">
        <v>456</v>
      </c>
      <c r="B201" s="38" t="str">
        <f>IFERROR(VLOOKUP(J201,catalogo!$B$1:$C$75,2,0),"-")</f>
        <v>#69</v>
      </c>
      <c r="C201" s="39">
        <v>46060.416666666664</v>
      </c>
      <c r="D201" s="52"/>
      <c r="E201" s="17"/>
      <c r="F201" s="17"/>
      <c r="G201" s="42">
        <v>559.99</v>
      </c>
      <c r="H201" s="42">
        <v>559.99</v>
      </c>
      <c r="I201" s="43" t="s">
        <v>156</v>
      </c>
      <c r="J201" s="43" t="s">
        <v>110</v>
      </c>
      <c r="K201" s="43" t="s">
        <v>232</v>
      </c>
      <c r="L201" s="44" t="s">
        <v>233</v>
      </c>
      <c r="M201" s="44" t="s">
        <v>464</v>
      </c>
      <c r="N201" s="44" t="s">
        <v>144</v>
      </c>
      <c r="O201" s="17"/>
      <c r="P201" s="17"/>
      <c r="Q201" s="17"/>
      <c r="R201" s="17"/>
      <c r="S201" s="17"/>
      <c r="T201" s="17"/>
      <c r="U201" s="17"/>
      <c r="V201" s="17"/>
      <c r="W201" s="17"/>
      <c r="X201" s="17"/>
      <c r="Y201" s="46" t="str">
        <f ca="1">IFERROR(VLOOKUP(A201,catalogo!$E:$H,2,0),"-")</f>
        <v>Office expenses</v>
      </c>
      <c r="Z201" s="47">
        <f ca="1">IFERROR(VLOOKUP(A201,catalogo!$E:$G,3,0),"-")</f>
        <v>0</v>
      </c>
      <c r="AA201" s="48"/>
      <c r="AB201" s="48"/>
      <c r="AC201" s="48">
        <f ca="1">IFERROR(VLOOKUP(A201,catalogo!$E:$H,4,0),"-")</f>
        <v>0</v>
      </c>
      <c r="AD201" s="48"/>
      <c r="AE201" s="48"/>
      <c r="AF201" s="48"/>
      <c r="AG201" s="48"/>
      <c r="AH201" s="48"/>
      <c r="AI201" s="48"/>
    </row>
    <row r="202" spans="1:35" ht="12.5" hidden="1">
      <c r="A202" s="37" t="s">
        <v>604</v>
      </c>
      <c r="B202" s="38" t="str">
        <f>IFERROR(VLOOKUP(J202,catalogo!$B$1:$C$80,2,0),"-")</f>
        <v>-</v>
      </c>
      <c r="C202" s="39">
        <v>46060.416666666664</v>
      </c>
      <c r="D202" s="17"/>
      <c r="E202" s="17"/>
      <c r="F202" s="17"/>
      <c r="G202" s="42">
        <v>101.77</v>
      </c>
      <c r="H202" s="42">
        <v>101.77</v>
      </c>
      <c r="I202" s="43" t="s">
        <v>156</v>
      </c>
      <c r="J202" s="43" t="s">
        <v>187</v>
      </c>
      <c r="K202" s="43" t="s">
        <v>232</v>
      </c>
      <c r="L202" s="44" t="s">
        <v>233</v>
      </c>
      <c r="M202" s="45" t="s">
        <v>477</v>
      </c>
      <c r="N202" s="44" t="s">
        <v>144</v>
      </c>
      <c r="O202" s="17"/>
      <c r="P202" s="17"/>
      <c r="Q202" s="17"/>
      <c r="R202" s="17"/>
      <c r="S202" s="17"/>
      <c r="T202" s="17"/>
      <c r="U202" s="17"/>
      <c r="V202" s="17"/>
      <c r="W202" s="17"/>
      <c r="X202" s="17"/>
      <c r="Y202" s="46" t="str">
        <f ca="1">IFERROR(VLOOKUP(A202,catalogo!$E:$G,2,0),"-")</f>
        <v>-</v>
      </c>
      <c r="Z202" s="47" t="str">
        <f ca="1">IFERROR(VLOOKUP(A202,catalogo!$E:$G,3,0),"-")</f>
        <v>-</v>
      </c>
      <c r="AA202" s="48"/>
      <c r="AB202" s="48"/>
      <c r="AC202" s="48" t="str">
        <f ca="1">IFERROR(VLOOKUP(A202,catalogo!$E:$H,4,0),"-")</f>
        <v>-</v>
      </c>
      <c r="AD202" s="48"/>
      <c r="AE202" s="48"/>
      <c r="AF202" s="48"/>
      <c r="AG202" s="48"/>
      <c r="AH202" s="48"/>
      <c r="AI202" s="48"/>
    </row>
    <row r="203" spans="1:35" ht="12.5" hidden="1">
      <c r="A203" s="37" t="s">
        <v>297</v>
      </c>
      <c r="B203" s="38" t="str">
        <f>IFERROR(VLOOKUP(J203,catalogo!$B$1:$C$100,2,0),"-")</f>
        <v>#69</v>
      </c>
      <c r="C203" s="39">
        <v>46060.416666666664</v>
      </c>
      <c r="D203" s="17"/>
      <c r="E203" s="17"/>
      <c r="F203" s="17"/>
      <c r="G203" s="42">
        <v>483</v>
      </c>
      <c r="H203" s="42">
        <v>483</v>
      </c>
      <c r="I203" s="43" t="s">
        <v>156</v>
      </c>
      <c r="J203" s="43" t="s">
        <v>110</v>
      </c>
      <c r="K203" s="43" t="s">
        <v>605</v>
      </c>
      <c r="L203" s="44" t="s">
        <v>606</v>
      </c>
      <c r="M203" s="44">
        <v>8231</v>
      </c>
      <c r="N203" s="44" t="s">
        <v>167</v>
      </c>
      <c r="O203" s="17"/>
      <c r="P203" s="17"/>
      <c r="Q203" s="17"/>
      <c r="R203" s="17"/>
      <c r="S203" s="17"/>
      <c r="T203" s="17"/>
      <c r="U203" s="17"/>
      <c r="V203" s="17"/>
      <c r="W203" s="17"/>
      <c r="X203" s="17"/>
      <c r="Y203" s="46" t="str">
        <f ca="1">IFERROR(VLOOKUP(A203,catalogo!$E:$H,2,0),"-")</f>
        <v>Tech&amp;Product</v>
      </c>
      <c r="Z203" s="47">
        <f ca="1">IFERROR(VLOOKUP(A203,catalogo!$E:$G,3,0),"-")</f>
        <v>0</v>
      </c>
      <c r="AA203" s="48"/>
      <c r="AB203" s="48"/>
      <c r="AC203" s="48" t="str">
        <f ca="1">IFERROR(VLOOKUP(A203,catalogo!$E:$H,4,0),"-")</f>
        <v>.</v>
      </c>
      <c r="AD203" s="48"/>
      <c r="AE203" s="48"/>
      <c r="AF203" s="48"/>
      <c r="AG203" s="48"/>
      <c r="AH203" s="48"/>
      <c r="AI203" s="48"/>
    </row>
    <row r="204" spans="1:35" ht="15.5" hidden="1">
      <c r="A204" s="37" t="s">
        <v>607</v>
      </c>
      <c r="B204" s="38" t="str">
        <f>IFERROR(VLOOKUP(J204,catalogo!$B$1:$C$75,2,0),"-")</f>
        <v>#69</v>
      </c>
      <c r="C204" s="39">
        <v>46060.416666666664</v>
      </c>
      <c r="D204" s="17"/>
      <c r="E204" s="17"/>
      <c r="F204" s="17"/>
      <c r="G204" s="42">
        <v>257.89</v>
      </c>
      <c r="H204" s="42">
        <v>257.89</v>
      </c>
      <c r="I204" s="43" t="s">
        <v>156</v>
      </c>
      <c r="J204" s="43" t="s">
        <v>110</v>
      </c>
      <c r="K204" s="43" t="s">
        <v>232</v>
      </c>
      <c r="L204" s="44" t="s">
        <v>233</v>
      </c>
      <c r="M204" s="44" t="s">
        <v>464</v>
      </c>
      <c r="N204" s="44" t="s">
        <v>144</v>
      </c>
      <c r="O204" s="49"/>
      <c r="P204" s="17"/>
      <c r="Q204" s="17"/>
      <c r="R204" s="17"/>
      <c r="S204" s="17"/>
      <c r="T204" s="17"/>
      <c r="U204" s="17"/>
      <c r="V204" s="17"/>
      <c r="W204" s="17"/>
      <c r="X204" s="17"/>
      <c r="Y204" s="46" t="str">
        <f ca="1">IFERROR(VLOOKUP(A204,catalogo!$E:$H,2,0),"-")</f>
        <v>-</v>
      </c>
      <c r="Z204" s="47" t="str">
        <f ca="1">IFERROR(VLOOKUP(A204,catalogo!$E:$G,3,0),"-")</f>
        <v>-</v>
      </c>
      <c r="AA204" s="48"/>
      <c r="AB204" s="48"/>
      <c r="AC204" s="48" t="str">
        <f ca="1">IFERROR(VLOOKUP(A204,catalogo!$E:$H,4,0),"-")</f>
        <v>-</v>
      </c>
      <c r="AD204" s="48"/>
      <c r="AE204" s="48"/>
      <c r="AF204" s="48"/>
      <c r="AG204" s="48"/>
      <c r="AH204" s="48"/>
      <c r="AI204" s="48"/>
    </row>
    <row r="205" spans="1:35" ht="12.5" hidden="1">
      <c r="A205" s="37" t="s">
        <v>608</v>
      </c>
      <c r="B205" s="38" t="str">
        <f>IFERROR(VLOOKUP(J205,catalogo!$B$1:$C$70,2,0),"-")</f>
        <v>#69</v>
      </c>
      <c r="C205" s="39">
        <v>46060.416666666664</v>
      </c>
      <c r="D205" s="17"/>
      <c r="E205" s="17"/>
      <c r="F205" s="17"/>
      <c r="G205" s="42">
        <v>87.56</v>
      </c>
      <c r="H205" s="42">
        <v>87.56</v>
      </c>
      <c r="I205" s="43" t="s">
        <v>156</v>
      </c>
      <c r="J205" s="43" t="s">
        <v>110</v>
      </c>
      <c r="K205" s="43" t="s">
        <v>232</v>
      </c>
      <c r="L205" s="44" t="s">
        <v>233</v>
      </c>
      <c r="M205" s="45" t="s">
        <v>464</v>
      </c>
      <c r="N205" s="44" t="s">
        <v>144</v>
      </c>
      <c r="O205" s="17"/>
      <c r="P205" s="17"/>
      <c r="Q205" s="17"/>
      <c r="R205" s="17"/>
      <c r="S205" s="17"/>
      <c r="T205" s="17"/>
      <c r="U205" s="17"/>
      <c r="V205" s="17"/>
      <c r="W205" s="17"/>
      <c r="X205" s="17"/>
      <c r="Y205" s="46" t="str">
        <f ca="1">IFERROR(VLOOKUP(A205,catalogo!$E:$G,2,0),"-")</f>
        <v>-</v>
      </c>
      <c r="Z205" s="47" t="str">
        <f ca="1">IFERROR(VLOOKUP(A205,catalogo!$E:$G,3,0),"-")</f>
        <v>-</v>
      </c>
      <c r="AA205" s="48"/>
      <c r="AB205" s="48"/>
      <c r="AC205" s="48" t="str">
        <f ca="1">IFERROR(VLOOKUP(A205,catalogo!$E:$H,4,0),"-")</f>
        <v>-</v>
      </c>
      <c r="AD205" s="48"/>
      <c r="AE205" s="48"/>
      <c r="AF205" s="48"/>
      <c r="AG205" s="48"/>
      <c r="AH205" s="48"/>
      <c r="AI205" s="48"/>
    </row>
    <row r="206" spans="1:35" ht="15.5" hidden="1">
      <c r="A206" s="37" t="s">
        <v>609</v>
      </c>
      <c r="B206" s="38" t="str">
        <f>IFERROR(VLOOKUP(J206,catalogo!$B$1:$C$75,2,0),"-")</f>
        <v>#74</v>
      </c>
      <c r="C206" s="39">
        <v>46060.416666666664</v>
      </c>
      <c r="D206" s="17"/>
      <c r="E206" s="17"/>
      <c r="F206" s="17"/>
      <c r="G206" s="42">
        <v>174.36</v>
      </c>
      <c r="H206" s="42">
        <v>174.36</v>
      </c>
      <c r="I206" s="43" t="s">
        <v>156</v>
      </c>
      <c r="J206" s="43" t="s">
        <v>286</v>
      </c>
      <c r="K206" s="43" t="s">
        <v>232</v>
      </c>
      <c r="L206" s="44" t="s">
        <v>233</v>
      </c>
      <c r="M206" s="44">
        <v>5481</v>
      </c>
      <c r="N206" s="44" t="s">
        <v>167</v>
      </c>
      <c r="O206" s="49"/>
      <c r="P206" s="17"/>
      <c r="Q206" s="17"/>
      <c r="R206" s="17"/>
      <c r="S206" s="17"/>
      <c r="T206" s="17"/>
      <c r="U206" s="17"/>
      <c r="V206" s="17"/>
      <c r="W206" s="17"/>
      <c r="X206" s="17"/>
      <c r="Y206" s="46" t="str">
        <f ca="1">IFERROR(VLOOKUP(A206,catalogo!$E:$H,2,0),"-")</f>
        <v>-</v>
      </c>
      <c r="Z206" s="47" t="str">
        <f ca="1">IFERROR(VLOOKUP(A206,catalogo!$E:$G,3,0),"-")</f>
        <v>-</v>
      </c>
      <c r="AA206" s="48"/>
      <c r="AB206" s="48"/>
      <c r="AC206" s="48" t="str">
        <f ca="1">IFERROR(VLOOKUP(A206,catalogo!$E:$H,4,0),"-")</f>
        <v>-</v>
      </c>
      <c r="AD206" s="48"/>
      <c r="AE206" s="48"/>
      <c r="AF206" s="48"/>
      <c r="AG206" s="48"/>
      <c r="AH206" s="48"/>
      <c r="AI206" s="48"/>
    </row>
    <row r="207" spans="1:35" ht="12.5" hidden="1">
      <c r="A207" s="37" t="s">
        <v>610</v>
      </c>
      <c r="B207" s="38" t="str">
        <f>IFERROR(VLOOKUP(J207,catalogo!$B$1:$C$70,2,0),"-")</f>
        <v>#64</v>
      </c>
      <c r="C207" s="39">
        <v>46060.416666666664</v>
      </c>
      <c r="D207" s="17"/>
      <c r="E207" s="17"/>
      <c r="F207" s="17"/>
      <c r="G207" s="42">
        <v>627.73</v>
      </c>
      <c r="H207" s="42">
        <v>627.73</v>
      </c>
      <c r="I207" s="43" t="s">
        <v>156</v>
      </c>
      <c r="J207" s="43" t="s">
        <v>139</v>
      </c>
      <c r="K207" s="43" t="s">
        <v>180</v>
      </c>
      <c r="L207" s="44" t="s">
        <v>181</v>
      </c>
      <c r="M207" s="45">
        <v>7142</v>
      </c>
      <c r="N207" s="44" t="s">
        <v>167</v>
      </c>
      <c r="O207" s="17"/>
      <c r="P207" s="17"/>
      <c r="Q207" s="17"/>
      <c r="R207" s="17"/>
      <c r="S207" s="17"/>
      <c r="T207" s="17"/>
      <c r="U207" s="17"/>
      <c r="V207" s="17"/>
      <c r="W207" s="17"/>
      <c r="X207" s="17"/>
      <c r="Y207" s="46" t="str">
        <f ca="1">IFERROR(VLOOKUP(A207,catalogo!$E:$G,2,0),"-")</f>
        <v>-</v>
      </c>
      <c r="Z207" s="47" t="str">
        <f ca="1">IFERROR(VLOOKUP(A207,catalogo!$E:$G,3,0),"-")</f>
        <v>-</v>
      </c>
      <c r="AA207" s="48"/>
      <c r="AB207" s="48"/>
      <c r="AC207" s="48" t="str">
        <f ca="1">IFERROR(VLOOKUP(A207,catalogo!$E:$H,4,0),"-")</f>
        <v>-</v>
      </c>
      <c r="AD207" s="48"/>
      <c r="AE207" s="48"/>
      <c r="AF207" s="48"/>
      <c r="AG207" s="48"/>
      <c r="AH207" s="48"/>
      <c r="AI207" s="48"/>
    </row>
    <row r="208" spans="1:35" ht="12.5" hidden="1">
      <c r="A208" s="37" t="s">
        <v>611</v>
      </c>
      <c r="B208" s="38" t="str">
        <f>IFERROR(VLOOKUP(J208,catalogo!$B$1:$C$75,2,0),"-")</f>
        <v>#68</v>
      </c>
      <c r="C208" s="39">
        <v>46060.416666666664</v>
      </c>
      <c r="D208" s="52"/>
      <c r="E208" s="17"/>
      <c r="F208" s="17"/>
      <c r="G208" s="42">
        <v>219.96</v>
      </c>
      <c r="H208" s="42">
        <v>219.96</v>
      </c>
      <c r="I208" s="43" t="s">
        <v>156</v>
      </c>
      <c r="J208" s="43" t="s">
        <v>384</v>
      </c>
      <c r="K208" s="43" t="s">
        <v>232</v>
      </c>
      <c r="L208" s="44" t="s">
        <v>233</v>
      </c>
      <c r="M208" s="44">
        <v>2937</v>
      </c>
      <c r="N208" s="44" t="s">
        <v>167</v>
      </c>
      <c r="O208" s="17"/>
      <c r="P208" s="17"/>
      <c r="Q208" s="17"/>
      <c r="R208" s="17"/>
      <c r="S208" s="17"/>
      <c r="T208" s="17"/>
      <c r="U208" s="17"/>
      <c r="V208" s="17"/>
      <c r="W208" s="17"/>
      <c r="X208" s="17"/>
      <c r="Y208" s="46" t="str">
        <f ca="1">IFERROR(VLOOKUP(A208,catalogo!$E:$H,2,0),"-")</f>
        <v>-</v>
      </c>
      <c r="Z208" s="47" t="str">
        <f ca="1">IFERROR(VLOOKUP(A208,catalogo!$E:$G,3,0),"-")</f>
        <v>-</v>
      </c>
      <c r="AA208" s="48"/>
      <c r="AB208" s="48"/>
      <c r="AC208" s="48" t="str">
        <f ca="1">IFERROR(VLOOKUP(A208,catalogo!$E:$H,4,0),"-")</f>
        <v>-</v>
      </c>
      <c r="AD208" s="48"/>
      <c r="AE208" s="48"/>
      <c r="AF208" s="48"/>
      <c r="AG208" s="48"/>
      <c r="AH208" s="48"/>
      <c r="AI208" s="48"/>
    </row>
    <row r="209" spans="1:35" ht="12.5" hidden="1">
      <c r="A209" s="37" t="s">
        <v>612</v>
      </c>
      <c r="B209" s="38" t="str">
        <f>IFERROR(VLOOKUP(J209,catalogo!$B$1:$C$75,2,0),"-")</f>
        <v>#13</v>
      </c>
      <c r="C209" s="39">
        <v>46060.416666666664</v>
      </c>
      <c r="D209" s="17"/>
      <c r="E209" s="17"/>
      <c r="F209" s="17"/>
      <c r="G209" s="42">
        <v>99.93</v>
      </c>
      <c r="H209" s="42">
        <v>99.93</v>
      </c>
      <c r="I209" s="43" t="s">
        <v>156</v>
      </c>
      <c r="J209" s="43" t="s">
        <v>66</v>
      </c>
      <c r="K209" s="43" t="s">
        <v>284</v>
      </c>
      <c r="L209" s="44" t="s">
        <v>233</v>
      </c>
      <c r="M209" s="45">
        <v>8732</v>
      </c>
      <c r="N209" s="44" t="s">
        <v>167</v>
      </c>
      <c r="O209" s="17"/>
      <c r="P209" s="17"/>
      <c r="Q209" s="17"/>
      <c r="R209" s="17"/>
      <c r="S209" s="17"/>
      <c r="T209" s="17"/>
      <c r="U209" s="17"/>
      <c r="V209" s="17"/>
      <c r="W209" s="17"/>
      <c r="X209" s="17"/>
      <c r="Y209" s="46" t="str">
        <f ca="1">IFERROR(VLOOKUP(A209,catalogo!$E:$H,2,0),"-")</f>
        <v>Sales</v>
      </c>
      <c r="Z209" s="47" t="str">
        <f ca="1">IFERROR(VLOOKUP(A209,catalogo!$E:$G,3,0),"-")</f>
        <v>Update de casetas: ida hacia comida Onest</v>
      </c>
      <c r="AA209" s="48"/>
      <c r="AB209" s="48"/>
      <c r="AC209" s="48" t="str">
        <f ca="1">IFERROR(VLOOKUP(A209,catalogo!$E:$H,4,0),"-")</f>
        <v>NA</v>
      </c>
      <c r="AD209" s="48"/>
      <c r="AE209" s="48"/>
      <c r="AF209" s="48"/>
      <c r="AG209" s="48"/>
      <c r="AH209" s="48"/>
      <c r="AI209" s="48"/>
    </row>
    <row r="210" spans="1:35" ht="12.5" hidden="1">
      <c r="A210" s="37" t="s">
        <v>613</v>
      </c>
      <c r="B210" s="38" t="str">
        <f>IFERROR(VLOOKUP(J210,catalogo!$B$1:$C$70,2,0),"-")</f>
        <v>#13</v>
      </c>
      <c r="C210" s="39">
        <v>46060.416666666664</v>
      </c>
      <c r="D210" s="17"/>
      <c r="E210" s="17"/>
      <c r="F210" s="17"/>
      <c r="G210" s="42">
        <v>60.13</v>
      </c>
      <c r="H210" s="42">
        <v>60.13</v>
      </c>
      <c r="I210" s="43" t="s">
        <v>156</v>
      </c>
      <c r="J210" s="43" t="s">
        <v>66</v>
      </c>
      <c r="K210" s="43" t="s">
        <v>284</v>
      </c>
      <c r="L210" s="44" t="s">
        <v>233</v>
      </c>
      <c r="M210" s="44">
        <v>8732</v>
      </c>
      <c r="N210" s="44" t="s">
        <v>167</v>
      </c>
      <c r="O210" s="17"/>
      <c r="P210" s="17"/>
      <c r="Q210" s="17"/>
      <c r="R210" s="17"/>
      <c r="S210" s="17"/>
      <c r="T210" s="17"/>
      <c r="U210" s="17"/>
      <c r="V210" s="17"/>
      <c r="W210" s="17"/>
      <c r="X210" s="17"/>
      <c r="Y210" s="46" t="str">
        <f ca="1">IFERROR(VLOOKUP(A210,catalogo!$E:$G,2,0),"-")</f>
        <v>Sales</v>
      </c>
      <c r="Z210" s="47" t="str">
        <f ca="1">IFERROR(VLOOKUP(A210,catalogo!$E:$G,3,0),"-")</f>
        <v>Update de casetas: regreso desde comida Onest</v>
      </c>
      <c r="AA210" s="48"/>
      <c r="AB210" s="48"/>
      <c r="AC210" s="48" t="str">
        <f ca="1">IFERROR(VLOOKUP(A210,catalogo!$E:$H,4,0),"-")</f>
        <v>NA</v>
      </c>
      <c r="AD210" s="48"/>
      <c r="AE210" s="48"/>
      <c r="AF210" s="48"/>
      <c r="AG210" s="48"/>
      <c r="AH210" s="48"/>
      <c r="AI210" s="48"/>
    </row>
    <row r="211" spans="1:35" ht="12.5" hidden="1">
      <c r="A211" s="37" t="s">
        <v>614</v>
      </c>
      <c r="B211" s="38" t="str">
        <f>IFERROR(VLOOKUP(J211,catalogo!$B$1:$C$100,2,0),"-")</f>
        <v>#26</v>
      </c>
      <c r="C211" s="39">
        <v>46060.416666666664</v>
      </c>
      <c r="D211" s="17"/>
      <c r="E211" s="17"/>
      <c r="F211" s="17"/>
      <c r="G211" s="42">
        <v>179.45</v>
      </c>
      <c r="H211" s="42">
        <v>179.45</v>
      </c>
      <c r="I211" s="43" t="s">
        <v>156</v>
      </c>
      <c r="J211" s="43" t="s">
        <v>67</v>
      </c>
      <c r="K211" s="43" t="s">
        <v>180</v>
      </c>
      <c r="L211" s="44" t="s">
        <v>181</v>
      </c>
      <c r="M211" s="44">
        <v>8061</v>
      </c>
      <c r="N211" s="44" t="s">
        <v>167</v>
      </c>
      <c r="O211" s="17"/>
      <c r="P211" s="17"/>
      <c r="Q211" s="17"/>
      <c r="R211" s="17"/>
      <c r="S211" s="17"/>
      <c r="T211" s="17"/>
      <c r="U211" s="17"/>
      <c r="V211" s="17"/>
      <c r="W211" s="17"/>
      <c r="X211" s="17"/>
      <c r="Y211" s="46" t="str">
        <f ca="1">IFERROR(VLOOKUP(A211,catalogo!$E:$H,2,0),"-")</f>
        <v>-</v>
      </c>
      <c r="Z211" s="47" t="str">
        <f ca="1">IFERROR(VLOOKUP(A211,catalogo!$E:$G,3,0),"-")</f>
        <v>-</v>
      </c>
      <c r="AA211" s="48"/>
      <c r="AB211" s="48"/>
      <c r="AC211" s="48" t="str">
        <f ca="1">IFERROR(VLOOKUP(A211,catalogo!$E:$H,4,0),"-")</f>
        <v>-</v>
      </c>
      <c r="AD211" s="48"/>
      <c r="AE211" s="48"/>
      <c r="AF211" s="48"/>
      <c r="AG211" s="48"/>
      <c r="AH211" s="48"/>
      <c r="AI211" s="48"/>
    </row>
    <row r="212" spans="1:35" ht="12.5" hidden="1">
      <c r="A212" s="37" t="s">
        <v>427</v>
      </c>
      <c r="B212" s="38" t="str">
        <f>IFERROR(VLOOKUP(J212,catalogo!$B$1:$C$75,2,0),"-")</f>
        <v>#26</v>
      </c>
      <c r="C212" s="39">
        <v>46060.416666666664</v>
      </c>
      <c r="D212" s="52"/>
      <c r="E212" s="17"/>
      <c r="F212" s="17"/>
      <c r="G212" s="42">
        <v>109.06</v>
      </c>
      <c r="H212" s="42">
        <v>109.06</v>
      </c>
      <c r="I212" s="43" t="s">
        <v>156</v>
      </c>
      <c r="J212" s="43" t="s">
        <v>67</v>
      </c>
      <c r="K212" s="43" t="s">
        <v>232</v>
      </c>
      <c r="L212" s="44" t="s">
        <v>233</v>
      </c>
      <c r="M212" s="45">
        <v>8061</v>
      </c>
      <c r="N212" s="44" t="s">
        <v>167</v>
      </c>
      <c r="O212" s="17"/>
      <c r="P212" s="17"/>
      <c r="Q212" s="17"/>
      <c r="R212" s="17"/>
      <c r="S212" s="17"/>
      <c r="T212" s="17"/>
      <c r="U212" s="17"/>
      <c r="V212" s="17"/>
      <c r="W212" s="17"/>
      <c r="X212" s="17"/>
      <c r="Y212" s="46" t="str">
        <f ca="1">IFERROR(VLOOKUP(A212,catalogo!$E:$H,2,0),"-")</f>
        <v>-</v>
      </c>
      <c r="Z212" s="47" t="str">
        <f ca="1">IFERROR(VLOOKUP(A212,catalogo!$E:$G,3,0),"-")</f>
        <v>-</v>
      </c>
      <c r="AA212" s="48"/>
      <c r="AB212" s="48"/>
      <c r="AC212" s="48" t="str">
        <f ca="1">IFERROR(VLOOKUP(A212,catalogo!$E:$H,4,0),"-")</f>
        <v>-</v>
      </c>
      <c r="AD212" s="48"/>
      <c r="AE212" s="48"/>
      <c r="AF212" s="48"/>
      <c r="AG212" s="48"/>
      <c r="AH212" s="48"/>
      <c r="AI212" s="48"/>
    </row>
    <row r="213" spans="1:35" ht="12.5" hidden="1">
      <c r="A213" s="37" t="s">
        <v>178</v>
      </c>
      <c r="B213" s="38" t="str">
        <f>IFERROR(VLOOKUP(J213,catalogo!$B$1:$C$75,2,0),"-")</f>
        <v>-</v>
      </c>
      <c r="C213" s="39">
        <v>46060.416666666664</v>
      </c>
      <c r="D213" s="17"/>
      <c r="E213" s="17"/>
      <c r="F213" s="17"/>
      <c r="G213" s="42">
        <v>53.54</v>
      </c>
      <c r="H213" s="42">
        <v>53.54</v>
      </c>
      <c r="I213" s="43" t="s">
        <v>156</v>
      </c>
      <c r="J213" s="43" t="s">
        <v>493</v>
      </c>
      <c r="K213" s="43" t="s">
        <v>232</v>
      </c>
      <c r="L213" s="44" t="s">
        <v>233</v>
      </c>
      <c r="M213" s="45" t="s">
        <v>615</v>
      </c>
      <c r="N213" s="44" t="s">
        <v>144</v>
      </c>
      <c r="O213" s="17"/>
      <c r="P213" s="17"/>
      <c r="Q213" s="17"/>
      <c r="R213" s="17"/>
      <c r="S213" s="17"/>
      <c r="T213" s="17"/>
      <c r="U213" s="17"/>
      <c r="V213" s="17"/>
      <c r="W213" s="17"/>
      <c r="X213" s="17"/>
      <c r="Y213" s="46" t="str">
        <f ca="1">IFERROR(VLOOKUP(A213,catalogo!$E:$H,2,0),"-")</f>
        <v>-</v>
      </c>
      <c r="Z213" s="47" t="str">
        <f ca="1">IFERROR(VLOOKUP(A213,catalogo!$E:$G,3,0),"-")</f>
        <v>-</v>
      </c>
      <c r="AA213" s="48"/>
      <c r="AB213" s="48"/>
      <c r="AC213" s="48" t="str">
        <f ca="1">IFERROR(VLOOKUP(A213,catalogo!$E:$H,4,0),"-")</f>
        <v>-</v>
      </c>
      <c r="AD213" s="48"/>
      <c r="AE213" s="48"/>
      <c r="AF213" s="48"/>
      <c r="AG213" s="48"/>
      <c r="AH213" s="48"/>
      <c r="AI213" s="48"/>
    </row>
    <row r="214" spans="1:35" ht="12.5" hidden="1">
      <c r="A214" s="37" t="s">
        <v>616</v>
      </c>
      <c r="B214" s="38" t="str">
        <f>IFERROR(VLOOKUP(J214,catalogo!$B$1:$C$100,2,0),"-")</f>
        <v>-</v>
      </c>
      <c r="C214" s="39">
        <v>46060.416666666664</v>
      </c>
      <c r="D214" s="17"/>
      <c r="E214" s="17"/>
      <c r="F214" s="17"/>
      <c r="G214" s="42">
        <v>227.72</v>
      </c>
      <c r="H214" s="42">
        <v>227.72</v>
      </c>
      <c r="I214" s="43" t="s">
        <v>156</v>
      </c>
      <c r="J214" s="43" t="s">
        <v>493</v>
      </c>
      <c r="K214" s="43" t="s">
        <v>232</v>
      </c>
      <c r="L214" s="44" t="s">
        <v>233</v>
      </c>
      <c r="M214" s="45" t="s">
        <v>615</v>
      </c>
      <c r="N214" s="44" t="s">
        <v>144</v>
      </c>
      <c r="O214" s="17"/>
      <c r="P214" s="17"/>
      <c r="Q214" s="17"/>
      <c r="R214" s="17"/>
      <c r="S214" s="17"/>
      <c r="T214" s="17"/>
      <c r="U214" s="17"/>
      <c r="V214" s="17"/>
      <c r="W214" s="17"/>
      <c r="X214" s="17"/>
      <c r="Y214" s="46" t="str">
        <f ca="1">IFERROR(VLOOKUP(A214,catalogo!$E:$G,2,0),"-")</f>
        <v>-</v>
      </c>
      <c r="Z214" s="47" t="str">
        <f ca="1">IFERROR(VLOOKUP(A214,catalogo!$E:$G,3,0),"-")</f>
        <v>-</v>
      </c>
      <c r="AA214" s="48"/>
      <c r="AB214" s="48"/>
      <c r="AC214" s="48" t="str">
        <f ca="1">IFERROR(VLOOKUP(A214,catalogo!$E:$H,4,0),"-")</f>
        <v>-</v>
      </c>
      <c r="AD214" s="48"/>
      <c r="AE214" s="48"/>
      <c r="AF214" s="48"/>
      <c r="AG214" s="48"/>
      <c r="AH214" s="48"/>
      <c r="AI214" s="48"/>
    </row>
    <row r="215" spans="1:35" ht="12.5" hidden="1">
      <c r="A215" s="37" t="s">
        <v>617</v>
      </c>
      <c r="B215" s="38" t="str">
        <f>IFERROR(VLOOKUP(J215,catalogo!$B$1:$C$100,2,0),"-")</f>
        <v>#74</v>
      </c>
      <c r="C215" s="39">
        <v>46060.416666666664</v>
      </c>
      <c r="D215" s="17"/>
      <c r="E215" s="17"/>
      <c r="F215" s="17"/>
      <c r="G215" s="42">
        <v>265.3</v>
      </c>
      <c r="H215" s="42">
        <v>265.3</v>
      </c>
      <c r="I215" s="43" t="s">
        <v>156</v>
      </c>
      <c r="J215" s="43" t="s">
        <v>286</v>
      </c>
      <c r="K215" s="43" t="s">
        <v>284</v>
      </c>
      <c r="L215" s="44" t="s">
        <v>233</v>
      </c>
      <c r="M215" s="45">
        <v>5481</v>
      </c>
      <c r="N215" s="44" t="s">
        <v>167</v>
      </c>
      <c r="O215" s="17"/>
      <c r="P215" s="17"/>
      <c r="Q215" s="17"/>
      <c r="R215" s="17"/>
      <c r="S215" s="17"/>
      <c r="T215" s="17"/>
      <c r="U215" s="17"/>
      <c r="V215" s="17"/>
      <c r="W215" s="17"/>
      <c r="X215" s="17"/>
      <c r="Y215" s="46" t="str">
        <f ca="1">IFERROR(VLOOKUP(A215,catalogo!$E:$G,2,0),"-")</f>
        <v>-</v>
      </c>
      <c r="Z215" s="47" t="str">
        <f ca="1">IFERROR(VLOOKUP(A215,catalogo!$E:$G,3,0),"-")</f>
        <v>-</v>
      </c>
      <c r="AA215" s="48"/>
      <c r="AB215" s="48"/>
      <c r="AC215" s="48" t="str">
        <f ca="1">IFERROR(VLOOKUP(A215,catalogo!$E:$H,4,0),"-")</f>
        <v>-</v>
      </c>
      <c r="AD215" s="48"/>
      <c r="AE215" s="48"/>
      <c r="AF215" s="48"/>
      <c r="AG215" s="48"/>
      <c r="AH215" s="48"/>
      <c r="AI215" s="48"/>
    </row>
    <row r="216" spans="1:35" ht="12.5" hidden="1">
      <c r="A216" s="37" t="s">
        <v>618</v>
      </c>
      <c r="B216" s="38" t="str">
        <f>IFERROR(VLOOKUP(J216,catalogo!$B$1:$C$75,2,0),"-")</f>
        <v>#74</v>
      </c>
      <c r="C216" s="39">
        <v>46060.416666666664</v>
      </c>
      <c r="D216" s="40"/>
      <c r="E216" s="41"/>
      <c r="F216" s="41"/>
      <c r="G216" s="42">
        <v>324.97000000000003</v>
      </c>
      <c r="H216" s="42">
        <v>324.97000000000003</v>
      </c>
      <c r="I216" s="43" t="s">
        <v>156</v>
      </c>
      <c r="J216" s="43" t="s">
        <v>286</v>
      </c>
      <c r="K216" s="43" t="s">
        <v>284</v>
      </c>
      <c r="L216" s="44" t="s">
        <v>233</v>
      </c>
      <c r="M216" s="44">
        <v>5481</v>
      </c>
      <c r="N216" s="44" t="s">
        <v>167</v>
      </c>
      <c r="O216" s="41"/>
      <c r="P216" s="41"/>
      <c r="Q216" s="41"/>
      <c r="R216" s="41"/>
      <c r="S216" s="41"/>
      <c r="T216" s="41"/>
      <c r="U216" s="41"/>
      <c r="V216" s="41"/>
      <c r="W216" s="41"/>
      <c r="X216" s="41"/>
      <c r="Y216" s="46" t="str">
        <f ca="1">IFERROR(VLOOKUP(A216,catalogo!$E:$H,2,0),"-")</f>
        <v>-</v>
      </c>
      <c r="Z216" s="47" t="str">
        <f ca="1">IFERROR(VLOOKUP(A216,catalogo!$E:$G,3,0),"-")</f>
        <v>-</v>
      </c>
      <c r="AA216" s="48"/>
      <c r="AB216" s="48"/>
      <c r="AC216" s="48" t="str">
        <f ca="1">IFERROR(VLOOKUP(A216,catalogo!$E:$H,4,0),"-")</f>
        <v>-</v>
      </c>
      <c r="AD216" s="48"/>
      <c r="AE216" s="48"/>
      <c r="AF216" s="48"/>
      <c r="AG216" s="48"/>
      <c r="AH216" s="48"/>
      <c r="AI216" s="48"/>
    </row>
    <row r="217" spans="1:35" ht="12.5" hidden="1">
      <c r="A217" s="37" t="s">
        <v>619</v>
      </c>
      <c r="B217" s="38" t="str">
        <f>IFERROR(VLOOKUP(J217,catalogo!$B$1:$C$70,2,0),"-")</f>
        <v>#34</v>
      </c>
      <c r="C217" s="39">
        <v>46060.416666666664</v>
      </c>
      <c r="D217" s="17"/>
      <c r="E217" s="17"/>
      <c r="F217" s="17"/>
      <c r="G217" s="42">
        <v>466.07</v>
      </c>
      <c r="H217" s="42">
        <v>466.07</v>
      </c>
      <c r="I217" s="43" t="s">
        <v>156</v>
      </c>
      <c r="J217" s="43" t="s">
        <v>116</v>
      </c>
      <c r="K217" s="43" t="s">
        <v>180</v>
      </c>
      <c r="L217" s="44" t="s">
        <v>181</v>
      </c>
      <c r="M217" s="44">
        <v>333</v>
      </c>
      <c r="N217" s="44" t="s">
        <v>167</v>
      </c>
      <c r="O217" s="17"/>
      <c r="P217" s="17"/>
      <c r="Q217" s="17"/>
      <c r="R217" s="17"/>
      <c r="S217" s="17"/>
      <c r="T217" s="17"/>
      <c r="U217" s="17"/>
      <c r="V217" s="17"/>
      <c r="W217" s="17"/>
      <c r="X217" s="17"/>
      <c r="Y217" s="46" t="str">
        <f ca="1">IFERROR(VLOOKUP(A217,catalogo!$E:$G,2,0),"-")</f>
        <v>-</v>
      </c>
      <c r="Z217" s="47" t="str">
        <f ca="1">IFERROR(VLOOKUP(A217,catalogo!$E:$G,3,0),"-")</f>
        <v>-</v>
      </c>
      <c r="AA217" s="48"/>
      <c r="AB217" s="48"/>
      <c r="AC217" s="48" t="str">
        <f ca="1">IFERROR(VLOOKUP(A217,catalogo!$E:$H,4,0),"-")</f>
        <v>-</v>
      </c>
      <c r="AD217" s="48"/>
      <c r="AE217" s="48"/>
      <c r="AF217" s="48"/>
      <c r="AG217" s="48"/>
      <c r="AH217" s="48"/>
      <c r="AI217" s="48"/>
    </row>
    <row r="218" spans="1:35" ht="12.5" hidden="1">
      <c r="A218" s="37" t="s">
        <v>620</v>
      </c>
      <c r="B218" s="38" t="str">
        <f>IFERROR(VLOOKUP(J218,catalogo!$B$1:$C$80,2,0),"-")</f>
        <v>#56</v>
      </c>
      <c r="C218" s="39">
        <v>46060.416666666664</v>
      </c>
      <c r="D218" s="17"/>
      <c r="E218" s="17"/>
      <c r="F218" s="17"/>
      <c r="G218" s="42">
        <v>113</v>
      </c>
      <c r="H218" s="42">
        <v>113</v>
      </c>
      <c r="I218" s="43" t="s">
        <v>156</v>
      </c>
      <c r="J218" s="43" t="s">
        <v>99</v>
      </c>
      <c r="K218" s="43" t="s">
        <v>359</v>
      </c>
      <c r="L218" s="44" t="s">
        <v>336</v>
      </c>
      <c r="M218" s="44">
        <v>8949</v>
      </c>
      <c r="N218" s="44" t="s">
        <v>167</v>
      </c>
      <c r="O218" s="17"/>
      <c r="P218" s="17"/>
      <c r="Q218" s="17"/>
      <c r="R218" s="17"/>
      <c r="S218" s="17"/>
      <c r="T218" s="17"/>
      <c r="U218" s="17"/>
      <c r="V218" s="17"/>
      <c r="W218" s="17"/>
      <c r="X218" s="17"/>
      <c r="Y218" s="46" t="str">
        <f ca="1">IFERROR(VLOOKUP(A218,catalogo!$E:$G,2,0),"-")</f>
        <v>-</v>
      </c>
      <c r="Z218" s="47" t="str">
        <f ca="1">IFERROR(VLOOKUP(A218,catalogo!$E:$G,3,0),"-")</f>
        <v>-</v>
      </c>
      <c r="AA218" s="48"/>
      <c r="AB218" s="48"/>
      <c r="AC218" s="48" t="str">
        <f ca="1">IFERROR(VLOOKUP(A218,catalogo!$E:$H,4,0),"-")</f>
        <v>-</v>
      </c>
      <c r="AD218" s="48"/>
      <c r="AE218" s="48"/>
      <c r="AF218" s="48"/>
      <c r="AG218" s="48"/>
      <c r="AH218" s="48"/>
      <c r="AI218" s="48"/>
    </row>
    <row r="219" spans="1:35" ht="12.5" hidden="1">
      <c r="A219" s="37" t="s">
        <v>621</v>
      </c>
      <c r="B219" s="38" t="str">
        <f>IFERROR(VLOOKUP(J219,catalogo!$B$1:$C$70,2,0),"-")</f>
        <v>#68</v>
      </c>
      <c r="C219" s="39">
        <v>46060.416666666664</v>
      </c>
      <c r="D219" s="17"/>
      <c r="E219" s="17"/>
      <c r="F219" s="17"/>
      <c r="G219" s="42">
        <v>600</v>
      </c>
      <c r="H219" s="42">
        <v>600</v>
      </c>
      <c r="I219" s="43" t="s">
        <v>156</v>
      </c>
      <c r="J219" s="43" t="s">
        <v>384</v>
      </c>
      <c r="K219" s="43" t="s">
        <v>622</v>
      </c>
      <c r="L219" s="44" t="s">
        <v>623</v>
      </c>
      <c r="M219" s="45">
        <v>2937</v>
      </c>
      <c r="N219" s="44" t="s">
        <v>167</v>
      </c>
      <c r="O219" s="17"/>
      <c r="P219" s="17"/>
      <c r="Q219" s="17"/>
      <c r="R219" s="17"/>
      <c r="S219" s="17"/>
      <c r="T219" s="17"/>
      <c r="U219" s="17"/>
      <c r="V219" s="17"/>
      <c r="W219" s="17"/>
      <c r="X219" s="17"/>
      <c r="Y219" s="46" t="str">
        <f ca="1">IFERROR(VLOOKUP(A219,catalogo!$E:$G,2,0),"-")</f>
        <v>-</v>
      </c>
      <c r="Z219" s="47" t="str">
        <f ca="1">IFERROR(VLOOKUP(A219,catalogo!$E:$G,3,0),"-")</f>
        <v>-</v>
      </c>
      <c r="AA219" s="48"/>
      <c r="AB219" s="48"/>
      <c r="AC219" s="48" t="str">
        <f ca="1">IFERROR(VLOOKUP(A219,catalogo!$E:$H,4,0),"-")</f>
        <v>-</v>
      </c>
      <c r="AD219" s="48"/>
      <c r="AE219" s="48"/>
      <c r="AF219" s="48"/>
      <c r="AG219" s="48"/>
      <c r="AH219" s="48"/>
      <c r="AI219" s="48"/>
    </row>
    <row r="220" spans="1:35" ht="12.5" hidden="1">
      <c r="A220" s="37" t="s">
        <v>624</v>
      </c>
      <c r="B220" s="38" t="str">
        <f>IFERROR(VLOOKUP(J220,catalogo!$B$1:$C$100,2,0),"-")</f>
        <v>-</v>
      </c>
      <c r="C220" s="39">
        <v>46060.416666666664</v>
      </c>
      <c r="D220" s="17"/>
      <c r="E220" s="17"/>
      <c r="F220" s="17"/>
      <c r="G220" s="42">
        <v>382.95</v>
      </c>
      <c r="H220" s="42">
        <v>382.95</v>
      </c>
      <c r="I220" s="43" t="s">
        <v>156</v>
      </c>
      <c r="J220" s="43" t="s">
        <v>493</v>
      </c>
      <c r="K220" s="43" t="s">
        <v>625</v>
      </c>
      <c r="L220" s="44" t="s">
        <v>626</v>
      </c>
      <c r="M220" s="44">
        <v>4682</v>
      </c>
      <c r="N220" s="44" t="s">
        <v>167</v>
      </c>
      <c r="O220" s="17"/>
      <c r="P220" s="17"/>
      <c r="Q220" s="17"/>
      <c r="R220" s="17"/>
      <c r="S220" s="17"/>
      <c r="T220" s="17"/>
      <c r="U220" s="17"/>
      <c r="V220" s="17"/>
      <c r="W220" s="17"/>
      <c r="X220" s="17"/>
      <c r="Y220" s="46" t="str">
        <f ca="1">IFERROR(VLOOKUP(A220,catalogo!$E:$H,2,0),"-")</f>
        <v>-</v>
      </c>
      <c r="Z220" s="47" t="str">
        <f ca="1">IFERROR(VLOOKUP(A220,catalogo!$E:$G,3,0),"-")</f>
        <v>-</v>
      </c>
      <c r="AA220" s="48"/>
      <c r="AB220" s="48"/>
      <c r="AC220" s="48" t="str">
        <f ca="1">IFERROR(VLOOKUP(A220,catalogo!$E:$H,4,0),"-")</f>
        <v>-</v>
      </c>
      <c r="AD220" s="48"/>
      <c r="AE220" s="48"/>
      <c r="AF220" s="48"/>
      <c r="AG220" s="48"/>
      <c r="AH220" s="48"/>
      <c r="AI220" s="48"/>
    </row>
    <row r="221" spans="1:35" ht="15.5" hidden="1">
      <c r="A221" s="37" t="s">
        <v>627</v>
      </c>
      <c r="B221" s="38" t="str">
        <f>IFERROR(VLOOKUP(J221,catalogo!$B$1:$C$100,2,0),"-")</f>
        <v>#6</v>
      </c>
      <c r="C221" s="39">
        <v>46060.416666666664</v>
      </c>
      <c r="D221" s="17"/>
      <c r="E221" s="17"/>
      <c r="F221" s="17"/>
      <c r="G221" s="42">
        <v>2216.15</v>
      </c>
      <c r="H221" s="42">
        <v>2216.15</v>
      </c>
      <c r="I221" s="43" t="s">
        <v>156</v>
      </c>
      <c r="J221" s="43" t="s">
        <v>114</v>
      </c>
      <c r="K221" s="43" t="s">
        <v>628</v>
      </c>
      <c r="L221" s="44" t="s">
        <v>629</v>
      </c>
      <c r="M221" s="44">
        <v>3893</v>
      </c>
      <c r="N221" s="44" t="s">
        <v>167</v>
      </c>
      <c r="O221" s="49"/>
      <c r="P221" s="17"/>
      <c r="Q221" s="17"/>
      <c r="R221" s="17"/>
      <c r="S221" s="17"/>
      <c r="T221" s="17"/>
      <c r="U221" s="17"/>
      <c r="V221" s="17"/>
      <c r="W221" s="17"/>
      <c r="X221" s="17"/>
      <c r="Y221" s="46" t="str">
        <f ca="1">IFERROR(VLOOKUP(A221,catalogo!$E:$H,2,0),"-")</f>
        <v>Transaction cost</v>
      </c>
      <c r="Z221" s="47" t="str">
        <f ca="1">IFERROR(VLOOKUP(A221,catalogo!$E:$G,3,0),"-")</f>
        <v xml:space="preserve">Recolección Fer Marcelo </v>
      </c>
      <c r="AA221" s="48"/>
      <c r="AB221" s="48"/>
      <c r="AC221" s="48">
        <f ca="1">IFERROR(VLOOKUP(A221,catalogo!$E:$H,4,0),"-")</f>
        <v>0</v>
      </c>
      <c r="AD221" s="48"/>
      <c r="AE221" s="48"/>
      <c r="AF221" s="48"/>
      <c r="AG221" s="48"/>
      <c r="AH221" s="48"/>
      <c r="AI221" s="48"/>
    </row>
    <row r="222" spans="1:35" ht="15.5" hidden="1">
      <c r="A222" s="37" t="s">
        <v>630</v>
      </c>
      <c r="B222" s="38" t="str">
        <f>IFERROR(VLOOKUP(J222,catalogo!$B$1:$C$75,2,0),"-")</f>
        <v>-</v>
      </c>
      <c r="C222" s="39">
        <v>46060.416666666664</v>
      </c>
      <c r="D222" s="17"/>
      <c r="E222" s="17"/>
      <c r="F222" s="17"/>
      <c r="G222" s="42">
        <v>316.25</v>
      </c>
      <c r="H222" s="42">
        <v>316.25</v>
      </c>
      <c r="I222" s="43" t="s">
        <v>156</v>
      </c>
      <c r="J222" s="43" t="s">
        <v>493</v>
      </c>
      <c r="K222" s="43" t="s">
        <v>631</v>
      </c>
      <c r="L222" s="44" t="s">
        <v>632</v>
      </c>
      <c r="M222" s="45">
        <v>4682</v>
      </c>
      <c r="N222" s="44" t="s">
        <v>167</v>
      </c>
      <c r="O222" s="49"/>
      <c r="P222" s="17"/>
      <c r="Q222" s="17"/>
      <c r="R222" s="17"/>
      <c r="S222" s="17"/>
      <c r="T222" s="17"/>
      <c r="U222" s="17"/>
      <c r="V222" s="17"/>
      <c r="W222" s="17"/>
      <c r="X222" s="17"/>
      <c r="Y222" s="46" t="str">
        <f ca="1">IFERROR(VLOOKUP(A222,catalogo!$E:$H,2,0),"-")</f>
        <v>-</v>
      </c>
      <c r="Z222" s="47" t="str">
        <f ca="1">IFERROR(VLOOKUP(A222,catalogo!$E:$G,3,0),"-")</f>
        <v>-</v>
      </c>
      <c r="AA222" s="48"/>
      <c r="AB222" s="48"/>
      <c r="AC222" s="48" t="str">
        <f ca="1">IFERROR(VLOOKUP(A222,catalogo!$E:$H,4,0),"-")</f>
        <v>-</v>
      </c>
      <c r="AD222" s="48"/>
      <c r="AE222" s="48"/>
      <c r="AF222" s="48"/>
      <c r="AG222" s="48"/>
      <c r="AH222" s="48"/>
      <c r="AI222" s="48"/>
    </row>
    <row r="223" spans="1:35" ht="15.5" hidden="1">
      <c r="A223" s="37" t="s">
        <v>633</v>
      </c>
      <c r="B223" s="38" t="str">
        <f>IFERROR(VLOOKUP(J223,catalogo!$B$1:$C$75,2,0),"-")</f>
        <v>-</v>
      </c>
      <c r="C223" s="39">
        <v>46060.416666666664</v>
      </c>
      <c r="D223" s="17"/>
      <c r="E223" s="17"/>
      <c r="F223" s="17"/>
      <c r="G223" s="42">
        <v>1059.9000000000001</v>
      </c>
      <c r="H223" s="42">
        <v>1059.9000000000001</v>
      </c>
      <c r="I223" s="43" t="s">
        <v>156</v>
      </c>
      <c r="J223" s="43" t="s">
        <v>269</v>
      </c>
      <c r="K223" s="43" t="s">
        <v>634</v>
      </c>
      <c r="L223" s="44" t="s">
        <v>317</v>
      </c>
      <c r="M223" s="44" t="s">
        <v>270</v>
      </c>
      <c r="N223" s="44" t="s">
        <v>144</v>
      </c>
      <c r="O223" s="49"/>
      <c r="P223" s="17"/>
      <c r="Q223" s="17"/>
      <c r="R223" s="17"/>
      <c r="S223" s="17"/>
      <c r="T223" s="17"/>
      <c r="U223" s="17"/>
      <c r="V223" s="17"/>
      <c r="W223" s="17"/>
      <c r="X223" s="17"/>
      <c r="Y223" s="46" t="str">
        <f ca="1">IFERROR(VLOOKUP(A223,catalogo!$E:$H,2,0),"-")</f>
        <v>-</v>
      </c>
      <c r="Z223" s="47" t="str">
        <f ca="1">IFERROR(VLOOKUP(A223,catalogo!$E:$G,3,0),"-")</f>
        <v>-</v>
      </c>
      <c r="AA223" s="48"/>
      <c r="AB223" s="48"/>
      <c r="AC223" s="48" t="str">
        <f ca="1">IFERROR(VLOOKUP(A223,catalogo!$E:$H,4,0),"-")</f>
        <v>-</v>
      </c>
      <c r="AD223" s="48"/>
      <c r="AE223" s="48"/>
      <c r="AF223" s="48"/>
      <c r="AG223" s="48"/>
      <c r="AH223" s="48"/>
      <c r="AI223" s="48"/>
    </row>
    <row r="224" spans="1:35" ht="15.5" hidden="1">
      <c r="A224" s="37" t="s">
        <v>635</v>
      </c>
      <c r="B224" s="38" t="str">
        <f>IFERROR(VLOOKUP(J224,catalogo!$B$1:$C$75,2,0),"-")</f>
        <v>#6</v>
      </c>
      <c r="C224" s="39">
        <v>46060.416666666664</v>
      </c>
      <c r="D224" s="17"/>
      <c r="E224" s="17"/>
      <c r="F224" s="17"/>
      <c r="G224" s="42">
        <v>248</v>
      </c>
      <c r="H224" s="42">
        <v>248</v>
      </c>
      <c r="I224" s="43" t="s">
        <v>156</v>
      </c>
      <c r="J224" s="43" t="s">
        <v>114</v>
      </c>
      <c r="K224" s="43" t="s">
        <v>636</v>
      </c>
      <c r="L224" s="44" t="s">
        <v>637</v>
      </c>
      <c r="M224" s="44">
        <v>3893</v>
      </c>
      <c r="N224" s="44" t="s">
        <v>167</v>
      </c>
      <c r="O224" s="49"/>
      <c r="P224" s="17"/>
      <c r="Q224" s="17"/>
      <c r="R224" s="17"/>
      <c r="S224" s="17"/>
      <c r="T224" s="17"/>
      <c r="U224" s="17"/>
      <c r="V224" s="17"/>
      <c r="W224" s="17"/>
      <c r="X224" s="17"/>
      <c r="Y224" s="46" t="str">
        <f ca="1">IFERROR(VLOOKUP(A224,catalogo!$E:$H,2,0),"-")</f>
        <v>Transaction cost</v>
      </c>
      <c r="Z224" s="47" t="str">
        <f ca="1">IFERROR(VLOOKUP(A224,catalogo!$E:$G,3,0),"-")</f>
        <v>Gasolina recolección Fer Marcelo</v>
      </c>
      <c r="AA224" s="48"/>
      <c r="AB224" s="48"/>
      <c r="AC224" s="48">
        <f ca="1">IFERROR(VLOOKUP(A224,catalogo!$E:$H,4,0),"-")</f>
        <v>0</v>
      </c>
      <c r="AD224" s="48"/>
      <c r="AE224" s="48"/>
      <c r="AF224" s="48"/>
      <c r="AG224" s="48"/>
      <c r="AH224" s="48"/>
      <c r="AI224" s="48"/>
    </row>
    <row r="225" spans="1:35" ht="15.5" hidden="1">
      <c r="A225" s="37" t="s">
        <v>638</v>
      </c>
      <c r="B225" s="38" t="str">
        <f>IFERROR(VLOOKUP(J225,catalogo!$B$1:$C$75,2,0),"-")</f>
        <v>-</v>
      </c>
      <c r="C225" s="39">
        <v>46060.416666666664</v>
      </c>
      <c r="D225" s="17"/>
      <c r="E225" s="17"/>
      <c r="F225" s="17"/>
      <c r="G225" s="42">
        <v>69</v>
      </c>
      <c r="H225" s="42">
        <v>69</v>
      </c>
      <c r="I225" s="43" t="s">
        <v>156</v>
      </c>
      <c r="J225" s="43" t="s">
        <v>493</v>
      </c>
      <c r="K225" s="43" t="s">
        <v>625</v>
      </c>
      <c r="L225" s="44" t="s">
        <v>626</v>
      </c>
      <c r="M225" s="45">
        <v>4682</v>
      </c>
      <c r="N225" s="44" t="s">
        <v>167</v>
      </c>
      <c r="O225" s="49"/>
      <c r="P225" s="17"/>
      <c r="Q225" s="17"/>
      <c r="R225" s="17"/>
      <c r="S225" s="17"/>
      <c r="T225" s="17"/>
      <c r="U225" s="17"/>
      <c r="V225" s="17"/>
      <c r="W225" s="17"/>
      <c r="X225" s="17"/>
      <c r="Y225" s="46" t="str">
        <f ca="1">IFERROR(VLOOKUP(A225,catalogo!$E:$H,2,0),"-")</f>
        <v>-</v>
      </c>
      <c r="Z225" s="47" t="str">
        <f ca="1">IFERROR(VLOOKUP(A225,catalogo!$E:$G,3,0),"-")</f>
        <v>-</v>
      </c>
      <c r="AA225" s="48"/>
      <c r="AB225" s="48"/>
      <c r="AC225" s="48" t="str">
        <f ca="1">IFERROR(VLOOKUP(A225,catalogo!$E:$H,4,0),"-")</f>
        <v>-</v>
      </c>
      <c r="AD225" s="48"/>
      <c r="AE225" s="48"/>
      <c r="AF225" s="48"/>
      <c r="AG225" s="48"/>
      <c r="AH225" s="48"/>
      <c r="AI225" s="48"/>
    </row>
    <row r="226" spans="1:35" ht="15.5" hidden="1">
      <c r="A226" s="37" t="s">
        <v>639</v>
      </c>
      <c r="B226" s="38" t="str">
        <f>IFERROR(VLOOKUP(J226,catalogo!$B$1:$C$75,2,0),"-")</f>
        <v>#9</v>
      </c>
      <c r="C226" s="39">
        <v>46060.416666666664</v>
      </c>
      <c r="D226" s="17"/>
      <c r="E226" s="17"/>
      <c r="F226" s="17"/>
      <c r="G226" s="42">
        <v>510</v>
      </c>
      <c r="H226" s="42">
        <v>510</v>
      </c>
      <c r="I226" s="43" t="s">
        <v>156</v>
      </c>
      <c r="J226" s="43" t="s">
        <v>134</v>
      </c>
      <c r="K226" s="43" t="s">
        <v>319</v>
      </c>
      <c r="L226" s="44" t="s">
        <v>317</v>
      </c>
      <c r="M226" s="45">
        <v>1026</v>
      </c>
      <c r="N226" s="44" t="s">
        <v>167</v>
      </c>
      <c r="O226" s="49"/>
      <c r="P226" s="17"/>
      <c r="Q226" s="17"/>
      <c r="R226" s="17"/>
      <c r="S226" s="17"/>
      <c r="T226" s="17"/>
      <c r="U226" s="17"/>
      <c r="V226" s="17"/>
      <c r="W226" s="17"/>
      <c r="X226" s="17"/>
      <c r="Y226" s="46" t="str">
        <f ca="1">IFERROR(VLOOKUP(A226,catalogo!$E:$H,2,0),"-")</f>
        <v>Sales</v>
      </c>
      <c r="Z226" s="47" t="str">
        <f ca="1">IFERROR(VLOOKUP(A226,catalogo!$E:$G,3,0),"-")</f>
        <v xml:space="preserve">TAG </v>
      </c>
      <c r="AA226" s="48"/>
      <c r="AB226" s="48"/>
      <c r="AC226" s="48" t="str">
        <f ca="1">IFERROR(VLOOKUP(A226,catalogo!$E:$H,4,0),"-")</f>
        <v>.</v>
      </c>
      <c r="AD226" s="48"/>
      <c r="AE226" s="48"/>
      <c r="AF226" s="48"/>
      <c r="AG226" s="48"/>
      <c r="AH226" s="48"/>
      <c r="AI226" s="48"/>
    </row>
    <row r="227" spans="1:35" ht="15.5" hidden="1">
      <c r="A227" s="37" t="s">
        <v>640</v>
      </c>
      <c r="B227" s="38" t="str">
        <f>IFERROR(VLOOKUP(J227,catalogo!$B$1:$C$100,2,0),"-")</f>
        <v>#69</v>
      </c>
      <c r="C227" s="39">
        <v>46060.416666666664</v>
      </c>
      <c r="D227" s="17"/>
      <c r="E227" s="17"/>
      <c r="F227" s="17"/>
      <c r="G227" s="42">
        <v>109.81</v>
      </c>
      <c r="H227" s="42">
        <v>109.81</v>
      </c>
      <c r="I227" s="43" t="s">
        <v>156</v>
      </c>
      <c r="J227" s="43" t="s">
        <v>110</v>
      </c>
      <c r="K227" s="43" t="s">
        <v>485</v>
      </c>
      <c r="L227" s="44" t="s">
        <v>233</v>
      </c>
      <c r="M227" s="44" t="s">
        <v>464</v>
      </c>
      <c r="N227" s="44" t="s">
        <v>144</v>
      </c>
      <c r="O227" s="49"/>
      <c r="P227" s="17"/>
      <c r="Q227" s="17"/>
      <c r="R227" s="17"/>
      <c r="S227" s="17"/>
      <c r="T227" s="17"/>
      <c r="U227" s="17"/>
      <c r="V227" s="17"/>
      <c r="W227" s="17"/>
      <c r="X227" s="17"/>
      <c r="Y227" s="46" t="str">
        <f ca="1">IFERROR(VLOOKUP(A227,catalogo!$E:$H,2,0),"-")</f>
        <v>-</v>
      </c>
      <c r="Z227" s="47" t="str">
        <f ca="1">IFERROR(VLOOKUP(A227,catalogo!$E:$G,3,0),"-")</f>
        <v>-</v>
      </c>
      <c r="AA227" s="48"/>
      <c r="AB227" s="48"/>
      <c r="AC227" s="48" t="str">
        <f ca="1">IFERROR(VLOOKUP(A227,catalogo!$E:$H,4,0),"-")</f>
        <v>-</v>
      </c>
      <c r="AD227" s="48"/>
      <c r="AE227" s="48"/>
      <c r="AF227" s="48"/>
      <c r="AG227" s="48"/>
      <c r="AH227" s="48"/>
      <c r="AI227" s="48"/>
    </row>
    <row r="228" spans="1:35" ht="12.5" hidden="1">
      <c r="A228" s="37" t="s">
        <v>641</v>
      </c>
      <c r="B228" s="38" t="str">
        <f>IFERROR(VLOOKUP(J228,catalogo!$B$1:$C$75,2,0),"-")</f>
        <v>-</v>
      </c>
      <c r="C228" s="39">
        <v>46060.416666666664</v>
      </c>
      <c r="D228" s="52"/>
      <c r="E228" s="17"/>
      <c r="F228" s="17"/>
      <c r="G228" s="42">
        <v>314</v>
      </c>
      <c r="H228" s="42">
        <v>314</v>
      </c>
      <c r="I228" s="43" t="s">
        <v>156</v>
      </c>
      <c r="J228" s="43" t="s">
        <v>493</v>
      </c>
      <c r="K228" s="43" t="s">
        <v>642</v>
      </c>
      <c r="L228" s="44" t="s">
        <v>643</v>
      </c>
      <c r="M228" s="45">
        <v>4682</v>
      </c>
      <c r="N228" s="44" t="s">
        <v>167</v>
      </c>
      <c r="O228" s="17"/>
      <c r="P228" s="17"/>
      <c r="Q228" s="17"/>
      <c r="R228" s="17"/>
      <c r="S228" s="17"/>
      <c r="T228" s="17"/>
      <c r="U228" s="17"/>
      <c r="V228" s="17"/>
      <c r="W228" s="17"/>
      <c r="X228" s="17"/>
      <c r="Y228" s="46" t="str">
        <f ca="1">IFERROR(VLOOKUP(A228,catalogo!$E:$H,2,0),"-")</f>
        <v>-</v>
      </c>
      <c r="Z228" s="47" t="str">
        <f ca="1">IFERROR(VLOOKUP(A228,catalogo!$E:$G,3,0),"-")</f>
        <v>-</v>
      </c>
      <c r="AA228" s="48"/>
      <c r="AB228" s="48"/>
      <c r="AC228" s="48" t="str">
        <f ca="1">IFERROR(VLOOKUP(A228,catalogo!$E:$H,4,0),"-")</f>
        <v>-</v>
      </c>
      <c r="AD228" s="48"/>
      <c r="AE228" s="48"/>
      <c r="AF228" s="48"/>
      <c r="AG228" s="48"/>
      <c r="AH228" s="48"/>
      <c r="AI228" s="48"/>
    </row>
    <row r="229" spans="1:35" ht="12.5" hidden="1">
      <c r="A229" s="37" t="s">
        <v>501</v>
      </c>
      <c r="B229" s="38" t="str">
        <f>IFERROR(VLOOKUP(J229,catalogo!$B$1:$C$75,2,0),"-")</f>
        <v>#7</v>
      </c>
      <c r="C229" s="39">
        <v>46060.416666666664</v>
      </c>
      <c r="D229" s="52"/>
      <c r="E229" s="17"/>
      <c r="F229" s="17"/>
      <c r="G229" s="42">
        <v>276.69</v>
      </c>
      <c r="H229" s="42">
        <v>276.69</v>
      </c>
      <c r="I229" s="43" t="s">
        <v>156</v>
      </c>
      <c r="J229" s="43" t="s">
        <v>121</v>
      </c>
      <c r="K229" s="43" t="s">
        <v>232</v>
      </c>
      <c r="L229" s="44" t="s">
        <v>233</v>
      </c>
      <c r="M229" s="45" t="s">
        <v>182</v>
      </c>
      <c r="N229" s="44" t="s">
        <v>144</v>
      </c>
      <c r="O229" s="17"/>
      <c r="P229" s="17"/>
      <c r="Q229" s="17"/>
      <c r="R229" s="17"/>
      <c r="S229" s="17"/>
      <c r="T229" s="17"/>
      <c r="U229" s="17"/>
      <c r="V229" s="17"/>
      <c r="W229" s="17"/>
      <c r="X229" s="17"/>
      <c r="Y229" s="46" t="str">
        <f ca="1">IFERROR(VLOOKUP(A229,catalogo!$E:$H,2,0),"-")</f>
        <v>Office expenses</v>
      </c>
      <c r="Z229" s="47" t="str">
        <f ca="1">IFERROR(VLOOKUP(A229,catalogo!$E:$G,3,0),"-")</f>
        <v>Viaje Puebla - Industrias Norm</v>
      </c>
      <c r="AA229" s="48"/>
      <c r="AB229" s="48"/>
      <c r="AC229" s="48" t="str">
        <f ca="1">IFERROR(VLOOKUP(A229,catalogo!$E:$H,4,0),"-")</f>
        <v>.</v>
      </c>
      <c r="AD229" s="48"/>
      <c r="AE229" s="48"/>
      <c r="AF229" s="48"/>
      <c r="AG229" s="48"/>
      <c r="AH229" s="48"/>
      <c r="AI229" s="48"/>
    </row>
    <row r="230" spans="1:35" ht="15.75" hidden="1" customHeight="1">
      <c r="A230" s="37" t="s">
        <v>644</v>
      </c>
      <c r="B230" s="38" t="str">
        <f>IFERROR(VLOOKUP(J230,catalogo!$B$1:$C$75,2,0),"-")</f>
        <v>#66</v>
      </c>
      <c r="C230" s="39">
        <v>46060.416666666664</v>
      </c>
      <c r="D230" s="40"/>
      <c r="E230" s="41"/>
      <c r="F230" s="41"/>
      <c r="G230" s="42">
        <v>295</v>
      </c>
      <c r="H230" s="42">
        <v>295</v>
      </c>
      <c r="I230" s="43" t="s">
        <v>156</v>
      </c>
      <c r="J230" s="43" t="s">
        <v>80</v>
      </c>
      <c r="K230" s="43" t="s">
        <v>645</v>
      </c>
      <c r="L230" s="44" t="s">
        <v>317</v>
      </c>
      <c r="M230" s="44">
        <v>2406</v>
      </c>
      <c r="N230" s="44" t="s">
        <v>167</v>
      </c>
      <c r="O230" s="41"/>
      <c r="P230" s="41"/>
      <c r="Q230" s="41"/>
      <c r="R230" s="41"/>
      <c r="S230" s="41"/>
      <c r="T230" s="41"/>
      <c r="U230" s="41"/>
      <c r="V230" s="41"/>
      <c r="W230" s="41"/>
      <c r="X230" s="41"/>
      <c r="Y230" s="46" t="str">
        <f ca="1">IFERROR(VLOOKUP(A230,catalogo!$E:$H,2,0),"-")</f>
        <v>-</v>
      </c>
      <c r="Z230" s="47" t="str">
        <f ca="1">IFERROR(VLOOKUP(A230,catalogo!$E:$G,3,0),"-")</f>
        <v>-</v>
      </c>
      <c r="AA230" s="48"/>
      <c r="AB230" s="48"/>
      <c r="AC230" s="48" t="str">
        <f ca="1">IFERROR(VLOOKUP(A230,catalogo!$E:$H,4,0),"-")</f>
        <v>-</v>
      </c>
      <c r="AD230" s="48"/>
      <c r="AE230" s="48"/>
      <c r="AF230" s="48"/>
      <c r="AG230" s="48"/>
      <c r="AH230" s="48"/>
      <c r="AI230" s="48"/>
    </row>
    <row r="231" spans="1:35" ht="12.5" hidden="1">
      <c r="A231" s="37" t="s">
        <v>646</v>
      </c>
      <c r="B231" s="38" t="str">
        <f>IFERROR(VLOOKUP(J231,catalogo!$B$1:$C$85,2,0),"-")</f>
        <v>-</v>
      </c>
      <c r="C231" s="39">
        <v>46060.416666666664</v>
      </c>
      <c r="D231" s="17"/>
      <c r="E231" s="17"/>
      <c r="F231" s="17"/>
      <c r="G231" s="42">
        <v>52.28</v>
      </c>
      <c r="H231" s="42">
        <v>52.28</v>
      </c>
      <c r="I231" s="43" t="s">
        <v>156</v>
      </c>
      <c r="J231" s="50" t="s">
        <v>187</v>
      </c>
      <c r="K231" s="43" t="s">
        <v>232</v>
      </c>
      <c r="L231" s="44" t="s">
        <v>233</v>
      </c>
      <c r="M231" s="44" t="s">
        <v>477</v>
      </c>
      <c r="N231" s="44" t="s">
        <v>144</v>
      </c>
      <c r="O231" s="17"/>
      <c r="P231" s="17"/>
      <c r="Q231" s="17"/>
      <c r="R231" s="17"/>
      <c r="S231" s="17"/>
      <c r="T231" s="17"/>
      <c r="U231" s="17"/>
      <c r="V231" s="17"/>
      <c r="W231" s="17"/>
      <c r="X231" s="17"/>
      <c r="Y231" s="46" t="str">
        <f ca="1">IFERROR(VLOOKUP(A231,catalogo!$E:$G,2,0),"-")</f>
        <v>-</v>
      </c>
      <c r="Z231" s="47" t="str">
        <f ca="1">IFERROR(VLOOKUP(A231,catalogo!$E:$G,3,0),"-")</f>
        <v>-</v>
      </c>
      <c r="AA231" s="48"/>
      <c r="AB231" s="48"/>
      <c r="AC231" s="48" t="str">
        <f ca="1">IFERROR(VLOOKUP(A231,catalogo!$E:$H,4,0),"-")</f>
        <v>-</v>
      </c>
      <c r="AD231" s="48"/>
      <c r="AE231" s="48"/>
      <c r="AF231" s="48"/>
      <c r="AG231" s="48"/>
      <c r="AH231" s="48"/>
      <c r="AI231" s="48"/>
    </row>
    <row r="232" spans="1:35" ht="15.5" hidden="1">
      <c r="A232" s="37" t="s">
        <v>647</v>
      </c>
      <c r="B232" s="38" t="str">
        <f>IFERROR(VLOOKUP(J232,catalogo!$B$1:$C$75,2,0),"-")</f>
        <v>#26</v>
      </c>
      <c r="C232" s="39">
        <v>46060.416666666664</v>
      </c>
      <c r="D232" s="17"/>
      <c r="E232" s="17"/>
      <c r="F232" s="17"/>
      <c r="G232" s="42">
        <v>78</v>
      </c>
      <c r="H232" s="42">
        <v>78</v>
      </c>
      <c r="I232" s="43" t="s">
        <v>156</v>
      </c>
      <c r="J232" s="43" t="s">
        <v>67</v>
      </c>
      <c r="K232" s="43" t="s">
        <v>335</v>
      </c>
      <c r="L232" s="44" t="s">
        <v>336</v>
      </c>
      <c r="M232" s="45" t="s">
        <v>159</v>
      </c>
      <c r="N232" s="44" t="s">
        <v>144</v>
      </c>
      <c r="O232" s="49"/>
      <c r="P232" s="17"/>
      <c r="Q232" s="17"/>
      <c r="R232" s="17"/>
      <c r="S232" s="17"/>
      <c r="T232" s="17"/>
      <c r="U232" s="17"/>
      <c r="V232" s="17"/>
      <c r="W232" s="17"/>
      <c r="X232" s="17"/>
      <c r="Y232" s="46" t="str">
        <f ca="1">IFERROR(VLOOKUP(A232,catalogo!$E:$H,2,0),"-")</f>
        <v>-</v>
      </c>
      <c r="Z232" s="47" t="str">
        <f ca="1">IFERROR(VLOOKUP(A232,catalogo!$E:$G,3,0),"-")</f>
        <v>-</v>
      </c>
      <c r="AA232" s="48"/>
      <c r="AB232" s="48"/>
      <c r="AC232" s="48" t="str">
        <f ca="1">IFERROR(VLOOKUP(A232,catalogo!$E:$H,4,0),"-")</f>
        <v>-</v>
      </c>
      <c r="AD232" s="48"/>
      <c r="AE232" s="48"/>
      <c r="AF232" s="48"/>
      <c r="AG232" s="48"/>
      <c r="AH232" s="48"/>
      <c r="AI232" s="48"/>
    </row>
    <row r="233" spans="1:35" ht="12.5" hidden="1">
      <c r="A233" s="37" t="s">
        <v>648</v>
      </c>
      <c r="B233" s="38" t="str">
        <f>IFERROR(VLOOKUP(J233,catalogo!$B$1:$C$75,2,0),"-")</f>
        <v>#66</v>
      </c>
      <c r="C233" s="39">
        <v>46060.416666666664</v>
      </c>
      <c r="D233" s="52"/>
      <c r="E233" s="17"/>
      <c r="F233" s="17"/>
      <c r="G233" s="42">
        <v>100</v>
      </c>
      <c r="H233" s="42">
        <v>100</v>
      </c>
      <c r="I233" s="43" t="s">
        <v>156</v>
      </c>
      <c r="J233" s="43" t="s">
        <v>80</v>
      </c>
      <c r="K233" s="43" t="s">
        <v>649</v>
      </c>
      <c r="L233" s="44" t="s">
        <v>407</v>
      </c>
      <c r="M233" s="45">
        <v>2406</v>
      </c>
      <c r="N233" s="44" t="s">
        <v>167</v>
      </c>
      <c r="O233" s="17"/>
      <c r="P233" s="17"/>
      <c r="Q233" s="17"/>
      <c r="R233" s="17"/>
      <c r="S233" s="17"/>
      <c r="T233" s="17"/>
      <c r="U233" s="17"/>
      <c r="V233" s="17"/>
      <c r="W233" s="17"/>
      <c r="X233" s="17"/>
      <c r="Y233" s="46" t="str">
        <f ca="1">IFERROR(VLOOKUP(A233,catalogo!$E:$H,2,0),"-")</f>
        <v>-</v>
      </c>
      <c r="Z233" s="47" t="str">
        <f ca="1">IFERROR(VLOOKUP(A233,catalogo!$E:$G,3,0),"-")</f>
        <v>-</v>
      </c>
      <c r="AA233" s="48"/>
      <c r="AB233" s="48"/>
      <c r="AC233" s="48" t="str">
        <f ca="1">IFERROR(VLOOKUP(A233,catalogo!$E:$H,4,0),"-")</f>
        <v>-</v>
      </c>
      <c r="AD233" s="48"/>
      <c r="AE233" s="48"/>
      <c r="AF233" s="48"/>
      <c r="AG233" s="48"/>
      <c r="AH233" s="48"/>
      <c r="AI233" s="48"/>
    </row>
    <row r="234" spans="1:35" ht="12.5" hidden="1">
      <c r="A234" s="37" t="s">
        <v>650</v>
      </c>
      <c r="B234" s="38" t="str">
        <f>IFERROR(VLOOKUP(J234,catalogo!$B$1:$C$85,2,0),"-")</f>
        <v>#56</v>
      </c>
      <c r="C234" s="39">
        <v>46060.417361111111</v>
      </c>
      <c r="D234" s="17"/>
      <c r="E234" s="17"/>
      <c r="F234" s="17"/>
      <c r="G234" s="42">
        <v>893</v>
      </c>
      <c r="H234" s="42">
        <v>893</v>
      </c>
      <c r="I234" s="43" t="s">
        <v>156</v>
      </c>
      <c r="J234" s="43" t="s">
        <v>99</v>
      </c>
      <c r="K234" s="43" t="s">
        <v>651</v>
      </c>
      <c r="L234" s="44" t="s">
        <v>652</v>
      </c>
      <c r="M234" s="45">
        <v>8949</v>
      </c>
      <c r="N234" s="44" t="s">
        <v>167</v>
      </c>
      <c r="O234" s="17"/>
      <c r="P234" s="17"/>
      <c r="Q234" s="17"/>
      <c r="R234" s="17"/>
      <c r="S234" s="17"/>
      <c r="T234" s="17"/>
      <c r="U234" s="17"/>
      <c r="V234" s="17"/>
      <c r="W234" s="17"/>
      <c r="X234" s="17"/>
      <c r="Y234" s="46" t="str">
        <f ca="1">IFERROR(VLOOKUP(A234,catalogo!$E:$H,2,0),"-")</f>
        <v>-</v>
      </c>
      <c r="Z234" s="47" t="str">
        <f ca="1">IFERROR(VLOOKUP(A234,catalogo!$E:$G,3,0),"-")</f>
        <v>-</v>
      </c>
      <c r="AA234" s="48"/>
      <c r="AB234" s="48"/>
      <c r="AC234" s="48" t="str">
        <f ca="1">IFERROR(VLOOKUP(A234,catalogo!$E:$H,4,0),"-")</f>
        <v>-</v>
      </c>
      <c r="AD234" s="48"/>
      <c r="AE234" s="48"/>
      <c r="AF234" s="48"/>
      <c r="AG234" s="48"/>
      <c r="AH234" s="48"/>
      <c r="AI234" s="48"/>
    </row>
    <row r="235" spans="1:35" ht="12.5" hidden="1">
      <c r="A235" s="37" t="s">
        <v>653</v>
      </c>
      <c r="B235" s="38" t="str">
        <f>IFERROR(VLOOKUP(J235,catalogo!$B$1:$C$75,2,0),"-")</f>
        <v>#68</v>
      </c>
      <c r="C235" s="39">
        <v>46060.417361111111</v>
      </c>
      <c r="D235" s="17"/>
      <c r="E235" s="17"/>
      <c r="F235" s="17"/>
      <c r="G235" s="42">
        <v>68.5</v>
      </c>
      <c r="H235" s="42">
        <v>68.5</v>
      </c>
      <c r="I235" s="43" t="s">
        <v>156</v>
      </c>
      <c r="J235" s="43" t="s">
        <v>384</v>
      </c>
      <c r="K235" s="43" t="s">
        <v>654</v>
      </c>
      <c r="L235" s="44" t="s">
        <v>655</v>
      </c>
      <c r="M235" s="44">
        <v>2937</v>
      </c>
      <c r="N235" s="44" t="s">
        <v>167</v>
      </c>
      <c r="O235" s="17"/>
      <c r="P235" s="17"/>
      <c r="Q235" s="17"/>
      <c r="R235" s="17"/>
      <c r="S235" s="17"/>
      <c r="T235" s="17"/>
      <c r="U235" s="17"/>
      <c r="V235" s="17"/>
      <c r="W235" s="17"/>
      <c r="X235" s="17"/>
      <c r="Y235" s="46" t="str">
        <f ca="1">IFERROR(VLOOKUP(A235,catalogo!$E:$H,2,0),"-")</f>
        <v>-</v>
      </c>
      <c r="Z235" s="47" t="str">
        <f ca="1">IFERROR(VLOOKUP(A235,catalogo!$E:$G,3,0),"-")</f>
        <v>-</v>
      </c>
      <c r="AA235" s="48"/>
      <c r="AB235" s="48"/>
      <c r="AC235" s="48" t="str">
        <f ca="1">IFERROR(VLOOKUP(A235,catalogo!$E:$H,4,0),"-")</f>
        <v>-</v>
      </c>
      <c r="AD235" s="48"/>
      <c r="AE235" s="48"/>
      <c r="AF235" s="48"/>
      <c r="AG235" s="48"/>
      <c r="AH235" s="48"/>
      <c r="AI235" s="48"/>
    </row>
    <row r="236" spans="1:35" ht="12.5" hidden="1">
      <c r="A236" s="37" t="s">
        <v>656</v>
      </c>
      <c r="B236" s="38" t="str">
        <f>IFERROR(VLOOKUP(J236,catalogo!$B$1:$C$80,2,0),"-")</f>
        <v>#55</v>
      </c>
      <c r="C236" s="39">
        <v>46060.417361111111</v>
      </c>
      <c r="D236" s="17"/>
      <c r="E236" s="17"/>
      <c r="F236" s="17"/>
      <c r="G236" s="42">
        <v>998.02</v>
      </c>
      <c r="H236" s="42">
        <v>998.02</v>
      </c>
      <c r="I236" s="43" t="s">
        <v>156</v>
      </c>
      <c r="J236" s="43" t="s">
        <v>89</v>
      </c>
      <c r="K236" s="43" t="s">
        <v>657</v>
      </c>
      <c r="L236" s="44" t="s">
        <v>658</v>
      </c>
      <c r="M236" s="44">
        <v>3013</v>
      </c>
      <c r="N236" s="44" t="s">
        <v>167</v>
      </c>
      <c r="O236" s="17"/>
      <c r="P236" s="17"/>
      <c r="Q236" s="17"/>
      <c r="R236" s="17"/>
      <c r="S236" s="17"/>
      <c r="T236" s="17"/>
      <c r="U236" s="17"/>
      <c r="V236" s="17"/>
      <c r="W236" s="17"/>
      <c r="X236" s="17"/>
      <c r="Y236" s="46" t="str">
        <f ca="1">IFERROR(VLOOKUP(A236,catalogo!$E:$H,2,0),"-")</f>
        <v>-</v>
      </c>
      <c r="Z236" s="47" t="str">
        <f ca="1">IFERROR(VLOOKUP(A236,catalogo!$E:$G,3,0),"-")</f>
        <v>-</v>
      </c>
      <c r="AA236" s="48"/>
      <c r="AB236" s="48"/>
      <c r="AC236" s="48" t="str">
        <f ca="1">IFERROR(VLOOKUP(A236,catalogo!$E:$H,4,0),"-")</f>
        <v>-</v>
      </c>
      <c r="AD236" s="48"/>
      <c r="AE236" s="48"/>
      <c r="AF236" s="48"/>
      <c r="AG236" s="48"/>
      <c r="AH236" s="48"/>
      <c r="AI236" s="48"/>
    </row>
    <row r="237" spans="1:35" ht="12.5" hidden="1">
      <c r="A237" s="37" t="s">
        <v>352</v>
      </c>
      <c r="B237" s="38" t="str">
        <f>IFERROR(VLOOKUP(J237,catalogo!$B$1:$C$75,2,0),"-")</f>
        <v>-</v>
      </c>
      <c r="C237" s="39">
        <v>46060.417361111111</v>
      </c>
      <c r="D237" s="17"/>
      <c r="E237" s="17"/>
      <c r="F237" s="17"/>
      <c r="G237" s="42">
        <v>100</v>
      </c>
      <c r="H237" s="42">
        <v>100</v>
      </c>
      <c r="I237" s="43" t="s">
        <v>156</v>
      </c>
      <c r="J237" s="43" t="s">
        <v>659</v>
      </c>
      <c r="K237" s="43" t="s">
        <v>660</v>
      </c>
      <c r="L237" s="44" t="s">
        <v>661</v>
      </c>
      <c r="M237" s="44" t="s">
        <v>662</v>
      </c>
      <c r="N237" s="44" t="s">
        <v>144</v>
      </c>
      <c r="O237" s="17"/>
      <c r="P237" s="17"/>
      <c r="Q237" s="17"/>
      <c r="R237" s="17"/>
      <c r="S237" s="17"/>
      <c r="T237" s="17"/>
      <c r="U237" s="17"/>
      <c r="V237" s="17"/>
      <c r="W237" s="17"/>
      <c r="X237" s="17"/>
      <c r="Y237" s="46" t="str">
        <f ca="1">IFERROR(VLOOKUP(A237,catalogo!$E:$H,2,0),"-")</f>
        <v>-</v>
      </c>
      <c r="Z237" s="47" t="str">
        <f ca="1">IFERROR(VLOOKUP(A237,catalogo!$E:$G,3,0),"-")</f>
        <v>-</v>
      </c>
      <c r="AA237" s="48"/>
      <c r="AB237" s="48"/>
      <c r="AC237" s="48" t="str">
        <f ca="1">IFERROR(VLOOKUP(A237,catalogo!$E:$H,4,0),"-")</f>
        <v>-</v>
      </c>
      <c r="AD237" s="48"/>
      <c r="AE237" s="48"/>
      <c r="AF237" s="48"/>
      <c r="AG237" s="48"/>
      <c r="AH237" s="48"/>
      <c r="AI237" s="48"/>
    </row>
    <row r="238" spans="1:35" ht="12.5" hidden="1">
      <c r="A238" s="37" t="s">
        <v>663</v>
      </c>
      <c r="B238" s="38" t="str">
        <f>IFERROR(VLOOKUP(J238,catalogo!$B$1:$C$70,2,0),"-")</f>
        <v>-</v>
      </c>
      <c r="C238" s="39">
        <v>46060.417361111111</v>
      </c>
      <c r="D238" s="17"/>
      <c r="E238" s="17"/>
      <c r="F238" s="17"/>
      <c r="G238" s="42">
        <v>300</v>
      </c>
      <c r="H238" s="42">
        <v>300</v>
      </c>
      <c r="I238" s="43" t="s">
        <v>156</v>
      </c>
      <c r="J238" s="43" t="s">
        <v>659</v>
      </c>
      <c r="K238" s="43" t="s">
        <v>664</v>
      </c>
      <c r="L238" s="44" t="s">
        <v>665</v>
      </c>
      <c r="M238" s="45" t="s">
        <v>662</v>
      </c>
      <c r="N238" s="44" t="s">
        <v>144</v>
      </c>
      <c r="O238" s="17"/>
      <c r="P238" s="17"/>
      <c r="Q238" s="17"/>
      <c r="R238" s="17"/>
      <c r="S238" s="17"/>
      <c r="T238" s="17"/>
      <c r="U238" s="17"/>
      <c r="V238" s="17"/>
      <c r="W238" s="17"/>
      <c r="X238" s="17"/>
      <c r="Y238" s="46" t="str">
        <f ca="1">IFERROR(VLOOKUP(A238,catalogo!$E:$G,2,0),"-")</f>
        <v>-</v>
      </c>
      <c r="Z238" s="47" t="str">
        <f ca="1">IFERROR(VLOOKUP(A238,catalogo!$E:$G,3,0),"-")</f>
        <v>-</v>
      </c>
      <c r="AA238" s="48"/>
      <c r="AB238" s="48"/>
      <c r="AC238" s="48" t="str">
        <f ca="1">IFERROR(VLOOKUP(A238,catalogo!$E:$H,4,0),"-")</f>
        <v>-</v>
      </c>
      <c r="AD238" s="48"/>
      <c r="AE238" s="48"/>
      <c r="AF238" s="48"/>
      <c r="AG238" s="48"/>
      <c r="AH238" s="48"/>
      <c r="AI238" s="48"/>
    </row>
    <row r="239" spans="1:35" ht="15.5">
      <c r="A239" s="37" t="s">
        <v>666</v>
      </c>
      <c r="B239" s="38" t="str">
        <f>IFERROR(VLOOKUP(J239,catalogo!$B$1:$C$75,2,0),"-")</f>
        <v>#28</v>
      </c>
      <c r="C239" s="39">
        <v>46060.417361111111</v>
      </c>
      <c r="D239" s="17"/>
      <c r="E239" s="17"/>
      <c r="F239" s="17"/>
      <c r="G239" s="42">
        <v>361.14</v>
      </c>
      <c r="H239" s="42">
        <v>20</v>
      </c>
      <c r="I239" s="43" t="s">
        <v>172</v>
      </c>
      <c r="J239" s="43" t="s">
        <v>77</v>
      </c>
      <c r="K239" s="43" t="s">
        <v>173</v>
      </c>
      <c r="L239" s="44" t="s">
        <v>174</v>
      </c>
      <c r="M239" s="45" t="s">
        <v>289</v>
      </c>
      <c r="N239" s="44" t="s">
        <v>144</v>
      </c>
      <c r="O239" s="49"/>
      <c r="P239" s="17"/>
      <c r="Q239" s="17"/>
      <c r="R239" s="17"/>
      <c r="S239" s="17"/>
      <c r="T239" s="17"/>
      <c r="U239" s="17"/>
      <c r="V239" s="17"/>
      <c r="W239" s="17"/>
      <c r="X239" s="17"/>
      <c r="Y239" s="46" t="str">
        <f ca="1">IFERROR(VLOOKUP(A239,catalogo!$E:$H,2,0),"-")</f>
        <v>-</v>
      </c>
      <c r="Z239" s="47" t="str">
        <f ca="1">IFERROR(VLOOKUP(A239,catalogo!$E:$G,3,0),"-")</f>
        <v>-</v>
      </c>
      <c r="AA239" s="48"/>
      <c r="AB239" s="48"/>
      <c r="AC239" s="48" t="str">
        <f ca="1">IFERROR(VLOOKUP(A239,catalogo!$E:$H,4,0),"-")</f>
        <v>-</v>
      </c>
      <c r="AD239" s="48"/>
      <c r="AE239" s="48"/>
      <c r="AF239" s="48"/>
      <c r="AG239" s="48"/>
      <c r="AH239" s="48"/>
      <c r="AI239" s="48"/>
    </row>
    <row r="240" spans="1:35" ht="15.5" hidden="1">
      <c r="A240" s="37" t="s">
        <v>667</v>
      </c>
      <c r="B240" s="38" t="str">
        <f>IFERROR(VLOOKUP(J240,catalogo!$B$1:$C$75,2,0),"-")</f>
        <v>-</v>
      </c>
      <c r="C240" s="39">
        <v>46060.417361111111</v>
      </c>
      <c r="D240" s="17"/>
      <c r="E240" s="17"/>
      <c r="F240" s="17"/>
      <c r="G240" s="42">
        <v>806</v>
      </c>
      <c r="H240" s="42">
        <v>806</v>
      </c>
      <c r="I240" s="43" t="s">
        <v>156</v>
      </c>
      <c r="J240" s="43" t="s">
        <v>187</v>
      </c>
      <c r="K240" s="43" t="s">
        <v>668</v>
      </c>
      <c r="L240" s="44" t="s">
        <v>669</v>
      </c>
      <c r="M240" s="45" t="s">
        <v>190</v>
      </c>
      <c r="N240" s="44" t="s">
        <v>167</v>
      </c>
      <c r="O240" s="49"/>
      <c r="P240" s="17"/>
      <c r="Q240" s="17"/>
      <c r="R240" s="17"/>
      <c r="S240" s="17"/>
      <c r="T240" s="17"/>
      <c r="U240" s="17"/>
      <c r="V240" s="17"/>
      <c r="W240" s="17"/>
      <c r="X240" s="17"/>
      <c r="Y240" s="46" t="str">
        <f ca="1">IFERROR(VLOOKUP(A240,catalogo!$E:$H,2,0),"-")</f>
        <v>-</v>
      </c>
      <c r="Z240" s="47" t="str">
        <f ca="1">IFERROR(VLOOKUP(A240,catalogo!$E:$G,3,0),"-")</f>
        <v>-</v>
      </c>
      <c r="AA240" s="48"/>
      <c r="AB240" s="48"/>
      <c r="AC240" s="48" t="str">
        <f ca="1">IFERROR(VLOOKUP(A240,catalogo!$E:$H,4,0),"-")</f>
        <v>-</v>
      </c>
      <c r="AD240" s="48"/>
      <c r="AE240" s="48"/>
      <c r="AF240" s="48"/>
      <c r="AG240" s="48"/>
      <c r="AH240" s="48"/>
      <c r="AI240" s="48"/>
    </row>
    <row r="241" spans="1:35" ht="12.5" hidden="1">
      <c r="A241" s="37" t="s">
        <v>670</v>
      </c>
      <c r="B241" s="38" t="str">
        <f>IFERROR(VLOOKUP(J241,catalogo!$B$1:$C$80,2,0),"-")</f>
        <v>#31</v>
      </c>
      <c r="C241" s="39">
        <v>46060.417361111111</v>
      </c>
      <c r="D241" s="17"/>
      <c r="E241" s="17"/>
      <c r="F241" s="17"/>
      <c r="G241" s="42">
        <v>358.67</v>
      </c>
      <c r="H241" s="42">
        <v>358.67</v>
      </c>
      <c r="I241" s="43" t="s">
        <v>156</v>
      </c>
      <c r="J241" s="43" t="s">
        <v>106</v>
      </c>
      <c r="K241" s="43" t="s">
        <v>671</v>
      </c>
      <c r="L241" s="44" t="s">
        <v>672</v>
      </c>
      <c r="M241" s="45">
        <v>3902</v>
      </c>
      <c r="N241" s="44" t="s">
        <v>167</v>
      </c>
      <c r="O241" s="17"/>
      <c r="P241" s="17"/>
      <c r="Q241" s="17"/>
      <c r="R241" s="17"/>
      <c r="S241" s="17"/>
      <c r="T241" s="17"/>
      <c r="U241" s="17"/>
      <c r="V241" s="17"/>
      <c r="W241" s="17"/>
      <c r="X241" s="17"/>
      <c r="Y241" s="46" t="str">
        <f ca="1">IFERROR(VLOOKUP(A241,catalogo!$E:$G,2,0),"-")</f>
        <v>-</v>
      </c>
      <c r="Z241" s="47" t="str">
        <f ca="1">IFERROR(VLOOKUP(A241,catalogo!$E:$G,3,0),"-")</f>
        <v>-</v>
      </c>
      <c r="AA241" s="48"/>
      <c r="AB241" s="48"/>
      <c r="AC241" s="48" t="str">
        <f ca="1">IFERROR(VLOOKUP(A241,catalogo!$E:$H,4,0),"-")</f>
        <v>-</v>
      </c>
      <c r="AD241" s="48"/>
      <c r="AE241" s="48"/>
      <c r="AF241" s="48"/>
      <c r="AG241" s="48"/>
      <c r="AH241" s="48"/>
      <c r="AI241" s="48"/>
    </row>
    <row r="242" spans="1:35" ht="15.5" hidden="1">
      <c r="A242" s="37" t="s">
        <v>673</v>
      </c>
      <c r="B242" s="38" t="str">
        <f>IFERROR(VLOOKUP(J242,catalogo!$B$1:$C$75,2,0),"-")</f>
        <v>#64</v>
      </c>
      <c r="C242" s="39">
        <v>46060.417361111111</v>
      </c>
      <c r="D242" s="17"/>
      <c r="E242" s="17"/>
      <c r="F242" s="17"/>
      <c r="G242" s="42">
        <v>408.1</v>
      </c>
      <c r="H242" s="42">
        <v>408.1</v>
      </c>
      <c r="I242" s="43" t="s">
        <v>156</v>
      </c>
      <c r="J242" s="43" t="s">
        <v>139</v>
      </c>
      <c r="K242" s="43" t="s">
        <v>674</v>
      </c>
      <c r="L242" s="44" t="s">
        <v>675</v>
      </c>
      <c r="M242" s="44">
        <v>7142</v>
      </c>
      <c r="N242" s="44" t="s">
        <v>167</v>
      </c>
      <c r="O242" s="49"/>
      <c r="P242" s="17"/>
      <c r="Q242" s="17"/>
      <c r="R242" s="17"/>
      <c r="S242" s="17"/>
      <c r="T242" s="17"/>
      <c r="U242" s="17"/>
      <c r="V242" s="17"/>
      <c r="W242" s="17"/>
      <c r="X242" s="17"/>
      <c r="Y242" s="46" t="str">
        <f ca="1">IFERROR(VLOOKUP(A242,catalogo!$E:$H,2,0),"-")</f>
        <v>-</v>
      </c>
      <c r="Z242" s="47" t="str">
        <f ca="1">IFERROR(VLOOKUP(A242,catalogo!$E:$G,3,0),"-")</f>
        <v>-</v>
      </c>
      <c r="AA242" s="48"/>
      <c r="AB242" s="48"/>
      <c r="AC242" s="48" t="str">
        <f ca="1">IFERROR(VLOOKUP(A242,catalogo!$E:$H,4,0),"-")</f>
        <v>-</v>
      </c>
      <c r="AD242" s="48"/>
      <c r="AE242" s="48"/>
      <c r="AF242" s="48"/>
      <c r="AG242" s="48"/>
      <c r="AH242" s="48"/>
      <c r="AI242" s="48"/>
    </row>
    <row r="243" spans="1:35" ht="12.5" hidden="1">
      <c r="A243" s="37" t="s">
        <v>676</v>
      </c>
      <c r="B243" s="38" t="str">
        <f>IFERROR(VLOOKUP(J243,catalogo!$B$1:$C$100,2,0),"-")</f>
        <v>-</v>
      </c>
      <c r="C243" s="39">
        <v>46060.417361111111</v>
      </c>
      <c r="D243" s="17"/>
      <c r="E243" s="17"/>
      <c r="F243" s="17"/>
      <c r="G243" s="42">
        <v>704</v>
      </c>
      <c r="H243" s="42">
        <v>704</v>
      </c>
      <c r="I243" s="43" t="s">
        <v>156</v>
      </c>
      <c r="J243" s="43" t="s">
        <v>269</v>
      </c>
      <c r="K243" s="43" t="s">
        <v>677</v>
      </c>
      <c r="L243" s="44" t="s">
        <v>678</v>
      </c>
      <c r="M243" s="44">
        <v>6130</v>
      </c>
      <c r="N243" s="44" t="s">
        <v>167</v>
      </c>
      <c r="O243" s="17"/>
      <c r="P243" s="17"/>
      <c r="Q243" s="17"/>
      <c r="R243" s="17"/>
      <c r="S243" s="17"/>
      <c r="T243" s="17"/>
      <c r="U243" s="17"/>
      <c r="V243" s="17"/>
      <c r="W243" s="17"/>
      <c r="X243" s="17"/>
      <c r="Y243" s="46" t="str">
        <f ca="1">IFERROR(VLOOKUP(A243,catalogo!$E:$H,2,0),"-")</f>
        <v>-</v>
      </c>
      <c r="Z243" s="47" t="str">
        <f ca="1">IFERROR(VLOOKUP(A243,catalogo!$E:$G,3,0),"-")</f>
        <v>-</v>
      </c>
      <c r="AA243" s="48"/>
      <c r="AB243" s="48"/>
      <c r="AC243" s="48" t="str">
        <f ca="1">IFERROR(VLOOKUP(A243,catalogo!$E:$H,4,0),"-")</f>
        <v>-</v>
      </c>
      <c r="AD243" s="48"/>
      <c r="AE243" s="48"/>
      <c r="AF243" s="48"/>
      <c r="AG243" s="48"/>
      <c r="AH243" s="48"/>
      <c r="AI243" s="48"/>
    </row>
    <row r="244" spans="1:35" ht="12.5" hidden="1">
      <c r="A244" s="37" t="s">
        <v>679</v>
      </c>
      <c r="B244" s="38" t="str">
        <f>IFERROR(VLOOKUP(J244,catalogo!$B$1:$C$100,2,0),"-")</f>
        <v>#69</v>
      </c>
      <c r="C244" s="39">
        <v>46060.417361111111</v>
      </c>
      <c r="D244" s="17"/>
      <c r="E244" s="17"/>
      <c r="F244" s="17"/>
      <c r="G244" s="53">
        <v>2747.35</v>
      </c>
      <c r="H244" s="53">
        <v>2747.35</v>
      </c>
      <c r="I244" s="43" t="s">
        <v>156</v>
      </c>
      <c r="J244" s="43" t="s">
        <v>110</v>
      </c>
      <c r="K244" s="43" t="s">
        <v>680</v>
      </c>
      <c r="L244" s="44" t="s">
        <v>681</v>
      </c>
      <c r="M244" s="45">
        <v>8231</v>
      </c>
      <c r="N244" s="44" t="s">
        <v>167</v>
      </c>
      <c r="O244" s="17"/>
      <c r="P244" s="17"/>
      <c r="Q244" s="17"/>
      <c r="R244" s="17"/>
      <c r="S244" s="17"/>
      <c r="T244" s="17"/>
      <c r="U244" s="17"/>
      <c r="V244" s="17"/>
      <c r="W244" s="17"/>
      <c r="X244" s="17"/>
      <c r="Y244" s="46"/>
      <c r="Z244" s="47"/>
      <c r="AA244" s="48"/>
      <c r="AB244" s="48"/>
      <c r="AC244" s="48"/>
      <c r="AD244" s="48"/>
      <c r="AE244" s="48"/>
      <c r="AF244" s="48"/>
      <c r="AG244" s="48"/>
      <c r="AH244" s="48"/>
      <c r="AI244" s="48"/>
    </row>
    <row r="245" spans="1:35" ht="12.5" hidden="1">
      <c r="A245" s="37" t="s">
        <v>682</v>
      </c>
      <c r="B245" s="38" t="str">
        <f>IFERROR(VLOOKUP(J245,catalogo!$B$1:$C$80,2,0),"-")</f>
        <v>-</v>
      </c>
      <c r="C245" s="39">
        <v>46060.417361111111</v>
      </c>
      <c r="D245" s="17"/>
      <c r="E245" s="17"/>
      <c r="F245" s="17"/>
      <c r="G245" s="42">
        <v>772.2</v>
      </c>
      <c r="H245" s="42">
        <v>772.2</v>
      </c>
      <c r="I245" s="43" t="s">
        <v>156</v>
      </c>
      <c r="J245" s="50" t="s">
        <v>493</v>
      </c>
      <c r="K245" s="43" t="s">
        <v>683</v>
      </c>
      <c r="L245" s="44" t="s">
        <v>684</v>
      </c>
      <c r="M245" s="45">
        <v>4682</v>
      </c>
      <c r="N245" s="44" t="s">
        <v>167</v>
      </c>
      <c r="O245" s="17"/>
      <c r="P245" s="17"/>
      <c r="Q245" s="17"/>
      <c r="R245" s="17"/>
      <c r="S245" s="17"/>
      <c r="T245" s="17"/>
      <c r="U245" s="17"/>
      <c r="V245" s="17"/>
      <c r="W245" s="17"/>
      <c r="X245" s="17"/>
      <c r="Y245" s="46" t="str">
        <f ca="1">IFERROR(VLOOKUP(A245,catalogo!$E:$G,2,0),"-")</f>
        <v>-</v>
      </c>
      <c r="Z245" s="47" t="str">
        <f ca="1">IFERROR(VLOOKUP(A245,catalogo!$E:$G,3,0),"-")</f>
        <v>-</v>
      </c>
      <c r="AA245" s="48"/>
      <c r="AB245" s="48"/>
      <c r="AC245" s="48" t="str">
        <f ca="1">IFERROR(VLOOKUP(A245,catalogo!$E:$H,4,0),"-")</f>
        <v>-</v>
      </c>
      <c r="AD245" s="48"/>
      <c r="AE245" s="48"/>
      <c r="AF245" s="48"/>
      <c r="AG245" s="48"/>
      <c r="AH245" s="48"/>
      <c r="AI245" s="48"/>
    </row>
    <row r="246" spans="1:35" ht="12.5" hidden="1">
      <c r="A246" s="37" t="s">
        <v>685</v>
      </c>
      <c r="B246" s="38" t="str">
        <f>IFERROR(VLOOKUP(J246,catalogo!$B$1:$C$70,2,0),"-")</f>
        <v>#8</v>
      </c>
      <c r="C246" s="39">
        <v>46060.417361111111</v>
      </c>
      <c r="D246" s="17"/>
      <c r="E246" s="17"/>
      <c r="F246" s="17"/>
      <c r="G246" s="42">
        <v>60.5</v>
      </c>
      <c r="H246" s="42">
        <v>60.5</v>
      </c>
      <c r="I246" s="43" t="s">
        <v>156</v>
      </c>
      <c r="J246" s="43" t="s">
        <v>128</v>
      </c>
      <c r="K246" s="43" t="s">
        <v>419</v>
      </c>
      <c r="L246" s="44" t="s">
        <v>420</v>
      </c>
      <c r="M246" s="45">
        <v>16</v>
      </c>
      <c r="N246" s="44" t="s">
        <v>167</v>
      </c>
      <c r="O246" s="17"/>
      <c r="P246" s="17"/>
      <c r="Q246" s="17"/>
      <c r="R246" s="17"/>
      <c r="S246" s="17"/>
      <c r="T246" s="17"/>
      <c r="U246" s="17"/>
      <c r="V246" s="17"/>
      <c r="W246" s="17"/>
      <c r="X246" s="17"/>
      <c r="Y246" s="46" t="str">
        <f ca="1">IFERROR(VLOOKUP(A246,catalogo!$E:$H,2,0),"-")</f>
        <v>Transaction cost</v>
      </c>
      <c r="Z246" s="47" t="str">
        <f ca="1">IFERROR(VLOOKUP(A246,catalogo!$E:$G,3,0),"-")</f>
        <v>COMIDA   PO2165 - ENSAMBLE UF/CEB MECANICO</v>
      </c>
      <c r="AA246" s="48"/>
      <c r="AB246" s="48"/>
      <c r="AC246" s="48" t="str">
        <f ca="1">IFERROR(VLOOKUP(A246,catalogo!$E:$H,4,0),"-")</f>
        <v>.</v>
      </c>
      <c r="AD246" s="48"/>
      <c r="AE246" s="48"/>
      <c r="AF246" s="48"/>
      <c r="AG246" s="48"/>
      <c r="AH246" s="48"/>
      <c r="AI246" s="48"/>
    </row>
    <row r="247" spans="1:35" ht="12.5" hidden="1">
      <c r="A247" s="37" t="s">
        <v>686</v>
      </c>
      <c r="B247" s="38" t="str">
        <f>IFERROR(VLOOKUP(J247,catalogo!$B$1:$C$75,2,0),"-")</f>
        <v>#68</v>
      </c>
      <c r="C247" s="39">
        <v>46060.417361111111</v>
      </c>
      <c r="D247" s="52"/>
      <c r="E247" s="17"/>
      <c r="F247" s="17"/>
      <c r="G247" s="42">
        <v>94.5</v>
      </c>
      <c r="H247" s="42">
        <v>94.5</v>
      </c>
      <c r="I247" s="43" t="s">
        <v>156</v>
      </c>
      <c r="J247" s="43" t="s">
        <v>384</v>
      </c>
      <c r="K247" s="43" t="s">
        <v>687</v>
      </c>
      <c r="L247" s="44" t="s">
        <v>655</v>
      </c>
      <c r="M247" s="45">
        <v>2937</v>
      </c>
      <c r="N247" s="44" t="s">
        <v>167</v>
      </c>
      <c r="O247" s="17"/>
      <c r="P247" s="17"/>
      <c r="Q247" s="17"/>
      <c r="R247" s="17"/>
      <c r="S247" s="17"/>
      <c r="T247" s="17"/>
      <c r="U247" s="17"/>
      <c r="V247" s="17"/>
      <c r="W247" s="17"/>
      <c r="X247" s="17"/>
      <c r="Y247" s="46" t="str">
        <f ca="1">IFERROR(VLOOKUP(A247,catalogo!$E:$H,2,0),"-")</f>
        <v>-</v>
      </c>
      <c r="Z247" s="47" t="str">
        <f ca="1">IFERROR(VLOOKUP(A247,catalogo!$E:$G,3,0),"-")</f>
        <v>-</v>
      </c>
      <c r="AA247" s="48"/>
      <c r="AB247" s="48"/>
      <c r="AC247" s="48" t="str">
        <f ca="1">IFERROR(VLOOKUP(A247,catalogo!$E:$H,4,0),"-")</f>
        <v>-</v>
      </c>
      <c r="AD247" s="48"/>
      <c r="AE247" s="48"/>
      <c r="AF247" s="48"/>
      <c r="AG247" s="48"/>
      <c r="AH247" s="48"/>
      <c r="AI247" s="48"/>
    </row>
    <row r="248" spans="1:35" ht="12.5" hidden="1">
      <c r="A248" s="37" t="s">
        <v>309</v>
      </c>
      <c r="B248" s="38" t="str">
        <f>IFERROR(VLOOKUP(J248,catalogo!$B$1:$C$100,2,0),"-")</f>
        <v>#56</v>
      </c>
      <c r="C248" s="39">
        <v>46060.417361111111</v>
      </c>
      <c r="D248" s="17"/>
      <c r="E248" s="17"/>
      <c r="F248" s="17"/>
      <c r="G248" s="42">
        <v>115</v>
      </c>
      <c r="H248" s="42">
        <v>115</v>
      </c>
      <c r="I248" s="43" t="s">
        <v>156</v>
      </c>
      <c r="J248" s="43" t="s">
        <v>99</v>
      </c>
      <c r="K248" s="43" t="s">
        <v>359</v>
      </c>
      <c r="L248" s="44" t="s">
        <v>336</v>
      </c>
      <c r="M248" s="44">
        <v>8949</v>
      </c>
      <c r="N248" s="44" t="s">
        <v>167</v>
      </c>
      <c r="O248" s="17"/>
      <c r="P248" s="17"/>
      <c r="Q248" s="17"/>
      <c r="R248" s="17"/>
      <c r="S248" s="17"/>
      <c r="T248" s="17"/>
      <c r="U248" s="17"/>
      <c r="V248" s="17"/>
      <c r="W248" s="17"/>
      <c r="X248" s="17"/>
      <c r="Y248" s="46" t="str">
        <f ca="1">IFERROR(VLOOKUP(A248,catalogo!$E:$H,2,0),"-")</f>
        <v>-</v>
      </c>
      <c r="Z248" s="47" t="str">
        <f ca="1">IFERROR(VLOOKUP(A248,catalogo!$E:$G,3,0),"-")</f>
        <v>-</v>
      </c>
      <c r="AA248" s="48"/>
      <c r="AB248" s="48"/>
      <c r="AC248" s="48" t="str">
        <f ca="1">IFERROR(VLOOKUP(A248,catalogo!$E:$H,4,0),"-")</f>
        <v>-</v>
      </c>
      <c r="AD248" s="48"/>
      <c r="AE248" s="48"/>
      <c r="AF248" s="48"/>
      <c r="AG248" s="48"/>
      <c r="AH248" s="48"/>
      <c r="AI248" s="48"/>
    </row>
    <row r="249" spans="1:35" ht="12.5" hidden="1">
      <c r="A249" s="37" t="s">
        <v>337</v>
      </c>
      <c r="B249" s="38" t="str">
        <f>IFERROR(VLOOKUP(J249,catalogo!$B$1:$C$75,2,0),"-")</f>
        <v>#28</v>
      </c>
      <c r="C249" s="39">
        <v>46060.417361111111</v>
      </c>
      <c r="D249" s="17"/>
      <c r="E249" s="17"/>
      <c r="F249" s="17"/>
      <c r="G249" s="42">
        <v>495</v>
      </c>
      <c r="H249" s="42">
        <v>495</v>
      </c>
      <c r="I249" s="43" t="s">
        <v>156</v>
      </c>
      <c r="J249" s="43" t="s">
        <v>77</v>
      </c>
      <c r="K249" s="43" t="s">
        <v>688</v>
      </c>
      <c r="L249" s="44" t="s">
        <v>689</v>
      </c>
      <c r="M249" s="45">
        <v>1956</v>
      </c>
      <c r="N249" s="44" t="s">
        <v>167</v>
      </c>
      <c r="O249" s="17"/>
      <c r="P249" s="17"/>
      <c r="Q249" s="17"/>
      <c r="R249" s="17"/>
      <c r="S249" s="17"/>
      <c r="T249" s="17"/>
      <c r="U249" s="17"/>
      <c r="V249" s="17"/>
      <c r="W249" s="17"/>
      <c r="X249" s="17"/>
      <c r="Y249" s="46" t="str">
        <f ca="1">IFERROR(VLOOKUP(A249,catalogo!$E:$H,2,0),"-")</f>
        <v>-</v>
      </c>
      <c r="Z249" s="47" t="str">
        <f ca="1">IFERROR(VLOOKUP(A249,catalogo!$E:$G,3,0),"-")</f>
        <v>-</v>
      </c>
      <c r="AA249" s="48"/>
      <c r="AB249" s="48"/>
      <c r="AC249" s="48" t="str">
        <f ca="1">IFERROR(VLOOKUP(A249,catalogo!$E:$H,4,0),"-")</f>
        <v>-</v>
      </c>
      <c r="AD249" s="48"/>
      <c r="AE249" s="48"/>
      <c r="AF249" s="48"/>
      <c r="AG249" s="48"/>
      <c r="AH249" s="48"/>
      <c r="AI249" s="48"/>
    </row>
    <row r="250" spans="1:35" ht="12.5" hidden="1">
      <c r="A250" s="37" t="s">
        <v>690</v>
      </c>
      <c r="B250" s="38" t="str">
        <f>IFERROR(VLOOKUP(J250,catalogo!$B$1:$C$75,2,0),"-")</f>
        <v>-</v>
      </c>
      <c r="C250" s="39">
        <v>46060.417361111111</v>
      </c>
      <c r="D250" s="52"/>
      <c r="E250" s="17"/>
      <c r="F250" s="17"/>
      <c r="G250" s="42">
        <v>923.71</v>
      </c>
      <c r="H250" s="42">
        <v>923.71</v>
      </c>
      <c r="I250" s="43" t="s">
        <v>156</v>
      </c>
      <c r="J250" s="43" t="s">
        <v>321</v>
      </c>
      <c r="K250" s="43" t="s">
        <v>691</v>
      </c>
      <c r="L250" s="44" t="s">
        <v>692</v>
      </c>
      <c r="M250" s="45">
        <v>3340</v>
      </c>
      <c r="N250" s="44" t="s">
        <v>167</v>
      </c>
      <c r="O250" s="17"/>
      <c r="P250" s="17"/>
      <c r="Q250" s="17"/>
      <c r="R250" s="17"/>
      <c r="S250" s="17"/>
      <c r="T250" s="17"/>
      <c r="U250" s="17"/>
      <c r="V250" s="17"/>
      <c r="W250" s="17"/>
      <c r="X250" s="17"/>
      <c r="Y250" s="46" t="str">
        <f ca="1">IFERROR(VLOOKUP(A250,catalogo!$E:$H,2,0),"-")</f>
        <v>-</v>
      </c>
      <c r="Z250" s="47" t="str">
        <f ca="1">IFERROR(VLOOKUP(A250,catalogo!$E:$G,3,0),"-")</f>
        <v>-</v>
      </c>
      <c r="AA250" s="48"/>
      <c r="AB250" s="48"/>
      <c r="AC250" s="48" t="str">
        <f ca="1">IFERROR(VLOOKUP(A250,catalogo!$E:$H,4,0),"-")</f>
        <v>-</v>
      </c>
      <c r="AD250" s="48"/>
      <c r="AE250" s="48"/>
      <c r="AF250" s="48"/>
      <c r="AG250" s="48"/>
      <c r="AH250" s="48"/>
      <c r="AI250" s="48"/>
    </row>
    <row r="251" spans="1:35" ht="12.5" hidden="1">
      <c r="A251" s="37" t="s">
        <v>693</v>
      </c>
      <c r="B251" s="38" t="str">
        <f>IFERROR(VLOOKUP(J251,catalogo!$B$1:$C$70,2,0),"-")</f>
        <v>#68</v>
      </c>
      <c r="C251" s="39">
        <v>46060.417361111111</v>
      </c>
      <c r="D251" s="17"/>
      <c r="E251" s="17"/>
      <c r="F251" s="17"/>
      <c r="G251" s="42">
        <v>720</v>
      </c>
      <c r="H251" s="42">
        <v>720</v>
      </c>
      <c r="I251" s="43" t="s">
        <v>156</v>
      </c>
      <c r="J251" s="43" t="s">
        <v>384</v>
      </c>
      <c r="K251" s="43" t="s">
        <v>694</v>
      </c>
      <c r="L251" s="44" t="s">
        <v>695</v>
      </c>
      <c r="M251" s="44">
        <v>2937</v>
      </c>
      <c r="N251" s="44" t="s">
        <v>167</v>
      </c>
      <c r="O251" s="17"/>
      <c r="P251" s="17"/>
      <c r="Q251" s="17"/>
      <c r="R251" s="17"/>
      <c r="S251" s="17"/>
      <c r="T251" s="17"/>
      <c r="U251" s="17"/>
      <c r="V251" s="17"/>
      <c r="W251" s="17"/>
      <c r="X251" s="17"/>
      <c r="Y251" s="46" t="str">
        <f ca="1">IFERROR(VLOOKUP(A251,catalogo!$E:$G,2,0),"-")</f>
        <v>-</v>
      </c>
      <c r="Z251" s="47" t="str">
        <f ca="1">IFERROR(VLOOKUP(A251,catalogo!$E:$G,3,0),"-")</f>
        <v>-</v>
      </c>
      <c r="AA251" s="48"/>
      <c r="AB251" s="48"/>
      <c r="AC251" s="48" t="str">
        <f ca="1">IFERROR(VLOOKUP(A251,catalogo!$E:$H,4,0),"-")</f>
        <v>-</v>
      </c>
      <c r="AD251" s="48"/>
      <c r="AE251" s="48"/>
      <c r="AF251" s="48"/>
      <c r="AG251" s="48"/>
      <c r="AH251" s="48"/>
      <c r="AI251" s="48"/>
    </row>
    <row r="252" spans="1:35" ht="12.5" hidden="1">
      <c r="A252" s="37" t="s">
        <v>696</v>
      </c>
      <c r="B252" s="38" t="str">
        <f>IFERROR(VLOOKUP(J252,catalogo!$B$1:$C$70,2,0),"-")</f>
        <v>#26</v>
      </c>
      <c r="C252" s="39">
        <v>46060.417361111111</v>
      </c>
      <c r="D252" s="17"/>
      <c r="E252" s="17"/>
      <c r="F252" s="17"/>
      <c r="G252" s="42">
        <v>279</v>
      </c>
      <c r="H252" s="42">
        <v>279</v>
      </c>
      <c r="I252" s="43" t="s">
        <v>156</v>
      </c>
      <c r="J252" s="43" t="s">
        <v>67</v>
      </c>
      <c r="K252" s="43" t="s">
        <v>697</v>
      </c>
      <c r="L252" s="44" t="s">
        <v>655</v>
      </c>
      <c r="M252" s="45">
        <v>8061</v>
      </c>
      <c r="N252" s="44" t="s">
        <v>167</v>
      </c>
      <c r="O252" s="17"/>
      <c r="P252" s="17"/>
      <c r="Q252" s="17"/>
      <c r="R252" s="17"/>
      <c r="S252" s="17"/>
      <c r="T252" s="17"/>
      <c r="U252" s="17"/>
      <c r="V252" s="17"/>
      <c r="W252" s="17"/>
      <c r="X252" s="17"/>
      <c r="Y252" s="46" t="str">
        <f ca="1">IFERROR(VLOOKUP(A252,catalogo!$E:$G,2,0),"-")</f>
        <v>-</v>
      </c>
      <c r="Z252" s="47" t="str">
        <f ca="1">IFERROR(VLOOKUP(A252,catalogo!$E:$G,3,0),"-")</f>
        <v>-</v>
      </c>
      <c r="AA252" s="48"/>
      <c r="AB252" s="48"/>
      <c r="AC252" s="48" t="str">
        <f ca="1">IFERROR(VLOOKUP(A252,catalogo!$E:$H,4,0),"-")</f>
        <v>-</v>
      </c>
      <c r="AD252" s="48"/>
      <c r="AE252" s="48"/>
      <c r="AF252" s="48"/>
      <c r="AG252" s="48"/>
      <c r="AH252" s="48"/>
      <c r="AI252" s="48"/>
    </row>
    <row r="253" spans="1:35" ht="12.5" hidden="1">
      <c r="A253" s="37" t="s">
        <v>698</v>
      </c>
      <c r="B253" s="38" t="str">
        <f>IFERROR(VLOOKUP(J253,catalogo!$B$1:$C$75,2,0),"-")</f>
        <v>#64</v>
      </c>
      <c r="C253" s="39">
        <v>46060.417361111111</v>
      </c>
      <c r="D253" s="17"/>
      <c r="E253" s="17"/>
      <c r="F253" s="17"/>
      <c r="G253" s="42">
        <v>1050</v>
      </c>
      <c r="H253" s="42">
        <v>1050</v>
      </c>
      <c r="I253" s="43" t="s">
        <v>156</v>
      </c>
      <c r="J253" s="43" t="s">
        <v>139</v>
      </c>
      <c r="K253" s="43" t="s">
        <v>699</v>
      </c>
      <c r="L253" s="44" t="s">
        <v>700</v>
      </c>
      <c r="M253" s="44">
        <v>7142</v>
      </c>
      <c r="N253" s="44" t="s">
        <v>167</v>
      </c>
      <c r="O253" s="17"/>
      <c r="P253" s="17"/>
      <c r="Q253" s="17"/>
      <c r="R253" s="17"/>
      <c r="S253" s="17"/>
      <c r="T253" s="17"/>
      <c r="U253" s="17"/>
      <c r="V253" s="17"/>
      <c r="W253" s="17"/>
      <c r="X253" s="17"/>
      <c r="Y253" s="46" t="str">
        <f ca="1">IFERROR(VLOOKUP(A253,catalogo!$E:$H,2,0),"-")</f>
        <v>-</v>
      </c>
      <c r="Z253" s="47" t="str">
        <f ca="1">IFERROR(VLOOKUP(A253,catalogo!$E:$G,3,0),"-")</f>
        <v>-</v>
      </c>
      <c r="AA253" s="48"/>
      <c r="AB253" s="48"/>
      <c r="AC253" s="48" t="str">
        <f ca="1">IFERROR(VLOOKUP(A253,catalogo!$E:$H,4,0),"-")</f>
        <v>-</v>
      </c>
      <c r="AD253" s="48"/>
      <c r="AE253" s="48"/>
      <c r="AF253" s="48"/>
      <c r="AG253" s="48"/>
      <c r="AH253" s="48"/>
      <c r="AI253" s="48"/>
    </row>
    <row r="254" spans="1:35" ht="12.5" hidden="1">
      <c r="A254" s="37" t="s">
        <v>701</v>
      </c>
      <c r="B254" s="38" t="str">
        <f>IFERROR(VLOOKUP(J254,catalogo!$B$1:$C$100,2,0),"-")</f>
        <v>#74</v>
      </c>
      <c r="C254" s="39">
        <v>46060.417361111111</v>
      </c>
      <c r="D254" s="40"/>
      <c r="E254" s="41"/>
      <c r="F254" s="41"/>
      <c r="G254" s="42">
        <v>815.5</v>
      </c>
      <c r="H254" s="42">
        <v>815.5</v>
      </c>
      <c r="I254" s="43" t="s">
        <v>156</v>
      </c>
      <c r="J254" s="43" t="s">
        <v>286</v>
      </c>
      <c r="K254" s="43" t="s">
        <v>702</v>
      </c>
      <c r="L254" s="44" t="s">
        <v>703</v>
      </c>
      <c r="M254" s="45">
        <v>5481</v>
      </c>
      <c r="N254" s="44" t="s">
        <v>167</v>
      </c>
      <c r="O254" s="41"/>
      <c r="P254" s="41"/>
      <c r="Q254" s="41"/>
      <c r="R254" s="41"/>
      <c r="S254" s="41"/>
      <c r="T254" s="41"/>
      <c r="U254" s="41"/>
      <c r="V254" s="41"/>
      <c r="W254" s="41"/>
      <c r="X254" s="41"/>
      <c r="Y254" s="46" t="str">
        <f ca="1">IFERROR(VLOOKUP(A254,catalogo!$E:$H,2,0),"-")</f>
        <v>-</v>
      </c>
      <c r="Z254" s="47" t="str">
        <f ca="1">IFERROR(VLOOKUP(A254,catalogo!$E:$G,3,0),"-")</f>
        <v>-</v>
      </c>
      <c r="AA254" s="48"/>
      <c r="AB254" s="48"/>
      <c r="AC254" s="48" t="str">
        <f ca="1">IFERROR(VLOOKUP(A254,catalogo!$E:$H,4,0),"-")</f>
        <v>-</v>
      </c>
      <c r="AD254" s="48"/>
      <c r="AE254" s="48"/>
      <c r="AF254" s="48"/>
      <c r="AG254" s="48"/>
      <c r="AH254" s="48"/>
      <c r="AI254" s="48"/>
    </row>
    <row r="255" spans="1:35" ht="15.5" hidden="1">
      <c r="A255" s="37" t="s">
        <v>704</v>
      </c>
      <c r="B255" s="38" t="str">
        <f>IFERROR(VLOOKUP(J255,catalogo!$B$1:$C$75,2,0),"-")</f>
        <v>#56</v>
      </c>
      <c r="C255" s="39">
        <v>46060.417361111111</v>
      </c>
      <c r="D255" s="17"/>
      <c r="E255" s="17"/>
      <c r="F255" s="17"/>
      <c r="G255" s="42">
        <v>229.68</v>
      </c>
      <c r="H255" s="42">
        <v>229.68</v>
      </c>
      <c r="I255" s="43" t="s">
        <v>156</v>
      </c>
      <c r="J255" s="43" t="s">
        <v>99</v>
      </c>
      <c r="K255" s="43" t="s">
        <v>705</v>
      </c>
      <c r="L255" s="44" t="s">
        <v>706</v>
      </c>
      <c r="M255" s="44">
        <v>8949</v>
      </c>
      <c r="N255" s="44" t="s">
        <v>167</v>
      </c>
      <c r="O255" s="49"/>
      <c r="P255" s="17"/>
      <c r="Q255" s="17"/>
      <c r="R255" s="17"/>
      <c r="S255" s="17"/>
      <c r="T255" s="17"/>
      <c r="U255" s="17"/>
      <c r="V255" s="17"/>
      <c r="W255" s="17"/>
      <c r="X255" s="17"/>
      <c r="Y255" s="46" t="str">
        <f ca="1">IFERROR(VLOOKUP(A255,catalogo!$E:$H,2,0),"-")</f>
        <v>-</v>
      </c>
      <c r="Z255" s="47" t="str">
        <f ca="1">IFERROR(VLOOKUP(A255,catalogo!$E:$G,3,0),"-")</f>
        <v>-</v>
      </c>
      <c r="AA255" s="48"/>
      <c r="AB255" s="48"/>
      <c r="AC255" s="48" t="str">
        <f ca="1">IFERROR(VLOOKUP(A255,catalogo!$E:$H,4,0),"-")</f>
        <v>-</v>
      </c>
      <c r="AD255" s="48"/>
      <c r="AE255" s="48"/>
      <c r="AF255" s="48"/>
      <c r="AG255" s="48"/>
      <c r="AH255" s="48"/>
      <c r="AI255" s="48"/>
    </row>
    <row r="256" spans="1:35" ht="12.5" hidden="1">
      <c r="A256" s="37" t="s">
        <v>707</v>
      </c>
      <c r="B256" s="38" t="str">
        <f>IFERROR(VLOOKUP(J256,catalogo!$B$1:$C$85,2,0),"-")</f>
        <v>#26</v>
      </c>
      <c r="C256" s="39">
        <v>46060.417361111111</v>
      </c>
      <c r="D256" s="40"/>
      <c r="E256" s="41"/>
      <c r="F256" s="41"/>
      <c r="G256" s="42">
        <v>79</v>
      </c>
      <c r="H256" s="42">
        <v>79</v>
      </c>
      <c r="I256" s="43" t="s">
        <v>156</v>
      </c>
      <c r="J256" s="43" t="s">
        <v>67</v>
      </c>
      <c r="K256" s="43" t="s">
        <v>708</v>
      </c>
      <c r="L256" s="44" t="s">
        <v>407</v>
      </c>
      <c r="M256" s="44">
        <v>8061</v>
      </c>
      <c r="N256" s="44" t="s">
        <v>167</v>
      </c>
      <c r="O256" s="41"/>
      <c r="P256" s="41"/>
      <c r="Q256" s="41"/>
      <c r="R256" s="41"/>
      <c r="S256" s="41"/>
      <c r="T256" s="41"/>
      <c r="U256" s="41"/>
      <c r="V256" s="41"/>
      <c r="W256" s="41"/>
      <c r="X256" s="41"/>
      <c r="Y256" s="46" t="str">
        <f ca="1">IFERROR(VLOOKUP(A256,catalogo!$E:$H,2,0),"-")</f>
        <v>-</v>
      </c>
      <c r="Z256" s="47" t="str">
        <f ca="1">IFERROR(VLOOKUP(A256,catalogo!$E:$G,3,0),"-")</f>
        <v>-</v>
      </c>
      <c r="AA256" s="48"/>
      <c r="AB256" s="48"/>
      <c r="AC256" s="48" t="str">
        <f ca="1">IFERROR(VLOOKUP(A256,catalogo!$E:$H,4,0),"-")</f>
        <v>-</v>
      </c>
      <c r="AD256" s="48"/>
      <c r="AE256" s="48"/>
      <c r="AF256" s="48"/>
      <c r="AG256" s="48"/>
      <c r="AH256" s="48"/>
      <c r="AI256" s="48"/>
    </row>
    <row r="257" spans="1:35" ht="12.5" hidden="1">
      <c r="A257" s="37" t="s">
        <v>709</v>
      </c>
      <c r="B257" s="38" t="str">
        <f>IFERROR(VLOOKUP(J257,catalogo!$B$1:$C$85,2,0),"-")</f>
        <v>-</v>
      </c>
      <c r="C257" s="39">
        <v>46060.417361111111</v>
      </c>
      <c r="D257" s="17"/>
      <c r="E257" s="17"/>
      <c r="F257" s="17"/>
      <c r="G257" s="42">
        <v>700</v>
      </c>
      <c r="H257" s="42">
        <v>700</v>
      </c>
      <c r="I257" s="43" t="s">
        <v>156</v>
      </c>
      <c r="J257" s="43" t="s">
        <v>710</v>
      </c>
      <c r="K257" s="43" t="s">
        <v>711</v>
      </c>
      <c r="L257" s="44" t="s">
        <v>712</v>
      </c>
      <c r="M257" s="45">
        <v>5652</v>
      </c>
      <c r="N257" s="44" t="s">
        <v>167</v>
      </c>
      <c r="O257" s="17"/>
      <c r="P257" s="17"/>
      <c r="Q257" s="17"/>
      <c r="R257" s="17"/>
      <c r="S257" s="17"/>
      <c r="T257" s="17"/>
      <c r="U257" s="17"/>
      <c r="V257" s="17"/>
      <c r="W257" s="17"/>
      <c r="X257" s="17"/>
      <c r="Y257" s="46" t="str">
        <f ca="1">IFERROR(VLOOKUP(A257,catalogo!$E:$G,2,0),"-")</f>
        <v>-</v>
      </c>
      <c r="Z257" s="47" t="str">
        <f ca="1">IFERROR(VLOOKUP(A257,catalogo!$E:$G,3,0),"-")</f>
        <v>-</v>
      </c>
      <c r="AA257" s="48"/>
      <c r="AB257" s="48"/>
      <c r="AC257" s="48" t="str">
        <f ca="1">IFERROR(VLOOKUP(A257,catalogo!$E:$H,4,0),"-")</f>
        <v>-</v>
      </c>
      <c r="AD257" s="48"/>
      <c r="AE257" s="48"/>
      <c r="AF257" s="48"/>
      <c r="AG257" s="48"/>
      <c r="AH257" s="48"/>
      <c r="AI257" s="48"/>
    </row>
    <row r="258" spans="1:35" ht="12.5" hidden="1">
      <c r="A258" s="37" t="s">
        <v>713</v>
      </c>
      <c r="B258" s="38" t="str">
        <f>IFERROR(VLOOKUP(J258,catalogo!$B$1:$C$75,2,0),"-")</f>
        <v>#66</v>
      </c>
      <c r="C258" s="39">
        <v>46060.417361111111</v>
      </c>
      <c r="D258" s="17"/>
      <c r="E258" s="17"/>
      <c r="F258" s="17"/>
      <c r="G258" s="42">
        <v>375.5</v>
      </c>
      <c r="H258" s="42">
        <v>375.5</v>
      </c>
      <c r="I258" s="43" t="s">
        <v>156</v>
      </c>
      <c r="J258" s="43" t="s">
        <v>80</v>
      </c>
      <c r="K258" s="43" t="s">
        <v>714</v>
      </c>
      <c r="L258" s="44" t="s">
        <v>715</v>
      </c>
      <c r="M258" s="45">
        <v>2406</v>
      </c>
      <c r="N258" s="44" t="s">
        <v>167</v>
      </c>
      <c r="O258" s="17"/>
      <c r="P258" s="17"/>
      <c r="Q258" s="17"/>
      <c r="R258" s="17"/>
      <c r="S258" s="17"/>
      <c r="T258" s="17"/>
      <c r="U258" s="17"/>
      <c r="V258" s="17"/>
      <c r="W258" s="17"/>
      <c r="X258" s="17"/>
      <c r="Y258" s="46" t="str">
        <f ca="1">IFERROR(VLOOKUP(A258,catalogo!$E:$H,2,0),"-")</f>
        <v>-</v>
      </c>
      <c r="Z258" s="47" t="str">
        <f ca="1">IFERROR(VLOOKUP(A258,catalogo!$E:$G,3,0),"-")</f>
        <v>-</v>
      </c>
      <c r="AA258" s="48"/>
      <c r="AB258" s="48"/>
      <c r="AC258" s="48" t="str">
        <f ca="1">IFERROR(VLOOKUP(A258,catalogo!$E:$H,4,0),"-")</f>
        <v>-</v>
      </c>
      <c r="AD258" s="48"/>
      <c r="AE258" s="48"/>
      <c r="AF258" s="48"/>
      <c r="AG258" s="48"/>
      <c r="AH258" s="48"/>
      <c r="AI258" s="48"/>
    </row>
    <row r="259" spans="1:35" ht="12.5" hidden="1">
      <c r="A259" s="37" t="s">
        <v>716</v>
      </c>
      <c r="B259" s="38" t="str">
        <f>IFERROR(VLOOKUP(J259,catalogo!$B$1:$C$100,2,0),"-")</f>
        <v>#3</v>
      </c>
      <c r="C259" s="39">
        <v>46060.417361111111</v>
      </c>
      <c r="D259" s="17"/>
      <c r="E259" s="17"/>
      <c r="F259" s="17"/>
      <c r="G259" s="42">
        <v>803.6</v>
      </c>
      <c r="H259" s="42">
        <v>803.6</v>
      </c>
      <c r="I259" s="43" t="s">
        <v>156</v>
      </c>
      <c r="J259" s="43" t="s">
        <v>84</v>
      </c>
      <c r="K259" s="43" t="s">
        <v>717</v>
      </c>
      <c r="L259" s="44" t="s">
        <v>718</v>
      </c>
      <c r="M259" s="45">
        <v>8657</v>
      </c>
      <c r="N259" s="44" t="s">
        <v>167</v>
      </c>
      <c r="O259" s="17"/>
      <c r="P259" s="17"/>
      <c r="Q259" s="17"/>
      <c r="R259" s="17"/>
      <c r="S259" s="17"/>
      <c r="T259" s="17"/>
      <c r="U259" s="17"/>
      <c r="V259" s="17"/>
      <c r="W259" s="17"/>
      <c r="X259" s="17"/>
      <c r="Y259" s="46" t="str">
        <f ca="1">IFERROR(VLOOKUP(A259,catalogo!$E:$H,2,0),"-")</f>
        <v>Sales</v>
      </c>
      <c r="Z259" s="47" t="str">
        <f ca="1">IFERROR(VLOOKUP(A259,catalogo!$E:$G,3,0),"-")</f>
        <v>Gasolina para Malacate Grajales Robles PO 1129</v>
      </c>
      <c r="AA259" s="48"/>
      <c r="AB259" s="48"/>
      <c r="AC259" s="48" t="str">
        <f ca="1">IFERROR(VLOOKUP(A259,catalogo!$E:$H,4,0),"-")</f>
        <v>TICKET</v>
      </c>
      <c r="AD259" s="48"/>
      <c r="AE259" s="48"/>
      <c r="AF259" s="48"/>
      <c r="AG259" s="48"/>
      <c r="AH259" s="48"/>
      <c r="AI259" s="48"/>
    </row>
    <row r="260" spans="1:35" ht="12.5" hidden="1">
      <c r="A260" s="37" t="s">
        <v>719</v>
      </c>
      <c r="B260" s="38" t="str">
        <f>IFERROR(VLOOKUP(J260,catalogo!$B$1:$C$70,2,0),"-")</f>
        <v>-</v>
      </c>
      <c r="C260" s="39">
        <v>46060.417361111111</v>
      </c>
      <c r="D260" s="17"/>
      <c r="E260" s="17"/>
      <c r="F260" s="17"/>
      <c r="G260" s="42">
        <v>720</v>
      </c>
      <c r="H260" s="42">
        <v>720</v>
      </c>
      <c r="I260" s="43" t="s">
        <v>156</v>
      </c>
      <c r="J260" s="43" t="s">
        <v>269</v>
      </c>
      <c r="K260" s="43" t="s">
        <v>694</v>
      </c>
      <c r="L260" s="44" t="s">
        <v>695</v>
      </c>
      <c r="M260" s="45">
        <v>6130</v>
      </c>
      <c r="N260" s="44" t="s">
        <v>167</v>
      </c>
      <c r="O260" s="17"/>
      <c r="P260" s="17"/>
      <c r="Q260" s="17"/>
      <c r="R260" s="17"/>
      <c r="S260" s="17"/>
      <c r="T260" s="17"/>
      <c r="U260" s="17"/>
      <c r="V260" s="17"/>
      <c r="W260" s="17"/>
      <c r="X260" s="17"/>
      <c r="Y260" s="46" t="str">
        <f ca="1">IFERROR(VLOOKUP(A260,catalogo!$E:$G,2,0),"-")</f>
        <v>-</v>
      </c>
      <c r="Z260" s="47" t="str">
        <f ca="1">IFERROR(VLOOKUP(A260,catalogo!$E:$G,3,0),"-")</f>
        <v>-</v>
      </c>
      <c r="AA260" s="48"/>
      <c r="AB260" s="48"/>
      <c r="AC260" s="48" t="str">
        <f ca="1">IFERROR(VLOOKUP(A260,catalogo!$E:$H,4,0),"-")</f>
        <v>-</v>
      </c>
      <c r="AD260" s="48"/>
      <c r="AE260" s="48"/>
      <c r="AF260" s="48"/>
      <c r="AG260" s="48"/>
      <c r="AH260" s="48"/>
      <c r="AI260" s="48"/>
    </row>
    <row r="261" spans="1:35" ht="12.5" hidden="1">
      <c r="A261" s="37" t="s">
        <v>720</v>
      </c>
      <c r="B261" s="38" t="str">
        <f>IFERROR(VLOOKUP(J261,catalogo!$B$1:$C$70,2,0),"-")</f>
        <v>-</v>
      </c>
      <c r="C261" s="39">
        <v>46060.417361111111</v>
      </c>
      <c r="D261" s="17"/>
      <c r="E261" s="17"/>
      <c r="F261" s="17"/>
      <c r="G261" s="42">
        <v>328.9</v>
      </c>
      <c r="H261" s="42">
        <v>328.9</v>
      </c>
      <c r="I261" s="43" t="s">
        <v>156</v>
      </c>
      <c r="J261" s="43" t="s">
        <v>286</v>
      </c>
      <c r="K261" s="43" t="s">
        <v>721</v>
      </c>
      <c r="L261" s="44" t="s">
        <v>722</v>
      </c>
      <c r="M261" s="44">
        <v>5481</v>
      </c>
      <c r="N261" s="44" t="s">
        <v>167</v>
      </c>
      <c r="O261" s="17"/>
      <c r="P261" s="17"/>
      <c r="Q261" s="17"/>
      <c r="R261" s="17"/>
      <c r="S261" s="17"/>
      <c r="T261" s="17"/>
      <c r="U261" s="17"/>
      <c r="V261" s="17"/>
      <c r="W261" s="17"/>
      <c r="X261" s="17"/>
      <c r="Y261" s="46" t="str">
        <f ca="1">IFERROR(VLOOKUP(A261,catalogo!$E:$G,2,0),"-")</f>
        <v>-</v>
      </c>
      <c r="Z261" s="47" t="str">
        <f ca="1">IFERROR(VLOOKUP(A261,catalogo!$E:$G,3,0),"-")</f>
        <v>-</v>
      </c>
      <c r="AA261" s="48"/>
      <c r="AB261" s="48"/>
      <c r="AC261" s="48" t="str">
        <f ca="1">IFERROR(VLOOKUP(A261,catalogo!$E:$H,4,0),"-")</f>
        <v>-</v>
      </c>
      <c r="AD261" s="48"/>
      <c r="AE261" s="48"/>
      <c r="AF261" s="48"/>
      <c r="AG261" s="48"/>
      <c r="AH261" s="48"/>
      <c r="AI261" s="48"/>
    </row>
    <row r="262" spans="1:35" ht="12.5" hidden="1">
      <c r="A262" s="37" t="s">
        <v>723</v>
      </c>
      <c r="B262" s="38" t="str">
        <f>IFERROR(VLOOKUP(J262,catalogo!$B$1:$C$75,2,0),"-")</f>
        <v>#74</v>
      </c>
      <c r="C262" s="39">
        <v>46060.417361111111</v>
      </c>
      <c r="D262" s="17"/>
      <c r="E262" s="17"/>
      <c r="F262" s="17"/>
      <c r="G262" s="42">
        <v>185</v>
      </c>
      <c r="H262" s="42">
        <v>185</v>
      </c>
      <c r="I262" s="43" t="s">
        <v>156</v>
      </c>
      <c r="J262" s="43" t="s">
        <v>286</v>
      </c>
      <c r="K262" s="43" t="s">
        <v>724</v>
      </c>
      <c r="L262" s="44" t="s">
        <v>725</v>
      </c>
      <c r="M262" s="44">
        <v>5481</v>
      </c>
      <c r="N262" s="44" t="s">
        <v>167</v>
      </c>
      <c r="O262" s="17"/>
      <c r="P262" s="17"/>
      <c r="Q262" s="17"/>
      <c r="R262" s="17"/>
      <c r="S262" s="17"/>
      <c r="T262" s="17"/>
      <c r="U262" s="17"/>
      <c r="V262" s="17"/>
      <c r="W262" s="17"/>
      <c r="X262" s="17"/>
      <c r="Y262" s="46" t="str">
        <f ca="1">IFERROR(VLOOKUP(A262,catalogo!$E:$H,2,0),"-")</f>
        <v>-</v>
      </c>
      <c r="Z262" s="47" t="str">
        <f ca="1">IFERROR(VLOOKUP(A262,catalogo!$E:$G,3,0),"-")</f>
        <v>-</v>
      </c>
      <c r="AA262" s="48"/>
      <c r="AB262" s="48"/>
      <c r="AC262" s="48" t="str">
        <f ca="1">IFERROR(VLOOKUP(A262,catalogo!$E:$H,4,0),"-")</f>
        <v>-</v>
      </c>
      <c r="AD262" s="48"/>
      <c r="AE262" s="48"/>
      <c r="AF262" s="48"/>
      <c r="AG262" s="48"/>
      <c r="AH262" s="48"/>
      <c r="AI262" s="48"/>
    </row>
    <row r="263" spans="1:35" ht="12.5" hidden="1">
      <c r="A263" s="37" t="s">
        <v>271</v>
      </c>
      <c r="B263" s="38" t="str">
        <f>IFERROR(VLOOKUP(J263,catalogo!$B$1:$C$75,2,0),"-")</f>
        <v>#64</v>
      </c>
      <c r="C263" s="39">
        <v>46060.417361111111</v>
      </c>
      <c r="D263" s="17"/>
      <c r="E263" s="17"/>
      <c r="F263" s="17"/>
      <c r="G263" s="42">
        <v>16155.48</v>
      </c>
      <c r="H263" s="42">
        <v>16155.48</v>
      </c>
      <c r="I263" s="43" t="s">
        <v>156</v>
      </c>
      <c r="J263" s="43" t="s">
        <v>139</v>
      </c>
      <c r="K263" s="43" t="s">
        <v>204</v>
      </c>
      <c r="L263" s="44" t="s">
        <v>205</v>
      </c>
      <c r="M263" s="44">
        <v>7142</v>
      </c>
      <c r="N263" s="44" t="s">
        <v>167</v>
      </c>
      <c r="O263" s="17"/>
      <c r="P263" s="17"/>
      <c r="Q263" s="17"/>
      <c r="R263" s="17"/>
      <c r="S263" s="17"/>
      <c r="T263" s="17"/>
      <c r="U263" s="17"/>
      <c r="V263" s="17"/>
      <c r="W263" s="17"/>
      <c r="X263" s="17"/>
      <c r="Y263" s="46" t="str">
        <f ca="1">IFERROR(VLOOKUP(A263,catalogo!$E:$H,2,0),"-")</f>
        <v>-</v>
      </c>
      <c r="Z263" s="47" t="str">
        <f ca="1">IFERROR(VLOOKUP(A263,catalogo!$E:$G,3,0),"-")</f>
        <v>-</v>
      </c>
      <c r="AA263" s="48"/>
      <c r="AB263" s="48"/>
      <c r="AC263" s="48" t="str">
        <f ca="1">IFERROR(VLOOKUP(A263,catalogo!$E:$H,4,0),"-")</f>
        <v>-</v>
      </c>
      <c r="AD263" s="48"/>
      <c r="AE263" s="48"/>
      <c r="AF263" s="48"/>
      <c r="AG263" s="48"/>
      <c r="AH263" s="48"/>
      <c r="AI263" s="48"/>
    </row>
    <row r="264" spans="1:35" ht="12.5" hidden="1">
      <c r="A264" s="37" t="s">
        <v>726</v>
      </c>
      <c r="B264" s="38" t="str">
        <f>IFERROR(VLOOKUP(J264,catalogo!$B$1:$C$100,2,0),"-")</f>
        <v>#58</v>
      </c>
      <c r="C264" s="39">
        <v>46060.417361111111</v>
      </c>
      <c r="D264" s="17"/>
      <c r="E264" s="17"/>
      <c r="F264" s="17"/>
      <c r="G264" s="42">
        <v>1615.75</v>
      </c>
      <c r="H264" s="42">
        <v>89.48</v>
      </c>
      <c r="I264" s="43" t="s">
        <v>172</v>
      </c>
      <c r="J264" s="43" t="s">
        <v>118</v>
      </c>
      <c r="K264" s="43" t="s">
        <v>727</v>
      </c>
      <c r="L264" s="44" t="s">
        <v>728</v>
      </c>
      <c r="M264" s="45">
        <v>5576</v>
      </c>
      <c r="N264" s="44" t="s">
        <v>167</v>
      </c>
      <c r="O264" s="17"/>
      <c r="P264" s="17"/>
      <c r="Q264" s="17"/>
      <c r="R264" s="17"/>
      <c r="S264" s="17"/>
      <c r="T264" s="17"/>
      <c r="U264" s="17"/>
      <c r="V264" s="17"/>
      <c r="W264" s="17"/>
      <c r="X264" s="17"/>
      <c r="Y264" s="46" t="str">
        <f ca="1">IFERROR(VLOOKUP(A264,catalogo!$E:$H,2,0),"-")</f>
        <v>-</v>
      </c>
      <c r="Z264" s="47" t="str">
        <f ca="1">IFERROR(VLOOKUP(A264,catalogo!$E:$G,3,0),"-")</f>
        <v>-</v>
      </c>
      <c r="AA264" s="48"/>
      <c r="AB264" s="48"/>
      <c r="AC264" s="48" t="str">
        <f ca="1">IFERROR(VLOOKUP(A264,catalogo!$E:$H,4,0),"-")</f>
        <v>-</v>
      </c>
      <c r="AD264" s="48"/>
      <c r="AE264" s="48"/>
      <c r="AF264" s="48"/>
      <c r="AG264" s="48"/>
      <c r="AH264" s="48"/>
      <c r="AI264" s="48"/>
    </row>
    <row r="265" spans="1:35" ht="12.5" hidden="1">
      <c r="A265" s="37" t="s">
        <v>729</v>
      </c>
      <c r="B265" s="38" t="str">
        <f>IFERROR(VLOOKUP(J265,catalogo!$B$1:$C$70,2,0),"-")</f>
        <v>#52</v>
      </c>
      <c r="C265" s="39">
        <v>46060.417361111111</v>
      </c>
      <c r="D265" s="17"/>
      <c r="E265" s="17"/>
      <c r="F265" s="17"/>
      <c r="G265" s="42">
        <v>381.73</v>
      </c>
      <c r="H265" s="42">
        <v>21.07</v>
      </c>
      <c r="I265" s="43" t="s">
        <v>172</v>
      </c>
      <c r="J265" s="43" t="s">
        <v>253</v>
      </c>
      <c r="K265" s="43" t="s">
        <v>257</v>
      </c>
      <c r="L265" s="44" t="s">
        <v>181</v>
      </c>
      <c r="M265" s="45">
        <v>6137</v>
      </c>
      <c r="N265" s="44" t="s">
        <v>167</v>
      </c>
      <c r="O265" s="17"/>
      <c r="P265" s="17"/>
      <c r="Q265" s="17"/>
      <c r="R265" s="17"/>
      <c r="S265" s="17"/>
      <c r="T265" s="17"/>
      <c r="U265" s="17"/>
      <c r="V265" s="17"/>
      <c r="W265" s="17"/>
      <c r="X265" s="17"/>
      <c r="Y265" s="46" t="str">
        <f ca="1">IFERROR(VLOOKUP(A265,catalogo!$E:$G,2,0),"-")</f>
        <v>-</v>
      </c>
      <c r="Z265" s="47" t="str">
        <f ca="1">IFERROR(VLOOKUP(A265,catalogo!$E:$G,3,0),"-")</f>
        <v>-</v>
      </c>
      <c r="AA265" s="48"/>
      <c r="AB265" s="48"/>
      <c r="AC265" s="48" t="str">
        <f ca="1">IFERROR(VLOOKUP(A265,catalogo!$E:$H,4,0),"-")</f>
        <v>-</v>
      </c>
      <c r="AD265" s="48"/>
      <c r="AE265" s="48"/>
      <c r="AF265" s="48"/>
      <c r="AG265" s="48"/>
      <c r="AH265" s="48"/>
      <c r="AI265" s="48"/>
    </row>
    <row r="266" spans="1:35" ht="12.5" hidden="1">
      <c r="A266" s="37" t="s">
        <v>730</v>
      </c>
      <c r="B266" s="38" t="str">
        <f>IFERROR(VLOOKUP(J266,catalogo!$B$1:$C$100,2,0),"-")</f>
        <v>#30</v>
      </c>
      <c r="C266" s="39">
        <v>46060.417361111111</v>
      </c>
      <c r="D266" s="17"/>
      <c r="E266" s="17"/>
      <c r="F266" s="17"/>
      <c r="G266" s="42">
        <v>1255.06</v>
      </c>
      <c r="H266" s="42">
        <v>69.12</v>
      </c>
      <c r="I266" s="43" t="s">
        <v>172</v>
      </c>
      <c r="J266" s="43" t="s">
        <v>97</v>
      </c>
      <c r="K266" s="43" t="s">
        <v>731</v>
      </c>
      <c r="L266" s="44" t="s">
        <v>732</v>
      </c>
      <c r="M266" s="45">
        <v>9904</v>
      </c>
      <c r="N266" s="44" t="s">
        <v>167</v>
      </c>
      <c r="O266" s="17"/>
      <c r="P266" s="17"/>
      <c r="Q266" s="17"/>
      <c r="R266" s="17"/>
      <c r="S266" s="17"/>
      <c r="T266" s="17"/>
      <c r="U266" s="17"/>
      <c r="V266" s="17"/>
      <c r="W266" s="17"/>
      <c r="X266" s="17"/>
      <c r="Y266" s="46" t="str">
        <f ca="1">IFERROR(VLOOKUP(A266,catalogo!$E:$G,2,0),"-")</f>
        <v>-</v>
      </c>
      <c r="Z266" s="47" t="str">
        <f ca="1">IFERROR(VLOOKUP(A266,catalogo!$E:$G,3,0),"-")</f>
        <v>-</v>
      </c>
      <c r="AA266" s="48"/>
      <c r="AB266" s="48"/>
      <c r="AC266" s="48" t="str">
        <f ca="1">IFERROR(VLOOKUP(A266,catalogo!$E:$H,4,0),"-")</f>
        <v>-</v>
      </c>
      <c r="AD266" s="48"/>
      <c r="AE266" s="48"/>
      <c r="AF266" s="48"/>
      <c r="AG266" s="48"/>
      <c r="AH266" s="48"/>
      <c r="AI266" s="48"/>
    </row>
    <row r="267" spans="1:35" ht="12.5" hidden="1">
      <c r="A267" s="37" t="s">
        <v>733</v>
      </c>
      <c r="B267" s="38" t="str">
        <f>IFERROR(VLOOKUP(J267,catalogo!$B$1:$C$75,2,0),"-")</f>
        <v>#30</v>
      </c>
      <c r="C267" s="39">
        <v>46060.417361111111</v>
      </c>
      <c r="D267" s="17"/>
      <c r="E267" s="17"/>
      <c r="F267" s="17"/>
      <c r="G267" s="42">
        <v>866.55</v>
      </c>
      <c r="H267" s="42">
        <v>50</v>
      </c>
      <c r="I267" s="43" t="s">
        <v>172</v>
      </c>
      <c r="J267" s="43" t="s">
        <v>97</v>
      </c>
      <c r="K267" s="43" t="s">
        <v>734</v>
      </c>
      <c r="L267" s="44" t="s">
        <v>245</v>
      </c>
      <c r="M267" s="45">
        <v>9904</v>
      </c>
      <c r="N267" s="44" t="s">
        <v>167</v>
      </c>
      <c r="O267" s="17"/>
      <c r="P267" s="17"/>
      <c r="Q267" s="17"/>
      <c r="R267" s="17"/>
      <c r="S267" s="17"/>
      <c r="T267" s="17"/>
      <c r="U267" s="17"/>
      <c r="V267" s="17"/>
      <c r="W267" s="17"/>
      <c r="X267" s="17"/>
      <c r="Y267" s="46" t="str">
        <f ca="1">IFERROR(VLOOKUP(A267,catalogo!$E:$H,2,0),"-")</f>
        <v>-</v>
      </c>
      <c r="Z267" s="47" t="str">
        <f ca="1">IFERROR(VLOOKUP(A267,catalogo!$E:$G,3,0),"-")</f>
        <v>-</v>
      </c>
      <c r="AA267" s="48"/>
      <c r="AB267" s="48"/>
      <c r="AC267" s="48" t="str">
        <f ca="1">IFERROR(VLOOKUP(A267,catalogo!$E:$H,4,0),"-")</f>
        <v>-</v>
      </c>
      <c r="AD267" s="48"/>
      <c r="AE267" s="48"/>
      <c r="AF267" s="48"/>
      <c r="AG267" s="48"/>
      <c r="AH267" s="48"/>
      <c r="AI267" s="48"/>
    </row>
    <row r="268" spans="1:35" ht="15.5" hidden="1">
      <c r="A268" s="37" t="s">
        <v>735</v>
      </c>
      <c r="B268" s="38" t="str">
        <f>IFERROR(VLOOKUP(J268,catalogo!$B$1:$C$75,2,0),"-")</f>
        <v>#4</v>
      </c>
      <c r="C268" s="39">
        <v>46060.417361111111</v>
      </c>
      <c r="D268" s="17"/>
      <c r="E268" s="17"/>
      <c r="F268" s="17"/>
      <c r="G268" s="42">
        <v>2196.88</v>
      </c>
      <c r="H268" s="42">
        <v>126.76</v>
      </c>
      <c r="I268" s="43" t="s">
        <v>172</v>
      </c>
      <c r="J268" s="43" t="s">
        <v>95</v>
      </c>
      <c r="K268" s="43" t="s">
        <v>736</v>
      </c>
      <c r="L268" s="44" t="s">
        <v>737</v>
      </c>
      <c r="M268" s="45">
        <v>975</v>
      </c>
      <c r="N268" s="44" t="s">
        <v>167</v>
      </c>
      <c r="O268" s="49"/>
      <c r="P268" s="17"/>
      <c r="Q268" s="17"/>
      <c r="R268" s="17"/>
      <c r="S268" s="17"/>
      <c r="T268" s="17"/>
      <c r="U268" s="17"/>
      <c r="V268" s="17"/>
      <c r="W268" s="17"/>
      <c r="X268" s="17"/>
      <c r="Y268" s="46" t="str">
        <f ca="1">IFERROR(VLOOKUP(A268,catalogo!$E:$H,2,0),"-")</f>
        <v>Sales</v>
      </c>
      <c r="Z268" s="47">
        <f ca="1">IFERROR(VLOOKUP(A268,catalogo!$E:$G,3,0),"-")</f>
        <v>0</v>
      </c>
      <c r="AA268" s="48"/>
      <c r="AB268" s="48"/>
      <c r="AC268" s="48" t="str">
        <f ca="1">IFERROR(VLOOKUP(A268,catalogo!$E:$H,4,0),"-")</f>
        <v>.</v>
      </c>
      <c r="AD268" s="48"/>
      <c r="AE268" s="48"/>
      <c r="AF268" s="48"/>
      <c r="AG268" s="48"/>
      <c r="AH268" s="48"/>
      <c r="AI268" s="48"/>
    </row>
    <row r="269" spans="1:35" ht="12.5" hidden="1">
      <c r="A269" s="37" t="s">
        <v>228</v>
      </c>
      <c r="B269" s="38" t="str">
        <f>IFERROR(VLOOKUP(J269,catalogo!$B$1:$C$85,2,0),"-")</f>
        <v>#58</v>
      </c>
      <c r="C269" s="39">
        <v>46060.417361111111</v>
      </c>
      <c r="D269" s="17"/>
      <c r="E269" s="17"/>
      <c r="F269" s="17"/>
      <c r="G269" s="42">
        <v>866.55</v>
      </c>
      <c r="H269" s="42">
        <v>50</v>
      </c>
      <c r="I269" s="43" t="s">
        <v>172</v>
      </c>
      <c r="J269" s="43" t="s">
        <v>118</v>
      </c>
      <c r="K269" s="43" t="s">
        <v>734</v>
      </c>
      <c r="L269" s="44" t="s">
        <v>245</v>
      </c>
      <c r="M269" s="44">
        <v>5576</v>
      </c>
      <c r="N269" s="44" t="s">
        <v>167</v>
      </c>
      <c r="O269" s="17"/>
      <c r="P269" s="17"/>
      <c r="Q269" s="17"/>
      <c r="R269" s="17"/>
      <c r="S269" s="17"/>
      <c r="T269" s="17"/>
      <c r="U269" s="17"/>
      <c r="V269" s="17"/>
      <c r="W269" s="17"/>
      <c r="X269" s="17"/>
      <c r="Y269" s="46" t="str">
        <f ca="1">IFERROR(VLOOKUP(A269,catalogo!$E:$H,2,0),"-")</f>
        <v>-</v>
      </c>
      <c r="Z269" s="47" t="str">
        <f ca="1">IFERROR(VLOOKUP(A269,catalogo!$E:$G,3,0),"-")</f>
        <v>-</v>
      </c>
      <c r="AA269" s="48"/>
      <c r="AB269" s="48"/>
      <c r="AC269" s="48" t="str">
        <f ca="1">IFERROR(VLOOKUP(A269,catalogo!$E:$H,4,0),"-")</f>
        <v>-</v>
      </c>
      <c r="AD269" s="48"/>
      <c r="AE269" s="48"/>
      <c r="AF269" s="48"/>
      <c r="AG269" s="48"/>
      <c r="AH269" s="48"/>
      <c r="AI269" s="48"/>
    </row>
    <row r="270" spans="1:35" ht="12.5" hidden="1">
      <c r="A270" s="37" t="s">
        <v>738</v>
      </c>
      <c r="B270" s="38" t="str">
        <f>IFERROR(VLOOKUP(J270,catalogo!$B$1:$C$75,2,0),"-")</f>
        <v>#26</v>
      </c>
      <c r="C270" s="39">
        <v>46061.416666666664</v>
      </c>
      <c r="D270" s="40"/>
      <c r="E270" s="41"/>
      <c r="F270" s="41"/>
      <c r="G270" s="42">
        <v>752</v>
      </c>
      <c r="H270" s="42">
        <v>752</v>
      </c>
      <c r="I270" s="43" t="s">
        <v>156</v>
      </c>
      <c r="J270" s="43" t="s">
        <v>67</v>
      </c>
      <c r="K270" s="43" t="s">
        <v>739</v>
      </c>
      <c r="L270" s="44" t="s">
        <v>740</v>
      </c>
      <c r="M270" s="45">
        <v>8061</v>
      </c>
      <c r="N270" s="44" t="s">
        <v>167</v>
      </c>
      <c r="O270" s="41"/>
      <c r="P270" s="41"/>
      <c r="Q270" s="41"/>
      <c r="R270" s="41"/>
      <c r="S270" s="41"/>
      <c r="T270" s="41"/>
      <c r="U270" s="41"/>
      <c r="V270" s="41"/>
      <c r="W270" s="41"/>
      <c r="X270" s="41"/>
      <c r="Y270" s="46" t="str">
        <f ca="1">IFERROR(VLOOKUP(A270,catalogo!$E:$H,2,0),"-")</f>
        <v>-</v>
      </c>
      <c r="Z270" s="47" t="str">
        <f ca="1">IFERROR(VLOOKUP(A270,catalogo!$E:$G,3,0),"-")</f>
        <v>-</v>
      </c>
      <c r="AA270" s="48"/>
      <c r="AB270" s="48"/>
      <c r="AC270" s="48" t="str">
        <f ca="1">IFERROR(VLOOKUP(A270,catalogo!$E:$H,4,0),"-")</f>
        <v>-</v>
      </c>
      <c r="AD270" s="48"/>
      <c r="AE270" s="48"/>
      <c r="AF270" s="48"/>
      <c r="AG270" s="48"/>
      <c r="AH270" s="48"/>
      <c r="AI270" s="48"/>
    </row>
    <row r="271" spans="1:35" ht="12.5" hidden="1">
      <c r="A271" s="37" t="s">
        <v>741</v>
      </c>
      <c r="B271" s="38" t="str">
        <f>IFERROR(VLOOKUP(J271,catalogo!$B$1:$C$100,2,0),"-")</f>
        <v>-</v>
      </c>
      <c r="C271" s="39">
        <v>46061.416666666664</v>
      </c>
      <c r="D271" s="40"/>
      <c r="E271" s="41"/>
      <c r="F271" s="41"/>
      <c r="G271" s="42">
        <v>62.04</v>
      </c>
      <c r="H271" s="42">
        <v>62.04</v>
      </c>
      <c r="I271" s="43" t="s">
        <v>156</v>
      </c>
      <c r="J271" s="43" t="s">
        <v>187</v>
      </c>
      <c r="K271" s="43" t="s">
        <v>232</v>
      </c>
      <c r="L271" s="44" t="s">
        <v>233</v>
      </c>
      <c r="M271" s="44" t="s">
        <v>477</v>
      </c>
      <c r="N271" s="44" t="s">
        <v>144</v>
      </c>
      <c r="O271" s="41"/>
      <c r="P271" s="41"/>
      <c r="Q271" s="41"/>
      <c r="R271" s="41"/>
      <c r="S271" s="41"/>
      <c r="T271" s="41"/>
      <c r="U271" s="41"/>
      <c r="V271" s="41"/>
      <c r="W271" s="41"/>
      <c r="X271" s="41"/>
      <c r="Y271" s="46" t="str">
        <f ca="1">IFERROR(VLOOKUP(A271,catalogo!$E:$H,2,0),"-")</f>
        <v>-</v>
      </c>
      <c r="Z271" s="47" t="str">
        <f ca="1">IFERROR(VLOOKUP(A271,catalogo!$E:$G,3,0),"-")</f>
        <v>-</v>
      </c>
      <c r="AA271" s="48"/>
      <c r="AB271" s="48"/>
      <c r="AC271" s="48" t="str">
        <f ca="1">IFERROR(VLOOKUP(A271,catalogo!$E:$H,4,0),"-")</f>
        <v>-</v>
      </c>
      <c r="AD271" s="48"/>
      <c r="AE271" s="48"/>
      <c r="AF271" s="48"/>
      <c r="AG271" s="48"/>
      <c r="AH271" s="48"/>
      <c r="AI271" s="48"/>
    </row>
    <row r="272" spans="1:35" ht="12.5" hidden="1">
      <c r="A272" s="37" t="s">
        <v>492</v>
      </c>
      <c r="B272" s="38" t="str">
        <f>IFERROR(VLOOKUP(J272,catalogo!$B$1:$C$75,2,0),"-")</f>
        <v>#74</v>
      </c>
      <c r="C272" s="39">
        <v>46061.416666666664</v>
      </c>
      <c r="D272" s="52"/>
      <c r="E272" s="17"/>
      <c r="F272" s="17"/>
      <c r="G272" s="42">
        <v>452.47</v>
      </c>
      <c r="H272" s="42">
        <v>452.47</v>
      </c>
      <c r="I272" s="43" t="s">
        <v>156</v>
      </c>
      <c r="J272" s="43" t="s">
        <v>286</v>
      </c>
      <c r="K272" s="43" t="s">
        <v>284</v>
      </c>
      <c r="L272" s="44" t="s">
        <v>233</v>
      </c>
      <c r="M272" s="45">
        <v>5481</v>
      </c>
      <c r="N272" s="44" t="s">
        <v>167</v>
      </c>
      <c r="O272" s="17"/>
      <c r="P272" s="17"/>
      <c r="Q272" s="17"/>
      <c r="R272" s="17"/>
      <c r="S272" s="17"/>
      <c r="T272" s="17"/>
      <c r="U272" s="17"/>
      <c r="V272" s="17"/>
      <c r="W272" s="17"/>
      <c r="X272" s="17"/>
      <c r="Y272" s="46" t="str">
        <f ca="1">IFERROR(VLOOKUP(A272,catalogo!$E:$H,2,0),"-")</f>
        <v>-</v>
      </c>
      <c r="Z272" s="47" t="str">
        <f ca="1">IFERROR(VLOOKUP(A272,catalogo!$E:$G,3,0),"-")</f>
        <v>-</v>
      </c>
      <c r="AA272" s="48"/>
      <c r="AB272" s="48"/>
      <c r="AC272" s="48" t="str">
        <f ca="1">IFERROR(VLOOKUP(A272,catalogo!$E:$H,4,0),"-")</f>
        <v>-</v>
      </c>
      <c r="AD272" s="48"/>
      <c r="AE272" s="48"/>
      <c r="AF272" s="48"/>
      <c r="AG272" s="48"/>
      <c r="AH272" s="48"/>
      <c r="AI272" s="48"/>
    </row>
    <row r="273" spans="1:35" ht="12.5" hidden="1">
      <c r="A273" s="37" t="s">
        <v>742</v>
      </c>
      <c r="B273" s="38" t="str">
        <f>IFERROR(VLOOKUP(J273,catalogo!$B$1:$C$70,2,0),"-")</f>
        <v>#68</v>
      </c>
      <c r="C273" s="39">
        <v>46061.416666666664</v>
      </c>
      <c r="D273" s="17"/>
      <c r="E273" s="17"/>
      <c r="F273" s="17"/>
      <c r="G273" s="42">
        <v>237.27</v>
      </c>
      <c r="H273" s="42">
        <v>237.27</v>
      </c>
      <c r="I273" s="43" t="s">
        <v>156</v>
      </c>
      <c r="J273" s="43" t="s">
        <v>384</v>
      </c>
      <c r="K273" s="43" t="s">
        <v>232</v>
      </c>
      <c r="L273" s="44" t="s">
        <v>233</v>
      </c>
      <c r="M273" s="44">
        <v>2937</v>
      </c>
      <c r="N273" s="44" t="s">
        <v>167</v>
      </c>
      <c r="O273" s="17"/>
      <c r="P273" s="17"/>
      <c r="Q273" s="17"/>
      <c r="R273" s="17"/>
      <c r="S273" s="17"/>
      <c r="T273" s="17"/>
      <c r="U273" s="17"/>
      <c r="V273" s="17"/>
      <c r="W273" s="17"/>
      <c r="X273" s="17"/>
      <c r="Y273" s="46" t="str">
        <f ca="1">IFERROR(VLOOKUP(A273,catalogo!$E:$G,2,0),"-")</f>
        <v>-</v>
      </c>
      <c r="Z273" s="47" t="str">
        <f ca="1">IFERROR(VLOOKUP(A273,catalogo!$E:$G,3,0),"-")</f>
        <v>-</v>
      </c>
      <c r="AA273" s="48"/>
      <c r="AB273" s="48"/>
      <c r="AC273" s="48" t="str">
        <f ca="1">IFERROR(VLOOKUP(A273,catalogo!$E:$H,4,0),"-")</f>
        <v>-</v>
      </c>
      <c r="AD273" s="48"/>
      <c r="AE273" s="48"/>
      <c r="AF273" s="48"/>
      <c r="AG273" s="48"/>
      <c r="AH273" s="48"/>
      <c r="AI273" s="48"/>
    </row>
    <row r="274" spans="1:35" ht="12.5" hidden="1">
      <c r="A274" s="37" t="s">
        <v>743</v>
      </c>
      <c r="B274" s="38" t="str">
        <f>IFERROR(VLOOKUP(J274,catalogo!$B$1:$C$70,2,0),"-")</f>
        <v>-</v>
      </c>
      <c r="C274" s="39">
        <v>46061.416666666664</v>
      </c>
      <c r="D274" s="17"/>
      <c r="E274" s="17"/>
      <c r="F274" s="17"/>
      <c r="G274" s="42">
        <v>569.99</v>
      </c>
      <c r="H274" s="42">
        <v>569.99</v>
      </c>
      <c r="I274" s="43" t="s">
        <v>156</v>
      </c>
      <c r="J274" s="43" t="s">
        <v>269</v>
      </c>
      <c r="K274" s="43" t="s">
        <v>232</v>
      </c>
      <c r="L274" s="44" t="s">
        <v>233</v>
      </c>
      <c r="M274" s="45" t="s">
        <v>270</v>
      </c>
      <c r="N274" s="44" t="s">
        <v>144</v>
      </c>
      <c r="O274" s="17"/>
      <c r="P274" s="17"/>
      <c r="Q274" s="17"/>
      <c r="R274" s="17"/>
      <c r="S274" s="17"/>
      <c r="T274" s="17"/>
      <c r="U274" s="17"/>
      <c r="V274" s="17"/>
      <c r="W274" s="17"/>
      <c r="X274" s="17"/>
      <c r="Y274" s="46" t="str">
        <f ca="1">IFERROR(VLOOKUP(A274,catalogo!$E:$G,2,0),"-")</f>
        <v>-</v>
      </c>
      <c r="Z274" s="47" t="str">
        <f ca="1">IFERROR(VLOOKUP(A274,catalogo!$E:$G,3,0),"-")</f>
        <v>-</v>
      </c>
      <c r="AA274" s="48"/>
      <c r="AB274" s="48"/>
      <c r="AC274" s="48" t="str">
        <f ca="1">IFERROR(VLOOKUP(A274,catalogo!$E:$H,4,0),"-")</f>
        <v>-</v>
      </c>
      <c r="AD274" s="48"/>
      <c r="AE274" s="48"/>
      <c r="AF274" s="48"/>
      <c r="AG274" s="48"/>
      <c r="AH274" s="48"/>
      <c r="AI274" s="48"/>
    </row>
    <row r="275" spans="1:35" ht="12.5" hidden="1">
      <c r="A275" s="37" t="s">
        <v>744</v>
      </c>
      <c r="B275" s="38" t="str">
        <f>IFERROR(VLOOKUP(J275,catalogo!$B$1:$C$85,2,0),"-")</f>
        <v>#64</v>
      </c>
      <c r="C275" s="39">
        <v>46061.416666666664</v>
      </c>
      <c r="D275" s="17"/>
      <c r="E275" s="17"/>
      <c r="F275" s="17"/>
      <c r="G275" s="56">
        <v>223.18</v>
      </c>
      <c r="H275" s="42">
        <v>223.18</v>
      </c>
      <c r="I275" s="43" t="s">
        <v>156</v>
      </c>
      <c r="J275" s="43" t="s">
        <v>139</v>
      </c>
      <c r="K275" s="43" t="s">
        <v>180</v>
      </c>
      <c r="L275" s="44" t="s">
        <v>181</v>
      </c>
      <c r="M275" s="45">
        <v>7142</v>
      </c>
      <c r="N275" s="44" t="s">
        <v>167</v>
      </c>
      <c r="O275" s="17"/>
      <c r="P275" s="17"/>
      <c r="Q275" s="17"/>
      <c r="R275" s="17"/>
      <c r="S275" s="17"/>
      <c r="T275" s="17"/>
      <c r="U275" s="17"/>
      <c r="V275" s="17"/>
      <c r="W275" s="17"/>
      <c r="X275" s="17"/>
      <c r="Y275" s="46" t="str">
        <f ca="1">IFERROR(VLOOKUP(A275,catalogo!$E:$H,2,0),"-")</f>
        <v>-</v>
      </c>
      <c r="Z275" s="47" t="str">
        <f ca="1">IFERROR(VLOOKUP(A275,catalogo!$E:$G,3,0),"-")</f>
        <v>-</v>
      </c>
      <c r="AA275" s="48"/>
      <c r="AB275" s="48"/>
      <c r="AC275" s="48" t="str">
        <f ca="1">IFERROR(VLOOKUP(A275,catalogo!$E:$H,4,0),"-")</f>
        <v>-</v>
      </c>
      <c r="AD275" s="48"/>
      <c r="AE275" s="48"/>
      <c r="AF275" s="48"/>
      <c r="AG275" s="48"/>
      <c r="AH275" s="48"/>
      <c r="AI275" s="48"/>
    </row>
    <row r="276" spans="1:35" ht="12.5" hidden="1">
      <c r="A276" s="37" t="s">
        <v>418</v>
      </c>
      <c r="B276" s="38" t="str">
        <f>IFERROR(VLOOKUP(J276,catalogo!$B$1:$C$75,2,0),"-")</f>
        <v>#26</v>
      </c>
      <c r="C276" s="39">
        <v>46061.416666666664</v>
      </c>
      <c r="D276" s="52"/>
      <c r="E276" s="17"/>
      <c r="F276" s="17"/>
      <c r="G276" s="42">
        <v>58</v>
      </c>
      <c r="H276" s="42">
        <v>58</v>
      </c>
      <c r="I276" s="43" t="s">
        <v>156</v>
      </c>
      <c r="J276" s="43" t="s">
        <v>67</v>
      </c>
      <c r="K276" s="43" t="s">
        <v>335</v>
      </c>
      <c r="L276" s="44" t="s">
        <v>336</v>
      </c>
      <c r="M276" s="44" t="s">
        <v>159</v>
      </c>
      <c r="N276" s="44" t="s">
        <v>144</v>
      </c>
      <c r="O276" s="17"/>
      <c r="P276" s="17"/>
      <c r="Q276" s="17"/>
      <c r="R276" s="17"/>
      <c r="S276" s="17"/>
      <c r="T276" s="17"/>
      <c r="U276" s="17"/>
      <c r="V276" s="17"/>
      <c r="W276" s="17"/>
      <c r="X276" s="17"/>
      <c r="Y276" s="46" t="str">
        <f ca="1">IFERROR(VLOOKUP(A276,catalogo!$E:$H,2,0),"-")</f>
        <v>Transaction cost</v>
      </c>
      <c r="Z276" s="47" t="str">
        <f ca="1">IFERROR(VLOOKUP(A276,catalogo!$E:$G,3,0),"-")</f>
        <v>COMIDA   PO2165 - ENSAMBLE UF/CEB MECANICO</v>
      </c>
      <c r="AA276" s="48"/>
      <c r="AB276" s="48"/>
      <c r="AC276" s="48" t="str">
        <f ca="1">IFERROR(VLOOKUP(A276,catalogo!$E:$H,4,0),"-")</f>
        <v>.</v>
      </c>
      <c r="AD276" s="48"/>
      <c r="AE276" s="48"/>
      <c r="AF276" s="48"/>
      <c r="AG276" s="48"/>
      <c r="AH276" s="48"/>
      <c r="AI276" s="48"/>
    </row>
    <row r="277" spans="1:35" ht="12.5" hidden="1">
      <c r="A277" s="37" t="s">
        <v>745</v>
      </c>
      <c r="B277" s="38" t="str">
        <f>IFERROR(VLOOKUP(J277,catalogo!$B$1:$C$75,2,0),"-")</f>
        <v>#52</v>
      </c>
      <c r="C277" s="39">
        <v>46061.416666666664</v>
      </c>
      <c r="D277" s="40"/>
      <c r="E277" s="41"/>
      <c r="F277" s="41"/>
      <c r="G277" s="42">
        <v>369.95</v>
      </c>
      <c r="H277" s="42">
        <v>369.95</v>
      </c>
      <c r="I277" s="43" t="s">
        <v>156</v>
      </c>
      <c r="J277" s="43" t="s">
        <v>253</v>
      </c>
      <c r="K277" s="43" t="s">
        <v>232</v>
      </c>
      <c r="L277" s="44" t="s">
        <v>233</v>
      </c>
      <c r="M277" s="45">
        <v>6137</v>
      </c>
      <c r="N277" s="44" t="s">
        <v>167</v>
      </c>
      <c r="O277" s="41"/>
      <c r="P277" s="41"/>
      <c r="Q277" s="41"/>
      <c r="R277" s="41"/>
      <c r="S277" s="41"/>
      <c r="T277" s="41"/>
      <c r="U277" s="41"/>
      <c r="V277" s="41"/>
      <c r="W277" s="41"/>
      <c r="X277" s="41"/>
      <c r="Y277" s="46" t="str">
        <f ca="1">IFERROR(VLOOKUP(A277,catalogo!$E:$H,2,0),"-")</f>
        <v>-</v>
      </c>
      <c r="Z277" s="47" t="str">
        <f ca="1">IFERROR(VLOOKUP(A277,catalogo!$E:$G,3,0),"-")</f>
        <v>-</v>
      </c>
      <c r="AA277" s="48"/>
      <c r="AB277" s="48"/>
      <c r="AC277" s="48" t="str">
        <f ca="1">IFERROR(VLOOKUP(A277,catalogo!$E:$H,4,0),"-")</f>
        <v>-</v>
      </c>
      <c r="AD277" s="48"/>
      <c r="AE277" s="48"/>
      <c r="AF277" s="48"/>
      <c r="AG277" s="48"/>
      <c r="AH277" s="48"/>
      <c r="AI277" s="48"/>
    </row>
    <row r="278" spans="1:35" ht="15.5" hidden="1">
      <c r="A278" s="37" t="s">
        <v>746</v>
      </c>
      <c r="B278" s="38" t="str">
        <f>IFERROR(VLOOKUP(J278,catalogo!$B$1:$C$75,2,0),"-")</f>
        <v>#52</v>
      </c>
      <c r="C278" s="39">
        <v>46061.416666666664</v>
      </c>
      <c r="D278" s="17"/>
      <c r="E278" s="17"/>
      <c r="F278" s="17"/>
      <c r="G278" s="42">
        <v>10</v>
      </c>
      <c r="H278" s="42">
        <v>10</v>
      </c>
      <c r="I278" s="43" t="s">
        <v>156</v>
      </c>
      <c r="J278" s="43" t="s">
        <v>253</v>
      </c>
      <c r="K278" s="43" t="s">
        <v>284</v>
      </c>
      <c r="L278" s="44" t="s">
        <v>233</v>
      </c>
      <c r="M278" s="45">
        <v>6137</v>
      </c>
      <c r="N278" s="44" t="s">
        <v>167</v>
      </c>
      <c r="O278" s="49"/>
      <c r="P278" s="17"/>
      <c r="Q278" s="17"/>
      <c r="R278" s="17"/>
      <c r="S278" s="17"/>
      <c r="T278" s="17"/>
      <c r="U278" s="17"/>
      <c r="V278" s="17"/>
      <c r="W278" s="17"/>
      <c r="X278" s="17"/>
      <c r="Y278" s="46" t="str">
        <f ca="1">IFERROR(VLOOKUP(A278,catalogo!$E:$H,2,0),"-")</f>
        <v>-</v>
      </c>
      <c r="Z278" s="47" t="str">
        <f ca="1">IFERROR(VLOOKUP(A278,catalogo!$E:$G,3,0),"-")</f>
        <v>-</v>
      </c>
      <c r="AA278" s="48"/>
      <c r="AB278" s="48"/>
      <c r="AC278" s="48" t="str">
        <f ca="1">IFERROR(VLOOKUP(A278,catalogo!$E:$H,4,0),"-")</f>
        <v>-</v>
      </c>
      <c r="AD278" s="48"/>
      <c r="AE278" s="48"/>
      <c r="AF278" s="48"/>
      <c r="AG278" s="48"/>
      <c r="AH278" s="48"/>
      <c r="AI278" s="48"/>
    </row>
    <row r="279" spans="1:35" ht="12.5" hidden="1">
      <c r="A279" s="37" t="s">
        <v>747</v>
      </c>
      <c r="B279" s="38" t="str">
        <f>IFERROR(VLOOKUP(J279,catalogo!$B$1:$C$70,2,0),"-")</f>
        <v>-</v>
      </c>
      <c r="C279" s="39">
        <v>46061.416666666664</v>
      </c>
      <c r="D279" s="17"/>
      <c r="E279" s="17"/>
      <c r="F279" s="17"/>
      <c r="G279" s="42">
        <v>400</v>
      </c>
      <c r="H279" s="42">
        <v>400</v>
      </c>
      <c r="I279" s="43" t="s">
        <v>156</v>
      </c>
      <c r="J279" s="43" t="s">
        <v>269</v>
      </c>
      <c r="K279" s="43" t="s">
        <v>748</v>
      </c>
      <c r="L279" s="44" t="s">
        <v>749</v>
      </c>
      <c r="M279" s="44">
        <v>6130</v>
      </c>
      <c r="N279" s="44" t="s">
        <v>167</v>
      </c>
      <c r="O279" s="17"/>
      <c r="P279" s="17"/>
      <c r="Q279" s="17"/>
      <c r="R279" s="17"/>
      <c r="S279" s="17"/>
      <c r="T279" s="17"/>
      <c r="U279" s="17"/>
      <c r="V279" s="17"/>
      <c r="W279" s="17"/>
      <c r="X279" s="17"/>
      <c r="Y279" s="46" t="str">
        <f ca="1">IFERROR(VLOOKUP(A279,catalogo!$E:$G,2,0),"-")</f>
        <v>-</v>
      </c>
      <c r="Z279" s="47" t="str">
        <f ca="1">IFERROR(VLOOKUP(A279,catalogo!$E:$G,3,0),"-")</f>
        <v>-</v>
      </c>
      <c r="AA279" s="48"/>
      <c r="AB279" s="48"/>
      <c r="AC279" s="48" t="str">
        <f ca="1">IFERROR(VLOOKUP(A279,catalogo!$E:$H,4,0),"-")</f>
        <v>-</v>
      </c>
      <c r="AD279" s="48"/>
      <c r="AE279" s="48"/>
      <c r="AF279" s="48"/>
      <c r="AG279" s="48"/>
      <c r="AH279" s="48"/>
      <c r="AI279" s="48"/>
    </row>
    <row r="280" spans="1:35" ht="12.5" hidden="1">
      <c r="A280" s="37" t="s">
        <v>750</v>
      </c>
      <c r="B280" s="38" t="str">
        <f>IFERROR(VLOOKUP(J280,catalogo!$B$1:$C$70,2,0),"-")</f>
        <v>-</v>
      </c>
      <c r="C280" s="39">
        <v>46061.416666666664</v>
      </c>
      <c r="D280" s="17"/>
      <c r="E280" s="17"/>
      <c r="F280" s="17"/>
      <c r="G280" s="42">
        <v>810</v>
      </c>
      <c r="H280" s="42">
        <v>810</v>
      </c>
      <c r="I280" s="43" t="s">
        <v>156</v>
      </c>
      <c r="J280" s="43" t="s">
        <v>321</v>
      </c>
      <c r="K280" s="43" t="s">
        <v>319</v>
      </c>
      <c r="L280" s="44" t="s">
        <v>317</v>
      </c>
      <c r="M280" s="45">
        <v>3340</v>
      </c>
      <c r="N280" s="44" t="s">
        <v>167</v>
      </c>
      <c r="O280" s="17"/>
      <c r="P280" s="17"/>
      <c r="Q280" s="17"/>
      <c r="R280" s="17"/>
      <c r="S280" s="17"/>
      <c r="T280" s="17"/>
      <c r="U280" s="17"/>
      <c r="V280" s="17"/>
      <c r="W280" s="17"/>
      <c r="X280" s="17"/>
      <c r="Y280" s="46" t="str">
        <f ca="1">IFERROR(VLOOKUP(A280,catalogo!$E:$G,2,0),"-")</f>
        <v>-</v>
      </c>
      <c r="Z280" s="47" t="str">
        <f ca="1">IFERROR(VLOOKUP(A280,catalogo!$E:$G,3,0),"-")</f>
        <v>-</v>
      </c>
      <c r="AA280" s="48"/>
      <c r="AB280" s="48"/>
      <c r="AC280" s="48" t="str">
        <f ca="1">IFERROR(VLOOKUP(A280,catalogo!$E:$H,4,0),"-")</f>
        <v>-</v>
      </c>
      <c r="AD280" s="48"/>
      <c r="AE280" s="48"/>
      <c r="AF280" s="48"/>
      <c r="AG280" s="48"/>
      <c r="AH280" s="48"/>
      <c r="AI280" s="48"/>
    </row>
    <row r="281" spans="1:35" ht="12.5" hidden="1">
      <c r="A281" s="37" t="s">
        <v>751</v>
      </c>
      <c r="B281" s="38" t="str">
        <f>IFERROR(VLOOKUP(J281,catalogo!$B$1:$C$70,2,0),"-")</f>
        <v>-</v>
      </c>
      <c r="C281" s="39">
        <v>46061.416666666664</v>
      </c>
      <c r="D281" s="17"/>
      <c r="E281" s="17"/>
      <c r="F281" s="17"/>
      <c r="G281" s="42">
        <v>1229.48</v>
      </c>
      <c r="H281" s="42">
        <v>1229.48</v>
      </c>
      <c r="I281" s="43" t="s">
        <v>156</v>
      </c>
      <c r="J281" s="43" t="s">
        <v>269</v>
      </c>
      <c r="K281" s="43" t="s">
        <v>338</v>
      </c>
      <c r="L281" s="44" t="s">
        <v>317</v>
      </c>
      <c r="M281" s="45" t="s">
        <v>270</v>
      </c>
      <c r="N281" s="44" t="s">
        <v>144</v>
      </c>
      <c r="O281" s="17"/>
      <c r="P281" s="17"/>
      <c r="Q281" s="17"/>
      <c r="R281" s="17"/>
      <c r="S281" s="17"/>
      <c r="T281" s="17"/>
      <c r="U281" s="17"/>
      <c r="V281" s="17"/>
      <c r="W281" s="17"/>
      <c r="X281" s="17"/>
      <c r="Y281" s="46" t="str">
        <f ca="1">IFERROR(VLOOKUP(A281,catalogo!$E:$G,2,0),"-")</f>
        <v>-</v>
      </c>
      <c r="Z281" s="47" t="str">
        <f ca="1">IFERROR(VLOOKUP(A281,catalogo!$E:$G,3,0),"-")</f>
        <v>-</v>
      </c>
      <c r="AA281" s="48"/>
      <c r="AB281" s="48"/>
      <c r="AC281" s="48" t="str">
        <f ca="1">IFERROR(VLOOKUP(A281,catalogo!$E:$H,4,0),"-")</f>
        <v>-</v>
      </c>
      <c r="AD281" s="48"/>
      <c r="AE281" s="48"/>
      <c r="AF281" s="48"/>
      <c r="AG281" s="48"/>
      <c r="AH281" s="48"/>
      <c r="AI281" s="48"/>
    </row>
    <row r="282" spans="1:35" ht="12.5" hidden="1">
      <c r="A282" s="37" t="s">
        <v>752</v>
      </c>
      <c r="B282" s="38" t="str">
        <f>IFERROR(VLOOKUP(J282,catalogo!$B$1:$C$75,2,0),"-")</f>
        <v>#64</v>
      </c>
      <c r="C282" s="39">
        <v>46061.416666666664</v>
      </c>
      <c r="D282" s="17"/>
      <c r="E282" s="17"/>
      <c r="F282" s="17"/>
      <c r="G282" s="42">
        <v>179</v>
      </c>
      <c r="H282" s="42">
        <v>179</v>
      </c>
      <c r="I282" s="43" t="s">
        <v>156</v>
      </c>
      <c r="J282" s="43" t="s">
        <v>139</v>
      </c>
      <c r="K282" s="43" t="s">
        <v>753</v>
      </c>
      <c r="L282" s="44" t="s">
        <v>317</v>
      </c>
      <c r="M282" s="45">
        <v>7142</v>
      </c>
      <c r="N282" s="44" t="s">
        <v>167</v>
      </c>
      <c r="O282" s="17"/>
      <c r="P282" s="17"/>
      <c r="Q282" s="17"/>
      <c r="R282" s="17"/>
      <c r="S282" s="17"/>
      <c r="T282" s="17"/>
      <c r="U282" s="17"/>
      <c r="V282" s="17"/>
      <c r="W282" s="17"/>
      <c r="X282" s="17"/>
      <c r="Y282" s="46" t="str">
        <f ca="1">IFERROR(VLOOKUP(A282,catalogo!$E:$H,2,0),"-")</f>
        <v>-</v>
      </c>
      <c r="Z282" s="47" t="str">
        <f ca="1">IFERROR(VLOOKUP(A282,catalogo!$E:$G,3,0),"-")</f>
        <v>-</v>
      </c>
      <c r="AA282" s="48"/>
      <c r="AB282" s="48"/>
      <c r="AC282" s="48" t="str">
        <f ca="1">IFERROR(VLOOKUP(A282,catalogo!$E:$H,4,0),"-")</f>
        <v>-</v>
      </c>
      <c r="AD282" s="48"/>
      <c r="AE282" s="48"/>
      <c r="AF282" s="48"/>
      <c r="AG282" s="48"/>
      <c r="AH282" s="48"/>
      <c r="AI282" s="48"/>
    </row>
    <row r="283" spans="1:35" ht="15.5" hidden="1">
      <c r="A283" s="37" t="s">
        <v>754</v>
      </c>
      <c r="B283" s="38" t="str">
        <f>IFERROR(VLOOKUP(J283,catalogo!$B$1:$C$100,2,0),"-")</f>
        <v>#8</v>
      </c>
      <c r="C283" s="39">
        <v>46061.416666666664</v>
      </c>
      <c r="D283" s="17"/>
      <c r="E283" s="17"/>
      <c r="F283" s="17"/>
      <c r="G283" s="42">
        <v>320</v>
      </c>
      <c r="H283" s="42">
        <v>320</v>
      </c>
      <c r="I283" s="43" t="s">
        <v>156</v>
      </c>
      <c r="J283" s="43" t="s">
        <v>128</v>
      </c>
      <c r="K283" s="43" t="s">
        <v>755</v>
      </c>
      <c r="L283" s="44" t="s">
        <v>317</v>
      </c>
      <c r="M283" s="44">
        <v>16</v>
      </c>
      <c r="N283" s="44" t="s">
        <v>167</v>
      </c>
      <c r="O283" s="49"/>
      <c r="P283" s="17"/>
      <c r="Q283" s="17"/>
      <c r="R283" s="17"/>
      <c r="S283" s="17"/>
      <c r="T283" s="17"/>
      <c r="U283" s="17"/>
      <c r="V283" s="17"/>
      <c r="W283" s="17"/>
      <c r="X283" s="17"/>
      <c r="Y283" s="46" t="str">
        <f ca="1">IFERROR(VLOOKUP(A283,catalogo!$E:$H,2,0),"-")</f>
        <v>Transaction cost</v>
      </c>
      <c r="Z283" s="47" t="str">
        <f ca="1">IFERROR(VLOOKUP(A283,catalogo!$E:$G,3,0),"-")</f>
        <v>CASETAS VISITA VISITA A ESCATO PO2165 - ENSAMBLE UF/CEB MECANICO</v>
      </c>
      <c r="AA283" s="48"/>
      <c r="AB283" s="48"/>
      <c r="AC283" s="48" t="str">
        <f ca="1">IFERROR(VLOOKUP(A283,catalogo!$E:$H,4,0),"-")</f>
        <v>.</v>
      </c>
      <c r="AD283" s="48"/>
      <c r="AE283" s="48"/>
      <c r="AF283" s="48"/>
      <c r="AG283" s="48"/>
      <c r="AH283" s="48"/>
      <c r="AI283" s="48"/>
    </row>
    <row r="284" spans="1:35" ht="12.5" hidden="1">
      <c r="A284" s="37" t="s">
        <v>756</v>
      </c>
      <c r="B284" s="38" t="str">
        <f>IFERROR(VLOOKUP(J284,catalogo!$B$1:$C$70,2,0),"-")</f>
        <v>#26</v>
      </c>
      <c r="C284" s="39">
        <v>46061.416666666664</v>
      </c>
      <c r="D284" s="17"/>
      <c r="E284" s="17"/>
      <c r="F284" s="17"/>
      <c r="G284" s="42">
        <v>3.6</v>
      </c>
      <c r="H284" s="42">
        <v>3.6</v>
      </c>
      <c r="I284" s="43" t="s">
        <v>156</v>
      </c>
      <c r="J284" s="43" t="s">
        <v>67</v>
      </c>
      <c r="K284" s="43" t="s">
        <v>757</v>
      </c>
      <c r="L284" s="44" t="s">
        <v>336</v>
      </c>
      <c r="M284" s="44" t="s">
        <v>159</v>
      </c>
      <c r="N284" s="44" t="s">
        <v>144</v>
      </c>
      <c r="O284" s="17"/>
      <c r="P284" s="17"/>
      <c r="Q284" s="17"/>
      <c r="R284" s="17"/>
      <c r="S284" s="17"/>
      <c r="T284" s="17"/>
      <c r="U284" s="17"/>
      <c r="V284" s="17"/>
      <c r="W284" s="17"/>
      <c r="X284" s="17"/>
      <c r="Y284" s="46" t="str">
        <f ca="1">IFERROR(VLOOKUP(A284,catalogo!$E:$G,2,0),"-")</f>
        <v>-</v>
      </c>
      <c r="Z284" s="47" t="str">
        <f ca="1">IFERROR(VLOOKUP(A284,catalogo!$E:$G,3,0),"-")</f>
        <v>-</v>
      </c>
      <c r="AA284" s="48"/>
      <c r="AB284" s="48"/>
      <c r="AC284" s="48" t="str">
        <f ca="1">IFERROR(VLOOKUP(A284,catalogo!$E:$H,4,0),"-")</f>
        <v>-</v>
      </c>
      <c r="AD284" s="48"/>
      <c r="AE284" s="48"/>
      <c r="AF284" s="48"/>
      <c r="AG284" s="48"/>
      <c r="AH284" s="48"/>
      <c r="AI284" s="48"/>
    </row>
    <row r="285" spans="1:35" ht="12.5" hidden="1">
      <c r="A285" s="37" t="s">
        <v>758</v>
      </c>
      <c r="B285" s="38" t="str">
        <f>IFERROR(VLOOKUP(J285,catalogo!$B$1:$C$100,2,0),"-")</f>
        <v>-</v>
      </c>
      <c r="C285" s="39">
        <v>46061.416666666664</v>
      </c>
      <c r="D285" s="17"/>
      <c r="E285" s="17"/>
      <c r="F285" s="17"/>
      <c r="G285" s="53">
        <v>320</v>
      </c>
      <c r="H285" s="53">
        <v>320</v>
      </c>
      <c r="I285" s="43" t="s">
        <v>156</v>
      </c>
      <c r="J285" s="43" t="s">
        <v>493</v>
      </c>
      <c r="K285" s="43" t="s">
        <v>759</v>
      </c>
      <c r="L285" s="44" t="s">
        <v>760</v>
      </c>
      <c r="M285" s="45">
        <v>4682</v>
      </c>
      <c r="N285" s="44" t="s">
        <v>167</v>
      </c>
      <c r="O285" s="17"/>
      <c r="P285" s="17"/>
      <c r="Q285" s="17"/>
      <c r="R285" s="17"/>
      <c r="S285" s="17"/>
      <c r="T285" s="17"/>
      <c r="U285" s="17"/>
      <c r="V285" s="17"/>
      <c r="W285" s="17"/>
      <c r="X285" s="17"/>
      <c r="Y285" s="46"/>
      <c r="Z285" s="47"/>
      <c r="AA285" s="48"/>
      <c r="AB285" s="48"/>
      <c r="AC285" s="48"/>
      <c r="AD285" s="48"/>
      <c r="AE285" s="48"/>
      <c r="AF285" s="48"/>
      <c r="AG285" s="48"/>
      <c r="AH285" s="48"/>
      <c r="AI285" s="48"/>
    </row>
    <row r="286" spans="1:35" ht="12.5" hidden="1">
      <c r="A286" s="37" t="s">
        <v>761</v>
      </c>
      <c r="B286" s="38" t="str">
        <f>IFERROR(VLOOKUP(J286,catalogo!$B$1:$C$70,2,0),"-")</f>
        <v>-</v>
      </c>
      <c r="C286" s="39">
        <v>46061.416666666664</v>
      </c>
      <c r="D286" s="17"/>
      <c r="E286" s="17"/>
      <c r="F286" s="17"/>
      <c r="G286" s="42">
        <v>2015</v>
      </c>
      <c r="H286" s="42">
        <v>2015</v>
      </c>
      <c r="I286" s="43" t="s">
        <v>156</v>
      </c>
      <c r="J286" s="43" t="s">
        <v>493</v>
      </c>
      <c r="K286" s="43" t="s">
        <v>762</v>
      </c>
      <c r="L286" s="44" t="s">
        <v>223</v>
      </c>
      <c r="M286" s="45" t="s">
        <v>615</v>
      </c>
      <c r="N286" s="44" t="s">
        <v>144</v>
      </c>
      <c r="O286" s="17"/>
      <c r="P286" s="17"/>
      <c r="Q286" s="17"/>
      <c r="R286" s="17"/>
      <c r="S286" s="17"/>
      <c r="T286" s="17"/>
      <c r="U286" s="17"/>
      <c r="V286" s="17"/>
      <c r="W286" s="17"/>
      <c r="X286" s="17"/>
      <c r="Y286" s="46" t="str">
        <f ca="1">IFERROR(VLOOKUP(A286,catalogo!$E:$G,2,0),"-")</f>
        <v>-</v>
      </c>
      <c r="Z286" s="47" t="str">
        <f ca="1">IFERROR(VLOOKUP(A286,catalogo!$E:$G,3,0),"-")</f>
        <v>-</v>
      </c>
      <c r="AA286" s="48"/>
      <c r="AB286" s="48"/>
      <c r="AC286" s="48" t="str">
        <f ca="1">IFERROR(VLOOKUP(A286,catalogo!$E:$H,4,0),"-")</f>
        <v>-</v>
      </c>
      <c r="AD286" s="48"/>
      <c r="AE286" s="48"/>
      <c r="AF286" s="48"/>
      <c r="AG286" s="48"/>
      <c r="AH286" s="48"/>
      <c r="AI286" s="48"/>
    </row>
    <row r="287" spans="1:35" ht="12.5" hidden="1">
      <c r="A287" s="37" t="s">
        <v>763</v>
      </c>
      <c r="B287" s="38" t="str">
        <f>IFERROR(VLOOKUP(J287,catalogo!$B$1:$C$75,2,0),"-")</f>
        <v>#26</v>
      </c>
      <c r="C287" s="39">
        <v>46061.416666666664</v>
      </c>
      <c r="D287" s="17"/>
      <c r="E287" s="17"/>
      <c r="F287" s="17"/>
      <c r="G287" s="42">
        <v>178</v>
      </c>
      <c r="H287" s="42">
        <v>178</v>
      </c>
      <c r="I287" s="43" t="s">
        <v>156</v>
      </c>
      <c r="J287" s="43" t="s">
        <v>67</v>
      </c>
      <c r="K287" s="43" t="s">
        <v>335</v>
      </c>
      <c r="L287" s="44" t="s">
        <v>336</v>
      </c>
      <c r="M287" s="45" t="s">
        <v>159</v>
      </c>
      <c r="N287" s="44" t="s">
        <v>144</v>
      </c>
      <c r="O287" s="17"/>
      <c r="P287" s="17"/>
      <c r="Q287" s="17"/>
      <c r="R287" s="17"/>
      <c r="S287" s="17"/>
      <c r="T287" s="17"/>
      <c r="U287" s="17"/>
      <c r="V287" s="17"/>
      <c r="W287" s="17"/>
      <c r="X287" s="17"/>
      <c r="Y287" s="46" t="str">
        <f ca="1">IFERROR(VLOOKUP(A287,catalogo!$E:$H,2,0),"-")</f>
        <v>-</v>
      </c>
      <c r="Z287" s="47" t="str">
        <f ca="1">IFERROR(VLOOKUP(A287,catalogo!$E:$G,3,0),"-")</f>
        <v>-</v>
      </c>
      <c r="AA287" s="48"/>
      <c r="AB287" s="48"/>
      <c r="AC287" s="48" t="str">
        <f ca="1">IFERROR(VLOOKUP(A287,catalogo!$E:$H,4,0),"-")</f>
        <v>-</v>
      </c>
      <c r="AD287" s="48"/>
      <c r="AE287" s="48"/>
      <c r="AF287" s="48"/>
      <c r="AG287" s="48"/>
      <c r="AH287" s="48"/>
      <c r="AI287" s="48"/>
    </row>
    <row r="288" spans="1:35" ht="12.5" hidden="1">
      <c r="A288" s="37" t="s">
        <v>764</v>
      </c>
      <c r="B288" s="38" t="str">
        <f>IFERROR(VLOOKUP(J288,catalogo!$B$1:$C$75,2,0),"-")</f>
        <v>#26</v>
      </c>
      <c r="C288" s="39">
        <v>46061.416666666664</v>
      </c>
      <c r="D288" s="17"/>
      <c r="E288" s="17"/>
      <c r="F288" s="17"/>
      <c r="G288" s="42">
        <v>401.3</v>
      </c>
      <c r="H288" s="42">
        <v>401.3</v>
      </c>
      <c r="I288" s="43" t="s">
        <v>156</v>
      </c>
      <c r="J288" s="43" t="s">
        <v>67</v>
      </c>
      <c r="K288" s="43" t="s">
        <v>365</v>
      </c>
      <c r="L288" s="44" t="s">
        <v>366</v>
      </c>
      <c r="M288" s="45" t="s">
        <v>159</v>
      </c>
      <c r="N288" s="44" t="s">
        <v>144</v>
      </c>
      <c r="O288" s="17"/>
      <c r="P288" s="17"/>
      <c r="Q288" s="17"/>
      <c r="R288" s="17"/>
      <c r="S288" s="17"/>
      <c r="T288" s="17"/>
      <c r="U288" s="17"/>
      <c r="V288" s="17"/>
      <c r="W288" s="17"/>
      <c r="X288" s="17"/>
      <c r="Y288" s="46" t="str">
        <f ca="1">IFERROR(VLOOKUP(A288,catalogo!$E:$H,2,0),"-")</f>
        <v>-</v>
      </c>
      <c r="Z288" s="47" t="str">
        <f ca="1">IFERROR(VLOOKUP(A288,catalogo!$E:$G,3,0),"-")</f>
        <v>-</v>
      </c>
      <c r="AA288" s="48"/>
      <c r="AB288" s="48"/>
      <c r="AC288" s="48" t="str">
        <f ca="1">IFERROR(VLOOKUP(A288,catalogo!$E:$H,4,0),"-")</f>
        <v>-</v>
      </c>
      <c r="AD288" s="48"/>
      <c r="AE288" s="48"/>
      <c r="AF288" s="48"/>
      <c r="AG288" s="48"/>
      <c r="AH288" s="48"/>
      <c r="AI288" s="48"/>
    </row>
    <row r="289" spans="1:35" ht="12.5" hidden="1">
      <c r="A289" s="37" t="s">
        <v>765</v>
      </c>
      <c r="B289" s="38" t="str">
        <f>IFERROR(VLOOKUP(J289,catalogo!$B$1:$C$80,2,0),"-")</f>
        <v>#4</v>
      </c>
      <c r="C289" s="39">
        <v>46061.416666666664</v>
      </c>
      <c r="D289" s="17"/>
      <c r="E289" s="17"/>
      <c r="F289" s="17"/>
      <c r="G289" s="42">
        <v>100</v>
      </c>
      <c r="H289" s="42">
        <v>100</v>
      </c>
      <c r="I289" s="43" t="s">
        <v>156</v>
      </c>
      <c r="J289" s="43" t="s">
        <v>95</v>
      </c>
      <c r="K289" s="43" t="s">
        <v>660</v>
      </c>
      <c r="L289" s="44" t="s">
        <v>661</v>
      </c>
      <c r="M289" s="44">
        <v>975</v>
      </c>
      <c r="N289" s="44" t="s">
        <v>167</v>
      </c>
      <c r="O289" s="17"/>
      <c r="P289" s="17"/>
      <c r="Q289" s="17"/>
      <c r="R289" s="17"/>
      <c r="S289" s="17"/>
      <c r="T289" s="17"/>
      <c r="U289" s="17"/>
      <c r="V289" s="17"/>
      <c r="W289" s="17"/>
      <c r="X289" s="17"/>
      <c r="Y289" s="46" t="str">
        <f ca="1">IFERROR(VLOOKUP(A289,catalogo!$E:$G,2,0),"-")</f>
        <v>Sales</v>
      </c>
      <c r="Z289" s="47">
        <f ca="1">IFERROR(VLOOKUP(A289,catalogo!$E:$G,3,0),"-")</f>
        <v>0</v>
      </c>
      <c r="AA289" s="48"/>
      <c r="AB289" s="48"/>
      <c r="AC289" s="48" t="str">
        <f ca="1">IFERROR(VLOOKUP(A289,catalogo!$E:$H,4,0),"-")</f>
        <v>.</v>
      </c>
      <c r="AD289" s="48"/>
      <c r="AE289" s="48"/>
      <c r="AF289" s="48"/>
      <c r="AG289" s="48"/>
      <c r="AH289" s="48"/>
      <c r="AI289" s="48"/>
    </row>
    <row r="290" spans="1:35" ht="15.5" hidden="1">
      <c r="A290" s="37" t="s">
        <v>766</v>
      </c>
      <c r="B290" s="38" t="str">
        <f>IFERROR(VLOOKUP(J290,catalogo!$B$1:$C$75,2,0),"-")</f>
        <v>-</v>
      </c>
      <c r="C290" s="39">
        <v>46061.416666666664</v>
      </c>
      <c r="D290" s="17"/>
      <c r="E290" s="17"/>
      <c r="F290" s="17"/>
      <c r="G290" s="42">
        <v>285</v>
      </c>
      <c r="H290" s="42">
        <v>285</v>
      </c>
      <c r="I290" s="43" t="s">
        <v>156</v>
      </c>
      <c r="J290" s="43" t="s">
        <v>187</v>
      </c>
      <c r="K290" s="43" t="s">
        <v>767</v>
      </c>
      <c r="L290" s="44" t="s">
        <v>768</v>
      </c>
      <c r="M290" s="44" t="s">
        <v>190</v>
      </c>
      <c r="N290" s="44" t="s">
        <v>167</v>
      </c>
      <c r="O290" s="49" t="s">
        <v>769</v>
      </c>
      <c r="P290" s="17"/>
      <c r="Q290" s="17"/>
      <c r="R290" s="17"/>
      <c r="S290" s="17"/>
      <c r="T290" s="17"/>
      <c r="U290" s="17"/>
      <c r="V290" s="17"/>
      <c r="W290" s="17"/>
      <c r="X290" s="17"/>
      <c r="Y290" s="46" t="str">
        <f ca="1">IFERROR(VLOOKUP(A290,catalogo!$E:$H,2,0),"-")</f>
        <v>-</v>
      </c>
      <c r="Z290" s="47" t="str">
        <f ca="1">IFERROR(VLOOKUP(A290,catalogo!$E:$G,3,0),"-")</f>
        <v>-</v>
      </c>
      <c r="AA290" s="48"/>
      <c r="AB290" s="48"/>
      <c r="AC290" s="48" t="str">
        <f ca="1">IFERROR(VLOOKUP(A290,catalogo!$E:$H,4,0),"-")</f>
        <v>-</v>
      </c>
      <c r="AD290" s="48"/>
      <c r="AE290" s="48"/>
      <c r="AF290" s="48"/>
      <c r="AG290" s="48"/>
      <c r="AH290" s="48"/>
      <c r="AI290" s="48"/>
    </row>
    <row r="291" spans="1:35" ht="12.5" hidden="1">
      <c r="A291" s="37" t="s">
        <v>770</v>
      </c>
      <c r="B291" s="38" t="str">
        <f>IFERROR(VLOOKUP(J291,catalogo!$B$1:$C$75,2,0),"-")</f>
        <v>#49</v>
      </c>
      <c r="C291" s="39">
        <v>46061.417361111111</v>
      </c>
      <c r="D291" s="17"/>
      <c r="E291" s="17"/>
      <c r="F291" s="17"/>
      <c r="G291" s="42">
        <v>1004.27</v>
      </c>
      <c r="H291" s="42">
        <v>1004.27</v>
      </c>
      <c r="I291" s="43" t="s">
        <v>156</v>
      </c>
      <c r="J291" s="43" t="s">
        <v>124</v>
      </c>
      <c r="K291" s="43" t="s">
        <v>771</v>
      </c>
      <c r="L291" s="44" t="s">
        <v>407</v>
      </c>
      <c r="M291" s="44">
        <v>4488</v>
      </c>
      <c r="N291" s="44" t="s">
        <v>167</v>
      </c>
      <c r="O291" s="17"/>
      <c r="P291" s="17"/>
      <c r="Q291" s="17"/>
      <c r="R291" s="17"/>
      <c r="S291" s="17"/>
      <c r="T291" s="17"/>
      <c r="U291" s="17"/>
      <c r="V291" s="17"/>
      <c r="W291" s="17"/>
      <c r="X291" s="17"/>
      <c r="Y291" s="46" t="str">
        <f ca="1">IFERROR(VLOOKUP(A291,catalogo!$E:$H,2,0),"-")</f>
        <v>-</v>
      </c>
      <c r="Z291" s="47" t="str">
        <f ca="1">IFERROR(VLOOKUP(A291,catalogo!$E:$G,3,0),"-")</f>
        <v>-</v>
      </c>
      <c r="AA291" s="48"/>
      <c r="AB291" s="48"/>
      <c r="AC291" s="48" t="str">
        <f ca="1">IFERROR(VLOOKUP(A291,catalogo!$E:$H,4,0),"-")</f>
        <v>-</v>
      </c>
      <c r="AD291" s="48"/>
      <c r="AE291" s="48"/>
      <c r="AF291" s="48"/>
      <c r="AG291" s="48"/>
      <c r="AH291" s="48"/>
      <c r="AI291" s="48"/>
    </row>
    <row r="292" spans="1:35" ht="12.5" hidden="1">
      <c r="A292" s="37" t="s">
        <v>772</v>
      </c>
      <c r="B292" s="38" t="str">
        <f>IFERROR(VLOOKUP(J292,catalogo!$B$1:$C$75,2,0),"-")</f>
        <v>#16</v>
      </c>
      <c r="C292" s="39">
        <v>46061.417361111111</v>
      </c>
      <c r="D292" s="17"/>
      <c r="E292" s="17"/>
      <c r="F292" s="17"/>
      <c r="G292" s="42">
        <v>17401.349999999999</v>
      </c>
      <c r="H292" s="42">
        <v>960.48</v>
      </c>
      <c r="I292" s="43" t="s">
        <v>172</v>
      </c>
      <c r="J292" s="43" t="s">
        <v>85</v>
      </c>
      <c r="K292" s="43" t="s">
        <v>773</v>
      </c>
      <c r="L292" s="44" t="s">
        <v>774</v>
      </c>
      <c r="M292" s="44" t="s">
        <v>332</v>
      </c>
      <c r="N292" s="44" t="s">
        <v>144</v>
      </c>
      <c r="O292" s="17"/>
      <c r="P292" s="17"/>
      <c r="Q292" s="17"/>
      <c r="R292" s="17"/>
      <c r="S292" s="17"/>
      <c r="T292" s="17"/>
      <c r="U292" s="17"/>
      <c r="V292" s="17"/>
      <c r="W292" s="17"/>
      <c r="X292" s="17"/>
      <c r="Y292" s="46" t="str">
        <f ca="1">IFERROR(VLOOKUP(A292,catalogo!$E:$H,2,0),"-")</f>
        <v>Office expenses</v>
      </c>
      <c r="Z292" s="47">
        <f ca="1">IFERROR(VLOOKUP(A292,catalogo!$E:$G,3,0),"-")</f>
        <v>0</v>
      </c>
      <c r="AA292" s="48"/>
      <c r="AB292" s="48"/>
      <c r="AC292" s="48">
        <f ca="1">IFERROR(VLOOKUP(A292,catalogo!$E:$H,4,0),"-")</f>
        <v>0</v>
      </c>
      <c r="AD292" s="48"/>
      <c r="AE292" s="48"/>
      <c r="AF292" s="48"/>
      <c r="AG292" s="48"/>
      <c r="AH292" s="48"/>
      <c r="AI292" s="48"/>
    </row>
    <row r="293" spans="1:35" ht="12.5" hidden="1">
      <c r="A293" s="37" t="s">
        <v>775</v>
      </c>
      <c r="B293" s="38" t="str">
        <f>IFERROR(VLOOKUP(J293,catalogo!$B$1:$C$100,2,0),"-")</f>
        <v>#16</v>
      </c>
      <c r="C293" s="39">
        <v>46061.417361111111</v>
      </c>
      <c r="D293" s="17"/>
      <c r="E293" s="17"/>
      <c r="F293" s="17"/>
      <c r="G293" s="42">
        <v>151306.79</v>
      </c>
      <c r="H293" s="42">
        <v>8296.5499999999993</v>
      </c>
      <c r="I293" s="43" t="s">
        <v>172</v>
      </c>
      <c r="J293" s="43" t="s">
        <v>85</v>
      </c>
      <c r="K293" s="43" t="s">
        <v>776</v>
      </c>
      <c r="L293" s="44" t="s">
        <v>777</v>
      </c>
      <c r="M293" s="45" t="s">
        <v>332</v>
      </c>
      <c r="N293" s="44" t="s">
        <v>144</v>
      </c>
      <c r="O293" s="17"/>
      <c r="P293" s="17"/>
      <c r="Q293" s="17"/>
      <c r="R293" s="17"/>
      <c r="S293" s="17"/>
      <c r="T293" s="17"/>
      <c r="U293" s="17"/>
      <c r="V293" s="17"/>
      <c r="W293" s="17"/>
      <c r="X293" s="17"/>
      <c r="Y293" s="46" t="str">
        <f ca="1">IFERROR(VLOOKUP(A293,catalogo!$E:$H,2,0),"-")</f>
        <v>Sales</v>
      </c>
      <c r="Z293" s="47" t="str">
        <f ca="1">IFERROR(VLOOKUP(A293,catalogo!$E:$G,3,0),"-")</f>
        <v>Marketing</v>
      </c>
      <c r="AA293" s="48"/>
      <c r="AB293" s="48"/>
      <c r="AC293" s="48">
        <f ca="1">IFERROR(VLOOKUP(A293,catalogo!$E:$H,4,0),"-")</f>
        <v>0</v>
      </c>
      <c r="AD293" s="48"/>
      <c r="AE293" s="48"/>
      <c r="AF293" s="48"/>
      <c r="AG293" s="48"/>
      <c r="AH293" s="48"/>
      <c r="AI293" s="48"/>
    </row>
    <row r="294" spans="1:35" ht="15.5" hidden="1">
      <c r="A294" s="37" t="s">
        <v>778</v>
      </c>
      <c r="B294" s="38" t="str">
        <f>IFERROR(VLOOKUP(J294,catalogo!$B$1:$C$75,2,0),"-")</f>
        <v>#58</v>
      </c>
      <c r="C294" s="39">
        <v>46061.417361111111</v>
      </c>
      <c r="D294" s="17"/>
      <c r="E294" s="17"/>
      <c r="F294" s="17"/>
      <c r="G294" s="42">
        <v>2407.3200000000002</v>
      </c>
      <c r="H294" s="42">
        <v>132</v>
      </c>
      <c r="I294" s="43" t="s">
        <v>172</v>
      </c>
      <c r="J294" s="43" t="s">
        <v>118</v>
      </c>
      <c r="K294" s="43" t="s">
        <v>779</v>
      </c>
      <c r="L294" s="44" t="s">
        <v>780</v>
      </c>
      <c r="M294" s="45" t="s">
        <v>163</v>
      </c>
      <c r="N294" s="44" t="s">
        <v>144</v>
      </c>
      <c r="O294" s="49"/>
      <c r="P294" s="17"/>
      <c r="Q294" s="17"/>
      <c r="R294" s="17"/>
      <c r="S294" s="17"/>
      <c r="T294" s="17"/>
      <c r="U294" s="17"/>
      <c r="V294" s="17"/>
      <c r="W294" s="17"/>
      <c r="X294" s="17"/>
      <c r="Y294" s="46" t="str">
        <f ca="1">IFERROR(VLOOKUP(A294,catalogo!$E:$H,2,0),"-")</f>
        <v>-</v>
      </c>
      <c r="Z294" s="47" t="str">
        <f ca="1">IFERROR(VLOOKUP(A294,catalogo!$E:$G,3,0),"-")</f>
        <v>-</v>
      </c>
      <c r="AA294" s="48"/>
      <c r="AB294" s="48"/>
      <c r="AC294" s="48" t="str">
        <f ca="1">IFERROR(VLOOKUP(A294,catalogo!$E:$H,4,0),"-")</f>
        <v>-</v>
      </c>
      <c r="AD294" s="48"/>
      <c r="AE294" s="48"/>
      <c r="AF294" s="48"/>
      <c r="AG294" s="48"/>
      <c r="AH294" s="48"/>
      <c r="AI294" s="48"/>
    </row>
    <row r="295" spans="1:35" ht="12.5" hidden="1">
      <c r="A295" s="37" t="s">
        <v>364</v>
      </c>
      <c r="B295" s="38" t="str">
        <f>IFERROR(VLOOKUP(J295,catalogo!$B$1:$C$75,2,0),"-")</f>
        <v>#64</v>
      </c>
      <c r="C295" s="39">
        <v>46061.417361111111</v>
      </c>
      <c r="D295" s="52"/>
      <c r="E295" s="17"/>
      <c r="F295" s="17"/>
      <c r="G295" s="42">
        <v>44</v>
      </c>
      <c r="H295" s="42">
        <v>44</v>
      </c>
      <c r="I295" s="43" t="s">
        <v>156</v>
      </c>
      <c r="J295" s="43" t="s">
        <v>139</v>
      </c>
      <c r="K295" s="43" t="s">
        <v>422</v>
      </c>
      <c r="L295" s="44" t="s">
        <v>423</v>
      </c>
      <c r="M295" s="44">
        <v>7142</v>
      </c>
      <c r="N295" s="44" t="s">
        <v>167</v>
      </c>
      <c r="O295" s="17"/>
      <c r="P295" s="17"/>
      <c r="Q295" s="17"/>
      <c r="R295" s="17"/>
      <c r="S295" s="17"/>
      <c r="T295" s="17"/>
      <c r="U295" s="17"/>
      <c r="V295" s="17"/>
      <c r="W295" s="17"/>
      <c r="X295" s="17"/>
      <c r="Y295" s="46" t="str">
        <f ca="1">IFERROR(VLOOKUP(A295,catalogo!$E:$H,2,0),"-")</f>
        <v>-</v>
      </c>
      <c r="Z295" s="47" t="str">
        <f ca="1">IFERROR(VLOOKUP(A295,catalogo!$E:$G,3,0),"-")</f>
        <v>-</v>
      </c>
      <c r="AA295" s="48"/>
      <c r="AB295" s="48"/>
      <c r="AC295" s="48" t="str">
        <f ca="1">IFERROR(VLOOKUP(A295,catalogo!$E:$H,4,0),"-")</f>
        <v>-</v>
      </c>
      <c r="AD295" s="48"/>
      <c r="AE295" s="48"/>
      <c r="AF295" s="48"/>
      <c r="AG295" s="48"/>
      <c r="AH295" s="48"/>
      <c r="AI295" s="48"/>
    </row>
    <row r="296" spans="1:35" ht="15.5" hidden="1">
      <c r="A296" s="37" t="s">
        <v>781</v>
      </c>
      <c r="B296" s="38" t="str">
        <f>IFERROR(VLOOKUP(J296,catalogo!$B$1:$C$75,2,0),"-")</f>
        <v>#64</v>
      </c>
      <c r="C296" s="39">
        <v>46061.417361111111</v>
      </c>
      <c r="D296" s="17"/>
      <c r="E296" s="17"/>
      <c r="F296" s="17"/>
      <c r="G296" s="42">
        <v>37.9</v>
      </c>
      <c r="H296" s="42">
        <v>37.9</v>
      </c>
      <c r="I296" s="43" t="s">
        <v>156</v>
      </c>
      <c r="J296" s="43" t="s">
        <v>139</v>
      </c>
      <c r="K296" s="43" t="s">
        <v>169</v>
      </c>
      <c r="L296" s="44" t="s">
        <v>170</v>
      </c>
      <c r="M296" s="45">
        <v>7142</v>
      </c>
      <c r="N296" s="44" t="s">
        <v>167</v>
      </c>
      <c r="O296" s="49"/>
      <c r="P296" s="17"/>
      <c r="Q296" s="17"/>
      <c r="R296" s="17"/>
      <c r="S296" s="17"/>
      <c r="T296" s="17"/>
      <c r="U296" s="17"/>
      <c r="V296" s="17"/>
      <c r="W296" s="17"/>
      <c r="X296" s="17"/>
      <c r="Y296" s="46" t="str">
        <f ca="1">IFERROR(VLOOKUP(A296,catalogo!$E:$H,2,0),"-")</f>
        <v>-</v>
      </c>
      <c r="Z296" s="47" t="str">
        <f ca="1">IFERROR(VLOOKUP(A296,catalogo!$E:$G,3,0),"-")</f>
        <v>-</v>
      </c>
      <c r="AA296" s="48"/>
      <c r="AB296" s="48"/>
      <c r="AC296" s="48" t="str">
        <f ca="1">IFERROR(VLOOKUP(A296,catalogo!$E:$H,4,0),"-")</f>
        <v>-</v>
      </c>
      <c r="AD296" s="48"/>
      <c r="AE296" s="48"/>
      <c r="AF296" s="48"/>
      <c r="AG296" s="48"/>
      <c r="AH296" s="48"/>
      <c r="AI296" s="48"/>
    </row>
    <row r="297" spans="1:35" ht="12.5" hidden="1">
      <c r="A297" s="37" t="s">
        <v>782</v>
      </c>
      <c r="B297" s="38" t="str">
        <f>IFERROR(VLOOKUP(J297,catalogo!$B$1:$C$85,2,0),"-")</f>
        <v>#24</v>
      </c>
      <c r="C297" s="39">
        <v>46061.417361111111</v>
      </c>
      <c r="D297" s="17"/>
      <c r="E297" s="17"/>
      <c r="F297" s="17"/>
      <c r="G297" s="42">
        <v>3579.95</v>
      </c>
      <c r="H297" s="42">
        <v>3579.95</v>
      </c>
      <c r="I297" s="43" t="s">
        <v>156</v>
      </c>
      <c r="J297" s="43" t="s">
        <v>129</v>
      </c>
      <c r="K297" s="43" t="s">
        <v>783</v>
      </c>
      <c r="L297" s="44" t="s">
        <v>784</v>
      </c>
      <c r="M297" s="45">
        <v>5596</v>
      </c>
      <c r="N297" s="44" t="s">
        <v>167</v>
      </c>
      <c r="O297" s="17"/>
      <c r="P297" s="17"/>
      <c r="Q297" s="17"/>
      <c r="R297" s="17"/>
      <c r="S297" s="17"/>
      <c r="T297" s="17"/>
      <c r="U297" s="17"/>
      <c r="V297" s="17"/>
      <c r="W297" s="17"/>
      <c r="X297" s="17"/>
      <c r="Y297" s="46" t="str">
        <f ca="1">IFERROR(VLOOKUP(A297,catalogo!$E:$H,2,0),"-")</f>
        <v>-</v>
      </c>
      <c r="Z297" s="47" t="str">
        <f ca="1">IFERROR(VLOOKUP(A297,catalogo!$E:$G,3,0),"-")</f>
        <v>-</v>
      </c>
      <c r="AA297" s="48"/>
      <c r="AB297" s="48"/>
      <c r="AC297" s="48" t="str">
        <f ca="1">IFERROR(VLOOKUP(A297,catalogo!$E:$H,4,0),"-")</f>
        <v>-</v>
      </c>
      <c r="AD297" s="48"/>
      <c r="AE297" s="48"/>
      <c r="AF297" s="48"/>
      <c r="AG297" s="48"/>
      <c r="AH297" s="48"/>
      <c r="AI297" s="48"/>
    </row>
    <row r="298" spans="1:35" ht="12.5" hidden="1">
      <c r="A298" s="37" t="s">
        <v>785</v>
      </c>
      <c r="B298" s="38" t="str">
        <f>IFERROR(VLOOKUP(J298,catalogo!$B$1:$C$75,2,0),"-")</f>
        <v>#68</v>
      </c>
      <c r="C298" s="39">
        <v>46061.417361111111</v>
      </c>
      <c r="D298" s="17"/>
      <c r="E298" s="17"/>
      <c r="F298" s="17"/>
      <c r="G298" s="42">
        <v>1075.8499999999999</v>
      </c>
      <c r="H298" s="42">
        <v>1075.8499999999999</v>
      </c>
      <c r="I298" s="43" t="s">
        <v>156</v>
      </c>
      <c r="J298" s="43" t="s">
        <v>384</v>
      </c>
      <c r="K298" s="43" t="s">
        <v>786</v>
      </c>
      <c r="L298" s="44" t="s">
        <v>787</v>
      </c>
      <c r="M298" s="45">
        <v>2937</v>
      </c>
      <c r="N298" s="44" t="s">
        <v>167</v>
      </c>
      <c r="O298" s="17"/>
      <c r="P298" s="17"/>
      <c r="Q298" s="17"/>
      <c r="R298" s="17"/>
      <c r="S298" s="17"/>
      <c r="T298" s="17"/>
      <c r="U298" s="17"/>
      <c r="V298" s="17"/>
      <c r="W298" s="17"/>
      <c r="X298" s="17"/>
      <c r="Y298" s="46" t="str">
        <f ca="1">IFERROR(VLOOKUP(A298,catalogo!$E:$H,2,0),"-")</f>
        <v>-</v>
      </c>
      <c r="Z298" s="47" t="str">
        <f ca="1">IFERROR(VLOOKUP(A298,catalogo!$E:$G,3,0),"-")</f>
        <v>-</v>
      </c>
      <c r="AA298" s="48"/>
      <c r="AB298" s="48"/>
      <c r="AC298" s="48" t="str">
        <f ca="1">IFERROR(VLOOKUP(A298,catalogo!$E:$H,4,0),"-")</f>
        <v>-</v>
      </c>
      <c r="AD298" s="48"/>
      <c r="AE298" s="48"/>
      <c r="AF298" s="48"/>
      <c r="AG298" s="48"/>
      <c r="AH298" s="48"/>
      <c r="AI298" s="48"/>
    </row>
    <row r="299" spans="1:35" ht="12.5" hidden="1">
      <c r="A299" s="37" t="s">
        <v>788</v>
      </c>
      <c r="B299" s="38" t="str">
        <f>IFERROR(VLOOKUP(J299,catalogo!$B$1:$C$100,2,0),"-")</f>
        <v>#64</v>
      </c>
      <c r="C299" s="39">
        <v>46061.417361111111</v>
      </c>
      <c r="D299" s="17"/>
      <c r="E299" s="17"/>
      <c r="F299" s="17"/>
      <c r="G299" s="42">
        <v>803</v>
      </c>
      <c r="H299" s="42">
        <v>803</v>
      </c>
      <c r="I299" s="43" t="s">
        <v>156</v>
      </c>
      <c r="J299" s="43" t="s">
        <v>139</v>
      </c>
      <c r="K299" s="43" t="s">
        <v>789</v>
      </c>
      <c r="L299" s="44" t="s">
        <v>790</v>
      </c>
      <c r="M299" s="44">
        <v>7142</v>
      </c>
      <c r="N299" s="44" t="s">
        <v>167</v>
      </c>
      <c r="O299" s="17"/>
      <c r="P299" s="17"/>
      <c r="Q299" s="17"/>
      <c r="R299" s="17"/>
      <c r="S299" s="17"/>
      <c r="T299" s="17"/>
      <c r="U299" s="17"/>
      <c r="V299" s="17"/>
      <c r="W299" s="17"/>
      <c r="X299" s="17"/>
      <c r="Y299" s="46" t="str">
        <f ca="1">IFERROR(VLOOKUP(A299,catalogo!$E:$G,2,0),"-")</f>
        <v>-</v>
      </c>
      <c r="Z299" s="47" t="str">
        <f ca="1">IFERROR(VLOOKUP(A299,catalogo!$E:$G,3,0),"-")</f>
        <v>-</v>
      </c>
      <c r="AA299" s="48"/>
      <c r="AB299" s="48"/>
      <c r="AC299" s="48" t="str">
        <f ca="1">IFERROR(VLOOKUP(A299,catalogo!$E:$H,4,0),"-")</f>
        <v>-</v>
      </c>
      <c r="AD299" s="48"/>
      <c r="AE299" s="48"/>
      <c r="AF299" s="48"/>
      <c r="AG299" s="48"/>
      <c r="AH299" s="48"/>
      <c r="AI299" s="48"/>
    </row>
    <row r="300" spans="1:35" ht="15.5" hidden="1">
      <c r="A300" s="37" t="s">
        <v>791</v>
      </c>
      <c r="B300" s="38" t="str">
        <f>IFERROR(VLOOKUP(J300,catalogo!$B$1:$C$75,2,0),"-")</f>
        <v>#68</v>
      </c>
      <c r="C300" s="39">
        <v>46061.417361111111</v>
      </c>
      <c r="D300" s="17"/>
      <c r="E300" s="17"/>
      <c r="F300" s="17"/>
      <c r="G300" s="42">
        <v>210</v>
      </c>
      <c r="H300" s="42">
        <v>210</v>
      </c>
      <c r="I300" s="43" t="s">
        <v>156</v>
      </c>
      <c r="J300" s="43" t="s">
        <v>384</v>
      </c>
      <c r="K300" s="43" t="s">
        <v>792</v>
      </c>
      <c r="L300" s="44" t="s">
        <v>793</v>
      </c>
      <c r="M300" s="44">
        <v>2937</v>
      </c>
      <c r="N300" s="44" t="s">
        <v>167</v>
      </c>
      <c r="O300" s="49"/>
      <c r="P300" s="17"/>
      <c r="Q300" s="17"/>
      <c r="R300" s="17"/>
      <c r="S300" s="17"/>
      <c r="T300" s="17"/>
      <c r="U300" s="17"/>
      <c r="V300" s="17"/>
      <c r="W300" s="17"/>
      <c r="X300" s="17"/>
      <c r="Y300" s="46" t="str">
        <f ca="1">IFERROR(VLOOKUP(A300,catalogo!$E:$H,2,0),"-")</f>
        <v>-</v>
      </c>
      <c r="Z300" s="47" t="str">
        <f ca="1">IFERROR(VLOOKUP(A300,catalogo!$E:$G,3,0),"-")</f>
        <v>-</v>
      </c>
      <c r="AA300" s="48"/>
      <c r="AB300" s="48"/>
      <c r="AC300" s="48" t="str">
        <f ca="1">IFERROR(VLOOKUP(A300,catalogo!$E:$H,4,0),"-")</f>
        <v>-</v>
      </c>
      <c r="AD300" s="48"/>
      <c r="AE300" s="48"/>
      <c r="AF300" s="48"/>
      <c r="AG300" s="48"/>
      <c r="AH300" s="48"/>
      <c r="AI300" s="48"/>
    </row>
    <row r="301" spans="1:35" ht="12.5" hidden="1">
      <c r="A301" s="37" t="s">
        <v>794</v>
      </c>
      <c r="B301" s="38" t="str">
        <f>IFERROR(VLOOKUP(J301,catalogo!$B$1:$C$100,2,0),"-")</f>
        <v>#78</v>
      </c>
      <c r="C301" s="39">
        <v>46061.417361111111</v>
      </c>
      <c r="D301" s="17"/>
      <c r="E301" s="17"/>
      <c r="F301" s="17"/>
      <c r="G301" s="42">
        <v>916.3</v>
      </c>
      <c r="H301" s="42">
        <v>916.3</v>
      </c>
      <c r="I301" s="43" t="s">
        <v>156</v>
      </c>
      <c r="J301" s="43" t="s">
        <v>600</v>
      </c>
      <c r="K301" s="43" t="s">
        <v>795</v>
      </c>
      <c r="L301" s="44" t="s">
        <v>796</v>
      </c>
      <c r="M301" s="44">
        <v>9794</v>
      </c>
      <c r="N301" s="44" t="s">
        <v>167</v>
      </c>
      <c r="O301" s="17"/>
      <c r="P301" s="17"/>
      <c r="Q301" s="17"/>
      <c r="R301" s="17"/>
      <c r="S301" s="17"/>
      <c r="T301" s="17"/>
      <c r="U301" s="17"/>
      <c r="V301" s="17"/>
      <c r="W301" s="17"/>
      <c r="X301" s="17"/>
      <c r="Y301" s="46" t="str">
        <f ca="1">IFERROR(VLOOKUP(A301,catalogo!$E:$G,2,0),"-")</f>
        <v>-</v>
      </c>
      <c r="Z301" s="47" t="str">
        <f ca="1">IFERROR(VLOOKUP(A301,catalogo!$E:$G,3,0),"-")</f>
        <v>-</v>
      </c>
      <c r="AA301" s="48"/>
      <c r="AB301" s="48"/>
      <c r="AC301" s="48" t="str">
        <f ca="1">IFERROR(VLOOKUP(A301,catalogo!$E:$H,4,0),"-")</f>
        <v>-</v>
      </c>
      <c r="AD301" s="48"/>
      <c r="AE301" s="48"/>
      <c r="AF301" s="48"/>
      <c r="AG301" s="48"/>
      <c r="AH301" s="48"/>
      <c r="AI301" s="48"/>
    </row>
    <row r="302" spans="1:35" ht="15.5" hidden="1">
      <c r="A302" s="37" t="s">
        <v>797</v>
      </c>
      <c r="B302" s="38" t="str">
        <f>IFERROR(VLOOKUP(J302,catalogo!$B$1:$C$75,2,0),"-")</f>
        <v>-</v>
      </c>
      <c r="C302" s="39">
        <v>46061.417361111111</v>
      </c>
      <c r="D302" s="17"/>
      <c r="E302" s="17"/>
      <c r="F302" s="17"/>
      <c r="G302" s="42">
        <v>756.88</v>
      </c>
      <c r="H302" s="42">
        <v>756.88</v>
      </c>
      <c r="I302" s="43" t="s">
        <v>156</v>
      </c>
      <c r="J302" s="43" t="s">
        <v>798</v>
      </c>
      <c r="K302" s="43" t="s">
        <v>799</v>
      </c>
      <c r="L302" s="44" t="s">
        <v>800</v>
      </c>
      <c r="M302" s="45">
        <v>4091</v>
      </c>
      <c r="N302" s="44" t="s">
        <v>167</v>
      </c>
      <c r="O302" s="49"/>
      <c r="P302" s="17"/>
      <c r="Q302" s="17"/>
      <c r="R302" s="17"/>
      <c r="S302" s="17"/>
      <c r="T302" s="17"/>
      <c r="U302" s="17"/>
      <c r="V302" s="17"/>
      <c r="W302" s="17"/>
      <c r="X302" s="17"/>
      <c r="Y302" s="46" t="str">
        <f ca="1">IFERROR(VLOOKUP(A302,catalogo!$E:$H,2,0),"-")</f>
        <v>-</v>
      </c>
      <c r="Z302" s="47" t="str">
        <f ca="1">IFERROR(VLOOKUP(A302,catalogo!$E:$G,3,0),"-")</f>
        <v>-</v>
      </c>
      <c r="AA302" s="48"/>
      <c r="AB302" s="48"/>
      <c r="AC302" s="48" t="str">
        <f ca="1">IFERROR(VLOOKUP(A302,catalogo!$E:$H,4,0),"-")</f>
        <v>-</v>
      </c>
      <c r="AD302" s="48"/>
      <c r="AE302" s="48"/>
      <c r="AF302" s="48"/>
      <c r="AG302" s="48"/>
      <c r="AH302" s="48"/>
      <c r="AI302" s="48"/>
    </row>
    <row r="303" spans="1:35" ht="12.5" hidden="1">
      <c r="A303" s="37" t="s">
        <v>283</v>
      </c>
      <c r="B303" s="38" t="str">
        <f>IFERROR(VLOOKUP(J303,catalogo!$B$1:$C$75,2,0),"-")</f>
        <v>-</v>
      </c>
      <c r="C303" s="39">
        <v>46061.417361111111</v>
      </c>
      <c r="D303" s="17"/>
      <c r="E303" s="17"/>
      <c r="F303" s="17"/>
      <c r="G303" s="42">
        <v>61.2</v>
      </c>
      <c r="H303" s="42">
        <v>61.2</v>
      </c>
      <c r="I303" s="43" t="s">
        <v>156</v>
      </c>
      <c r="J303" s="43" t="s">
        <v>269</v>
      </c>
      <c r="K303" s="43" t="s">
        <v>374</v>
      </c>
      <c r="L303" s="44" t="s">
        <v>375</v>
      </c>
      <c r="M303" s="44">
        <v>6130</v>
      </c>
      <c r="N303" s="44" t="s">
        <v>167</v>
      </c>
      <c r="O303" s="17"/>
      <c r="P303" s="17"/>
      <c r="Q303" s="17"/>
      <c r="R303" s="17"/>
      <c r="S303" s="17"/>
      <c r="T303" s="17"/>
      <c r="U303" s="17"/>
      <c r="V303" s="17"/>
      <c r="W303" s="17"/>
      <c r="X303" s="17"/>
      <c r="Y303" s="46" t="str">
        <f ca="1">IFERROR(VLOOKUP(A303,catalogo!$E:$H,2,0),"-")</f>
        <v>Transaction cost</v>
      </c>
      <c r="Z303" s="47" t="str">
        <f ca="1">IFERROR(VLOOKUP(A303,catalogo!$E:$G,3,0),"-")</f>
        <v>PO2023 SIB 99 min</v>
      </c>
      <c r="AA303" s="48"/>
      <c r="AB303" s="48"/>
      <c r="AC303" s="48" t="str">
        <f ca="1">IFERROR(VLOOKUP(A303,catalogo!$E:$H,4,0),"-")</f>
        <v>-</v>
      </c>
      <c r="AD303" s="48"/>
      <c r="AE303" s="48"/>
      <c r="AF303" s="48"/>
      <c r="AG303" s="48"/>
      <c r="AH303" s="48"/>
      <c r="AI303" s="48"/>
    </row>
    <row r="304" spans="1:35" ht="12.5" hidden="1">
      <c r="A304" s="37" t="s">
        <v>801</v>
      </c>
      <c r="B304" s="38" t="str">
        <f>IFERROR(VLOOKUP(J304,catalogo!$B$1:$C$75,2,0),"-")</f>
        <v>#52</v>
      </c>
      <c r="C304" s="39">
        <v>46061.417361111111</v>
      </c>
      <c r="D304" s="40"/>
      <c r="E304" s="41"/>
      <c r="F304" s="41"/>
      <c r="G304" s="42">
        <v>72.47</v>
      </c>
      <c r="H304" s="42">
        <v>4</v>
      </c>
      <c r="I304" s="43" t="s">
        <v>172</v>
      </c>
      <c r="J304" s="43" t="s">
        <v>253</v>
      </c>
      <c r="K304" s="43" t="s">
        <v>537</v>
      </c>
      <c r="L304" s="44" t="s">
        <v>233</v>
      </c>
      <c r="M304" s="45">
        <v>6137</v>
      </c>
      <c r="N304" s="44" t="s">
        <v>167</v>
      </c>
      <c r="O304" s="41"/>
      <c r="P304" s="41"/>
      <c r="Q304" s="41"/>
      <c r="R304" s="41"/>
      <c r="S304" s="41"/>
      <c r="T304" s="41"/>
      <c r="U304" s="41"/>
      <c r="V304" s="41"/>
      <c r="W304" s="41"/>
      <c r="X304" s="41"/>
      <c r="Y304" s="46" t="str">
        <f ca="1">IFERROR(VLOOKUP(A304,catalogo!$E:$H,2,0),"-")</f>
        <v>Tech&amp;Product</v>
      </c>
      <c r="Z304" s="47">
        <f ca="1">IFERROR(VLOOKUP(A304,catalogo!$E:$G,3,0),"-")</f>
        <v>0</v>
      </c>
      <c r="AA304" s="48"/>
      <c r="AB304" s="48"/>
      <c r="AC304" s="48">
        <f ca="1">IFERROR(VLOOKUP(A304,catalogo!$E:$H,4,0),"-")</f>
        <v>0</v>
      </c>
      <c r="AD304" s="48"/>
      <c r="AE304" s="48"/>
      <c r="AF304" s="48"/>
      <c r="AG304" s="48"/>
      <c r="AH304" s="48"/>
      <c r="AI304" s="48"/>
    </row>
    <row r="305" spans="1:35" ht="12.5" hidden="1">
      <c r="A305" s="37" t="s">
        <v>802</v>
      </c>
      <c r="B305" s="38" t="str">
        <f>IFERROR(VLOOKUP(J305,catalogo!$B$1:$C$70,2,0),"-")</f>
        <v>#52</v>
      </c>
      <c r="C305" s="39">
        <v>46061.417361111111</v>
      </c>
      <c r="D305" s="17"/>
      <c r="E305" s="17"/>
      <c r="F305" s="17"/>
      <c r="G305" s="42">
        <v>379.56</v>
      </c>
      <c r="H305" s="42">
        <v>20.95</v>
      </c>
      <c r="I305" s="43" t="s">
        <v>172</v>
      </c>
      <c r="J305" s="43" t="s">
        <v>253</v>
      </c>
      <c r="K305" s="43" t="s">
        <v>452</v>
      </c>
      <c r="L305" s="44" t="s">
        <v>233</v>
      </c>
      <c r="M305" s="44">
        <v>6137</v>
      </c>
      <c r="N305" s="44" t="s">
        <v>167</v>
      </c>
      <c r="O305" s="17"/>
      <c r="P305" s="17"/>
      <c r="Q305" s="17"/>
      <c r="R305" s="17"/>
      <c r="S305" s="17"/>
      <c r="T305" s="17"/>
      <c r="U305" s="17"/>
      <c r="V305" s="17"/>
      <c r="W305" s="17"/>
      <c r="X305" s="17"/>
      <c r="Y305" s="46" t="str">
        <f ca="1">IFERROR(VLOOKUP(A305,catalogo!$E:$G,2,0),"-")</f>
        <v>-</v>
      </c>
      <c r="Z305" s="47" t="str">
        <f ca="1">IFERROR(VLOOKUP(A305,catalogo!$E:$G,3,0),"-")</f>
        <v>-</v>
      </c>
      <c r="AA305" s="48"/>
      <c r="AB305" s="48"/>
      <c r="AC305" s="48" t="str">
        <f ca="1">IFERROR(VLOOKUP(A305,catalogo!$E:$H,4,0),"-")</f>
        <v>-</v>
      </c>
      <c r="AD305" s="48"/>
      <c r="AE305" s="48"/>
      <c r="AF305" s="48"/>
      <c r="AG305" s="48"/>
      <c r="AH305" s="48"/>
      <c r="AI305" s="48"/>
    </row>
    <row r="306" spans="1:35" ht="12.5" hidden="1">
      <c r="A306" s="37" t="s">
        <v>803</v>
      </c>
      <c r="B306" s="38" t="str">
        <f>IFERROR(VLOOKUP(J306,catalogo!$B$1:$C$75,2,0),"-")</f>
        <v>-</v>
      </c>
      <c r="C306" s="39">
        <v>46061.417361111111</v>
      </c>
      <c r="D306" s="40"/>
      <c r="E306" s="41"/>
      <c r="F306" s="41"/>
      <c r="G306" s="42">
        <v>299.19</v>
      </c>
      <c r="H306" s="42">
        <v>299.19</v>
      </c>
      <c r="I306" s="43" t="s">
        <v>156</v>
      </c>
      <c r="J306" s="43" t="s">
        <v>798</v>
      </c>
      <c r="K306" s="43" t="s">
        <v>804</v>
      </c>
      <c r="L306" s="44" t="s">
        <v>331</v>
      </c>
      <c r="M306" s="45">
        <v>4091</v>
      </c>
      <c r="N306" s="44" t="s">
        <v>167</v>
      </c>
      <c r="O306" s="41"/>
      <c r="P306" s="41"/>
      <c r="Q306" s="41"/>
      <c r="R306" s="41"/>
      <c r="S306" s="41"/>
      <c r="T306" s="41"/>
      <c r="U306" s="41"/>
      <c r="V306" s="41"/>
      <c r="W306" s="41"/>
      <c r="X306" s="41"/>
      <c r="Y306" s="46" t="str">
        <f ca="1">IFERROR(VLOOKUP(A306,catalogo!$E:$H,2,0),"-")</f>
        <v>-</v>
      </c>
      <c r="Z306" s="47" t="str">
        <f ca="1">IFERROR(VLOOKUP(A306,catalogo!$E:$G,3,0),"-")</f>
        <v>-</v>
      </c>
      <c r="AA306" s="48"/>
      <c r="AB306" s="48"/>
      <c r="AC306" s="48" t="str">
        <f ca="1">IFERROR(VLOOKUP(A306,catalogo!$E:$H,4,0),"-")</f>
        <v>-</v>
      </c>
      <c r="AD306" s="48"/>
      <c r="AE306" s="48"/>
      <c r="AF306" s="48"/>
      <c r="AG306" s="48"/>
      <c r="AH306" s="48"/>
      <c r="AI306" s="48"/>
    </row>
    <row r="307" spans="1:35" ht="12.5" hidden="1">
      <c r="A307" s="37" t="s">
        <v>277</v>
      </c>
      <c r="B307" s="38" t="str">
        <f>IFERROR(VLOOKUP(J307,catalogo!$B$1:$C$75,2,0),"-")</f>
        <v>#52</v>
      </c>
      <c r="C307" s="39">
        <v>46061.417361111111</v>
      </c>
      <c r="D307" s="17"/>
      <c r="E307" s="17"/>
      <c r="F307" s="17"/>
      <c r="G307" s="42">
        <v>54.35</v>
      </c>
      <c r="H307" s="42">
        <v>3</v>
      </c>
      <c r="I307" s="43" t="s">
        <v>172</v>
      </c>
      <c r="J307" s="43" t="s">
        <v>253</v>
      </c>
      <c r="K307" s="43" t="s">
        <v>537</v>
      </c>
      <c r="L307" s="44" t="s">
        <v>233</v>
      </c>
      <c r="M307" s="44">
        <v>6137</v>
      </c>
      <c r="N307" s="44" t="s">
        <v>167</v>
      </c>
      <c r="O307" s="17"/>
      <c r="P307" s="17"/>
      <c r="Q307" s="17"/>
      <c r="R307" s="17"/>
      <c r="S307" s="17"/>
      <c r="T307" s="17"/>
      <c r="U307" s="17"/>
      <c r="V307" s="17"/>
      <c r="W307" s="17"/>
      <c r="X307" s="17"/>
      <c r="Y307" s="46" t="str">
        <f ca="1">IFERROR(VLOOKUP(A307,catalogo!$E:$H,2,0),"-")</f>
        <v>Transaction cost</v>
      </c>
      <c r="Z307" s="47" t="str">
        <f ca="1">IFERROR(VLOOKUP(A307,catalogo!$E:$G,3,0),"-")</f>
        <v>PO1953  ARTEVALLEDEBRAVO</v>
      </c>
      <c r="AA307" s="48"/>
      <c r="AB307" s="48"/>
      <c r="AC307" s="48" t="str">
        <f ca="1">IFERROR(VLOOKUP(A307,catalogo!$E:$H,4,0),"-")</f>
        <v>-</v>
      </c>
      <c r="AD307" s="48"/>
      <c r="AE307" s="48"/>
      <c r="AF307" s="48"/>
      <c r="AG307" s="48"/>
      <c r="AH307" s="48"/>
      <c r="AI307" s="48"/>
    </row>
    <row r="308" spans="1:35" ht="12.5" hidden="1">
      <c r="A308" s="37" t="s">
        <v>805</v>
      </c>
      <c r="B308" s="38" t="str">
        <f>IFERROR(VLOOKUP(J308,catalogo!$B$1:$C$70,2,0),"-")</f>
        <v>#52</v>
      </c>
      <c r="C308" s="39">
        <v>46061.417361111111</v>
      </c>
      <c r="D308" s="17"/>
      <c r="E308" s="17"/>
      <c r="F308" s="17"/>
      <c r="G308" s="42">
        <v>560.54999999999995</v>
      </c>
      <c r="H308" s="42">
        <v>30.94</v>
      </c>
      <c r="I308" s="43" t="s">
        <v>172</v>
      </c>
      <c r="J308" s="43" t="s">
        <v>253</v>
      </c>
      <c r="K308" s="43" t="s">
        <v>452</v>
      </c>
      <c r="L308" s="44" t="s">
        <v>233</v>
      </c>
      <c r="M308" s="45">
        <v>6137</v>
      </c>
      <c r="N308" s="44" t="s">
        <v>167</v>
      </c>
      <c r="O308" s="17"/>
      <c r="P308" s="17"/>
      <c r="Q308" s="17"/>
      <c r="R308" s="17"/>
      <c r="S308" s="17"/>
      <c r="T308" s="17"/>
      <c r="U308" s="17"/>
      <c r="V308" s="17"/>
      <c r="W308" s="17"/>
      <c r="X308" s="17"/>
      <c r="Y308" s="46" t="str">
        <f ca="1">IFERROR(VLOOKUP(A308,catalogo!$E:$G,2,0),"-")</f>
        <v>-</v>
      </c>
      <c r="Z308" s="47" t="str">
        <f ca="1">IFERROR(VLOOKUP(A308,catalogo!$E:$G,3,0),"-")</f>
        <v>-</v>
      </c>
      <c r="AA308" s="48"/>
      <c r="AB308" s="48"/>
      <c r="AC308" s="48" t="str">
        <f ca="1">IFERROR(VLOOKUP(A308,catalogo!$E:$H,4,0),"-")</f>
        <v>-</v>
      </c>
      <c r="AD308" s="48"/>
      <c r="AE308" s="48"/>
      <c r="AF308" s="48"/>
      <c r="AG308" s="48"/>
      <c r="AH308" s="48"/>
      <c r="AI308" s="48"/>
    </row>
    <row r="309" spans="1:35" ht="12.5" hidden="1">
      <c r="A309" s="37" t="s">
        <v>806</v>
      </c>
      <c r="B309" s="38" t="str">
        <f>IFERROR(VLOOKUP(J309,catalogo!$B$1:$C$75,2,0),"-")</f>
        <v>-</v>
      </c>
      <c r="C309" s="39">
        <v>46061.417361111111</v>
      </c>
      <c r="D309" s="17"/>
      <c r="E309" s="17"/>
      <c r="F309" s="17"/>
      <c r="G309" s="42">
        <v>457.03</v>
      </c>
      <c r="H309" s="42">
        <v>25.06</v>
      </c>
      <c r="I309" s="43" t="s">
        <v>172</v>
      </c>
      <c r="J309" s="43" t="s">
        <v>343</v>
      </c>
      <c r="K309" s="43" t="s">
        <v>807</v>
      </c>
      <c r="L309" s="44" t="s">
        <v>808</v>
      </c>
      <c r="M309" s="45">
        <v>6747</v>
      </c>
      <c r="N309" s="44" t="s">
        <v>167</v>
      </c>
      <c r="O309" s="17"/>
      <c r="P309" s="17"/>
      <c r="Q309" s="17"/>
      <c r="R309" s="17"/>
      <c r="S309" s="17"/>
      <c r="T309" s="17"/>
      <c r="U309" s="17"/>
      <c r="V309" s="17"/>
      <c r="W309" s="17"/>
      <c r="X309" s="17"/>
      <c r="Y309" s="46" t="str">
        <f ca="1">IFERROR(VLOOKUP(A309,catalogo!$E:$H,2,0),"-")</f>
        <v>-</v>
      </c>
      <c r="Z309" s="47" t="str">
        <f ca="1">IFERROR(VLOOKUP(A309,catalogo!$E:$G,3,0),"-")</f>
        <v>-</v>
      </c>
      <c r="AA309" s="48"/>
      <c r="AB309" s="48"/>
      <c r="AC309" s="48" t="str">
        <f ca="1">IFERROR(VLOOKUP(A309,catalogo!$E:$H,4,0),"-")</f>
        <v>-</v>
      </c>
      <c r="AD309" s="48"/>
      <c r="AE309" s="48"/>
      <c r="AF309" s="48"/>
      <c r="AG309" s="48"/>
      <c r="AH309" s="48"/>
      <c r="AI309" s="48"/>
    </row>
    <row r="310" spans="1:35" ht="15.5" hidden="1">
      <c r="A310" s="37" t="s">
        <v>809</v>
      </c>
      <c r="B310" s="38" t="str">
        <f>IFERROR(VLOOKUP(J310,catalogo!$B$1:$C$75,2,0),"-")</f>
        <v>#52</v>
      </c>
      <c r="C310" s="39">
        <v>46061.417361111111</v>
      </c>
      <c r="D310" s="17"/>
      <c r="E310" s="17"/>
      <c r="F310" s="17"/>
      <c r="G310" s="42">
        <v>252.37</v>
      </c>
      <c r="H310" s="42">
        <v>13.93</v>
      </c>
      <c r="I310" s="43" t="s">
        <v>172</v>
      </c>
      <c r="J310" s="43" t="s">
        <v>253</v>
      </c>
      <c r="K310" s="43" t="s">
        <v>452</v>
      </c>
      <c r="L310" s="44" t="s">
        <v>233</v>
      </c>
      <c r="M310" s="44">
        <v>6137</v>
      </c>
      <c r="N310" s="44" t="s">
        <v>167</v>
      </c>
      <c r="O310" s="49"/>
      <c r="P310" s="17"/>
      <c r="Q310" s="17"/>
      <c r="R310" s="17"/>
      <c r="S310" s="17"/>
      <c r="T310" s="17"/>
      <c r="U310" s="17"/>
      <c r="V310" s="17"/>
      <c r="W310" s="17"/>
      <c r="X310" s="17"/>
      <c r="Y310" s="46" t="str">
        <f ca="1">IFERROR(VLOOKUP(A310,catalogo!$E:$H,2,0),"-")</f>
        <v>-</v>
      </c>
      <c r="Z310" s="47" t="str">
        <f ca="1">IFERROR(VLOOKUP(A310,catalogo!$E:$G,3,0),"-")</f>
        <v>-</v>
      </c>
      <c r="AA310" s="48"/>
      <c r="AB310" s="48"/>
      <c r="AC310" s="48" t="str">
        <f ca="1">IFERROR(VLOOKUP(A310,catalogo!$E:$H,4,0),"-")</f>
        <v>-</v>
      </c>
      <c r="AD310" s="48"/>
      <c r="AE310" s="48"/>
      <c r="AF310" s="48"/>
      <c r="AG310" s="48"/>
      <c r="AH310" s="48"/>
      <c r="AI310" s="48"/>
    </row>
    <row r="311" spans="1:35" ht="12.5" hidden="1">
      <c r="A311" s="37" t="s">
        <v>810</v>
      </c>
      <c r="B311" s="38" t="str">
        <f>IFERROR(VLOOKUP(J311,catalogo!$B$1:$C$70,2,0),"-")</f>
        <v>-</v>
      </c>
      <c r="C311" s="39">
        <v>46062.416666666664</v>
      </c>
      <c r="D311" s="17"/>
      <c r="E311" s="17"/>
      <c r="F311" s="17"/>
      <c r="G311" s="42">
        <v>149.58000000000001</v>
      </c>
      <c r="H311" s="42">
        <v>149.58000000000001</v>
      </c>
      <c r="I311" s="43" t="s">
        <v>156</v>
      </c>
      <c r="J311" s="43" t="s">
        <v>187</v>
      </c>
      <c r="K311" s="43" t="s">
        <v>232</v>
      </c>
      <c r="L311" s="44" t="s">
        <v>233</v>
      </c>
      <c r="M311" s="45" t="s">
        <v>477</v>
      </c>
      <c r="N311" s="44" t="s">
        <v>144</v>
      </c>
      <c r="O311" s="17"/>
      <c r="P311" s="17"/>
      <c r="Q311" s="17"/>
      <c r="R311" s="17"/>
      <c r="S311" s="17"/>
      <c r="T311" s="17"/>
      <c r="U311" s="17"/>
      <c r="V311" s="17"/>
      <c r="W311" s="17"/>
      <c r="X311" s="17"/>
      <c r="Y311" s="46" t="str">
        <f ca="1">IFERROR(VLOOKUP(A311,catalogo!$E:$G,2,0),"-")</f>
        <v>-</v>
      </c>
      <c r="Z311" s="47" t="str">
        <f ca="1">IFERROR(VLOOKUP(A311,catalogo!$E:$G,3,0),"-")</f>
        <v>-</v>
      </c>
      <c r="AA311" s="48"/>
      <c r="AB311" s="48"/>
      <c r="AC311" s="48" t="str">
        <f ca="1">IFERROR(VLOOKUP(A311,catalogo!$E:$H,4,0),"-")</f>
        <v>-</v>
      </c>
      <c r="AD311" s="48"/>
      <c r="AE311" s="48"/>
      <c r="AF311" s="48"/>
      <c r="AG311" s="48"/>
      <c r="AH311" s="48"/>
      <c r="AI311" s="48"/>
    </row>
    <row r="312" spans="1:35" ht="12.5" hidden="1">
      <c r="A312" s="37" t="s">
        <v>811</v>
      </c>
      <c r="B312" s="38" t="str">
        <f>IFERROR(VLOOKUP(J312,catalogo!$B$1:$C$100,2,0),"-")</f>
        <v>#64</v>
      </c>
      <c r="C312" s="39">
        <v>46062.416666666664</v>
      </c>
      <c r="D312" s="17"/>
      <c r="E312" s="17"/>
      <c r="F312" s="17"/>
      <c r="G312" s="42">
        <v>402.22</v>
      </c>
      <c r="H312" s="42">
        <v>402.22</v>
      </c>
      <c r="I312" s="43" t="s">
        <v>156</v>
      </c>
      <c r="J312" s="43" t="s">
        <v>139</v>
      </c>
      <c r="K312" s="43" t="s">
        <v>180</v>
      </c>
      <c r="L312" s="44" t="s">
        <v>181</v>
      </c>
      <c r="M312" s="45">
        <v>7142</v>
      </c>
      <c r="N312" s="44" t="s">
        <v>167</v>
      </c>
      <c r="O312" s="17"/>
      <c r="P312" s="17"/>
      <c r="Q312" s="17"/>
      <c r="R312" s="17"/>
      <c r="S312" s="17"/>
      <c r="T312" s="17"/>
      <c r="U312" s="17"/>
      <c r="V312" s="17"/>
      <c r="W312" s="17"/>
      <c r="X312" s="17"/>
      <c r="Y312" s="46" t="str">
        <f ca="1">IFERROR(VLOOKUP(A312,catalogo!$E:$H,2,0),"-")</f>
        <v>-</v>
      </c>
      <c r="Z312" s="47" t="str">
        <f ca="1">IFERROR(VLOOKUP(A312,catalogo!$E:$G,3,0),"-")</f>
        <v>-</v>
      </c>
      <c r="AA312" s="48"/>
      <c r="AB312" s="48"/>
      <c r="AC312" s="48" t="str">
        <f ca="1">IFERROR(VLOOKUP(A312,catalogo!$E:$H,4,0),"-")</f>
        <v>-</v>
      </c>
      <c r="AD312" s="48"/>
      <c r="AE312" s="48"/>
      <c r="AF312" s="48"/>
      <c r="AG312" s="48"/>
      <c r="AH312" s="48"/>
      <c r="AI312" s="48"/>
    </row>
    <row r="313" spans="1:35" ht="12.5" hidden="1">
      <c r="A313" s="37" t="s">
        <v>812</v>
      </c>
      <c r="B313" s="38" t="str">
        <f>IFERROR(VLOOKUP(J313,catalogo!$B$1:$C$75,2,0),"-")</f>
        <v>-</v>
      </c>
      <c r="C313" s="39">
        <v>46062.416666666664</v>
      </c>
      <c r="D313" s="52"/>
      <c r="E313" s="17"/>
      <c r="F313" s="17"/>
      <c r="G313" s="42">
        <v>251.68</v>
      </c>
      <c r="H313" s="42">
        <v>251.68</v>
      </c>
      <c r="I313" s="43" t="s">
        <v>156</v>
      </c>
      <c r="J313" s="43" t="s">
        <v>187</v>
      </c>
      <c r="K313" s="43" t="s">
        <v>232</v>
      </c>
      <c r="L313" s="44" t="s">
        <v>233</v>
      </c>
      <c r="M313" s="45" t="s">
        <v>477</v>
      </c>
      <c r="N313" s="44" t="s">
        <v>144</v>
      </c>
      <c r="O313" s="17"/>
      <c r="P313" s="17"/>
      <c r="Q313" s="17"/>
      <c r="R313" s="17"/>
      <c r="S313" s="17"/>
      <c r="T313" s="17"/>
      <c r="U313" s="17"/>
      <c r="V313" s="17"/>
      <c r="W313" s="17"/>
      <c r="X313" s="17"/>
      <c r="Y313" s="46" t="str">
        <f ca="1">IFERROR(VLOOKUP(A313,catalogo!$E:$H,2,0),"-")</f>
        <v>-</v>
      </c>
      <c r="Z313" s="47" t="str">
        <f ca="1">IFERROR(VLOOKUP(A313,catalogo!$E:$G,3,0),"-")</f>
        <v>-</v>
      </c>
      <c r="AA313" s="48"/>
      <c r="AB313" s="48"/>
      <c r="AC313" s="48" t="str">
        <f ca="1">IFERROR(VLOOKUP(A313,catalogo!$E:$H,4,0),"-")</f>
        <v>-</v>
      </c>
      <c r="AD313" s="48"/>
      <c r="AE313" s="48"/>
      <c r="AF313" s="48"/>
      <c r="AG313" s="48"/>
      <c r="AH313" s="48"/>
      <c r="AI313" s="48"/>
    </row>
    <row r="314" spans="1:35" ht="12.5" hidden="1">
      <c r="A314" s="37" t="s">
        <v>813</v>
      </c>
      <c r="B314" s="38" t="str">
        <f>IFERROR(VLOOKUP(J314,catalogo!$B$1:$C$85,2,0),"-")</f>
        <v>#68</v>
      </c>
      <c r="C314" s="39">
        <v>46062.416666666664</v>
      </c>
      <c r="D314" s="17"/>
      <c r="E314" s="17"/>
      <c r="F314" s="17"/>
      <c r="G314" s="42">
        <v>69.95</v>
      </c>
      <c r="H314" s="42">
        <v>69.95</v>
      </c>
      <c r="I314" s="43" t="s">
        <v>156</v>
      </c>
      <c r="J314" s="43" t="s">
        <v>384</v>
      </c>
      <c r="K314" s="43" t="s">
        <v>232</v>
      </c>
      <c r="L314" s="44" t="s">
        <v>233</v>
      </c>
      <c r="M314" s="45">
        <v>2937</v>
      </c>
      <c r="N314" s="44" t="s">
        <v>167</v>
      </c>
      <c r="O314" s="17"/>
      <c r="P314" s="17"/>
      <c r="Q314" s="17"/>
      <c r="R314" s="17"/>
      <c r="S314" s="17"/>
      <c r="T314" s="17"/>
      <c r="U314" s="17"/>
      <c r="V314" s="17"/>
      <c r="W314" s="17"/>
      <c r="X314" s="17"/>
      <c r="Y314" s="46" t="str">
        <f ca="1">IFERROR(VLOOKUP(A314,catalogo!$E:$G,2,0),"-")</f>
        <v>-</v>
      </c>
      <c r="Z314" s="47" t="str">
        <f ca="1">IFERROR(VLOOKUP(A314,catalogo!$E:$G,3,0),"-")</f>
        <v>-</v>
      </c>
      <c r="AA314" s="48"/>
      <c r="AB314" s="48"/>
      <c r="AC314" s="48" t="str">
        <f ca="1">IFERROR(VLOOKUP(A314,catalogo!$E:$H,4,0),"-")</f>
        <v>-</v>
      </c>
      <c r="AD314" s="48"/>
      <c r="AE314" s="48"/>
      <c r="AF314" s="48"/>
      <c r="AG314" s="48"/>
      <c r="AH314" s="48"/>
      <c r="AI314" s="48"/>
    </row>
    <row r="315" spans="1:35" ht="12.5" hidden="1">
      <c r="A315" s="57" t="s">
        <v>814</v>
      </c>
      <c r="B315" s="38" t="str">
        <f>IFERROR(VLOOKUP(J315,catalogo!$B$1:$C$85,2,0),"-")</f>
        <v>#56</v>
      </c>
      <c r="C315" s="39">
        <v>46062.416666666664</v>
      </c>
      <c r="D315" s="58"/>
      <c r="E315" s="59"/>
      <c r="F315" s="59"/>
      <c r="G315" s="42">
        <v>292.17</v>
      </c>
      <c r="H315" s="42">
        <v>292.17</v>
      </c>
      <c r="I315" s="43" t="s">
        <v>156</v>
      </c>
      <c r="J315" s="43" t="s">
        <v>99</v>
      </c>
      <c r="K315" s="43" t="s">
        <v>180</v>
      </c>
      <c r="L315" s="44" t="s">
        <v>181</v>
      </c>
      <c r="M315" s="44">
        <v>8949</v>
      </c>
      <c r="N315" s="44" t="s">
        <v>167</v>
      </c>
      <c r="O315" s="59" t="s">
        <v>815</v>
      </c>
      <c r="P315" s="59"/>
      <c r="Q315" s="59"/>
      <c r="R315" s="59"/>
      <c r="S315" s="59"/>
      <c r="T315" s="59"/>
      <c r="U315" s="59"/>
      <c r="V315" s="59"/>
      <c r="W315" s="59"/>
      <c r="X315" s="59"/>
      <c r="Y315" s="46" t="str">
        <f ca="1">IFERROR(VLOOKUP(A315,catalogo!$E:$H,2,0),"-")</f>
        <v>Office expenses</v>
      </c>
      <c r="Z315" s="60" t="str">
        <f ca="1">IFERROR(VLOOKUP(A315,catalogo!$E:$G,3,0),"-")</f>
        <v>MTY ATP + Maken</v>
      </c>
      <c r="AA315" s="61"/>
      <c r="AB315" s="61"/>
      <c r="AC315" s="61" t="str">
        <f ca="1">IFERROR(VLOOKUP(A315,catalogo!$E:$H,4,0),"-")</f>
        <v>.</v>
      </c>
      <c r="AD315" s="61"/>
      <c r="AE315" s="61"/>
      <c r="AF315" s="61"/>
      <c r="AG315" s="61"/>
      <c r="AH315" s="61"/>
      <c r="AI315" s="61"/>
    </row>
    <row r="316" spans="1:35" ht="12.5" hidden="1">
      <c r="A316" s="37" t="s">
        <v>487</v>
      </c>
      <c r="B316" s="38" t="str">
        <f>IFERROR(VLOOKUP(J316,catalogo!$B$1:$C$75,2,0),"-")</f>
        <v>-</v>
      </c>
      <c r="C316" s="39">
        <v>46062.416666666664</v>
      </c>
      <c r="D316" s="52"/>
      <c r="E316" s="17"/>
      <c r="F316" s="17"/>
      <c r="G316" s="42">
        <v>250</v>
      </c>
      <c r="H316" s="42">
        <v>250</v>
      </c>
      <c r="I316" s="43" t="s">
        <v>156</v>
      </c>
      <c r="J316" s="43" t="s">
        <v>325</v>
      </c>
      <c r="K316" s="43" t="s">
        <v>327</v>
      </c>
      <c r="L316" s="44" t="s">
        <v>328</v>
      </c>
      <c r="M316" s="44">
        <v>7984</v>
      </c>
      <c r="N316" s="44" t="s">
        <v>167</v>
      </c>
      <c r="O316" s="17"/>
      <c r="P316" s="17"/>
      <c r="Q316" s="17"/>
      <c r="R316" s="17"/>
      <c r="S316" s="17"/>
      <c r="T316" s="17"/>
      <c r="U316" s="17"/>
      <c r="V316" s="17"/>
      <c r="W316" s="17"/>
      <c r="X316" s="17"/>
      <c r="Y316" s="46" t="str">
        <f ca="1">IFERROR(VLOOKUP(A316,catalogo!$E:$H,2,0),"-")</f>
        <v>-</v>
      </c>
      <c r="Z316" s="47" t="str">
        <f ca="1">IFERROR(VLOOKUP(A316,catalogo!$E:$G,3,0),"-")</f>
        <v>-</v>
      </c>
      <c r="AA316" s="48"/>
      <c r="AB316" s="48"/>
      <c r="AC316" s="48" t="str">
        <f ca="1">IFERROR(VLOOKUP(A316,catalogo!$E:$H,4,0),"-")</f>
        <v>-</v>
      </c>
      <c r="AD316" s="48"/>
      <c r="AE316" s="48"/>
      <c r="AF316" s="48"/>
      <c r="AG316" s="48"/>
      <c r="AH316" s="48"/>
      <c r="AI316" s="48"/>
    </row>
    <row r="317" spans="1:35" ht="12.5" hidden="1">
      <c r="A317" s="37" t="s">
        <v>816</v>
      </c>
      <c r="B317" s="38" t="str">
        <f>IFERROR(VLOOKUP(J317,catalogo!$B$1:$C$100,2,0),"-")</f>
        <v>#26</v>
      </c>
      <c r="C317" s="39">
        <v>46062.416666666664</v>
      </c>
      <c r="D317" s="17"/>
      <c r="E317" s="17"/>
      <c r="F317" s="17"/>
      <c r="G317" s="42">
        <v>1060.5</v>
      </c>
      <c r="H317" s="42">
        <v>1060.5</v>
      </c>
      <c r="I317" s="43" t="s">
        <v>156</v>
      </c>
      <c r="J317" s="43" t="s">
        <v>67</v>
      </c>
      <c r="K317" s="43" t="s">
        <v>817</v>
      </c>
      <c r="L317" s="44" t="s">
        <v>818</v>
      </c>
      <c r="M317" s="45">
        <v>8061</v>
      </c>
      <c r="N317" s="44" t="s">
        <v>167</v>
      </c>
      <c r="O317" s="17"/>
      <c r="P317" s="17"/>
      <c r="Q317" s="17"/>
      <c r="R317" s="17"/>
      <c r="S317" s="17"/>
      <c r="T317" s="17"/>
      <c r="U317" s="17"/>
      <c r="V317" s="17"/>
      <c r="W317" s="17"/>
      <c r="X317" s="17"/>
      <c r="Y317" s="46" t="str">
        <f ca="1">IFERROR(VLOOKUP(A317,catalogo!$E:$G,2,0),"-")</f>
        <v>-</v>
      </c>
      <c r="Z317" s="47" t="str">
        <f ca="1">IFERROR(VLOOKUP(A317,catalogo!$E:$G,3,0),"-")</f>
        <v>-</v>
      </c>
      <c r="AA317" s="48"/>
      <c r="AB317" s="48"/>
      <c r="AC317" s="48" t="str">
        <f ca="1">IFERROR(VLOOKUP(A317,catalogo!$E:$H,4,0),"-")</f>
        <v>-</v>
      </c>
      <c r="AD317" s="48"/>
      <c r="AE317" s="48"/>
      <c r="AF317" s="48"/>
      <c r="AG317" s="48"/>
      <c r="AH317" s="48"/>
      <c r="AI317" s="48"/>
    </row>
    <row r="318" spans="1:35" ht="12.5" hidden="1">
      <c r="A318" s="37" t="s">
        <v>224</v>
      </c>
      <c r="B318" s="38" t="str">
        <f>IFERROR(VLOOKUP(J318,catalogo!$B$1:$C$75,2,0),"-")</f>
        <v>#16</v>
      </c>
      <c r="C318" s="39">
        <v>46062.416666666664</v>
      </c>
      <c r="D318" s="17"/>
      <c r="E318" s="17"/>
      <c r="F318" s="17"/>
      <c r="G318" s="42">
        <v>39</v>
      </c>
      <c r="H318" s="42">
        <v>39</v>
      </c>
      <c r="I318" s="43" t="s">
        <v>156</v>
      </c>
      <c r="J318" s="43" t="s">
        <v>85</v>
      </c>
      <c r="K318" s="43" t="s">
        <v>819</v>
      </c>
      <c r="L318" s="44" t="s">
        <v>820</v>
      </c>
      <c r="M318" s="44">
        <v>4164</v>
      </c>
      <c r="N318" s="44" t="s">
        <v>167</v>
      </c>
      <c r="O318" s="17"/>
      <c r="P318" s="17"/>
      <c r="Q318" s="17"/>
      <c r="R318" s="17"/>
      <c r="S318" s="17"/>
      <c r="T318" s="17"/>
      <c r="U318" s="17"/>
      <c r="V318" s="17"/>
      <c r="W318" s="17"/>
      <c r="X318" s="17"/>
      <c r="Y318" s="46" t="str">
        <f ca="1">IFERROR(VLOOKUP(A318,catalogo!$E:$H,2,0),"-")</f>
        <v>Office expenses</v>
      </c>
      <c r="Z318" s="47">
        <f ca="1">IFERROR(VLOOKUP(A318,catalogo!$E:$G,3,0),"-")</f>
        <v>0</v>
      </c>
      <c r="AA318" s="48"/>
      <c r="AB318" s="48"/>
      <c r="AC318" s="48">
        <f ca="1">IFERROR(VLOOKUP(A318,catalogo!$E:$H,4,0),"-")</f>
        <v>0</v>
      </c>
      <c r="AD318" s="48"/>
      <c r="AE318" s="48"/>
      <c r="AF318" s="48"/>
      <c r="AG318" s="48"/>
      <c r="AH318" s="48"/>
      <c r="AI318" s="48"/>
    </row>
    <row r="319" spans="1:35" ht="12.5" hidden="1">
      <c r="A319" s="37" t="s">
        <v>821</v>
      </c>
      <c r="B319" s="38" t="str">
        <f>IFERROR(VLOOKUP(J319,catalogo!$B$1:$C$100,2,0),"-")</f>
        <v>#26</v>
      </c>
      <c r="C319" s="39">
        <v>46062.416666666664</v>
      </c>
      <c r="D319" s="17"/>
      <c r="E319" s="17"/>
      <c r="F319" s="17"/>
      <c r="G319" s="42">
        <v>46</v>
      </c>
      <c r="H319" s="42">
        <v>46</v>
      </c>
      <c r="I319" s="43" t="s">
        <v>156</v>
      </c>
      <c r="J319" s="43" t="s">
        <v>67</v>
      </c>
      <c r="K319" s="43" t="s">
        <v>335</v>
      </c>
      <c r="L319" s="44" t="s">
        <v>336</v>
      </c>
      <c r="M319" s="44" t="s">
        <v>159</v>
      </c>
      <c r="N319" s="44" t="s">
        <v>144</v>
      </c>
      <c r="O319" s="17"/>
      <c r="P319" s="17"/>
      <c r="Q319" s="17"/>
      <c r="R319" s="17"/>
      <c r="S319" s="17"/>
      <c r="T319" s="17"/>
      <c r="U319" s="17"/>
      <c r="V319" s="17"/>
      <c r="W319" s="17"/>
      <c r="X319" s="17"/>
      <c r="Y319" s="46" t="str">
        <f ca="1">IFERROR(VLOOKUP(A319,catalogo!$E:$G,2,0),"-")</f>
        <v>-</v>
      </c>
      <c r="Z319" s="47" t="str">
        <f ca="1">IFERROR(VLOOKUP(A319,catalogo!$E:$G,3,0),"-")</f>
        <v>-</v>
      </c>
      <c r="AA319" s="48"/>
      <c r="AB319" s="48"/>
      <c r="AC319" s="48" t="str">
        <f ca="1">IFERROR(VLOOKUP(A319,catalogo!$E:$H,4,0),"-")</f>
        <v>-</v>
      </c>
      <c r="AD319" s="48"/>
      <c r="AE319" s="48"/>
      <c r="AF319" s="48"/>
      <c r="AG319" s="48"/>
      <c r="AH319" s="48"/>
      <c r="AI319" s="48"/>
    </row>
    <row r="320" spans="1:35" ht="12.5" hidden="1">
      <c r="A320" s="37" t="s">
        <v>822</v>
      </c>
      <c r="B320" s="38" t="str">
        <f>IFERROR(VLOOKUP(J320,catalogo!$B$1:$C$85,2,0),"-")</f>
        <v>-</v>
      </c>
      <c r="C320" s="39">
        <v>46062.416666666664</v>
      </c>
      <c r="D320" s="17"/>
      <c r="E320" s="17"/>
      <c r="F320" s="17"/>
      <c r="G320" s="42">
        <v>379.5</v>
      </c>
      <c r="H320" s="42">
        <v>379.5</v>
      </c>
      <c r="I320" s="43" t="s">
        <v>156</v>
      </c>
      <c r="J320" s="43" t="s">
        <v>187</v>
      </c>
      <c r="K320" s="43" t="s">
        <v>350</v>
      </c>
      <c r="L320" s="44" t="s">
        <v>351</v>
      </c>
      <c r="M320" s="44" t="s">
        <v>190</v>
      </c>
      <c r="N320" s="44" t="s">
        <v>167</v>
      </c>
      <c r="O320" s="17"/>
      <c r="P320" s="17"/>
      <c r="Q320" s="17"/>
      <c r="R320" s="17"/>
      <c r="S320" s="17"/>
      <c r="T320" s="17"/>
      <c r="U320" s="17"/>
      <c r="V320" s="17"/>
      <c r="W320" s="17"/>
      <c r="X320" s="17"/>
      <c r="Y320" s="46" t="str">
        <f ca="1">IFERROR(VLOOKUP(A320,catalogo!$E:$H,2,0),"-")</f>
        <v>-</v>
      </c>
      <c r="Z320" s="47" t="str">
        <f ca="1">IFERROR(VLOOKUP(A320,catalogo!$E:$G,3,0),"-")</f>
        <v>-</v>
      </c>
      <c r="AA320" s="48"/>
      <c r="AB320" s="48"/>
      <c r="AC320" s="48" t="str">
        <f ca="1">IFERROR(VLOOKUP(A320,catalogo!$E:$H,4,0),"-")</f>
        <v>-</v>
      </c>
      <c r="AD320" s="48"/>
      <c r="AE320" s="48"/>
      <c r="AF320" s="48"/>
      <c r="AG320" s="48"/>
      <c r="AH320" s="48"/>
      <c r="AI320" s="48"/>
    </row>
    <row r="321" spans="1:35" ht="12.5" hidden="1">
      <c r="A321" s="37" t="s">
        <v>823</v>
      </c>
      <c r="B321" s="38" t="str">
        <f>IFERROR(VLOOKUP(J321,catalogo!$B$1:$C$75,2,0),"-")</f>
        <v>#64</v>
      </c>
      <c r="C321" s="39">
        <v>46062.416666666664</v>
      </c>
      <c r="D321" s="17"/>
      <c r="E321" s="17"/>
      <c r="F321" s="17"/>
      <c r="G321" s="42">
        <v>354.98</v>
      </c>
      <c r="H321" s="42">
        <v>354.98</v>
      </c>
      <c r="I321" s="43" t="s">
        <v>156</v>
      </c>
      <c r="J321" s="43" t="s">
        <v>139</v>
      </c>
      <c r="K321" s="43" t="s">
        <v>180</v>
      </c>
      <c r="L321" s="44" t="s">
        <v>181</v>
      </c>
      <c r="M321" s="44">
        <v>7142</v>
      </c>
      <c r="N321" s="44" t="s">
        <v>167</v>
      </c>
      <c r="O321" s="17"/>
      <c r="P321" s="17"/>
      <c r="Q321" s="17"/>
      <c r="R321" s="17"/>
      <c r="S321" s="17"/>
      <c r="T321" s="17"/>
      <c r="U321" s="17"/>
      <c r="V321" s="17"/>
      <c r="W321" s="17"/>
      <c r="X321" s="17"/>
      <c r="Y321" s="46" t="str">
        <f ca="1">IFERROR(VLOOKUP(A321,catalogo!$E:$H,2,0),"-")</f>
        <v>-</v>
      </c>
      <c r="Z321" s="47" t="str">
        <f ca="1">IFERROR(VLOOKUP(A321,catalogo!$E:$G,3,0),"-")</f>
        <v>-</v>
      </c>
      <c r="AA321" s="48"/>
      <c r="AB321" s="48"/>
      <c r="AC321" s="48" t="str">
        <f ca="1">IFERROR(VLOOKUP(A321,catalogo!$E:$H,4,0),"-")</f>
        <v>-</v>
      </c>
      <c r="AD321" s="48"/>
      <c r="AE321" s="48"/>
      <c r="AF321" s="48"/>
      <c r="AG321" s="48"/>
      <c r="AH321" s="48"/>
      <c r="AI321" s="48"/>
    </row>
    <row r="322" spans="1:35" ht="12.5" hidden="1">
      <c r="A322" s="37" t="s">
        <v>434</v>
      </c>
      <c r="B322" s="38" t="str">
        <f>IFERROR(VLOOKUP(J322,catalogo!$B$1:$C$75,2,0),"-")</f>
        <v>-</v>
      </c>
      <c r="C322" s="39">
        <v>46062.416666666664</v>
      </c>
      <c r="D322" s="52"/>
      <c r="E322" s="17"/>
      <c r="F322" s="17"/>
      <c r="G322" s="42">
        <v>499</v>
      </c>
      <c r="H322" s="42">
        <v>499</v>
      </c>
      <c r="I322" s="43" t="s">
        <v>156</v>
      </c>
      <c r="J322" s="43" t="s">
        <v>321</v>
      </c>
      <c r="K322" s="43" t="s">
        <v>824</v>
      </c>
      <c r="L322" s="44" t="s">
        <v>825</v>
      </c>
      <c r="M322" s="45">
        <v>3340</v>
      </c>
      <c r="N322" s="44" t="s">
        <v>167</v>
      </c>
      <c r="O322" s="17"/>
      <c r="P322" s="17"/>
      <c r="Q322" s="17"/>
      <c r="R322" s="17"/>
      <c r="S322" s="17"/>
      <c r="T322" s="17"/>
      <c r="U322" s="17"/>
      <c r="V322" s="17"/>
      <c r="W322" s="17"/>
      <c r="X322" s="17"/>
      <c r="Y322" s="46" t="str">
        <f ca="1">IFERROR(VLOOKUP(A322,catalogo!$E:$H,2,0),"-")</f>
        <v>Sales</v>
      </c>
      <c r="Z322" s="47">
        <f ca="1">IFERROR(VLOOKUP(A322,catalogo!$E:$G,3,0),"-")</f>
        <v>0</v>
      </c>
      <c r="AA322" s="48"/>
      <c r="AB322" s="48"/>
      <c r="AC322" s="48" t="str">
        <f ca="1">IFERROR(VLOOKUP(A322,catalogo!$E:$H,4,0),"-")</f>
        <v>.</v>
      </c>
      <c r="AD322" s="48"/>
      <c r="AE322" s="48"/>
      <c r="AF322" s="48"/>
      <c r="AG322" s="48"/>
      <c r="AH322" s="48"/>
      <c r="AI322" s="48"/>
    </row>
    <row r="323" spans="1:35" ht="12.5" hidden="1">
      <c r="A323" s="37" t="s">
        <v>826</v>
      </c>
      <c r="B323" s="38" t="str">
        <f>IFERROR(VLOOKUP(J323,catalogo!$B$1:$C$70,2,0),"-")</f>
        <v>#68</v>
      </c>
      <c r="C323" s="39">
        <v>46062.416666666664</v>
      </c>
      <c r="D323" s="17"/>
      <c r="E323" s="17"/>
      <c r="F323" s="17"/>
      <c r="G323" s="42">
        <v>938</v>
      </c>
      <c r="H323" s="42">
        <v>938</v>
      </c>
      <c r="I323" s="43" t="s">
        <v>156</v>
      </c>
      <c r="J323" s="43" t="s">
        <v>384</v>
      </c>
      <c r="K323" s="43" t="s">
        <v>827</v>
      </c>
      <c r="L323" s="44" t="s">
        <v>828</v>
      </c>
      <c r="M323" s="44">
        <v>2937</v>
      </c>
      <c r="N323" s="44" t="s">
        <v>167</v>
      </c>
      <c r="O323" s="17"/>
      <c r="P323" s="17"/>
      <c r="Q323" s="17"/>
      <c r="R323" s="17"/>
      <c r="S323" s="17"/>
      <c r="T323" s="17"/>
      <c r="U323" s="17"/>
      <c r="V323" s="17"/>
      <c r="W323" s="17"/>
      <c r="X323" s="17"/>
      <c r="Y323" s="46" t="str">
        <f ca="1">IFERROR(VLOOKUP(A323,catalogo!$E:$G,2,0),"-")</f>
        <v>-</v>
      </c>
      <c r="Z323" s="47" t="str">
        <f ca="1">IFERROR(VLOOKUP(A323,catalogo!$E:$G,3,0),"-")</f>
        <v>-</v>
      </c>
      <c r="AA323" s="48"/>
      <c r="AB323" s="48"/>
      <c r="AC323" s="48" t="str">
        <f ca="1">IFERROR(VLOOKUP(A323,catalogo!$E:$H,4,0),"-")</f>
        <v>-</v>
      </c>
      <c r="AD323" s="48"/>
      <c r="AE323" s="48"/>
      <c r="AF323" s="48"/>
      <c r="AG323" s="48"/>
      <c r="AH323" s="48"/>
      <c r="AI323" s="48"/>
    </row>
    <row r="324" spans="1:35" ht="12.5" hidden="1">
      <c r="A324" s="37" t="s">
        <v>829</v>
      </c>
      <c r="B324" s="38" t="str">
        <f>IFERROR(VLOOKUP(J324,catalogo!$B$1:$C$100,2,0),"-")</f>
        <v>#68</v>
      </c>
      <c r="C324" s="39">
        <v>46062.416666666664</v>
      </c>
      <c r="D324" s="17"/>
      <c r="E324" s="17"/>
      <c r="F324" s="17"/>
      <c r="G324" s="42">
        <v>290</v>
      </c>
      <c r="H324" s="42">
        <v>290</v>
      </c>
      <c r="I324" s="43" t="s">
        <v>156</v>
      </c>
      <c r="J324" s="43" t="s">
        <v>384</v>
      </c>
      <c r="K324" s="43" t="s">
        <v>830</v>
      </c>
      <c r="L324" s="44" t="s">
        <v>831</v>
      </c>
      <c r="M324" s="44">
        <v>2937</v>
      </c>
      <c r="N324" s="44" t="s">
        <v>167</v>
      </c>
      <c r="O324" s="17"/>
      <c r="P324" s="17"/>
      <c r="Q324" s="17"/>
      <c r="R324" s="17"/>
      <c r="S324" s="17"/>
      <c r="T324" s="17"/>
      <c r="U324" s="17"/>
      <c r="V324" s="17"/>
      <c r="W324" s="17"/>
      <c r="X324" s="17"/>
      <c r="Y324" s="46" t="str">
        <f ca="1">IFERROR(VLOOKUP(A324,catalogo!$E:$G,2,0),"-")</f>
        <v>-</v>
      </c>
      <c r="Z324" s="47" t="str">
        <f ca="1">IFERROR(VLOOKUP(A324,catalogo!$E:$G,3,0),"-")</f>
        <v>-</v>
      </c>
      <c r="AA324" s="48"/>
      <c r="AB324" s="48"/>
      <c r="AC324" s="48" t="str">
        <f ca="1">IFERROR(VLOOKUP(A324,catalogo!$E:$H,4,0),"-")</f>
        <v>-</v>
      </c>
      <c r="AD324" s="48"/>
      <c r="AE324" s="48"/>
      <c r="AF324" s="48"/>
      <c r="AG324" s="48"/>
      <c r="AH324" s="48"/>
      <c r="AI324" s="48"/>
    </row>
    <row r="325" spans="1:35" ht="12.5" hidden="1">
      <c r="A325" s="37" t="s">
        <v>832</v>
      </c>
      <c r="B325" s="38" t="str">
        <f>IFERROR(VLOOKUP(J325,catalogo!$B$1:$C$70,2,0),"-")</f>
        <v>-</v>
      </c>
      <c r="C325" s="39">
        <v>46062.416666666664</v>
      </c>
      <c r="D325" s="17"/>
      <c r="E325" s="17"/>
      <c r="F325" s="17"/>
      <c r="G325" s="42">
        <v>456.89</v>
      </c>
      <c r="H325" s="42">
        <v>456.89</v>
      </c>
      <c r="I325" s="43" t="s">
        <v>156</v>
      </c>
      <c r="J325" s="43" t="s">
        <v>187</v>
      </c>
      <c r="K325" s="43" t="s">
        <v>833</v>
      </c>
      <c r="L325" s="44" t="s">
        <v>834</v>
      </c>
      <c r="M325" s="45" t="s">
        <v>190</v>
      </c>
      <c r="N325" s="44" t="s">
        <v>167</v>
      </c>
      <c r="O325" s="17"/>
      <c r="P325" s="17"/>
      <c r="Q325" s="17"/>
      <c r="R325" s="17"/>
      <c r="S325" s="17"/>
      <c r="T325" s="17"/>
      <c r="U325" s="17"/>
      <c r="V325" s="17"/>
      <c r="W325" s="17"/>
      <c r="X325" s="17"/>
      <c r="Y325" s="46" t="str">
        <f ca="1">IFERROR(VLOOKUP(A325,catalogo!$E:$G,2,0),"-")</f>
        <v>-</v>
      </c>
      <c r="Z325" s="47" t="str">
        <f ca="1">IFERROR(VLOOKUP(A325,catalogo!$E:$G,3,0),"-")</f>
        <v>-</v>
      </c>
      <c r="AA325" s="48"/>
      <c r="AB325" s="48"/>
      <c r="AC325" s="48" t="str">
        <f ca="1">IFERROR(VLOOKUP(A325,catalogo!$E:$H,4,0),"-")</f>
        <v>-</v>
      </c>
      <c r="AD325" s="48"/>
      <c r="AE325" s="48"/>
      <c r="AF325" s="48"/>
      <c r="AG325" s="48"/>
      <c r="AH325" s="48"/>
      <c r="AI325" s="48"/>
    </row>
    <row r="326" spans="1:35" ht="12.5" hidden="1">
      <c r="A326" s="37" t="s">
        <v>835</v>
      </c>
      <c r="B326" s="38" t="str">
        <f>IFERROR(VLOOKUP(J326,catalogo!$B$1:$C$80,2,0),"-")</f>
        <v>#64</v>
      </c>
      <c r="C326" s="39">
        <v>46062.416666666664</v>
      </c>
      <c r="D326" s="17"/>
      <c r="E326" s="17"/>
      <c r="F326" s="17"/>
      <c r="G326" s="42">
        <v>333</v>
      </c>
      <c r="H326" s="42">
        <v>333</v>
      </c>
      <c r="I326" s="43" t="s">
        <v>156</v>
      </c>
      <c r="J326" s="43" t="s">
        <v>139</v>
      </c>
      <c r="K326" s="43" t="s">
        <v>836</v>
      </c>
      <c r="L326" s="44" t="s">
        <v>655</v>
      </c>
      <c r="M326" s="44">
        <v>7142</v>
      </c>
      <c r="N326" s="44" t="s">
        <v>167</v>
      </c>
      <c r="O326" s="17"/>
      <c r="P326" s="17"/>
      <c r="Q326" s="17"/>
      <c r="R326" s="17"/>
      <c r="S326" s="17"/>
      <c r="T326" s="17"/>
      <c r="U326" s="17"/>
      <c r="V326" s="17"/>
      <c r="W326" s="17"/>
      <c r="X326" s="17"/>
      <c r="Y326" s="46" t="str">
        <f ca="1">IFERROR(VLOOKUP(A326,catalogo!$E:$G,2,0),"-")</f>
        <v>-</v>
      </c>
      <c r="Z326" s="47" t="str">
        <f ca="1">IFERROR(VLOOKUP(A326,catalogo!$E:$G,3,0),"-")</f>
        <v>-</v>
      </c>
      <c r="AA326" s="48"/>
      <c r="AB326" s="48"/>
      <c r="AC326" s="48" t="str">
        <f ca="1">IFERROR(VLOOKUP(A326,catalogo!$E:$H,4,0),"-")</f>
        <v>-</v>
      </c>
      <c r="AD326" s="48"/>
      <c r="AE326" s="48"/>
      <c r="AF326" s="48"/>
      <c r="AG326" s="48"/>
      <c r="AH326" s="48"/>
      <c r="AI326" s="48"/>
    </row>
    <row r="327" spans="1:35" ht="12.5" hidden="1">
      <c r="A327" s="37" t="s">
        <v>837</v>
      </c>
      <c r="B327" s="38" t="str">
        <f>IFERROR(VLOOKUP(J327,catalogo!$B$1:$C$75,2,0),"-")</f>
        <v>-</v>
      </c>
      <c r="C327" s="39">
        <v>46062.416666666664</v>
      </c>
      <c r="D327" s="17"/>
      <c r="E327" s="17"/>
      <c r="F327" s="17"/>
      <c r="G327" s="42">
        <v>470.8</v>
      </c>
      <c r="H327" s="42">
        <v>470.8</v>
      </c>
      <c r="I327" s="43" t="s">
        <v>156</v>
      </c>
      <c r="J327" s="43" t="s">
        <v>187</v>
      </c>
      <c r="K327" s="43" t="s">
        <v>838</v>
      </c>
      <c r="L327" s="44" t="s">
        <v>839</v>
      </c>
      <c r="M327" s="44" t="s">
        <v>190</v>
      </c>
      <c r="N327" s="44" t="s">
        <v>167</v>
      </c>
      <c r="O327" s="17"/>
      <c r="P327" s="17"/>
      <c r="Q327" s="17"/>
      <c r="R327" s="17"/>
      <c r="S327" s="17"/>
      <c r="T327" s="17"/>
      <c r="U327" s="17"/>
      <c r="V327" s="17"/>
      <c r="W327" s="17"/>
      <c r="X327" s="17"/>
      <c r="Y327" s="46" t="str">
        <f ca="1">IFERROR(VLOOKUP(A327,catalogo!$E:$H,2,0),"-")</f>
        <v>-</v>
      </c>
      <c r="Z327" s="47" t="str">
        <f ca="1">IFERROR(VLOOKUP(A327,catalogo!$E:$G,3,0),"-")</f>
        <v>-</v>
      </c>
      <c r="AA327" s="48"/>
      <c r="AB327" s="48"/>
      <c r="AC327" s="48" t="str">
        <f ca="1">IFERROR(VLOOKUP(A327,catalogo!$E:$H,4,0),"-")</f>
        <v>-</v>
      </c>
      <c r="AD327" s="48"/>
      <c r="AE327" s="48"/>
      <c r="AF327" s="48"/>
      <c r="AG327" s="48"/>
      <c r="AH327" s="48"/>
      <c r="AI327" s="48"/>
    </row>
    <row r="328" spans="1:35" ht="12.5" hidden="1">
      <c r="A328" s="37" t="s">
        <v>840</v>
      </c>
      <c r="B328" s="38" t="str">
        <f>IFERROR(VLOOKUP(J328,catalogo!$B$1:$C$70,2,0),"-")</f>
        <v>-</v>
      </c>
      <c r="C328" s="39">
        <v>46062.416666666664</v>
      </c>
      <c r="D328" s="17"/>
      <c r="E328" s="17"/>
      <c r="F328" s="17"/>
      <c r="G328" s="42">
        <v>25</v>
      </c>
      <c r="H328" s="42">
        <v>25</v>
      </c>
      <c r="I328" s="43" t="s">
        <v>156</v>
      </c>
      <c r="J328" s="43" t="s">
        <v>321</v>
      </c>
      <c r="K328" s="43" t="s">
        <v>841</v>
      </c>
      <c r="L328" s="44" t="s">
        <v>842</v>
      </c>
      <c r="M328" s="44">
        <v>3340</v>
      </c>
      <c r="N328" s="44" t="s">
        <v>167</v>
      </c>
      <c r="O328" s="17"/>
      <c r="P328" s="17"/>
      <c r="Q328" s="17"/>
      <c r="R328" s="17"/>
      <c r="S328" s="17"/>
      <c r="T328" s="17"/>
      <c r="U328" s="17"/>
      <c r="V328" s="17"/>
      <c r="W328" s="17"/>
      <c r="X328" s="17"/>
      <c r="Y328" s="46" t="str">
        <f ca="1">IFERROR(VLOOKUP(A328,catalogo!$E:$G,2,0),"-")</f>
        <v>-</v>
      </c>
      <c r="Z328" s="47" t="str">
        <f ca="1">IFERROR(VLOOKUP(A328,catalogo!$E:$G,3,0),"-")</f>
        <v>-</v>
      </c>
      <c r="AA328" s="48"/>
      <c r="AB328" s="48"/>
      <c r="AC328" s="48" t="str">
        <f ca="1">IFERROR(VLOOKUP(A328,catalogo!$E:$H,4,0),"-")</f>
        <v>-</v>
      </c>
      <c r="AD328" s="48"/>
      <c r="AE328" s="48"/>
      <c r="AF328" s="48"/>
      <c r="AG328" s="48"/>
      <c r="AH328" s="48"/>
      <c r="AI328" s="48"/>
    </row>
    <row r="329" spans="1:35" ht="15.5" hidden="1">
      <c r="A329" s="37" t="s">
        <v>843</v>
      </c>
      <c r="B329" s="38" t="str">
        <f>IFERROR(VLOOKUP(J329,catalogo!$B$1:$C$75,2,0),"-")</f>
        <v>#56</v>
      </c>
      <c r="C329" s="39">
        <v>46062.416666666664</v>
      </c>
      <c r="D329" s="17"/>
      <c r="E329" s="17"/>
      <c r="F329" s="17"/>
      <c r="G329" s="42">
        <v>120</v>
      </c>
      <c r="H329" s="42">
        <v>120</v>
      </c>
      <c r="I329" s="43" t="s">
        <v>156</v>
      </c>
      <c r="J329" s="43" t="s">
        <v>99</v>
      </c>
      <c r="K329" s="43" t="s">
        <v>359</v>
      </c>
      <c r="L329" s="44" t="s">
        <v>336</v>
      </c>
      <c r="M329" s="45">
        <v>8949</v>
      </c>
      <c r="N329" s="44" t="s">
        <v>167</v>
      </c>
      <c r="O329" s="49"/>
      <c r="P329" s="17"/>
      <c r="Q329" s="17"/>
      <c r="R329" s="17"/>
      <c r="S329" s="17"/>
      <c r="T329" s="17"/>
      <c r="U329" s="17"/>
      <c r="V329" s="17"/>
      <c r="W329" s="17"/>
      <c r="X329" s="17"/>
      <c r="Y329" s="46" t="str">
        <f ca="1">IFERROR(VLOOKUP(A329,catalogo!$E:$H,2,0),"-")</f>
        <v>-</v>
      </c>
      <c r="Z329" s="47" t="str">
        <f ca="1">IFERROR(VLOOKUP(A329,catalogo!$E:$G,3,0),"-")</f>
        <v>-</v>
      </c>
      <c r="AA329" s="48"/>
      <c r="AB329" s="48"/>
      <c r="AC329" s="48" t="str">
        <f ca="1">IFERROR(VLOOKUP(A329,catalogo!$E:$H,4,0),"-")</f>
        <v>-</v>
      </c>
      <c r="AD329" s="48"/>
      <c r="AE329" s="48"/>
      <c r="AF329" s="48"/>
      <c r="AG329" s="48"/>
      <c r="AH329" s="48"/>
      <c r="AI329" s="48"/>
    </row>
    <row r="330" spans="1:35" ht="15.5" hidden="1">
      <c r="A330" s="37" t="s">
        <v>844</v>
      </c>
      <c r="B330" s="38" t="str">
        <f>IFERROR(VLOOKUP(J330,catalogo!$B$1:$C$75,2,0),"-")</f>
        <v>-</v>
      </c>
      <c r="C330" s="39">
        <v>46062.416666666664</v>
      </c>
      <c r="D330" s="17"/>
      <c r="E330" s="17"/>
      <c r="F330" s="17"/>
      <c r="G330" s="42">
        <v>1595</v>
      </c>
      <c r="H330" s="42">
        <v>1595</v>
      </c>
      <c r="I330" s="43" t="s">
        <v>156</v>
      </c>
      <c r="J330" s="43" t="s">
        <v>187</v>
      </c>
      <c r="K330" s="43" t="s">
        <v>845</v>
      </c>
      <c r="L330" s="44" t="s">
        <v>846</v>
      </c>
      <c r="M330" s="44" t="s">
        <v>190</v>
      </c>
      <c r="N330" s="44" t="s">
        <v>167</v>
      </c>
      <c r="O330" s="49" t="s">
        <v>847</v>
      </c>
      <c r="P330" s="17"/>
      <c r="Q330" s="17"/>
      <c r="R330" s="17"/>
      <c r="S330" s="17"/>
      <c r="T330" s="17"/>
      <c r="U330" s="17"/>
      <c r="V330" s="17"/>
      <c r="W330" s="17"/>
      <c r="X330" s="17"/>
      <c r="Y330" s="46" t="str">
        <f ca="1">IFERROR(VLOOKUP(A330,catalogo!$E:$H,2,0),"-")</f>
        <v>-</v>
      </c>
      <c r="Z330" s="47" t="str">
        <f ca="1">IFERROR(VLOOKUP(A330,catalogo!$E:$G,3,0),"-")</f>
        <v>-</v>
      </c>
      <c r="AA330" s="48"/>
      <c r="AB330" s="48"/>
      <c r="AC330" s="48" t="str">
        <f ca="1">IFERROR(VLOOKUP(A330,catalogo!$E:$H,4,0),"-")</f>
        <v>-</v>
      </c>
      <c r="AD330" s="48"/>
      <c r="AE330" s="48"/>
      <c r="AF330" s="48"/>
      <c r="AG330" s="48"/>
      <c r="AH330" s="48"/>
      <c r="AI330" s="48"/>
    </row>
    <row r="331" spans="1:35" ht="12.5" hidden="1">
      <c r="A331" s="37" t="s">
        <v>848</v>
      </c>
      <c r="B331" s="38" t="str">
        <f>IFERROR(VLOOKUP(J331,catalogo!$B$1:$C$70,2,0),"-")</f>
        <v>#52</v>
      </c>
      <c r="C331" s="39">
        <v>46062.416666666664</v>
      </c>
      <c r="D331" s="17"/>
      <c r="E331" s="17"/>
      <c r="F331" s="17"/>
      <c r="G331" s="42">
        <v>2456.19</v>
      </c>
      <c r="H331" s="42">
        <v>135.27000000000001</v>
      </c>
      <c r="I331" s="43" t="s">
        <v>172</v>
      </c>
      <c r="J331" s="43" t="s">
        <v>253</v>
      </c>
      <c r="K331" s="43" t="s">
        <v>849</v>
      </c>
      <c r="L331" s="44" t="s">
        <v>850</v>
      </c>
      <c r="M331" s="45">
        <v>6137</v>
      </c>
      <c r="N331" s="44" t="s">
        <v>167</v>
      </c>
      <c r="O331" s="17"/>
      <c r="P331" s="17"/>
      <c r="Q331" s="17"/>
      <c r="R331" s="17"/>
      <c r="S331" s="17"/>
      <c r="T331" s="17"/>
      <c r="U331" s="17"/>
      <c r="V331" s="17"/>
      <c r="W331" s="17"/>
      <c r="X331" s="17"/>
      <c r="Y331" s="46" t="str">
        <f ca="1">IFERROR(VLOOKUP(A331,catalogo!$E:$G,2,0),"-")</f>
        <v>-</v>
      </c>
      <c r="Z331" s="47" t="str">
        <f ca="1">IFERROR(VLOOKUP(A331,catalogo!$E:$G,3,0),"-")</f>
        <v>-</v>
      </c>
      <c r="AA331" s="48"/>
      <c r="AB331" s="48"/>
      <c r="AC331" s="48" t="str">
        <f ca="1">IFERROR(VLOOKUP(A331,catalogo!$E:$H,4,0),"-")</f>
        <v>-</v>
      </c>
      <c r="AD331" s="48"/>
      <c r="AE331" s="48"/>
      <c r="AF331" s="48"/>
      <c r="AG331" s="48"/>
      <c r="AH331" s="48"/>
      <c r="AI331" s="48"/>
    </row>
    <row r="332" spans="1:35" ht="15.5" hidden="1">
      <c r="A332" s="37" t="s">
        <v>851</v>
      </c>
      <c r="B332" s="38" t="str">
        <f>IFERROR(VLOOKUP(J332,catalogo!$B$1:$C$75,2,0),"-")</f>
        <v>#52</v>
      </c>
      <c r="C332" s="39">
        <v>46062.416666666664</v>
      </c>
      <c r="D332" s="17"/>
      <c r="E332" s="17"/>
      <c r="F332" s="17"/>
      <c r="G332" s="42">
        <v>885.03</v>
      </c>
      <c r="H332" s="42">
        <v>48.85</v>
      </c>
      <c r="I332" s="43" t="s">
        <v>172</v>
      </c>
      <c r="J332" s="43" t="s">
        <v>253</v>
      </c>
      <c r="K332" s="43" t="s">
        <v>852</v>
      </c>
      <c r="L332" s="44" t="s">
        <v>853</v>
      </c>
      <c r="M332" s="45">
        <v>6137</v>
      </c>
      <c r="N332" s="44" t="s">
        <v>167</v>
      </c>
      <c r="O332" s="49"/>
      <c r="P332" s="17"/>
      <c r="Q332" s="17"/>
      <c r="R332" s="17"/>
      <c r="S332" s="17"/>
      <c r="T332" s="17"/>
      <c r="U332" s="17"/>
      <c r="V332" s="17"/>
      <c r="W332" s="17"/>
      <c r="X332" s="17"/>
      <c r="Y332" s="46" t="str">
        <f ca="1">IFERROR(VLOOKUP(A332,catalogo!$E:$H,2,0),"-")</f>
        <v>-</v>
      </c>
      <c r="Z332" s="47" t="str">
        <f ca="1">IFERROR(VLOOKUP(A332,catalogo!$E:$G,3,0),"-")</f>
        <v>-</v>
      </c>
      <c r="AA332" s="48"/>
      <c r="AB332" s="48"/>
      <c r="AC332" s="48" t="str">
        <f ca="1">IFERROR(VLOOKUP(A332,catalogo!$E:$H,4,0),"-")</f>
        <v>-</v>
      </c>
      <c r="AD332" s="48"/>
      <c r="AE332" s="48"/>
      <c r="AF332" s="48"/>
      <c r="AG332" s="48"/>
      <c r="AH332" s="48"/>
      <c r="AI332" s="48"/>
    </row>
    <row r="333" spans="1:35" ht="12.5" hidden="1">
      <c r="A333" s="37" t="s">
        <v>854</v>
      </c>
      <c r="B333" s="38" t="str">
        <f>IFERROR(VLOOKUP(J333,catalogo!$B$1:$C$75,2,0),"-")</f>
        <v>#58</v>
      </c>
      <c r="C333" s="39">
        <v>46062.416666666664</v>
      </c>
      <c r="D333" s="52"/>
      <c r="E333" s="17"/>
      <c r="F333" s="17"/>
      <c r="G333" s="42">
        <v>2435.67</v>
      </c>
      <c r="H333" s="42">
        <v>134.13999999999999</v>
      </c>
      <c r="I333" s="43" t="s">
        <v>172</v>
      </c>
      <c r="J333" s="43" t="s">
        <v>118</v>
      </c>
      <c r="K333" s="43" t="s">
        <v>855</v>
      </c>
      <c r="L333" s="44" t="s">
        <v>856</v>
      </c>
      <c r="M333" s="45">
        <v>5576</v>
      </c>
      <c r="N333" s="44" t="s">
        <v>167</v>
      </c>
      <c r="O333" s="17"/>
      <c r="P333" s="17"/>
      <c r="Q333" s="17"/>
      <c r="R333" s="17"/>
      <c r="S333" s="17"/>
      <c r="T333" s="17"/>
      <c r="U333" s="17"/>
      <c r="V333" s="17"/>
      <c r="W333" s="17"/>
      <c r="X333" s="17"/>
      <c r="Y333" s="46" t="str">
        <f ca="1">IFERROR(VLOOKUP(A333,catalogo!$E:$H,2,0),"-")</f>
        <v>-</v>
      </c>
      <c r="Z333" s="47" t="str">
        <f ca="1">IFERROR(VLOOKUP(A333,catalogo!$E:$G,3,0),"-")</f>
        <v>-</v>
      </c>
      <c r="AA333" s="48"/>
      <c r="AB333" s="48"/>
      <c r="AC333" s="48" t="str">
        <f ca="1">IFERROR(VLOOKUP(A333,catalogo!$E:$H,4,0),"-")</f>
        <v>-</v>
      </c>
      <c r="AD333" s="48"/>
      <c r="AE333" s="48"/>
      <c r="AF333" s="48"/>
      <c r="AG333" s="48"/>
      <c r="AH333" s="48"/>
      <c r="AI333" s="48"/>
    </row>
    <row r="334" spans="1:35" ht="12.5" hidden="1">
      <c r="A334" s="37" t="s">
        <v>857</v>
      </c>
      <c r="B334" s="38" t="str">
        <f>IFERROR(VLOOKUP(J334,catalogo!$B$1:$C$70,2,0),"-")</f>
        <v>#55</v>
      </c>
      <c r="C334" s="39">
        <v>46063.335416666669</v>
      </c>
      <c r="D334" s="17"/>
      <c r="E334" s="17"/>
      <c r="F334" s="17"/>
      <c r="G334" s="42">
        <v>0.01</v>
      </c>
      <c r="H334" s="42">
        <v>0.01</v>
      </c>
      <c r="I334" s="43" t="s">
        <v>156</v>
      </c>
      <c r="J334" s="43" t="s">
        <v>89</v>
      </c>
      <c r="K334" s="43" t="s">
        <v>858</v>
      </c>
      <c r="L334" s="44" t="s">
        <v>859</v>
      </c>
      <c r="M334" s="45">
        <v>3013</v>
      </c>
      <c r="N334" s="44" t="s">
        <v>167</v>
      </c>
      <c r="O334" s="17"/>
      <c r="P334" s="17"/>
      <c r="Q334" s="17"/>
      <c r="R334" s="17"/>
      <c r="S334" s="17"/>
      <c r="T334" s="17"/>
      <c r="U334" s="17"/>
      <c r="V334" s="17"/>
      <c r="W334" s="17"/>
      <c r="X334" s="17"/>
      <c r="Y334" s="46" t="str">
        <f ca="1">IFERROR(VLOOKUP(A334,catalogo!$E:$G,2,0),"-")</f>
        <v>-</v>
      </c>
      <c r="Z334" s="47" t="str">
        <f ca="1">IFERROR(VLOOKUP(A334,catalogo!$E:$G,3,0),"-")</f>
        <v>-</v>
      </c>
      <c r="AA334" s="48"/>
      <c r="AB334" s="48"/>
      <c r="AC334" s="48" t="str">
        <f ca="1">IFERROR(VLOOKUP(A334,catalogo!$E:$H,4,0),"-")</f>
        <v>-</v>
      </c>
      <c r="AD334" s="48"/>
      <c r="AE334" s="48"/>
      <c r="AF334" s="48"/>
      <c r="AG334" s="48"/>
      <c r="AH334" s="48"/>
      <c r="AI334" s="48"/>
    </row>
    <row r="335" spans="1:35" ht="15.5" hidden="1">
      <c r="A335" s="37" t="s">
        <v>860</v>
      </c>
      <c r="B335" s="38" t="str">
        <f>IFERROR(VLOOKUP(J335,catalogo!$B$1:$C$75,2,0),"-")</f>
        <v>#9</v>
      </c>
      <c r="C335" s="39">
        <v>46063.416666666664</v>
      </c>
      <c r="D335" s="17"/>
      <c r="E335" s="17"/>
      <c r="F335" s="17"/>
      <c r="G335" s="42">
        <v>810</v>
      </c>
      <c r="H335" s="42">
        <v>810</v>
      </c>
      <c r="I335" s="43" t="s">
        <v>156</v>
      </c>
      <c r="J335" s="43" t="s">
        <v>134</v>
      </c>
      <c r="K335" s="43" t="s">
        <v>319</v>
      </c>
      <c r="L335" s="44" t="s">
        <v>317</v>
      </c>
      <c r="M335" s="44">
        <v>1026</v>
      </c>
      <c r="N335" s="44" t="s">
        <v>167</v>
      </c>
      <c r="O335" s="49"/>
      <c r="P335" s="17"/>
      <c r="Q335" s="17"/>
      <c r="R335" s="17"/>
      <c r="S335" s="17"/>
      <c r="T335" s="17"/>
      <c r="U335" s="17"/>
      <c r="V335" s="17"/>
      <c r="W335" s="17"/>
      <c r="X335" s="17"/>
      <c r="Y335" s="46" t="str">
        <f ca="1">IFERROR(VLOOKUP(A335,catalogo!$E:$H,2,0),"-")</f>
        <v>Sales</v>
      </c>
      <c r="Z335" s="47" t="str">
        <f ca="1">IFERROR(VLOOKUP(A335,catalogo!$E:$G,3,0),"-")</f>
        <v>TAXI MTY</v>
      </c>
      <c r="AA335" s="48"/>
      <c r="AB335" s="48"/>
      <c r="AC335" s="48" t="str">
        <f ca="1">IFERROR(VLOOKUP(A335,catalogo!$E:$H,4,0),"-")</f>
        <v>.</v>
      </c>
      <c r="AD335" s="48"/>
      <c r="AE335" s="48"/>
      <c r="AF335" s="48"/>
      <c r="AG335" s="48"/>
      <c r="AH335" s="48"/>
      <c r="AI335" s="48"/>
    </row>
    <row r="336" spans="1:35" ht="12.5" hidden="1">
      <c r="A336" s="37" t="s">
        <v>861</v>
      </c>
      <c r="B336" s="38" t="str">
        <f>IFERROR(VLOOKUP(J336,catalogo!$B$1:$C$100,2,0),"-")</f>
        <v>-</v>
      </c>
      <c r="C336" s="39">
        <v>46063.416666666664</v>
      </c>
      <c r="D336" s="17"/>
      <c r="E336" s="17"/>
      <c r="F336" s="17"/>
      <c r="G336" s="53">
        <v>107.96</v>
      </c>
      <c r="H336" s="53">
        <v>107.96</v>
      </c>
      <c r="I336" s="43" t="s">
        <v>156</v>
      </c>
      <c r="J336" s="43" t="s">
        <v>187</v>
      </c>
      <c r="K336" s="43" t="s">
        <v>232</v>
      </c>
      <c r="L336" s="44" t="s">
        <v>233</v>
      </c>
      <c r="M336" s="45" t="s">
        <v>477</v>
      </c>
      <c r="N336" s="44" t="s">
        <v>144</v>
      </c>
      <c r="O336" s="17"/>
      <c r="P336" s="17"/>
      <c r="Q336" s="17"/>
      <c r="R336" s="17"/>
      <c r="S336" s="17"/>
      <c r="T336" s="17"/>
      <c r="U336" s="17"/>
      <c r="V336" s="17"/>
      <c r="W336" s="17"/>
      <c r="X336" s="17"/>
      <c r="Y336" s="46"/>
      <c r="Z336" s="47"/>
      <c r="AA336" s="48"/>
      <c r="AB336" s="48"/>
      <c r="AC336" s="48"/>
      <c r="AD336" s="48"/>
      <c r="AE336" s="48"/>
      <c r="AF336" s="48"/>
      <c r="AG336" s="48"/>
      <c r="AH336" s="48"/>
      <c r="AI336" s="48"/>
    </row>
    <row r="337" spans="1:35" ht="12.5" hidden="1">
      <c r="A337" s="37" t="s">
        <v>862</v>
      </c>
      <c r="B337" s="38" t="str">
        <f>IFERROR(VLOOKUP(J337,catalogo!$B$1:$C$75,2,0),"-")</f>
        <v>#66</v>
      </c>
      <c r="C337" s="39">
        <v>46063.416666666664</v>
      </c>
      <c r="D337" s="17"/>
      <c r="E337" s="17"/>
      <c r="F337" s="17"/>
      <c r="G337" s="42">
        <v>1386.72</v>
      </c>
      <c r="H337" s="42">
        <v>1386.72</v>
      </c>
      <c r="I337" s="43" t="s">
        <v>156</v>
      </c>
      <c r="J337" s="43" t="s">
        <v>80</v>
      </c>
      <c r="K337" s="43" t="s">
        <v>863</v>
      </c>
      <c r="L337" s="44" t="s">
        <v>864</v>
      </c>
      <c r="M337" s="45">
        <v>2406</v>
      </c>
      <c r="N337" s="44" t="s">
        <v>167</v>
      </c>
      <c r="O337" s="17"/>
      <c r="P337" s="17"/>
      <c r="Q337" s="17"/>
      <c r="R337" s="17"/>
      <c r="S337" s="17"/>
      <c r="T337" s="17"/>
      <c r="U337" s="17"/>
      <c r="V337" s="17"/>
      <c r="W337" s="17"/>
      <c r="X337" s="17"/>
      <c r="Y337" s="46" t="str">
        <f ca="1">IFERROR(VLOOKUP(A337,catalogo!$E:$H,2,0),"-")</f>
        <v>-</v>
      </c>
      <c r="Z337" s="47" t="str">
        <f ca="1">IFERROR(VLOOKUP(A337,catalogo!$E:$G,3,0),"-")</f>
        <v>-</v>
      </c>
      <c r="AA337" s="48"/>
      <c r="AB337" s="48"/>
      <c r="AC337" s="48" t="str">
        <f ca="1">IFERROR(VLOOKUP(A337,catalogo!$E:$H,4,0),"-")</f>
        <v>-</v>
      </c>
      <c r="AD337" s="48"/>
      <c r="AE337" s="48"/>
      <c r="AF337" s="48"/>
      <c r="AG337" s="48"/>
      <c r="AH337" s="48"/>
      <c r="AI337" s="48"/>
    </row>
    <row r="338" spans="1:35" ht="12.5" hidden="1">
      <c r="A338" s="37" t="s">
        <v>865</v>
      </c>
      <c r="B338" s="38" t="str">
        <f>IFERROR(VLOOKUP(J338,catalogo!$B$1:$C$100,2,0),"-")</f>
        <v>#64</v>
      </c>
      <c r="C338" s="39">
        <v>46063.416666666664</v>
      </c>
      <c r="D338" s="17"/>
      <c r="E338" s="17"/>
      <c r="F338" s="17"/>
      <c r="G338" s="42">
        <v>1912.17</v>
      </c>
      <c r="H338" s="42">
        <v>1912.17</v>
      </c>
      <c r="I338" s="43" t="s">
        <v>156</v>
      </c>
      <c r="J338" s="43" t="s">
        <v>139</v>
      </c>
      <c r="K338" s="43" t="s">
        <v>157</v>
      </c>
      <c r="L338" s="44" t="s">
        <v>158</v>
      </c>
      <c r="M338" s="44">
        <v>7142</v>
      </c>
      <c r="N338" s="44" t="s">
        <v>167</v>
      </c>
      <c r="O338" s="17"/>
      <c r="P338" s="17"/>
      <c r="Q338" s="17"/>
      <c r="R338" s="17"/>
      <c r="S338" s="17"/>
      <c r="T338" s="17"/>
      <c r="U338" s="17"/>
      <c r="V338" s="17"/>
      <c r="W338" s="17"/>
      <c r="X338" s="17"/>
      <c r="Y338" s="46" t="str">
        <f ca="1">IFERROR(VLOOKUP(A338,catalogo!$E:$G,2,0),"-")</f>
        <v>-</v>
      </c>
      <c r="Z338" s="47" t="str">
        <f ca="1">IFERROR(VLOOKUP(A338,catalogo!$E:$G,3,0),"-")</f>
        <v>-</v>
      </c>
      <c r="AA338" s="48"/>
      <c r="AB338" s="48"/>
      <c r="AC338" s="48" t="str">
        <f ca="1">IFERROR(VLOOKUP(A338,catalogo!$E:$H,4,0),"-")</f>
        <v>-</v>
      </c>
      <c r="AD338" s="48"/>
      <c r="AE338" s="48"/>
      <c r="AF338" s="48"/>
      <c r="AG338" s="48"/>
      <c r="AH338" s="48"/>
      <c r="AI338" s="48"/>
    </row>
    <row r="339" spans="1:35" ht="12.5" hidden="1">
      <c r="A339" s="37" t="s">
        <v>866</v>
      </c>
      <c r="B339" s="38" t="str">
        <f>IFERROR(VLOOKUP(J339,catalogo!$B$1:$C$100,2,0),"-")</f>
        <v>-</v>
      </c>
      <c r="C339" s="39">
        <v>46063.416666666664</v>
      </c>
      <c r="D339" s="17"/>
      <c r="E339" s="17"/>
      <c r="F339" s="17"/>
      <c r="G339" s="42">
        <v>115</v>
      </c>
      <c r="H339" s="42">
        <v>115</v>
      </c>
      <c r="I339" s="43" t="s">
        <v>156</v>
      </c>
      <c r="J339" s="43" t="s">
        <v>187</v>
      </c>
      <c r="K339" s="43" t="s">
        <v>232</v>
      </c>
      <c r="L339" s="44" t="s">
        <v>233</v>
      </c>
      <c r="M339" s="45" t="s">
        <v>477</v>
      </c>
      <c r="N339" s="44" t="s">
        <v>144</v>
      </c>
      <c r="O339" s="17"/>
      <c r="P339" s="17"/>
      <c r="Q339" s="17"/>
      <c r="R339" s="17"/>
      <c r="S339" s="17"/>
      <c r="T339" s="17"/>
      <c r="U339" s="17"/>
      <c r="V339" s="17"/>
      <c r="W339" s="17"/>
      <c r="X339" s="17"/>
      <c r="Y339" s="46" t="str">
        <f ca="1">IFERROR(VLOOKUP(A339,catalogo!$E:$H,2,0),"-")</f>
        <v>-</v>
      </c>
      <c r="Z339" s="47" t="str">
        <f ca="1">IFERROR(VLOOKUP(A339,catalogo!$E:$G,3,0),"-")</f>
        <v>-</v>
      </c>
      <c r="AA339" s="48"/>
      <c r="AB339" s="48"/>
      <c r="AC339" s="48" t="str">
        <f ca="1">IFERROR(VLOOKUP(A339,catalogo!$E:$H,4,0),"-")</f>
        <v>-</v>
      </c>
      <c r="AD339" s="48"/>
      <c r="AE339" s="48"/>
      <c r="AF339" s="48"/>
      <c r="AG339" s="48"/>
      <c r="AH339" s="48"/>
      <c r="AI339" s="48"/>
    </row>
    <row r="340" spans="1:35" ht="12.5" hidden="1">
      <c r="A340" s="37" t="s">
        <v>867</v>
      </c>
      <c r="B340" s="38" t="str">
        <f>IFERROR(VLOOKUP(J340,catalogo!$B$1:$C$75,2,0),"-")</f>
        <v>#26</v>
      </c>
      <c r="C340" s="39">
        <v>46063.416666666664</v>
      </c>
      <c r="D340" s="17"/>
      <c r="E340" s="17"/>
      <c r="F340" s="17"/>
      <c r="G340" s="42">
        <v>387</v>
      </c>
      <c r="H340" s="42">
        <v>387</v>
      </c>
      <c r="I340" s="43" t="s">
        <v>156</v>
      </c>
      <c r="J340" s="43" t="s">
        <v>67</v>
      </c>
      <c r="K340" s="43" t="s">
        <v>868</v>
      </c>
      <c r="L340" s="44" t="s">
        <v>294</v>
      </c>
      <c r="M340" s="45">
        <v>8061</v>
      </c>
      <c r="N340" s="44" t="s">
        <v>167</v>
      </c>
      <c r="O340" s="17"/>
      <c r="P340" s="17"/>
      <c r="Q340" s="17"/>
      <c r="R340" s="17"/>
      <c r="S340" s="17"/>
      <c r="T340" s="17"/>
      <c r="U340" s="17"/>
      <c r="V340" s="17"/>
      <c r="W340" s="17"/>
      <c r="X340" s="17"/>
      <c r="Y340" s="46" t="str">
        <f ca="1">IFERROR(VLOOKUP(A340,catalogo!$E:$H,2,0),"-")</f>
        <v>-</v>
      </c>
      <c r="Z340" s="47" t="str">
        <f ca="1">IFERROR(VLOOKUP(A340,catalogo!$E:$G,3,0),"-")</f>
        <v>-</v>
      </c>
      <c r="AA340" s="48"/>
      <c r="AB340" s="48"/>
      <c r="AC340" s="48" t="str">
        <f ca="1">IFERROR(VLOOKUP(A340,catalogo!$E:$H,4,0),"-")</f>
        <v>-</v>
      </c>
      <c r="AD340" s="48"/>
      <c r="AE340" s="48"/>
      <c r="AF340" s="48"/>
      <c r="AG340" s="48"/>
      <c r="AH340" s="48"/>
      <c r="AI340" s="48"/>
    </row>
    <row r="341" spans="1:35" ht="12.5" hidden="1">
      <c r="A341" s="37" t="s">
        <v>451</v>
      </c>
      <c r="B341" s="38" t="str">
        <f>IFERROR(VLOOKUP(J341,catalogo!$B$1:$C$75,2,0),"-")</f>
        <v>#64</v>
      </c>
      <c r="C341" s="39">
        <v>46063.416666666664</v>
      </c>
      <c r="D341" s="52"/>
      <c r="E341" s="17"/>
      <c r="F341" s="17"/>
      <c r="G341" s="42">
        <v>571.15</v>
      </c>
      <c r="H341" s="42">
        <v>571.15</v>
      </c>
      <c r="I341" s="43" t="s">
        <v>156</v>
      </c>
      <c r="J341" s="43" t="s">
        <v>139</v>
      </c>
      <c r="K341" s="43" t="s">
        <v>180</v>
      </c>
      <c r="L341" s="44" t="s">
        <v>181</v>
      </c>
      <c r="M341" s="45">
        <v>7142</v>
      </c>
      <c r="N341" s="44" t="s">
        <v>167</v>
      </c>
      <c r="O341" s="17"/>
      <c r="P341" s="17"/>
      <c r="Q341" s="17"/>
      <c r="R341" s="17"/>
      <c r="S341" s="17"/>
      <c r="T341" s="17"/>
      <c r="U341" s="17"/>
      <c r="V341" s="17"/>
      <c r="W341" s="17"/>
      <c r="X341" s="17"/>
      <c r="Y341" s="46" t="str">
        <f ca="1">IFERROR(VLOOKUP(A341,catalogo!$E:$H,2,0),"-")</f>
        <v>-</v>
      </c>
      <c r="Z341" s="47" t="str">
        <f ca="1">IFERROR(VLOOKUP(A341,catalogo!$E:$G,3,0),"-")</f>
        <v>-</v>
      </c>
      <c r="AA341" s="48"/>
      <c r="AB341" s="48"/>
      <c r="AC341" s="48" t="str">
        <f ca="1">IFERROR(VLOOKUP(A341,catalogo!$E:$H,4,0),"-")</f>
        <v>-</v>
      </c>
      <c r="AD341" s="48"/>
      <c r="AE341" s="48"/>
      <c r="AF341" s="48"/>
      <c r="AG341" s="48"/>
      <c r="AH341" s="48"/>
      <c r="AI341" s="48"/>
    </row>
    <row r="342" spans="1:35" ht="12.5" hidden="1">
      <c r="A342" s="37" t="s">
        <v>869</v>
      </c>
      <c r="B342" s="38" t="str">
        <f>IFERROR(VLOOKUP(J342,catalogo!$B$1:$C$100,2,0),"-")</f>
        <v>#26</v>
      </c>
      <c r="C342" s="39">
        <v>46063.416666666664</v>
      </c>
      <c r="D342" s="17"/>
      <c r="E342" s="17"/>
      <c r="F342" s="17"/>
      <c r="G342" s="53">
        <v>250</v>
      </c>
      <c r="H342" s="53">
        <v>250</v>
      </c>
      <c r="I342" s="43" t="s">
        <v>156</v>
      </c>
      <c r="J342" s="43" t="s">
        <v>67</v>
      </c>
      <c r="K342" s="43" t="s">
        <v>335</v>
      </c>
      <c r="L342" s="44" t="s">
        <v>336</v>
      </c>
      <c r="M342" s="45" t="s">
        <v>159</v>
      </c>
      <c r="N342" s="44" t="s">
        <v>144</v>
      </c>
      <c r="O342" s="17"/>
      <c r="P342" s="17"/>
      <c r="Q342" s="17"/>
      <c r="R342" s="17"/>
      <c r="S342" s="17"/>
      <c r="T342" s="17"/>
      <c r="U342" s="17"/>
      <c r="V342" s="17"/>
      <c r="W342" s="17"/>
      <c r="X342" s="17"/>
      <c r="Y342" s="46"/>
      <c r="Z342" s="47"/>
      <c r="AA342" s="48"/>
      <c r="AB342" s="48"/>
      <c r="AC342" s="48"/>
      <c r="AD342" s="48"/>
      <c r="AE342" s="48"/>
      <c r="AF342" s="48"/>
      <c r="AG342" s="48"/>
      <c r="AH342" s="48"/>
      <c r="AI342" s="48"/>
    </row>
    <row r="343" spans="1:35" ht="15.5" hidden="1">
      <c r="A343" s="37" t="s">
        <v>870</v>
      </c>
      <c r="B343" s="38" t="str">
        <f>IFERROR(VLOOKUP(J343,catalogo!$B$1:$C$75,2,0),"-")</f>
        <v>#26</v>
      </c>
      <c r="C343" s="39">
        <v>46063.416666666664</v>
      </c>
      <c r="D343" s="17"/>
      <c r="E343" s="17"/>
      <c r="F343" s="17"/>
      <c r="G343" s="42">
        <v>255</v>
      </c>
      <c r="H343" s="42">
        <v>255</v>
      </c>
      <c r="I343" s="43" t="s">
        <v>156</v>
      </c>
      <c r="J343" s="43" t="s">
        <v>67</v>
      </c>
      <c r="K343" s="43" t="s">
        <v>335</v>
      </c>
      <c r="L343" s="44" t="s">
        <v>336</v>
      </c>
      <c r="M343" s="45" t="s">
        <v>159</v>
      </c>
      <c r="N343" s="44" t="s">
        <v>144</v>
      </c>
      <c r="O343" s="49"/>
      <c r="P343" s="17"/>
      <c r="Q343" s="17"/>
      <c r="R343" s="17"/>
      <c r="S343" s="17"/>
      <c r="T343" s="17"/>
      <c r="U343" s="17"/>
      <c r="V343" s="17"/>
      <c r="W343" s="17"/>
      <c r="X343" s="17"/>
      <c r="Y343" s="46" t="str">
        <f ca="1">IFERROR(VLOOKUP(A343,catalogo!$E:$H,2,0),"-")</f>
        <v>-</v>
      </c>
      <c r="Z343" s="47" t="str">
        <f ca="1">IFERROR(VLOOKUP(A343,catalogo!$E:$G,3,0),"-")</f>
        <v>-</v>
      </c>
      <c r="AA343" s="48"/>
      <c r="AB343" s="48"/>
      <c r="AC343" s="48" t="str">
        <f ca="1">IFERROR(VLOOKUP(A343,catalogo!$E:$H,4,0),"-")</f>
        <v>-</v>
      </c>
      <c r="AD343" s="48"/>
      <c r="AE343" s="48"/>
      <c r="AF343" s="48"/>
      <c r="AG343" s="48"/>
      <c r="AH343" s="48"/>
      <c r="AI343" s="48"/>
    </row>
    <row r="344" spans="1:35" ht="12.5" hidden="1">
      <c r="A344" s="37" t="s">
        <v>871</v>
      </c>
      <c r="B344" s="38" t="str">
        <f>IFERROR(VLOOKUP(J344,catalogo!$B$1:$C$100,2,0),"-")</f>
        <v>#26</v>
      </c>
      <c r="C344" s="39">
        <v>46063.416666666664</v>
      </c>
      <c r="D344" s="17"/>
      <c r="E344" s="17"/>
      <c r="F344" s="17"/>
      <c r="G344" s="53">
        <v>277</v>
      </c>
      <c r="H344" s="53">
        <v>277</v>
      </c>
      <c r="I344" s="43" t="s">
        <v>156</v>
      </c>
      <c r="J344" s="50" t="s">
        <v>67</v>
      </c>
      <c r="K344" s="43" t="s">
        <v>335</v>
      </c>
      <c r="L344" s="44" t="s">
        <v>336</v>
      </c>
      <c r="M344" s="44" t="s">
        <v>159</v>
      </c>
      <c r="N344" s="44" t="s">
        <v>144</v>
      </c>
      <c r="O344" s="17"/>
      <c r="P344" s="17"/>
      <c r="Q344" s="17"/>
      <c r="R344" s="17"/>
      <c r="S344" s="17"/>
      <c r="T344" s="17"/>
      <c r="U344" s="17"/>
      <c r="V344" s="17"/>
      <c r="W344" s="17"/>
      <c r="X344" s="17"/>
      <c r="Y344" s="46"/>
      <c r="Z344" s="47"/>
      <c r="AA344" s="48"/>
      <c r="AB344" s="48"/>
      <c r="AC344" s="48"/>
      <c r="AD344" s="48"/>
      <c r="AE344" s="48"/>
      <c r="AF344" s="48"/>
      <c r="AG344" s="48"/>
      <c r="AH344" s="48"/>
      <c r="AI344" s="48"/>
    </row>
    <row r="345" spans="1:35" ht="12.5" hidden="1">
      <c r="A345" s="37" t="s">
        <v>872</v>
      </c>
      <c r="B345" s="38" t="str">
        <f>IFERROR(VLOOKUP(J345,catalogo!$B$1:$C$75,2,0),"-")</f>
        <v>#64</v>
      </c>
      <c r="C345" s="39">
        <v>46063.416666666664</v>
      </c>
      <c r="D345" s="52"/>
      <c r="E345" s="17"/>
      <c r="F345" s="17"/>
      <c r="G345" s="42">
        <v>722.85</v>
      </c>
      <c r="H345" s="42">
        <v>722.85</v>
      </c>
      <c r="I345" s="43" t="s">
        <v>156</v>
      </c>
      <c r="J345" s="43" t="s">
        <v>139</v>
      </c>
      <c r="K345" s="43" t="s">
        <v>180</v>
      </c>
      <c r="L345" s="44" t="s">
        <v>181</v>
      </c>
      <c r="M345" s="45">
        <v>7142</v>
      </c>
      <c r="N345" s="44" t="s">
        <v>167</v>
      </c>
      <c r="O345" s="17"/>
      <c r="P345" s="17"/>
      <c r="Q345" s="17"/>
      <c r="R345" s="17"/>
      <c r="S345" s="17"/>
      <c r="T345" s="17"/>
      <c r="U345" s="17"/>
      <c r="V345" s="17"/>
      <c r="W345" s="17"/>
      <c r="X345" s="17"/>
      <c r="Y345" s="46" t="str">
        <f ca="1">IFERROR(VLOOKUP(A345,catalogo!$E:$H,2,0),"-")</f>
        <v>-</v>
      </c>
      <c r="Z345" s="47" t="str">
        <f ca="1">IFERROR(VLOOKUP(A345,catalogo!$E:$G,3,0),"-")</f>
        <v>-</v>
      </c>
      <c r="AA345" s="48"/>
      <c r="AB345" s="48"/>
      <c r="AC345" s="48" t="str">
        <f ca="1">IFERROR(VLOOKUP(A345,catalogo!$E:$H,4,0),"-")</f>
        <v>-</v>
      </c>
      <c r="AD345" s="48"/>
      <c r="AE345" s="48"/>
      <c r="AF345" s="48"/>
      <c r="AG345" s="48"/>
      <c r="AH345" s="48"/>
      <c r="AI345" s="48"/>
    </row>
    <row r="346" spans="1:35" ht="15.5" hidden="1">
      <c r="A346" s="37" t="s">
        <v>873</v>
      </c>
      <c r="B346" s="38" t="str">
        <f>IFERROR(VLOOKUP(J346,catalogo!$B$1:$C$75,2,0),"-")</f>
        <v>#26</v>
      </c>
      <c r="C346" s="39">
        <v>46063.416666666664</v>
      </c>
      <c r="D346" s="17"/>
      <c r="E346" s="17"/>
      <c r="F346" s="17"/>
      <c r="G346" s="42">
        <v>81.94</v>
      </c>
      <c r="H346" s="42">
        <v>81.94</v>
      </c>
      <c r="I346" s="43" t="s">
        <v>156</v>
      </c>
      <c r="J346" s="43" t="s">
        <v>67</v>
      </c>
      <c r="K346" s="43" t="s">
        <v>359</v>
      </c>
      <c r="L346" s="44" t="s">
        <v>336</v>
      </c>
      <c r="M346" s="45" t="s">
        <v>159</v>
      </c>
      <c r="N346" s="44" t="s">
        <v>144</v>
      </c>
      <c r="O346" s="49"/>
      <c r="P346" s="17"/>
      <c r="Q346" s="17"/>
      <c r="R346" s="17"/>
      <c r="S346" s="17"/>
      <c r="T346" s="17"/>
      <c r="U346" s="17"/>
      <c r="V346" s="17"/>
      <c r="W346" s="17"/>
      <c r="X346" s="17"/>
      <c r="Y346" s="46" t="str">
        <f ca="1">IFERROR(VLOOKUP(A346,catalogo!$E:$H,2,0),"-")</f>
        <v>-</v>
      </c>
      <c r="Z346" s="47" t="str">
        <f ca="1">IFERROR(VLOOKUP(A346,catalogo!$E:$G,3,0),"-")</f>
        <v>-</v>
      </c>
      <c r="AA346" s="48"/>
      <c r="AB346" s="48"/>
      <c r="AC346" s="48" t="str">
        <f ca="1">IFERROR(VLOOKUP(A346,catalogo!$E:$H,4,0),"-")</f>
        <v>-</v>
      </c>
      <c r="AD346" s="48"/>
      <c r="AE346" s="48"/>
      <c r="AF346" s="48"/>
      <c r="AG346" s="48"/>
      <c r="AH346" s="48"/>
      <c r="AI346" s="48"/>
    </row>
    <row r="347" spans="1:35" ht="12.5" hidden="1">
      <c r="A347" s="37" t="s">
        <v>874</v>
      </c>
      <c r="B347" s="38" t="str">
        <f>IFERROR(VLOOKUP(J347,catalogo!$B$1:$C$75,2,0),"-")</f>
        <v>#26</v>
      </c>
      <c r="C347" s="39">
        <v>46063.416666666664</v>
      </c>
      <c r="D347" s="40"/>
      <c r="E347" s="41"/>
      <c r="F347" s="41"/>
      <c r="G347" s="42">
        <v>218</v>
      </c>
      <c r="H347" s="42">
        <v>218</v>
      </c>
      <c r="I347" s="43" t="s">
        <v>156</v>
      </c>
      <c r="J347" s="43" t="s">
        <v>67</v>
      </c>
      <c r="K347" s="43" t="s">
        <v>335</v>
      </c>
      <c r="L347" s="44" t="s">
        <v>336</v>
      </c>
      <c r="M347" s="44" t="s">
        <v>159</v>
      </c>
      <c r="N347" s="44" t="s">
        <v>144</v>
      </c>
      <c r="O347" s="41"/>
      <c r="P347" s="41"/>
      <c r="Q347" s="41"/>
      <c r="R347" s="41"/>
      <c r="S347" s="41"/>
      <c r="T347" s="41"/>
      <c r="U347" s="41"/>
      <c r="V347" s="41"/>
      <c r="W347" s="41"/>
      <c r="X347" s="41"/>
      <c r="Y347" s="46" t="str">
        <f ca="1">IFERROR(VLOOKUP(A347,catalogo!$E:$H,2,0),"-")</f>
        <v>-</v>
      </c>
      <c r="Z347" s="47" t="str">
        <f ca="1">IFERROR(VLOOKUP(A347,catalogo!$E:$G,3,0),"-")</f>
        <v>-</v>
      </c>
      <c r="AA347" s="48"/>
      <c r="AB347" s="48"/>
      <c r="AC347" s="48" t="str">
        <f ca="1">IFERROR(VLOOKUP(A347,catalogo!$E:$H,4,0),"-")</f>
        <v>-</v>
      </c>
      <c r="AD347" s="48"/>
      <c r="AE347" s="48"/>
      <c r="AF347" s="48"/>
      <c r="AG347" s="48"/>
      <c r="AH347" s="48"/>
      <c r="AI347" s="48"/>
    </row>
    <row r="348" spans="1:35" ht="12.5" hidden="1">
      <c r="A348" s="37" t="s">
        <v>875</v>
      </c>
      <c r="B348" s="38" t="str">
        <f>IFERROR(VLOOKUP(J348,catalogo!$B$1:$C$75,2,0),"-")</f>
        <v>-</v>
      </c>
      <c r="C348" s="39">
        <v>46063.416666666664</v>
      </c>
      <c r="D348" s="17"/>
      <c r="E348" s="17"/>
      <c r="F348" s="17"/>
      <c r="G348" s="42">
        <v>469.99</v>
      </c>
      <c r="H348" s="42">
        <v>469.99</v>
      </c>
      <c r="I348" s="43" t="s">
        <v>156</v>
      </c>
      <c r="J348" s="43" t="s">
        <v>269</v>
      </c>
      <c r="K348" s="43" t="s">
        <v>232</v>
      </c>
      <c r="L348" s="44" t="s">
        <v>233</v>
      </c>
      <c r="M348" s="44" t="s">
        <v>270</v>
      </c>
      <c r="N348" s="44" t="s">
        <v>144</v>
      </c>
      <c r="O348" s="17" t="s">
        <v>876</v>
      </c>
      <c r="P348" s="17"/>
      <c r="Q348" s="17"/>
      <c r="R348" s="17"/>
      <c r="S348" s="17"/>
      <c r="T348" s="17"/>
      <c r="U348" s="17"/>
      <c r="V348" s="17"/>
      <c r="W348" s="17"/>
      <c r="X348" s="17"/>
      <c r="Y348" s="46" t="str">
        <f ca="1">IFERROR(VLOOKUP(A348,catalogo!$E:$H,2,0),"-")</f>
        <v>-</v>
      </c>
      <c r="Z348" s="47" t="str">
        <f ca="1">IFERROR(VLOOKUP(A348,catalogo!$E:$G,3,0),"-")</f>
        <v>-</v>
      </c>
      <c r="AA348" s="48"/>
      <c r="AB348" s="48"/>
      <c r="AC348" s="48" t="str">
        <f ca="1">IFERROR(VLOOKUP(A348,catalogo!$E:$H,4,0),"-")</f>
        <v>-</v>
      </c>
      <c r="AD348" s="48"/>
      <c r="AE348" s="48"/>
      <c r="AF348" s="48"/>
      <c r="AG348" s="48"/>
      <c r="AH348" s="48"/>
      <c r="AI348" s="48"/>
    </row>
    <row r="349" spans="1:35" ht="12.5" hidden="1">
      <c r="A349" s="37" t="s">
        <v>877</v>
      </c>
      <c r="B349" s="38" t="str">
        <f>IFERROR(VLOOKUP(J349,catalogo!$B$1:$C$70,2,0),"-")</f>
        <v>-</v>
      </c>
      <c r="C349" s="39">
        <v>46063.416666666664</v>
      </c>
      <c r="D349" s="17"/>
      <c r="E349" s="17"/>
      <c r="F349" s="17"/>
      <c r="G349" s="42">
        <v>810</v>
      </c>
      <c r="H349" s="42">
        <v>810</v>
      </c>
      <c r="I349" s="43" t="s">
        <v>156</v>
      </c>
      <c r="J349" s="43" t="s">
        <v>321</v>
      </c>
      <c r="K349" s="43" t="s">
        <v>319</v>
      </c>
      <c r="L349" s="44" t="s">
        <v>317</v>
      </c>
      <c r="M349" s="45">
        <v>3340</v>
      </c>
      <c r="N349" s="44" t="s">
        <v>167</v>
      </c>
      <c r="O349" s="17"/>
      <c r="P349" s="17"/>
      <c r="Q349" s="17"/>
      <c r="R349" s="17"/>
      <c r="S349" s="17"/>
      <c r="T349" s="17"/>
      <c r="U349" s="17"/>
      <c r="V349" s="17"/>
      <c r="W349" s="17"/>
      <c r="X349" s="17"/>
      <c r="Y349" s="46" t="str">
        <f ca="1">IFERROR(VLOOKUP(A349,catalogo!$E:$G,2,0),"-")</f>
        <v>-</v>
      </c>
      <c r="Z349" s="47" t="str">
        <f ca="1">IFERROR(VLOOKUP(A349,catalogo!$E:$G,3,0),"-")</f>
        <v>-</v>
      </c>
      <c r="AA349" s="48"/>
      <c r="AB349" s="48"/>
      <c r="AC349" s="48" t="str">
        <f ca="1">IFERROR(VLOOKUP(A349,catalogo!$E:$H,4,0),"-")</f>
        <v>-</v>
      </c>
      <c r="AD349" s="48"/>
      <c r="AE349" s="48"/>
      <c r="AF349" s="48"/>
      <c r="AG349" s="48"/>
      <c r="AH349" s="48"/>
      <c r="AI349" s="48"/>
    </row>
    <row r="350" spans="1:35" ht="12.5" hidden="1">
      <c r="A350" s="37" t="s">
        <v>878</v>
      </c>
      <c r="B350" s="38" t="str">
        <f>IFERROR(VLOOKUP(J350,catalogo!$B$1:$C$70,2,0),"-")</f>
        <v>#66</v>
      </c>
      <c r="C350" s="39">
        <v>46063.416666666664</v>
      </c>
      <c r="D350" s="17"/>
      <c r="E350" s="17"/>
      <c r="F350" s="17"/>
      <c r="G350" s="42">
        <v>469</v>
      </c>
      <c r="H350" s="42">
        <v>469</v>
      </c>
      <c r="I350" s="43" t="s">
        <v>156</v>
      </c>
      <c r="J350" s="43" t="s">
        <v>80</v>
      </c>
      <c r="K350" s="43" t="s">
        <v>524</v>
      </c>
      <c r="L350" s="44" t="s">
        <v>525</v>
      </c>
      <c r="M350" s="44" t="s">
        <v>879</v>
      </c>
      <c r="N350" s="44" t="s">
        <v>144</v>
      </c>
      <c r="O350" s="17"/>
      <c r="P350" s="17"/>
      <c r="Q350" s="17"/>
      <c r="R350" s="17"/>
      <c r="S350" s="17"/>
      <c r="T350" s="17"/>
      <c r="U350" s="17"/>
      <c r="V350" s="17"/>
      <c r="W350" s="17"/>
      <c r="X350" s="17"/>
      <c r="Y350" s="46" t="str">
        <f ca="1">IFERROR(VLOOKUP(A350,catalogo!$E:$G,2,0),"-")</f>
        <v>-</v>
      </c>
      <c r="Z350" s="47" t="str">
        <f ca="1">IFERROR(VLOOKUP(A350,catalogo!$E:$G,3,0),"-")</f>
        <v>-</v>
      </c>
      <c r="AA350" s="48"/>
      <c r="AB350" s="48"/>
      <c r="AC350" s="48" t="str">
        <f ca="1">IFERROR(VLOOKUP(A350,catalogo!$E:$H,4,0),"-")</f>
        <v>-</v>
      </c>
      <c r="AD350" s="48"/>
      <c r="AE350" s="48"/>
      <c r="AF350" s="48"/>
      <c r="AG350" s="48"/>
      <c r="AH350" s="48"/>
      <c r="AI350" s="48"/>
    </row>
    <row r="351" spans="1:35" ht="12.5" hidden="1">
      <c r="A351" s="37" t="s">
        <v>367</v>
      </c>
      <c r="B351" s="38" t="str">
        <f>IFERROR(VLOOKUP(J351,catalogo!$B$1:$C$75,2,0),"-")</f>
        <v>#40</v>
      </c>
      <c r="C351" s="39">
        <v>46063.416666666664</v>
      </c>
      <c r="D351" s="52"/>
      <c r="E351" s="17"/>
      <c r="F351" s="17"/>
      <c r="G351" s="42">
        <v>1159.99</v>
      </c>
      <c r="H351" s="42">
        <v>1159.99</v>
      </c>
      <c r="I351" s="43" t="s">
        <v>156</v>
      </c>
      <c r="J351" s="43" t="s">
        <v>136</v>
      </c>
      <c r="K351" s="43" t="s">
        <v>880</v>
      </c>
      <c r="L351" s="44" t="s">
        <v>881</v>
      </c>
      <c r="M351" s="45" t="s">
        <v>882</v>
      </c>
      <c r="N351" s="44" t="s">
        <v>144</v>
      </c>
      <c r="O351" s="17"/>
      <c r="P351" s="17"/>
      <c r="Q351" s="17"/>
      <c r="R351" s="17"/>
      <c r="S351" s="17"/>
      <c r="T351" s="17"/>
      <c r="U351" s="17"/>
      <c r="V351" s="17"/>
      <c r="W351" s="17"/>
      <c r="X351" s="17"/>
      <c r="Y351" s="46" t="str">
        <f ca="1">IFERROR(VLOOKUP(A351,catalogo!$E:$H,2,0),"-")</f>
        <v>-</v>
      </c>
      <c r="Z351" s="47" t="str">
        <f ca="1">IFERROR(VLOOKUP(A351,catalogo!$E:$G,3,0),"-")</f>
        <v>-</v>
      </c>
      <c r="AA351" s="48"/>
      <c r="AB351" s="48"/>
      <c r="AC351" s="48" t="str">
        <f ca="1">IFERROR(VLOOKUP(A351,catalogo!$E:$H,4,0),"-")</f>
        <v>-</v>
      </c>
      <c r="AD351" s="48"/>
      <c r="AE351" s="48"/>
      <c r="AF351" s="48"/>
      <c r="AG351" s="48"/>
      <c r="AH351" s="48"/>
      <c r="AI351" s="48"/>
    </row>
    <row r="352" spans="1:35" ht="15.5" hidden="1">
      <c r="A352" s="37" t="s">
        <v>883</v>
      </c>
      <c r="B352" s="38" t="str">
        <f>IFERROR(VLOOKUP(J352,catalogo!$B$1:$C$75,2,0),"-")</f>
        <v>#56</v>
      </c>
      <c r="C352" s="39">
        <v>46063.416666666664</v>
      </c>
      <c r="D352" s="17"/>
      <c r="E352" s="17"/>
      <c r="F352" s="17"/>
      <c r="G352" s="42">
        <v>139.19999999999999</v>
      </c>
      <c r="H352" s="42">
        <v>139.19999999999999</v>
      </c>
      <c r="I352" s="43" t="s">
        <v>156</v>
      </c>
      <c r="J352" s="43" t="s">
        <v>99</v>
      </c>
      <c r="K352" s="43" t="s">
        <v>884</v>
      </c>
      <c r="L352" s="44" t="s">
        <v>885</v>
      </c>
      <c r="M352" s="45">
        <v>8949</v>
      </c>
      <c r="N352" s="44" t="s">
        <v>167</v>
      </c>
      <c r="O352" s="49"/>
      <c r="P352" s="17"/>
      <c r="Q352" s="17"/>
      <c r="R352" s="17"/>
      <c r="S352" s="17"/>
      <c r="T352" s="17"/>
      <c r="U352" s="17"/>
      <c r="V352" s="17"/>
      <c r="W352" s="17"/>
      <c r="X352" s="17"/>
      <c r="Y352" s="46" t="str">
        <f ca="1">IFERROR(VLOOKUP(A352,catalogo!$E:$H,2,0),"-")</f>
        <v>-</v>
      </c>
      <c r="Z352" s="47" t="str">
        <f ca="1">IFERROR(VLOOKUP(A352,catalogo!$E:$G,3,0),"-")</f>
        <v>-</v>
      </c>
      <c r="AA352" s="48"/>
      <c r="AB352" s="48"/>
      <c r="AC352" s="48" t="str">
        <f ca="1">IFERROR(VLOOKUP(A352,catalogo!$E:$H,4,0),"-")</f>
        <v>-</v>
      </c>
      <c r="AD352" s="48"/>
      <c r="AE352" s="48"/>
      <c r="AF352" s="48"/>
      <c r="AG352" s="48"/>
      <c r="AH352" s="48"/>
      <c r="AI352" s="48"/>
    </row>
    <row r="353" spans="1:35" ht="12.5" hidden="1">
      <c r="A353" s="37" t="s">
        <v>886</v>
      </c>
      <c r="B353" s="38" t="str">
        <f>IFERROR(VLOOKUP(J353,catalogo!$B$1:$C$75,2,0),"-")</f>
        <v>#69</v>
      </c>
      <c r="C353" s="39">
        <v>46063.416666666664</v>
      </c>
      <c r="D353" s="40"/>
      <c r="E353" s="41"/>
      <c r="F353" s="41"/>
      <c r="G353" s="42">
        <v>11702</v>
      </c>
      <c r="H353" s="42">
        <v>11702</v>
      </c>
      <c r="I353" s="43" t="s">
        <v>156</v>
      </c>
      <c r="J353" s="43" t="s">
        <v>110</v>
      </c>
      <c r="K353" s="43" t="s">
        <v>887</v>
      </c>
      <c r="L353" s="44" t="s">
        <v>552</v>
      </c>
      <c r="M353" s="45" t="s">
        <v>464</v>
      </c>
      <c r="N353" s="44" t="s">
        <v>144</v>
      </c>
      <c r="O353" s="41"/>
      <c r="P353" s="41"/>
      <c r="Q353" s="41"/>
      <c r="R353" s="41"/>
      <c r="S353" s="41"/>
      <c r="T353" s="41"/>
      <c r="U353" s="41"/>
      <c r="V353" s="41"/>
      <c r="W353" s="41"/>
      <c r="X353" s="41"/>
      <c r="Y353" s="46" t="str">
        <f ca="1">IFERROR(VLOOKUP(A353,catalogo!$E:$H,2,0),"-")</f>
        <v>-</v>
      </c>
      <c r="Z353" s="47" t="str">
        <f ca="1">IFERROR(VLOOKUP(A353,catalogo!$E:$G,3,0),"-")</f>
        <v>-</v>
      </c>
      <c r="AA353" s="48"/>
      <c r="AB353" s="48"/>
      <c r="AC353" s="48" t="str">
        <f ca="1">IFERROR(VLOOKUP(A353,catalogo!$E:$H,4,0),"-")</f>
        <v>-</v>
      </c>
      <c r="AD353" s="48"/>
      <c r="AE353" s="48"/>
      <c r="AF353" s="48"/>
      <c r="AG353" s="48"/>
      <c r="AH353" s="48"/>
      <c r="AI353" s="48"/>
    </row>
    <row r="354" spans="1:35" ht="12.5" hidden="1">
      <c r="A354" s="37" t="s">
        <v>888</v>
      </c>
      <c r="B354" s="38" t="str">
        <f>IFERROR(VLOOKUP(J354,catalogo!$B$1:$C$100,2,0),"-")</f>
        <v>#26</v>
      </c>
      <c r="C354" s="39">
        <v>46063.416666666664</v>
      </c>
      <c r="D354" s="17"/>
      <c r="E354" s="17"/>
      <c r="F354" s="17"/>
      <c r="G354" s="53">
        <v>277</v>
      </c>
      <c r="H354" s="53">
        <v>277</v>
      </c>
      <c r="I354" s="43" t="s">
        <v>156</v>
      </c>
      <c r="J354" s="43" t="s">
        <v>67</v>
      </c>
      <c r="K354" s="43" t="s">
        <v>889</v>
      </c>
      <c r="L354" s="44" t="s">
        <v>336</v>
      </c>
      <c r="M354" s="45" t="s">
        <v>159</v>
      </c>
      <c r="N354" s="44" t="s">
        <v>144</v>
      </c>
      <c r="O354" s="17"/>
      <c r="P354" s="17"/>
      <c r="Q354" s="17"/>
      <c r="R354" s="17"/>
      <c r="S354" s="17"/>
      <c r="T354" s="17"/>
      <c r="U354" s="17"/>
      <c r="V354" s="17"/>
      <c r="W354" s="17"/>
      <c r="X354" s="17"/>
      <c r="Y354" s="46"/>
      <c r="Z354" s="47"/>
      <c r="AA354" s="48"/>
      <c r="AB354" s="48"/>
      <c r="AC354" s="48"/>
      <c r="AD354" s="48"/>
      <c r="AE354" s="48"/>
      <c r="AF354" s="48"/>
      <c r="AG354" s="48"/>
      <c r="AH354" s="48"/>
      <c r="AI354" s="48"/>
    </row>
    <row r="355" spans="1:35" ht="15.5" hidden="1">
      <c r="A355" s="37" t="s">
        <v>890</v>
      </c>
      <c r="B355" s="38" t="str">
        <f>IFERROR(VLOOKUP(J355,catalogo!$B$1:$C$75,2,0),"-")</f>
        <v>#26</v>
      </c>
      <c r="C355" s="39">
        <v>46063.416666666664</v>
      </c>
      <c r="D355" s="17"/>
      <c r="E355" s="17"/>
      <c r="F355" s="17"/>
      <c r="G355" s="42">
        <v>218</v>
      </c>
      <c r="H355" s="42">
        <v>218</v>
      </c>
      <c r="I355" s="43" t="s">
        <v>156</v>
      </c>
      <c r="J355" s="43" t="s">
        <v>67</v>
      </c>
      <c r="K355" s="43" t="s">
        <v>889</v>
      </c>
      <c r="L355" s="44" t="s">
        <v>336</v>
      </c>
      <c r="M355" s="44" t="s">
        <v>159</v>
      </c>
      <c r="N355" s="44" t="s">
        <v>144</v>
      </c>
      <c r="O355" s="49"/>
      <c r="P355" s="17"/>
      <c r="Q355" s="17"/>
      <c r="R355" s="17"/>
      <c r="S355" s="17"/>
      <c r="T355" s="17"/>
      <c r="U355" s="17"/>
      <c r="V355" s="17"/>
      <c r="W355" s="17"/>
      <c r="X355" s="17"/>
      <c r="Y355" s="46" t="str">
        <f ca="1">IFERROR(VLOOKUP(A355,catalogo!$E:$H,2,0),"-")</f>
        <v>-</v>
      </c>
      <c r="Z355" s="47" t="str">
        <f ca="1">IFERROR(VLOOKUP(A355,catalogo!$E:$G,3,0),"-")</f>
        <v>-</v>
      </c>
      <c r="AA355" s="48"/>
      <c r="AB355" s="48"/>
      <c r="AC355" s="48" t="str">
        <f ca="1">IFERROR(VLOOKUP(A355,catalogo!$E:$H,4,0),"-")</f>
        <v>-</v>
      </c>
      <c r="AD355" s="48"/>
      <c r="AE355" s="48"/>
      <c r="AF355" s="48"/>
      <c r="AG355" s="48"/>
      <c r="AH355" s="48"/>
      <c r="AI355" s="48"/>
    </row>
    <row r="356" spans="1:35" ht="12.5" hidden="1">
      <c r="A356" s="37" t="s">
        <v>891</v>
      </c>
      <c r="B356" s="38" t="str">
        <f>IFERROR(VLOOKUP(J356,catalogo!$B$1:$C$75,2,0),"-")</f>
        <v>#66</v>
      </c>
      <c r="C356" s="39">
        <v>46063.416666666664</v>
      </c>
      <c r="D356" s="52"/>
      <c r="E356" s="17"/>
      <c r="F356" s="17"/>
      <c r="G356" s="42">
        <v>96.5</v>
      </c>
      <c r="H356" s="42">
        <v>96.5</v>
      </c>
      <c r="I356" s="43" t="s">
        <v>156</v>
      </c>
      <c r="J356" s="43" t="s">
        <v>80</v>
      </c>
      <c r="K356" s="43" t="s">
        <v>892</v>
      </c>
      <c r="L356" s="44" t="s">
        <v>407</v>
      </c>
      <c r="M356" s="45">
        <v>2406</v>
      </c>
      <c r="N356" s="44" t="s">
        <v>167</v>
      </c>
      <c r="O356" s="17"/>
      <c r="P356" s="17"/>
      <c r="Q356" s="17"/>
      <c r="R356" s="17"/>
      <c r="S356" s="17"/>
      <c r="T356" s="17"/>
      <c r="U356" s="17"/>
      <c r="V356" s="17"/>
      <c r="W356" s="17"/>
      <c r="X356" s="17"/>
      <c r="Y356" s="46" t="str">
        <f ca="1">IFERROR(VLOOKUP(A356,catalogo!$E:$H,2,0),"-")</f>
        <v>-</v>
      </c>
      <c r="Z356" s="47" t="str">
        <f ca="1">IFERROR(VLOOKUP(A356,catalogo!$E:$G,3,0),"-")</f>
        <v>-</v>
      </c>
      <c r="AA356" s="48"/>
      <c r="AB356" s="48"/>
      <c r="AC356" s="48" t="str">
        <f ca="1">IFERROR(VLOOKUP(A356,catalogo!$E:$H,4,0),"-")</f>
        <v>-</v>
      </c>
      <c r="AD356" s="48"/>
      <c r="AE356" s="48"/>
      <c r="AF356" s="48"/>
      <c r="AG356" s="48"/>
      <c r="AH356" s="48"/>
      <c r="AI356" s="48"/>
    </row>
    <row r="357" spans="1:35" ht="15.5" hidden="1">
      <c r="A357" s="37" t="s">
        <v>893</v>
      </c>
      <c r="B357" s="38" t="str">
        <f>IFERROR(VLOOKUP(J357,catalogo!$B$1:$C$75,2,0),"-")</f>
        <v>-</v>
      </c>
      <c r="C357" s="39">
        <v>46063.416666666664</v>
      </c>
      <c r="D357" s="17"/>
      <c r="E357" s="17"/>
      <c r="F357" s="17"/>
      <c r="G357" s="42">
        <v>15</v>
      </c>
      <c r="H357" s="42">
        <v>15</v>
      </c>
      <c r="I357" s="43" t="s">
        <v>156</v>
      </c>
      <c r="J357" s="43" t="s">
        <v>321</v>
      </c>
      <c r="K357" s="43" t="s">
        <v>841</v>
      </c>
      <c r="L357" s="44" t="s">
        <v>842</v>
      </c>
      <c r="M357" s="45">
        <v>3340</v>
      </c>
      <c r="N357" s="44" t="s">
        <v>167</v>
      </c>
      <c r="O357" s="49"/>
      <c r="P357" s="17"/>
      <c r="Q357" s="17"/>
      <c r="R357" s="17"/>
      <c r="S357" s="17"/>
      <c r="T357" s="17"/>
      <c r="U357" s="17"/>
      <c r="V357" s="17"/>
      <c r="W357" s="17"/>
      <c r="X357" s="17"/>
      <c r="Y357" s="46" t="str">
        <f ca="1">IFERROR(VLOOKUP(A357,catalogo!$E:$H,2,0),"-")</f>
        <v>-</v>
      </c>
      <c r="Z357" s="47" t="str">
        <f ca="1">IFERROR(VLOOKUP(A357,catalogo!$E:$G,3,0),"-")</f>
        <v>-</v>
      </c>
      <c r="AA357" s="48"/>
      <c r="AB357" s="48"/>
      <c r="AC357" s="48" t="str">
        <f ca="1">IFERROR(VLOOKUP(A357,catalogo!$E:$H,4,0),"-")</f>
        <v>-</v>
      </c>
      <c r="AD357" s="48"/>
      <c r="AE357" s="48"/>
      <c r="AF357" s="48"/>
      <c r="AG357" s="48"/>
      <c r="AH357" s="48"/>
      <c r="AI357" s="48"/>
    </row>
    <row r="358" spans="1:35" ht="12.5" hidden="1">
      <c r="A358" s="37" t="s">
        <v>894</v>
      </c>
      <c r="B358" s="38" t="str">
        <f>IFERROR(VLOOKUP(J358,catalogo!$B$1:$C$80,2,0),"-")</f>
        <v>#64</v>
      </c>
      <c r="C358" s="39">
        <v>46063.416666666664</v>
      </c>
      <c r="D358" s="17"/>
      <c r="E358" s="17"/>
      <c r="F358" s="17"/>
      <c r="G358" s="42">
        <v>248</v>
      </c>
      <c r="H358" s="42">
        <v>248</v>
      </c>
      <c r="I358" s="43" t="s">
        <v>156</v>
      </c>
      <c r="J358" s="43" t="s">
        <v>139</v>
      </c>
      <c r="K358" s="43" t="s">
        <v>836</v>
      </c>
      <c r="L358" s="44" t="s">
        <v>655</v>
      </c>
      <c r="M358" s="44">
        <v>7142</v>
      </c>
      <c r="N358" s="44" t="s">
        <v>167</v>
      </c>
      <c r="O358" s="17"/>
      <c r="P358" s="17"/>
      <c r="Q358" s="17"/>
      <c r="R358" s="17"/>
      <c r="S358" s="17"/>
      <c r="T358" s="17"/>
      <c r="U358" s="17"/>
      <c r="V358" s="17"/>
      <c r="W358" s="17"/>
      <c r="X358" s="17"/>
      <c r="Y358" s="46" t="str">
        <f ca="1">IFERROR(VLOOKUP(A358,catalogo!$E:$G,2,0),"-")</f>
        <v>-</v>
      </c>
      <c r="Z358" s="47" t="str">
        <f ca="1">IFERROR(VLOOKUP(A358,catalogo!$E:$G,3,0),"-")</f>
        <v>-</v>
      </c>
      <c r="AA358" s="48"/>
      <c r="AB358" s="48"/>
      <c r="AC358" s="48" t="str">
        <f ca="1">IFERROR(VLOOKUP(A358,catalogo!$E:$H,4,0),"-")</f>
        <v>-</v>
      </c>
      <c r="AD358" s="48"/>
      <c r="AE358" s="48"/>
      <c r="AF358" s="48"/>
      <c r="AG358" s="48"/>
      <c r="AH358" s="48"/>
      <c r="AI358" s="48"/>
    </row>
    <row r="359" spans="1:35" ht="12.5" hidden="1">
      <c r="A359" s="37" t="s">
        <v>895</v>
      </c>
      <c r="B359" s="38" t="str">
        <f>IFERROR(VLOOKUP(J359,catalogo!$B$1:$C$70,2,0),"-")</f>
        <v>-</v>
      </c>
      <c r="C359" s="39">
        <v>46063.416666666664</v>
      </c>
      <c r="D359" s="17"/>
      <c r="E359" s="17"/>
      <c r="F359" s="17"/>
      <c r="G359" s="42">
        <v>800</v>
      </c>
      <c r="H359" s="42">
        <v>800</v>
      </c>
      <c r="I359" s="43" t="s">
        <v>156</v>
      </c>
      <c r="J359" s="43" t="s">
        <v>710</v>
      </c>
      <c r="K359" s="43" t="s">
        <v>711</v>
      </c>
      <c r="L359" s="44" t="s">
        <v>712</v>
      </c>
      <c r="M359" s="44">
        <v>5652</v>
      </c>
      <c r="N359" s="44" t="s">
        <v>167</v>
      </c>
      <c r="O359" s="17"/>
      <c r="P359" s="17"/>
      <c r="Q359" s="17"/>
      <c r="R359" s="17"/>
      <c r="S359" s="17"/>
      <c r="T359" s="17"/>
      <c r="U359" s="17"/>
      <c r="V359" s="17"/>
      <c r="W359" s="17"/>
      <c r="X359" s="17"/>
      <c r="Y359" s="46" t="str">
        <f ca="1">IFERROR(VLOOKUP(A359,catalogo!$E:$G,2,0),"-")</f>
        <v>-</v>
      </c>
      <c r="Z359" s="47" t="str">
        <f ca="1">IFERROR(VLOOKUP(A359,catalogo!$E:$G,3,0),"-")</f>
        <v>-</v>
      </c>
      <c r="AA359" s="48"/>
      <c r="AB359" s="48"/>
      <c r="AC359" s="48" t="str">
        <f ca="1">IFERROR(VLOOKUP(A359,catalogo!$E:$H,4,0),"-")</f>
        <v>-</v>
      </c>
      <c r="AD359" s="48"/>
      <c r="AE359" s="48"/>
      <c r="AF359" s="48"/>
      <c r="AG359" s="48"/>
      <c r="AH359" s="48"/>
      <c r="AI359" s="48"/>
    </row>
    <row r="360" spans="1:35" ht="12.5" hidden="1">
      <c r="A360" s="37" t="s">
        <v>896</v>
      </c>
      <c r="B360" s="38" t="str">
        <f>IFERROR(VLOOKUP(J360,catalogo!$B$1:$C$70,2,0),"-")</f>
        <v>#2</v>
      </c>
      <c r="C360" s="39">
        <v>46063.416666666664</v>
      </c>
      <c r="D360" s="17"/>
      <c r="E360" s="17"/>
      <c r="F360" s="17"/>
      <c r="G360" s="42">
        <v>6524.63</v>
      </c>
      <c r="H360" s="42">
        <v>360</v>
      </c>
      <c r="I360" s="43" t="s">
        <v>172</v>
      </c>
      <c r="J360" s="43" t="s">
        <v>75</v>
      </c>
      <c r="K360" s="43" t="s">
        <v>897</v>
      </c>
      <c r="L360" s="44" t="s">
        <v>898</v>
      </c>
      <c r="M360" s="44" t="s">
        <v>199</v>
      </c>
      <c r="N360" s="44" t="s">
        <v>144</v>
      </c>
      <c r="O360" s="17"/>
      <c r="P360" s="17"/>
      <c r="Q360" s="17"/>
      <c r="R360" s="17"/>
      <c r="S360" s="17"/>
      <c r="T360" s="17"/>
      <c r="U360" s="17"/>
      <c r="V360" s="17"/>
      <c r="W360" s="17"/>
      <c r="X360" s="17"/>
      <c r="Y360" s="46" t="str">
        <f ca="1">IFERROR(VLOOKUP(A360,catalogo!$E:$G,2,0),"-")</f>
        <v>Tech&amp;Product</v>
      </c>
      <c r="Z360" s="47">
        <f ca="1">IFERROR(VLOOKUP(A360,catalogo!$E:$G,3,0),"-")</f>
        <v>0</v>
      </c>
      <c r="AA360" s="48"/>
      <c r="AB360" s="48"/>
      <c r="AC360" s="48" t="str">
        <f ca="1">IFERROR(VLOOKUP(A360,catalogo!$E:$H,4,0),"-")</f>
        <v>.</v>
      </c>
      <c r="AD360" s="48"/>
      <c r="AE360" s="48"/>
      <c r="AF360" s="48"/>
      <c r="AG360" s="48"/>
      <c r="AH360" s="48"/>
      <c r="AI360" s="48"/>
    </row>
    <row r="361" spans="1:35" ht="12.5" hidden="1">
      <c r="A361" s="37" t="s">
        <v>899</v>
      </c>
      <c r="B361" s="38" t="str">
        <f>IFERROR(VLOOKUP(J361,catalogo!$B$1:$C$75,2,0),"-")</f>
        <v>-</v>
      </c>
      <c r="C361" s="39">
        <v>46063.416666666664</v>
      </c>
      <c r="D361" s="52"/>
      <c r="E361" s="17"/>
      <c r="F361" s="17"/>
      <c r="G361" s="42">
        <v>637</v>
      </c>
      <c r="H361" s="42">
        <v>637</v>
      </c>
      <c r="I361" s="43" t="s">
        <v>156</v>
      </c>
      <c r="J361" s="43" t="s">
        <v>187</v>
      </c>
      <c r="K361" s="43" t="s">
        <v>900</v>
      </c>
      <c r="L361" s="44" t="s">
        <v>901</v>
      </c>
      <c r="M361" s="44" t="s">
        <v>190</v>
      </c>
      <c r="N361" s="44" t="s">
        <v>167</v>
      </c>
      <c r="O361" s="17"/>
      <c r="P361" s="17"/>
      <c r="Q361" s="17"/>
      <c r="R361" s="17"/>
      <c r="S361" s="17"/>
      <c r="T361" s="17"/>
      <c r="U361" s="17"/>
      <c r="V361" s="17"/>
      <c r="W361" s="17"/>
      <c r="X361" s="17"/>
      <c r="Y361" s="46" t="str">
        <f ca="1">IFERROR(VLOOKUP(A361,catalogo!$E:$H,2,0),"-")</f>
        <v>-</v>
      </c>
      <c r="Z361" s="47" t="str">
        <f ca="1">IFERROR(VLOOKUP(A361,catalogo!$E:$G,3,0),"-")</f>
        <v>-</v>
      </c>
      <c r="AA361" s="48"/>
      <c r="AB361" s="48"/>
      <c r="AC361" s="48" t="str">
        <f ca="1">IFERROR(VLOOKUP(A361,catalogo!$E:$H,4,0),"-")</f>
        <v>-</v>
      </c>
      <c r="AD361" s="48"/>
      <c r="AE361" s="48"/>
      <c r="AF361" s="48"/>
      <c r="AG361" s="48"/>
      <c r="AH361" s="48"/>
      <c r="AI361" s="48"/>
    </row>
    <row r="362" spans="1:35" ht="12.5" hidden="1">
      <c r="A362" s="37" t="s">
        <v>902</v>
      </c>
      <c r="B362" s="38" t="str">
        <f>IFERROR(VLOOKUP(J362,catalogo!$B$1:$C$100,2,0),"-")</f>
        <v>#8</v>
      </c>
      <c r="C362" s="39">
        <v>46063.416666666664</v>
      </c>
      <c r="D362" s="17"/>
      <c r="E362" s="17"/>
      <c r="F362" s="17"/>
      <c r="G362" s="53">
        <v>802.27</v>
      </c>
      <c r="H362" s="53">
        <v>802.27</v>
      </c>
      <c r="I362" s="43" t="s">
        <v>156</v>
      </c>
      <c r="J362" s="43" t="s">
        <v>128</v>
      </c>
      <c r="K362" s="43" t="s">
        <v>903</v>
      </c>
      <c r="L362" s="44" t="s">
        <v>904</v>
      </c>
      <c r="M362" s="45">
        <v>16</v>
      </c>
      <c r="N362" s="44" t="s">
        <v>167</v>
      </c>
      <c r="O362" s="17"/>
      <c r="P362" s="17"/>
      <c r="Q362" s="17"/>
      <c r="R362" s="17"/>
      <c r="S362" s="17"/>
      <c r="T362" s="17"/>
      <c r="U362" s="17"/>
      <c r="V362" s="17"/>
      <c r="W362" s="17"/>
      <c r="X362" s="17"/>
      <c r="Y362" s="46"/>
      <c r="Z362" s="47"/>
      <c r="AA362" s="48"/>
      <c r="AB362" s="48"/>
      <c r="AC362" s="48"/>
      <c r="AD362" s="48"/>
      <c r="AE362" s="48"/>
      <c r="AF362" s="48"/>
      <c r="AG362" s="48"/>
      <c r="AH362" s="48"/>
      <c r="AI362" s="48"/>
    </row>
    <row r="363" spans="1:35" ht="12.5" hidden="1">
      <c r="A363" s="37" t="s">
        <v>905</v>
      </c>
      <c r="B363" s="38" t="str">
        <f>IFERROR(VLOOKUP(J363,catalogo!$B$1:$C$100,2,0),"-")</f>
        <v>-</v>
      </c>
      <c r="C363" s="39">
        <v>46063.416666666664</v>
      </c>
      <c r="D363" s="17"/>
      <c r="E363" s="17"/>
      <c r="F363" s="17"/>
      <c r="G363" s="42">
        <v>25</v>
      </c>
      <c r="H363" s="42">
        <v>25</v>
      </c>
      <c r="I363" s="43" t="s">
        <v>156</v>
      </c>
      <c r="J363" s="43" t="s">
        <v>321</v>
      </c>
      <c r="K363" s="43" t="s">
        <v>841</v>
      </c>
      <c r="L363" s="44" t="s">
        <v>842</v>
      </c>
      <c r="M363" s="45">
        <v>3340</v>
      </c>
      <c r="N363" s="44" t="s">
        <v>167</v>
      </c>
      <c r="O363" s="17"/>
      <c r="P363" s="17"/>
      <c r="Q363" s="17"/>
      <c r="R363" s="17"/>
      <c r="S363" s="17"/>
      <c r="T363" s="17"/>
      <c r="U363" s="17"/>
      <c r="V363" s="17"/>
      <c r="W363" s="17"/>
      <c r="X363" s="17"/>
      <c r="Y363" s="46" t="str">
        <f ca="1">IFERROR(VLOOKUP(A363,catalogo!$E:$G,2,0),"-")</f>
        <v>-</v>
      </c>
      <c r="Z363" s="47" t="str">
        <f ca="1">IFERROR(VLOOKUP(A363,catalogo!$E:$G,3,0),"-")</f>
        <v>-</v>
      </c>
      <c r="AA363" s="48"/>
      <c r="AB363" s="48"/>
      <c r="AC363" s="48" t="str">
        <f ca="1">IFERROR(VLOOKUP(A363,catalogo!$E:$H,4,0),"-")</f>
        <v>-</v>
      </c>
      <c r="AD363" s="48"/>
      <c r="AE363" s="48"/>
      <c r="AF363" s="48"/>
      <c r="AG363" s="48"/>
      <c r="AH363" s="48"/>
      <c r="AI363" s="48"/>
    </row>
    <row r="364" spans="1:35" ht="12.5" hidden="1">
      <c r="A364" s="37" t="s">
        <v>906</v>
      </c>
      <c r="B364" s="38" t="str">
        <f>IFERROR(VLOOKUP(J364,catalogo!$B$1:$C$75,2,0),"-")</f>
        <v>#56</v>
      </c>
      <c r="C364" s="39">
        <v>46063.416666666664</v>
      </c>
      <c r="D364" s="17"/>
      <c r="E364" s="17"/>
      <c r="F364" s="17"/>
      <c r="G364" s="42">
        <v>282.27</v>
      </c>
      <c r="H364" s="42">
        <v>282.27</v>
      </c>
      <c r="I364" s="43" t="s">
        <v>156</v>
      </c>
      <c r="J364" s="43" t="s">
        <v>99</v>
      </c>
      <c r="K364" s="43" t="s">
        <v>705</v>
      </c>
      <c r="L364" s="44" t="s">
        <v>706</v>
      </c>
      <c r="M364" s="45">
        <v>8949</v>
      </c>
      <c r="N364" s="44" t="s">
        <v>167</v>
      </c>
      <c r="O364" s="17"/>
      <c r="P364" s="17"/>
      <c r="Q364" s="17"/>
      <c r="R364" s="17"/>
      <c r="S364" s="17"/>
      <c r="T364" s="17"/>
      <c r="U364" s="17"/>
      <c r="V364" s="17"/>
      <c r="W364" s="17"/>
      <c r="X364" s="17"/>
      <c r="Y364" s="46" t="str">
        <f ca="1">IFERROR(VLOOKUP(A364,catalogo!$E:$H,2,0),"-")</f>
        <v>-</v>
      </c>
      <c r="Z364" s="47" t="str">
        <f ca="1">IFERROR(VLOOKUP(A364,catalogo!$E:$G,3,0),"-")</f>
        <v>-</v>
      </c>
      <c r="AA364" s="48"/>
      <c r="AB364" s="48"/>
      <c r="AC364" s="48" t="str">
        <f ca="1">IFERROR(VLOOKUP(A364,catalogo!$E:$H,4,0),"-")</f>
        <v>-</v>
      </c>
      <c r="AD364" s="48"/>
      <c r="AE364" s="48"/>
      <c r="AF364" s="48"/>
      <c r="AG364" s="48"/>
      <c r="AH364" s="48"/>
      <c r="AI364" s="48"/>
    </row>
    <row r="365" spans="1:35" ht="12.5" hidden="1">
      <c r="A365" s="37" t="s">
        <v>907</v>
      </c>
      <c r="B365" s="38" t="str">
        <f>IFERROR(VLOOKUP(J365,catalogo!$B$1:$C$75,2,0),"-")</f>
        <v>-</v>
      </c>
      <c r="C365" s="39">
        <v>46063.416666666664</v>
      </c>
      <c r="D365" s="17"/>
      <c r="E365" s="17"/>
      <c r="F365" s="17"/>
      <c r="G365" s="42">
        <v>25</v>
      </c>
      <c r="H365" s="42">
        <v>25</v>
      </c>
      <c r="I365" s="43" t="s">
        <v>156</v>
      </c>
      <c r="J365" s="43" t="s">
        <v>321</v>
      </c>
      <c r="K365" s="43" t="s">
        <v>841</v>
      </c>
      <c r="L365" s="44" t="s">
        <v>842</v>
      </c>
      <c r="M365" s="44">
        <v>3340</v>
      </c>
      <c r="N365" s="44" t="s">
        <v>167</v>
      </c>
      <c r="O365" s="17"/>
      <c r="P365" s="17"/>
      <c r="Q365" s="17"/>
      <c r="R365" s="17"/>
      <c r="S365" s="17"/>
      <c r="T365" s="17"/>
      <c r="U365" s="17"/>
      <c r="V365" s="17"/>
      <c r="W365" s="17"/>
      <c r="X365" s="17"/>
      <c r="Y365" s="46" t="str">
        <f ca="1">IFERROR(VLOOKUP(A365,catalogo!$E:$H,2,0),"-")</f>
        <v>-</v>
      </c>
      <c r="Z365" s="47" t="str">
        <f ca="1">IFERROR(VLOOKUP(A365,catalogo!$E:$G,3,0),"-")</f>
        <v>-</v>
      </c>
      <c r="AA365" s="48"/>
      <c r="AB365" s="48"/>
      <c r="AC365" s="48" t="str">
        <f ca="1">IFERROR(VLOOKUP(A365,catalogo!$E:$H,4,0),"-")</f>
        <v>-</v>
      </c>
      <c r="AD365" s="48"/>
      <c r="AE365" s="48"/>
      <c r="AF365" s="48"/>
      <c r="AG365" s="48"/>
      <c r="AH365" s="48"/>
      <c r="AI365" s="48"/>
    </row>
    <row r="366" spans="1:35" ht="15.5" hidden="1">
      <c r="A366" s="37" t="s">
        <v>908</v>
      </c>
      <c r="B366" s="38" t="str">
        <f>IFERROR(VLOOKUP(J366,catalogo!$B$1:$C$100,2,0),"-")</f>
        <v>#4</v>
      </c>
      <c r="C366" s="39">
        <v>46064.416666666664</v>
      </c>
      <c r="D366" s="17"/>
      <c r="E366" s="17"/>
      <c r="F366" s="17"/>
      <c r="G366" s="42">
        <v>870.55</v>
      </c>
      <c r="H366" s="42">
        <v>870.55</v>
      </c>
      <c r="I366" s="43" t="s">
        <v>156</v>
      </c>
      <c r="J366" s="43" t="s">
        <v>95</v>
      </c>
      <c r="K366" s="43" t="s">
        <v>909</v>
      </c>
      <c r="L366" s="44" t="s">
        <v>910</v>
      </c>
      <c r="M366" s="45">
        <v>975</v>
      </c>
      <c r="N366" s="44" t="s">
        <v>167</v>
      </c>
      <c r="O366" s="49"/>
      <c r="P366" s="17"/>
      <c r="Q366" s="17"/>
      <c r="R366" s="17"/>
      <c r="S366" s="17"/>
      <c r="T366" s="17"/>
      <c r="U366" s="17"/>
      <c r="V366" s="17"/>
      <c r="W366" s="17"/>
      <c r="X366" s="17"/>
      <c r="Y366" s="46">
        <f ca="1">IFERROR(VLOOKUP(A366,catalogo!$E:$H,2,0),"-")</f>
        <v>0</v>
      </c>
      <c r="Z366" s="47">
        <f ca="1">IFERROR(VLOOKUP(A366,catalogo!$E:$G,3,0),"-")</f>
        <v>0</v>
      </c>
      <c r="AA366" s="48"/>
      <c r="AB366" s="48"/>
      <c r="AC366" s="48" t="str">
        <f ca="1">IFERROR(VLOOKUP(A366,catalogo!$E:$H,4,0),"-")</f>
        <v>.</v>
      </c>
      <c r="AD366" s="48"/>
      <c r="AE366" s="48"/>
      <c r="AF366" s="48"/>
      <c r="AG366" s="48"/>
      <c r="AH366" s="48"/>
      <c r="AI366" s="48"/>
    </row>
    <row r="367" spans="1:35" ht="12.5" hidden="1">
      <c r="A367" s="37" t="s">
        <v>911</v>
      </c>
      <c r="B367" s="38" t="str">
        <f>IFERROR(VLOOKUP(J367,catalogo!$B$1:$C$75,2,0),"-")</f>
        <v>-</v>
      </c>
      <c r="C367" s="39">
        <v>46064.416666666664</v>
      </c>
      <c r="D367" s="40"/>
      <c r="E367" s="41"/>
      <c r="F367" s="41"/>
      <c r="G367" s="42">
        <v>392</v>
      </c>
      <c r="H367" s="42">
        <v>392</v>
      </c>
      <c r="I367" s="43" t="s">
        <v>156</v>
      </c>
      <c r="J367" s="43" t="s">
        <v>269</v>
      </c>
      <c r="K367" s="43" t="s">
        <v>912</v>
      </c>
      <c r="L367" s="44" t="s">
        <v>913</v>
      </c>
      <c r="M367" s="44">
        <v>6130</v>
      </c>
      <c r="N367" s="44" t="s">
        <v>167</v>
      </c>
      <c r="O367" s="41"/>
      <c r="P367" s="41"/>
      <c r="Q367" s="41"/>
      <c r="R367" s="41"/>
      <c r="S367" s="41"/>
      <c r="T367" s="41"/>
      <c r="U367" s="41"/>
      <c r="V367" s="41"/>
      <c r="W367" s="41"/>
      <c r="X367" s="41"/>
      <c r="Y367" s="46" t="str">
        <f ca="1">IFERROR(VLOOKUP(A367,catalogo!$E:$H,2,0),"-")</f>
        <v>-</v>
      </c>
      <c r="Z367" s="47" t="str">
        <f ca="1">IFERROR(VLOOKUP(A367,catalogo!$E:$G,3,0),"-")</f>
        <v>-</v>
      </c>
      <c r="AA367" s="48"/>
      <c r="AB367" s="48"/>
      <c r="AC367" s="48" t="str">
        <f ca="1">IFERROR(VLOOKUP(A367,catalogo!$E:$H,4,0),"-")</f>
        <v>-</v>
      </c>
      <c r="AD367" s="48"/>
      <c r="AE367" s="48"/>
      <c r="AF367" s="48"/>
      <c r="AG367" s="48"/>
      <c r="AH367" s="48"/>
      <c r="AI367" s="48"/>
    </row>
    <row r="368" spans="1:35" ht="12.5" hidden="1">
      <c r="A368" s="37" t="s">
        <v>914</v>
      </c>
      <c r="B368" s="38" t="str">
        <f>IFERROR(VLOOKUP(J368,catalogo!$B$1:$C$75,2,0),"-")</f>
        <v>#7</v>
      </c>
      <c r="C368" s="39">
        <v>46064.416666666664</v>
      </c>
      <c r="D368" s="40"/>
      <c r="E368" s="41"/>
      <c r="F368" s="41"/>
      <c r="G368" s="42">
        <v>334.12</v>
      </c>
      <c r="H368" s="42">
        <v>334.12</v>
      </c>
      <c r="I368" s="43" t="s">
        <v>156</v>
      </c>
      <c r="J368" s="43" t="s">
        <v>121</v>
      </c>
      <c r="K368" s="43" t="s">
        <v>232</v>
      </c>
      <c r="L368" s="44" t="s">
        <v>233</v>
      </c>
      <c r="M368" s="44" t="s">
        <v>182</v>
      </c>
      <c r="N368" s="44" t="s">
        <v>144</v>
      </c>
      <c r="O368" s="41"/>
      <c r="P368" s="41"/>
      <c r="Q368" s="41"/>
      <c r="R368" s="41"/>
      <c r="S368" s="41"/>
      <c r="T368" s="41"/>
      <c r="U368" s="41"/>
      <c r="V368" s="41"/>
      <c r="W368" s="41"/>
      <c r="X368" s="41"/>
      <c r="Y368" s="46" t="str">
        <f ca="1">IFERROR(VLOOKUP(A368,catalogo!$E:$H,2,0),"-")</f>
        <v>Office expenses</v>
      </c>
      <c r="Z368" s="47" t="str">
        <f ca="1">IFERROR(VLOOKUP(A368,catalogo!$E:$G,3,0),"-")</f>
        <v>MTY ATP + Maken</v>
      </c>
      <c r="AA368" s="48"/>
      <c r="AB368" s="48"/>
      <c r="AC368" s="48" t="str">
        <f ca="1">IFERROR(VLOOKUP(A368,catalogo!$E:$H,4,0),"-")</f>
        <v>.</v>
      </c>
      <c r="AD368" s="48"/>
      <c r="AE368" s="48"/>
      <c r="AF368" s="48"/>
      <c r="AG368" s="48"/>
      <c r="AH368" s="48"/>
      <c r="AI368" s="48"/>
    </row>
    <row r="369" spans="1:35" ht="12.5" hidden="1">
      <c r="A369" s="37" t="s">
        <v>514</v>
      </c>
      <c r="B369" s="38" t="str">
        <f>IFERROR(VLOOKUP(J369,catalogo!$B$1:$C$75,2,0),"-")</f>
        <v>#7</v>
      </c>
      <c r="C369" s="39">
        <v>46064.416666666664</v>
      </c>
      <c r="D369" s="52"/>
      <c r="E369" s="17"/>
      <c r="F369" s="17"/>
      <c r="G369" s="42">
        <v>65.790000000000006</v>
      </c>
      <c r="H369" s="42">
        <v>65.790000000000006</v>
      </c>
      <c r="I369" s="43" t="s">
        <v>156</v>
      </c>
      <c r="J369" s="43" t="s">
        <v>121</v>
      </c>
      <c r="K369" s="43" t="s">
        <v>284</v>
      </c>
      <c r="L369" s="44" t="s">
        <v>233</v>
      </c>
      <c r="M369" s="45" t="s">
        <v>182</v>
      </c>
      <c r="N369" s="44" t="s">
        <v>144</v>
      </c>
      <c r="O369" s="17"/>
      <c r="P369" s="17"/>
      <c r="Q369" s="17"/>
      <c r="R369" s="17"/>
      <c r="S369" s="17"/>
      <c r="T369" s="17"/>
      <c r="U369" s="17"/>
      <c r="V369" s="17"/>
      <c r="W369" s="17"/>
      <c r="X369" s="17"/>
      <c r="Y369" s="46" t="str">
        <f ca="1">IFERROR(VLOOKUP(A369,catalogo!$E:$H,2,0),"-")</f>
        <v>Office expenses</v>
      </c>
      <c r="Z369" s="47" t="str">
        <f ca="1">IFERROR(VLOOKUP(A369,catalogo!$E:$G,3,0),"-")</f>
        <v>MTY ATP + Maken</v>
      </c>
      <c r="AA369" s="48"/>
      <c r="AB369" s="48"/>
      <c r="AC369" s="48" t="str">
        <f ca="1">IFERROR(VLOOKUP(A369,catalogo!$E:$H,4,0),"-")</f>
        <v>.</v>
      </c>
      <c r="AD369" s="48"/>
      <c r="AE369" s="48"/>
      <c r="AF369" s="48"/>
      <c r="AG369" s="48"/>
      <c r="AH369" s="48"/>
      <c r="AI369" s="48"/>
    </row>
    <row r="370" spans="1:35" ht="12.5" hidden="1">
      <c r="A370" s="37" t="s">
        <v>915</v>
      </c>
      <c r="B370" s="38" t="str">
        <f>IFERROR(VLOOKUP(J370,catalogo!$B$1:$C$75,2,0),"-")</f>
        <v>-</v>
      </c>
      <c r="C370" s="39">
        <v>46064.416666666664</v>
      </c>
      <c r="D370" s="52"/>
      <c r="E370" s="17"/>
      <c r="F370" s="17"/>
      <c r="G370" s="42">
        <v>57.87</v>
      </c>
      <c r="H370" s="42">
        <v>57.87</v>
      </c>
      <c r="I370" s="43" t="s">
        <v>156</v>
      </c>
      <c r="J370" s="43" t="s">
        <v>187</v>
      </c>
      <c r="K370" s="43" t="s">
        <v>232</v>
      </c>
      <c r="L370" s="44" t="s">
        <v>233</v>
      </c>
      <c r="M370" s="45" t="s">
        <v>477</v>
      </c>
      <c r="N370" s="44" t="s">
        <v>144</v>
      </c>
      <c r="O370" s="17"/>
      <c r="P370" s="17"/>
      <c r="Q370" s="17"/>
      <c r="R370" s="17"/>
      <c r="S370" s="17"/>
      <c r="T370" s="17"/>
      <c r="U370" s="17"/>
      <c r="V370" s="17"/>
      <c r="W370" s="17"/>
      <c r="X370" s="17"/>
      <c r="Y370" s="46" t="str">
        <f ca="1">IFERROR(VLOOKUP(A370,catalogo!$E:$H,2,0),"-")</f>
        <v>-</v>
      </c>
      <c r="Z370" s="47" t="str">
        <f ca="1">IFERROR(VLOOKUP(A370,catalogo!$E:$G,3,0),"-")</f>
        <v>-</v>
      </c>
      <c r="AA370" s="48"/>
      <c r="AB370" s="48"/>
      <c r="AC370" s="48" t="str">
        <f ca="1">IFERROR(VLOOKUP(A370,catalogo!$E:$H,4,0),"-")</f>
        <v>-</v>
      </c>
      <c r="AD370" s="48"/>
      <c r="AE370" s="48"/>
      <c r="AF370" s="48"/>
      <c r="AG370" s="48"/>
      <c r="AH370" s="48"/>
      <c r="AI370" s="48"/>
    </row>
    <row r="371" spans="1:35" ht="12.5" hidden="1">
      <c r="A371" s="37" t="s">
        <v>916</v>
      </c>
      <c r="B371" s="38" t="str">
        <f>IFERROR(VLOOKUP(J371,catalogo!$B$1:$C$70,2,0),"-")</f>
        <v>-</v>
      </c>
      <c r="C371" s="39">
        <v>46064.416666666664</v>
      </c>
      <c r="D371" s="17"/>
      <c r="E371" s="17"/>
      <c r="F371" s="17"/>
      <c r="G371" s="42">
        <v>56.75</v>
      </c>
      <c r="H371" s="42">
        <v>56.75</v>
      </c>
      <c r="I371" s="43" t="s">
        <v>156</v>
      </c>
      <c r="J371" s="43" t="s">
        <v>187</v>
      </c>
      <c r="K371" s="43" t="s">
        <v>232</v>
      </c>
      <c r="L371" s="44" t="s">
        <v>233</v>
      </c>
      <c r="M371" s="45" t="s">
        <v>477</v>
      </c>
      <c r="N371" s="44" t="s">
        <v>144</v>
      </c>
      <c r="O371" s="17"/>
      <c r="P371" s="17"/>
      <c r="Q371" s="17"/>
      <c r="R371" s="17"/>
      <c r="S371" s="17"/>
      <c r="T371" s="17"/>
      <c r="U371" s="17"/>
      <c r="V371" s="17"/>
      <c r="W371" s="17"/>
      <c r="X371" s="17"/>
      <c r="Y371" s="46" t="str">
        <f ca="1">IFERROR(VLOOKUP(A371,catalogo!$E:$G,2,0),"-")</f>
        <v>-</v>
      </c>
      <c r="Z371" s="47" t="str">
        <f ca="1">IFERROR(VLOOKUP(A371,catalogo!$E:$G,3,0),"-")</f>
        <v>-</v>
      </c>
      <c r="AA371" s="48"/>
      <c r="AB371" s="48"/>
      <c r="AC371" s="48" t="str">
        <f ca="1">IFERROR(VLOOKUP(A371,catalogo!$E:$H,4,0),"-")</f>
        <v>-</v>
      </c>
      <c r="AD371" s="48"/>
      <c r="AE371" s="48"/>
      <c r="AF371" s="48"/>
      <c r="AG371" s="48"/>
      <c r="AH371" s="48"/>
      <c r="AI371" s="48"/>
    </row>
    <row r="372" spans="1:35" ht="12.5" hidden="1">
      <c r="A372" s="37" t="s">
        <v>287</v>
      </c>
      <c r="B372" s="38" t="str">
        <f>IFERROR(VLOOKUP(J372,catalogo!$B$1:$C$75,2,0),"-")</f>
        <v>#55</v>
      </c>
      <c r="C372" s="39">
        <v>46064.416666666664</v>
      </c>
      <c r="D372" s="17"/>
      <c r="E372" s="17"/>
      <c r="F372" s="17"/>
      <c r="G372" s="42">
        <v>149.94999999999999</v>
      </c>
      <c r="H372" s="42">
        <v>149.94999999999999</v>
      </c>
      <c r="I372" s="43" t="s">
        <v>156</v>
      </c>
      <c r="J372" s="43" t="s">
        <v>89</v>
      </c>
      <c r="K372" s="43" t="s">
        <v>232</v>
      </c>
      <c r="L372" s="44" t="s">
        <v>233</v>
      </c>
      <c r="M372" s="45">
        <v>3013</v>
      </c>
      <c r="N372" s="44" t="s">
        <v>167</v>
      </c>
      <c r="O372" s="17"/>
      <c r="P372" s="17"/>
      <c r="Q372" s="17"/>
      <c r="R372" s="17"/>
      <c r="S372" s="17"/>
      <c r="T372" s="17"/>
      <c r="U372" s="17"/>
      <c r="V372" s="17"/>
      <c r="W372" s="17"/>
      <c r="X372" s="17"/>
      <c r="Y372" s="46" t="str">
        <f ca="1">IFERROR(VLOOKUP(A372,catalogo!$E:$H,2,0),"-")</f>
        <v>-</v>
      </c>
      <c r="Z372" s="47" t="str">
        <f ca="1">IFERROR(VLOOKUP(A372,catalogo!$E:$G,3,0),"-")</f>
        <v>-</v>
      </c>
      <c r="AA372" s="48"/>
      <c r="AB372" s="48"/>
      <c r="AC372" s="48" t="str">
        <f ca="1">IFERROR(VLOOKUP(A372,catalogo!$E:$H,4,0),"-")</f>
        <v>-</v>
      </c>
      <c r="AD372" s="48"/>
      <c r="AE372" s="48"/>
      <c r="AF372" s="48"/>
      <c r="AG372" s="48"/>
      <c r="AH372" s="48"/>
      <c r="AI372" s="48"/>
    </row>
    <row r="373" spans="1:35" ht="15.5" hidden="1">
      <c r="A373" s="37" t="s">
        <v>917</v>
      </c>
      <c r="B373" s="38" t="str">
        <f>IFERROR(VLOOKUP(J373,catalogo!$B$1:$C$75,2,0),"-")</f>
        <v>#16</v>
      </c>
      <c r="C373" s="39">
        <v>46064.416666666664</v>
      </c>
      <c r="D373" s="17"/>
      <c r="E373" s="17"/>
      <c r="F373" s="17"/>
      <c r="G373" s="42">
        <v>259.94</v>
      </c>
      <c r="H373" s="42">
        <v>259.94</v>
      </c>
      <c r="I373" s="43" t="s">
        <v>156</v>
      </c>
      <c r="J373" s="43" t="s">
        <v>85</v>
      </c>
      <c r="K373" s="43" t="s">
        <v>232</v>
      </c>
      <c r="L373" s="44" t="s">
        <v>233</v>
      </c>
      <c r="M373" s="44" t="s">
        <v>143</v>
      </c>
      <c r="N373" s="44" t="s">
        <v>144</v>
      </c>
      <c r="O373" s="49"/>
      <c r="P373" s="17"/>
      <c r="Q373" s="17"/>
      <c r="R373" s="17"/>
      <c r="S373" s="17"/>
      <c r="T373" s="17"/>
      <c r="U373" s="17"/>
      <c r="V373" s="17"/>
      <c r="W373" s="17"/>
      <c r="X373" s="17"/>
      <c r="Y373" s="46" t="str">
        <f ca="1">IFERROR(VLOOKUP(A373,catalogo!$E:$H,2,0),"-")</f>
        <v>G&amp;A expenses</v>
      </c>
      <c r="Z373" s="47">
        <f ca="1">IFERROR(VLOOKUP(A373,catalogo!$E:$G,3,0),"-")</f>
        <v>0</v>
      </c>
      <c r="AA373" s="48"/>
      <c r="AB373" s="48"/>
      <c r="AC373" s="48">
        <f ca="1">IFERROR(VLOOKUP(A373,catalogo!$E:$H,4,0),"-")</f>
        <v>0</v>
      </c>
      <c r="AD373" s="48"/>
      <c r="AE373" s="48"/>
      <c r="AF373" s="48"/>
      <c r="AG373" s="48"/>
      <c r="AH373" s="48"/>
      <c r="AI373" s="48"/>
    </row>
    <row r="374" spans="1:35" ht="12.5" hidden="1">
      <c r="A374" s="37" t="s">
        <v>918</v>
      </c>
      <c r="B374" s="38" t="str">
        <f>IFERROR(VLOOKUP(J374,catalogo!$B$1:$C$70,2,0),"-")</f>
        <v>#31</v>
      </c>
      <c r="C374" s="39">
        <v>46064.416666666664</v>
      </c>
      <c r="D374" s="17"/>
      <c r="E374" s="17"/>
      <c r="F374" s="17"/>
      <c r="G374" s="42">
        <v>249.95</v>
      </c>
      <c r="H374" s="42">
        <v>249.95</v>
      </c>
      <c r="I374" s="43" t="s">
        <v>156</v>
      </c>
      <c r="J374" s="43" t="s">
        <v>106</v>
      </c>
      <c r="K374" s="43" t="s">
        <v>232</v>
      </c>
      <c r="L374" s="44" t="s">
        <v>233</v>
      </c>
      <c r="M374" s="44" t="s">
        <v>919</v>
      </c>
      <c r="N374" s="44" t="s">
        <v>144</v>
      </c>
      <c r="O374" s="17"/>
      <c r="P374" s="17"/>
      <c r="Q374" s="17"/>
      <c r="R374" s="17"/>
      <c r="S374" s="17"/>
      <c r="T374" s="17"/>
      <c r="U374" s="17"/>
      <c r="V374" s="17"/>
      <c r="W374" s="17"/>
      <c r="X374" s="17"/>
      <c r="Y374" s="46" t="str">
        <f ca="1">IFERROR(VLOOKUP(A374,catalogo!$E:$G,2,0),"-")</f>
        <v>-</v>
      </c>
      <c r="Z374" s="47" t="str">
        <f ca="1">IFERROR(VLOOKUP(A374,catalogo!$E:$G,3,0),"-")</f>
        <v>-</v>
      </c>
      <c r="AA374" s="48"/>
      <c r="AB374" s="48"/>
      <c r="AC374" s="48" t="str">
        <f ca="1">IFERROR(VLOOKUP(A374,catalogo!$E:$H,4,0),"-")</f>
        <v>-</v>
      </c>
      <c r="AD374" s="48"/>
      <c r="AE374" s="48"/>
      <c r="AF374" s="48"/>
      <c r="AG374" s="48"/>
      <c r="AH374" s="48"/>
      <c r="AI374" s="48"/>
    </row>
    <row r="375" spans="1:35" ht="15.5" hidden="1">
      <c r="A375" s="37" t="s">
        <v>920</v>
      </c>
      <c r="B375" s="38" t="str">
        <f>IFERROR(VLOOKUP(J375,catalogo!$B$1:$C$75,2,0),"-")</f>
        <v>#34</v>
      </c>
      <c r="C375" s="39">
        <v>46064.416666666664</v>
      </c>
      <c r="D375" s="17"/>
      <c r="E375" s="17"/>
      <c r="F375" s="17"/>
      <c r="G375" s="42">
        <v>519.79999999999995</v>
      </c>
      <c r="H375" s="42">
        <v>519.79999999999995</v>
      </c>
      <c r="I375" s="43" t="s">
        <v>156</v>
      </c>
      <c r="J375" s="43" t="s">
        <v>116</v>
      </c>
      <c r="K375" s="43" t="s">
        <v>921</v>
      </c>
      <c r="L375" s="44" t="s">
        <v>922</v>
      </c>
      <c r="M375" s="45">
        <v>333</v>
      </c>
      <c r="N375" s="44" t="s">
        <v>167</v>
      </c>
      <c r="O375" s="49"/>
      <c r="P375" s="17"/>
      <c r="Q375" s="17"/>
      <c r="R375" s="17"/>
      <c r="S375" s="17"/>
      <c r="T375" s="17"/>
      <c r="U375" s="17"/>
      <c r="V375" s="17"/>
      <c r="W375" s="17"/>
      <c r="X375" s="17"/>
      <c r="Y375" s="46" t="str">
        <f ca="1">IFERROR(VLOOKUP(A375,catalogo!$E:$H,2,0),"-")</f>
        <v>-</v>
      </c>
      <c r="Z375" s="47" t="str">
        <f ca="1">IFERROR(VLOOKUP(A375,catalogo!$E:$G,3,0),"-")</f>
        <v>-</v>
      </c>
      <c r="AA375" s="48"/>
      <c r="AB375" s="48"/>
      <c r="AC375" s="48" t="str">
        <f ca="1">IFERROR(VLOOKUP(A375,catalogo!$E:$H,4,0),"-")</f>
        <v>-</v>
      </c>
      <c r="AD375" s="48"/>
      <c r="AE375" s="48"/>
      <c r="AF375" s="48"/>
      <c r="AG375" s="48"/>
      <c r="AH375" s="48"/>
      <c r="AI375" s="48"/>
    </row>
    <row r="376" spans="1:35" ht="15.5" hidden="1">
      <c r="A376" s="37" t="s">
        <v>923</v>
      </c>
      <c r="B376" s="38" t="str">
        <f>IFERROR(VLOOKUP(J376,catalogo!$B$1:$C$75,2,0),"-")</f>
        <v>-</v>
      </c>
      <c r="C376" s="39">
        <v>46064.416666666664</v>
      </c>
      <c r="D376" s="17"/>
      <c r="E376" s="17"/>
      <c r="F376" s="17"/>
      <c r="G376" s="42">
        <v>237</v>
      </c>
      <c r="H376" s="42">
        <v>237</v>
      </c>
      <c r="I376" s="43" t="s">
        <v>156</v>
      </c>
      <c r="J376" s="43" t="s">
        <v>187</v>
      </c>
      <c r="K376" s="43" t="s">
        <v>495</v>
      </c>
      <c r="L376" s="44" t="s">
        <v>294</v>
      </c>
      <c r="M376" s="45" t="s">
        <v>190</v>
      </c>
      <c r="N376" s="44" t="s">
        <v>167</v>
      </c>
      <c r="O376" s="49"/>
      <c r="P376" s="17"/>
      <c r="Q376" s="17"/>
      <c r="R376" s="17"/>
      <c r="S376" s="17"/>
      <c r="T376" s="17"/>
      <c r="U376" s="17"/>
      <c r="V376" s="17"/>
      <c r="W376" s="17"/>
      <c r="X376" s="17"/>
      <c r="Y376" s="46" t="str">
        <f ca="1">IFERROR(VLOOKUP(A376,catalogo!$E:$H,2,0),"-")</f>
        <v>-</v>
      </c>
      <c r="Z376" s="47" t="str">
        <f ca="1">IFERROR(VLOOKUP(A376,catalogo!$E:$G,3,0),"-")</f>
        <v>-</v>
      </c>
      <c r="AA376" s="48"/>
      <c r="AB376" s="48"/>
      <c r="AC376" s="48" t="str">
        <f ca="1">IFERROR(VLOOKUP(A376,catalogo!$E:$H,4,0),"-")</f>
        <v>-</v>
      </c>
      <c r="AD376" s="48"/>
      <c r="AE376" s="48"/>
      <c r="AF376" s="48"/>
      <c r="AG376" s="48"/>
      <c r="AH376" s="48"/>
      <c r="AI376" s="48"/>
    </row>
    <row r="377" spans="1:35" ht="12.5" hidden="1">
      <c r="A377" s="37" t="s">
        <v>924</v>
      </c>
      <c r="B377" s="38" t="str">
        <f>IFERROR(VLOOKUP(J377,catalogo!$B$1:$C$75,2,0),"-")</f>
        <v>#70</v>
      </c>
      <c r="C377" s="39">
        <v>46064.416666666664</v>
      </c>
      <c r="D377" s="40"/>
      <c r="E377" s="41"/>
      <c r="F377" s="41"/>
      <c r="G377" s="42">
        <v>166.32</v>
      </c>
      <c r="H377" s="42">
        <v>166.32</v>
      </c>
      <c r="I377" s="43" t="s">
        <v>156</v>
      </c>
      <c r="J377" s="43" t="s">
        <v>119</v>
      </c>
      <c r="K377" s="43" t="s">
        <v>232</v>
      </c>
      <c r="L377" s="44" t="s">
        <v>233</v>
      </c>
      <c r="M377" s="45">
        <v>3241</v>
      </c>
      <c r="N377" s="44" t="s">
        <v>167</v>
      </c>
      <c r="O377" s="41"/>
      <c r="P377" s="41"/>
      <c r="Q377" s="41"/>
      <c r="R377" s="41"/>
      <c r="S377" s="41"/>
      <c r="T377" s="41"/>
      <c r="U377" s="41"/>
      <c r="V377" s="41"/>
      <c r="W377" s="41"/>
      <c r="X377" s="41"/>
      <c r="Y377" s="46" t="str">
        <f ca="1">IFERROR(VLOOKUP(A377,catalogo!$E:$H,2,0),"-")</f>
        <v>-</v>
      </c>
      <c r="Z377" s="47" t="str">
        <f ca="1">IFERROR(VLOOKUP(A377,catalogo!$E:$G,3,0),"-")</f>
        <v>-</v>
      </c>
      <c r="AA377" s="48"/>
      <c r="AB377" s="48"/>
      <c r="AC377" s="48" t="str">
        <f ca="1">IFERROR(VLOOKUP(A377,catalogo!$E:$H,4,0),"-")</f>
        <v>-</v>
      </c>
      <c r="AD377" s="48"/>
      <c r="AE377" s="48"/>
      <c r="AF377" s="48"/>
      <c r="AG377" s="48"/>
      <c r="AH377" s="48"/>
      <c r="AI377" s="48"/>
    </row>
    <row r="378" spans="1:35" ht="12.5" hidden="1">
      <c r="A378" s="37" t="s">
        <v>925</v>
      </c>
      <c r="B378" s="38" t="str">
        <f>IFERROR(VLOOKUP(J378,catalogo!$B$1:$C$100,2,0),"-")</f>
        <v>#64</v>
      </c>
      <c r="C378" s="39">
        <v>46064.416666666664</v>
      </c>
      <c r="D378" s="17"/>
      <c r="E378" s="17"/>
      <c r="F378" s="17"/>
      <c r="G378" s="53">
        <v>259.22000000000003</v>
      </c>
      <c r="H378" s="53">
        <v>259.22000000000003</v>
      </c>
      <c r="I378" s="43" t="s">
        <v>156</v>
      </c>
      <c r="J378" s="43" t="s">
        <v>139</v>
      </c>
      <c r="K378" s="43" t="s">
        <v>180</v>
      </c>
      <c r="L378" s="44" t="s">
        <v>181</v>
      </c>
      <c r="M378" s="44">
        <v>7142</v>
      </c>
      <c r="N378" s="44" t="s">
        <v>167</v>
      </c>
      <c r="O378" s="17"/>
      <c r="P378" s="17"/>
      <c r="Q378" s="17"/>
      <c r="R378" s="17"/>
      <c r="S378" s="17"/>
      <c r="T378" s="17"/>
      <c r="U378" s="17"/>
      <c r="V378" s="17"/>
      <c r="W378" s="17"/>
      <c r="X378" s="17"/>
      <c r="Y378" s="46"/>
      <c r="Z378" s="47"/>
      <c r="AA378" s="48"/>
      <c r="AB378" s="48"/>
      <c r="AC378" s="48"/>
      <c r="AD378" s="48"/>
      <c r="AE378" s="48"/>
      <c r="AF378" s="48"/>
      <c r="AG378" s="48"/>
      <c r="AH378" s="48"/>
      <c r="AI378" s="48"/>
    </row>
    <row r="379" spans="1:35" ht="12.5" hidden="1">
      <c r="A379" s="37" t="s">
        <v>926</v>
      </c>
      <c r="B379" s="38" t="str">
        <f>IFERROR(VLOOKUP(J379,catalogo!$B$1:$C$100,2,0),"-")</f>
        <v>#68</v>
      </c>
      <c r="C379" s="39">
        <v>46064.416666666664</v>
      </c>
      <c r="D379" s="17"/>
      <c r="E379" s="17"/>
      <c r="F379" s="17"/>
      <c r="G379" s="42">
        <v>1012</v>
      </c>
      <c r="H379" s="42">
        <v>1012</v>
      </c>
      <c r="I379" s="43" t="s">
        <v>156</v>
      </c>
      <c r="J379" s="43" t="s">
        <v>384</v>
      </c>
      <c r="K379" s="43" t="s">
        <v>927</v>
      </c>
      <c r="L379" s="44" t="s">
        <v>928</v>
      </c>
      <c r="M379" s="44">
        <v>2937</v>
      </c>
      <c r="N379" s="44" t="s">
        <v>167</v>
      </c>
      <c r="O379" s="17"/>
      <c r="P379" s="17"/>
      <c r="Q379" s="17"/>
      <c r="R379" s="17"/>
      <c r="S379" s="17"/>
      <c r="T379" s="17"/>
      <c r="U379" s="17"/>
      <c r="V379" s="17"/>
      <c r="W379" s="17"/>
      <c r="X379" s="17"/>
      <c r="Y379" s="46" t="str">
        <f ca="1">IFERROR(VLOOKUP(A379,catalogo!$E:$G,2,0),"-")</f>
        <v>-</v>
      </c>
      <c r="Z379" s="47" t="str">
        <f ca="1">IFERROR(VLOOKUP(A379,catalogo!$E:$G,3,0),"-")</f>
        <v>-</v>
      </c>
      <c r="AA379" s="48"/>
      <c r="AB379" s="48"/>
      <c r="AC379" s="48" t="str">
        <f ca="1">IFERROR(VLOOKUP(A379,catalogo!$E:$H,4,0),"-")</f>
        <v>-</v>
      </c>
      <c r="AD379" s="48"/>
      <c r="AE379" s="48"/>
      <c r="AF379" s="48"/>
      <c r="AG379" s="48"/>
      <c r="AH379" s="48"/>
      <c r="AI379" s="48"/>
    </row>
    <row r="380" spans="1:35" ht="12.5" hidden="1">
      <c r="A380" s="37" t="s">
        <v>929</v>
      </c>
      <c r="B380" s="38" t="str">
        <f>IFERROR(VLOOKUP(J380,catalogo!$B$1:$C$75,2,0),"-")</f>
        <v>#56</v>
      </c>
      <c r="C380" s="39">
        <v>46064.416666666664</v>
      </c>
      <c r="D380" s="52"/>
      <c r="E380" s="17"/>
      <c r="F380" s="17"/>
      <c r="G380" s="42">
        <v>111</v>
      </c>
      <c r="H380" s="42">
        <v>111</v>
      </c>
      <c r="I380" s="43" t="s">
        <v>156</v>
      </c>
      <c r="J380" s="43" t="s">
        <v>99</v>
      </c>
      <c r="K380" s="43" t="s">
        <v>359</v>
      </c>
      <c r="L380" s="44" t="s">
        <v>336</v>
      </c>
      <c r="M380" s="45">
        <v>8949</v>
      </c>
      <c r="N380" s="44" t="s">
        <v>167</v>
      </c>
      <c r="O380" s="17"/>
      <c r="P380" s="17"/>
      <c r="Q380" s="17"/>
      <c r="R380" s="17"/>
      <c r="S380" s="17"/>
      <c r="T380" s="17"/>
      <c r="U380" s="17"/>
      <c r="V380" s="17"/>
      <c r="W380" s="17"/>
      <c r="X380" s="17"/>
      <c r="Y380" s="46" t="str">
        <f ca="1">IFERROR(VLOOKUP(A380,catalogo!$E:$H,2,0),"-")</f>
        <v>-</v>
      </c>
      <c r="Z380" s="47" t="str">
        <f ca="1">IFERROR(VLOOKUP(A380,catalogo!$E:$G,3,0),"-")</f>
        <v>-</v>
      </c>
      <c r="AA380" s="48"/>
      <c r="AB380" s="48"/>
      <c r="AC380" s="48" t="str">
        <f ca="1">IFERROR(VLOOKUP(A380,catalogo!$E:$H,4,0),"-")</f>
        <v>-</v>
      </c>
      <c r="AD380" s="48"/>
      <c r="AE380" s="48"/>
      <c r="AF380" s="48"/>
      <c r="AG380" s="48"/>
      <c r="AH380" s="48"/>
      <c r="AI380" s="48"/>
    </row>
    <row r="381" spans="1:35" ht="12.5" hidden="1">
      <c r="A381" s="37" t="s">
        <v>930</v>
      </c>
      <c r="B381" s="38" t="str">
        <f>IFERROR(VLOOKUP(J381,catalogo!$B$1:$C$100,2,0),"-")</f>
        <v>-</v>
      </c>
      <c r="C381" s="39">
        <v>46064.416666666664</v>
      </c>
      <c r="D381" s="17"/>
      <c r="E381" s="17"/>
      <c r="F381" s="17"/>
      <c r="G381" s="53">
        <v>1012</v>
      </c>
      <c r="H381" s="53">
        <v>1012</v>
      </c>
      <c r="I381" s="43" t="s">
        <v>156</v>
      </c>
      <c r="J381" s="43" t="s">
        <v>269</v>
      </c>
      <c r="K381" s="43" t="s">
        <v>927</v>
      </c>
      <c r="L381" s="44" t="s">
        <v>928</v>
      </c>
      <c r="M381" s="44">
        <v>6130</v>
      </c>
      <c r="N381" s="44" t="s">
        <v>167</v>
      </c>
      <c r="O381" s="17"/>
      <c r="P381" s="17"/>
      <c r="Q381" s="17"/>
      <c r="R381" s="17"/>
      <c r="S381" s="17"/>
      <c r="T381" s="17"/>
      <c r="U381" s="17"/>
      <c r="V381" s="17"/>
      <c r="W381" s="17"/>
      <c r="X381" s="17"/>
      <c r="Y381" s="46"/>
      <c r="Z381" s="47"/>
      <c r="AA381" s="48"/>
      <c r="AB381" s="48"/>
      <c r="AC381" s="48"/>
      <c r="AD381" s="48"/>
      <c r="AE381" s="48"/>
      <c r="AF381" s="48"/>
      <c r="AG381" s="48"/>
      <c r="AH381" s="48"/>
      <c r="AI381" s="48"/>
    </row>
    <row r="382" spans="1:35" ht="12.5" hidden="1">
      <c r="A382" s="37" t="s">
        <v>931</v>
      </c>
      <c r="B382" s="38" t="str">
        <f>IFERROR(VLOOKUP(J382,catalogo!$B$1:$C$80,2,0),"-")</f>
        <v>#56</v>
      </c>
      <c r="C382" s="39">
        <v>46064.416666666664</v>
      </c>
      <c r="D382" s="17"/>
      <c r="E382" s="17"/>
      <c r="F382" s="17"/>
      <c r="G382" s="42">
        <v>259</v>
      </c>
      <c r="H382" s="42">
        <v>259</v>
      </c>
      <c r="I382" s="43" t="s">
        <v>156</v>
      </c>
      <c r="J382" s="43" t="s">
        <v>99</v>
      </c>
      <c r="K382" s="43" t="s">
        <v>932</v>
      </c>
      <c r="L382" s="44" t="s">
        <v>933</v>
      </c>
      <c r="M382" s="45">
        <v>8949</v>
      </c>
      <c r="N382" s="44" t="s">
        <v>167</v>
      </c>
      <c r="O382" s="17"/>
      <c r="P382" s="17"/>
      <c r="Q382" s="17"/>
      <c r="R382" s="17"/>
      <c r="S382" s="17"/>
      <c r="T382" s="17"/>
      <c r="U382" s="17"/>
      <c r="V382" s="17"/>
      <c r="W382" s="17"/>
      <c r="X382" s="17"/>
      <c r="Y382" s="46" t="str">
        <f ca="1">IFERROR(VLOOKUP(A382,catalogo!$E:$G,2,0),"-")</f>
        <v>-</v>
      </c>
      <c r="Z382" s="47" t="str">
        <f ca="1">IFERROR(VLOOKUP(A382,catalogo!$E:$G,3,0),"-")</f>
        <v>-</v>
      </c>
      <c r="AA382" s="48"/>
      <c r="AB382" s="48"/>
      <c r="AC382" s="48" t="str">
        <f ca="1">IFERROR(VLOOKUP(A382,catalogo!$E:$H,4,0),"-")</f>
        <v>-</v>
      </c>
      <c r="AD382" s="48"/>
      <c r="AE382" s="48"/>
      <c r="AF382" s="48"/>
      <c r="AG382" s="48"/>
      <c r="AH382" s="48"/>
      <c r="AI382" s="48"/>
    </row>
    <row r="383" spans="1:35" ht="12.5" hidden="1">
      <c r="A383" s="37" t="s">
        <v>934</v>
      </c>
      <c r="B383" s="38" t="str">
        <f>IFERROR(VLOOKUP(J383,catalogo!$B$1:$C$100,2,0),"-")</f>
        <v>-</v>
      </c>
      <c r="C383" s="39">
        <v>46064.416666666664</v>
      </c>
      <c r="D383" s="17"/>
      <c r="E383" s="17"/>
      <c r="F383" s="17"/>
      <c r="G383" s="42">
        <v>755.7</v>
      </c>
      <c r="H383" s="42">
        <v>755.7</v>
      </c>
      <c r="I383" s="43" t="s">
        <v>156</v>
      </c>
      <c r="J383" s="43" t="s">
        <v>321</v>
      </c>
      <c r="K383" s="43" t="s">
        <v>935</v>
      </c>
      <c r="L383" s="44" t="s">
        <v>936</v>
      </c>
      <c r="M383" s="44">
        <v>3340</v>
      </c>
      <c r="N383" s="44" t="s">
        <v>167</v>
      </c>
      <c r="O383" s="17"/>
      <c r="P383" s="17"/>
      <c r="Q383" s="17"/>
      <c r="R383" s="17"/>
      <c r="S383" s="17"/>
      <c r="T383" s="17"/>
      <c r="U383" s="17"/>
      <c r="V383" s="17"/>
      <c r="W383" s="17"/>
      <c r="X383" s="17"/>
      <c r="Y383" s="46" t="str">
        <f ca="1">IFERROR(VLOOKUP(A383,catalogo!$E:$G,2,0),"-")</f>
        <v>-</v>
      </c>
      <c r="Z383" s="47" t="str">
        <f ca="1">IFERROR(VLOOKUP(A383,catalogo!$E:$G,3,0),"-")</f>
        <v>-</v>
      </c>
      <c r="AA383" s="48"/>
      <c r="AB383" s="48"/>
      <c r="AC383" s="48" t="str">
        <f ca="1">IFERROR(VLOOKUP(A383,catalogo!$E:$H,4,0),"-")</f>
        <v>-</v>
      </c>
      <c r="AD383" s="48"/>
      <c r="AE383" s="48"/>
      <c r="AF383" s="48"/>
      <c r="AG383" s="48"/>
      <c r="AH383" s="48"/>
      <c r="AI383" s="48"/>
    </row>
    <row r="384" spans="1:35" ht="15.5" hidden="1">
      <c r="A384" s="37" t="s">
        <v>937</v>
      </c>
      <c r="B384" s="38" t="str">
        <f>IFERROR(VLOOKUP(J384,catalogo!$B$1:$C$75,2,0),"-")</f>
        <v>#68</v>
      </c>
      <c r="C384" s="39">
        <v>46064.416666666664</v>
      </c>
      <c r="D384" s="17"/>
      <c r="E384" s="17"/>
      <c r="F384" s="17"/>
      <c r="G384" s="42">
        <v>193.6</v>
      </c>
      <c r="H384" s="42">
        <v>193.6</v>
      </c>
      <c r="I384" s="43" t="s">
        <v>156</v>
      </c>
      <c r="J384" s="43" t="s">
        <v>384</v>
      </c>
      <c r="K384" s="43" t="s">
        <v>938</v>
      </c>
      <c r="L384" s="44" t="s">
        <v>317</v>
      </c>
      <c r="M384" s="44">
        <v>2937</v>
      </c>
      <c r="N384" s="44" t="s">
        <v>167</v>
      </c>
      <c r="O384" s="49"/>
      <c r="P384" s="17"/>
      <c r="Q384" s="17"/>
      <c r="R384" s="17"/>
      <c r="S384" s="17"/>
      <c r="T384" s="17"/>
      <c r="U384" s="17"/>
      <c r="V384" s="17"/>
      <c r="W384" s="17"/>
      <c r="X384" s="17"/>
      <c r="Y384" s="46" t="str">
        <f ca="1">IFERROR(VLOOKUP(A384,catalogo!$E:$H,2,0),"-")</f>
        <v>-</v>
      </c>
      <c r="Z384" s="47" t="str">
        <f ca="1">IFERROR(VLOOKUP(A384,catalogo!$E:$G,3,0),"-")</f>
        <v>-</v>
      </c>
      <c r="AA384" s="48"/>
      <c r="AB384" s="48"/>
      <c r="AC384" s="48" t="str">
        <f ca="1">IFERROR(VLOOKUP(A384,catalogo!$E:$H,4,0),"-")</f>
        <v>-</v>
      </c>
      <c r="AD384" s="48"/>
      <c r="AE384" s="48"/>
      <c r="AF384" s="48"/>
      <c r="AG384" s="48"/>
      <c r="AH384" s="48"/>
      <c r="AI384" s="48"/>
    </row>
    <row r="385" spans="1:35" ht="12.5" hidden="1">
      <c r="A385" s="37" t="s">
        <v>939</v>
      </c>
      <c r="B385" s="38" t="str">
        <f>IFERROR(VLOOKUP(J385,catalogo!$B$1:$C$70,2,0),"-")</f>
        <v>#56</v>
      </c>
      <c r="C385" s="39">
        <v>46064.416666666664</v>
      </c>
      <c r="D385" s="17"/>
      <c r="E385" s="17"/>
      <c r="F385" s="17"/>
      <c r="G385" s="42">
        <v>74</v>
      </c>
      <c r="H385" s="42">
        <v>74</v>
      </c>
      <c r="I385" s="43" t="s">
        <v>156</v>
      </c>
      <c r="J385" s="43" t="s">
        <v>99</v>
      </c>
      <c r="K385" s="43" t="s">
        <v>359</v>
      </c>
      <c r="L385" s="44" t="s">
        <v>336</v>
      </c>
      <c r="M385" s="45">
        <v>8949</v>
      </c>
      <c r="N385" s="44" t="s">
        <v>167</v>
      </c>
      <c r="O385" s="17"/>
      <c r="P385" s="17"/>
      <c r="Q385" s="17"/>
      <c r="R385" s="17"/>
      <c r="S385" s="17"/>
      <c r="T385" s="17"/>
      <c r="U385" s="17"/>
      <c r="V385" s="17"/>
      <c r="W385" s="17"/>
      <c r="X385" s="17"/>
      <c r="Y385" s="46" t="str">
        <f ca="1">IFERROR(VLOOKUP(A385,catalogo!$E:$G,2,0),"-")</f>
        <v>-</v>
      </c>
      <c r="Z385" s="47" t="str">
        <f ca="1">IFERROR(VLOOKUP(A385,catalogo!$E:$G,3,0),"-")</f>
        <v>-</v>
      </c>
      <c r="AA385" s="48"/>
      <c r="AB385" s="48"/>
      <c r="AC385" s="48" t="str">
        <f ca="1">IFERROR(VLOOKUP(A385,catalogo!$E:$H,4,0),"-")</f>
        <v>-</v>
      </c>
      <c r="AD385" s="48"/>
      <c r="AE385" s="48"/>
      <c r="AF385" s="48"/>
      <c r="AG385" s="48"/>
      <c r="AH385" s="48"/>
      <c r="AI385" s="48"/>
    </row>
    <row r="386" spans="1:35" ht="12.5" hidden="1">
      <c r="A386" s="37" t="s">
        <v>940</v>
      </c>
      <c r="B386" s="38" t="str">
        <f>IFERROR(VLOOKUP(J386,catalogo!$B$1:$C$70,2,0),"-")</f>
        <v>#58</v>
      </c>
      <c r="C386" s="39">
        <v>46064.416666666664</v>
      </c>
      <c r="D386" s="17"/>
      <c r="E386" s="17"/>
      <c r="F386" s="17"/>
      <c r="G386" s="42">
        <v>1283.93</v>
      </c>
      <c r="H386" s="42">
        <v>1283.93</v>
      </c>
      <c r="I386" s="43" t="s">
        <v>156</v>
      </c>
      <c r="J386" s="43" t="s">
        <v>118</v>
      </c>
      <c r="K386" s="43" t="s">
        <v>941</v>
      </c>
      <c r="L386" s="44" t="s">
        <v>942</v>
      </c>
      <c r="M386" s="45">
        <v>5576</v>
      </c>
      <c r="N386" s="44" t="s">
        <v>167</v>
      </c>
      <c r="O386" s="17"/>
      <c r="P386" s="17"/>
      <c r="Q386" s="17"/>
      <c r="R386" s="17"/>
      <c r="S386" s="17"/>
      <c r="T386" s="17"/>
      <c r="U386" s="17"/>
      <c r="V386" s="17"/>
      <c r="W386" s="17"/>
      <c r="X386" s="17"/>
      <c r="Y386" s="46" t="str">
        <f ca="1">IFERROR(VLOOKUP(A386,catalogo!$E:$G,2,0),"-")</f>
        <v>-</v>
      </c>
      <c r="Z386" s="47" t="str">
        <f ca="1">IFERROR(VLOOKUP(A386,catalogo!$E:$G,3,0),"-")</f>
        <v>-</v>
      </c>
      <c r="AA386" s="48"/>
      <c r="AB386" s="48"/>
      <c r="AC386" s="48" t="str">
        <f ca="1">IFERROR(VLOOKUP(A386,catalogo!$E:$H,4,0),"-")</f>
        <v>-</v>
      </c>
      <c r="AD386" s="48"/>
      <c r="AE386" s="48"/>
      <c r="AF386" s="48"/>
      <c r="AG386" s="48"/>
      <c r="AH386" s="48"/>
      <c r="AI386" s="48"/>
    </row>
    <row r="387" spans="1:35" ht="12.5" hidden="1">
      <c r="A387" s="37" t="s">
        <v>943</v>
      </c>
      <c r="B387" s="38" t="str">
        <f>IFERROR(VLOOKUP(J387,catalogo!$B$1:$C$70,2,0),"-")</f>
        <v>#26</v>
      </c>
      <c r="C387" s="39">
        <v>46064.416666666664</v>
      </c>
      <c r="D387" s="17"/>
      <c r="E387" s="17"/>
      <c r="F387" s="17"/>
      <c r="G387" s="42">
        <v>370</v>
      </c>
      <c r="H387" s="42">
        <v>370</v>
      </c>
      <c r="I387" s="43" t="s">
        <v>156</v>
      </c>
      <c r="J387" s="43" t="s">
        <v>67</v>
      </c>
      <c r="K387" s="43" t="s">
        <v>335</v>
      </c>
      <c r="L387" s="44" t="s">
        <v>336</v>
      </c>
      <c r="M387" s="44" t="s">
        <v>159</v>
      </c>
      <c r="N387" s="44" t="s">
        <v>144</v>
      </c>
      <c r="O387" s="17"/>
      <c r="P387" s="17"/>
      <c r="Q387" s="17"/>
      <c r="R387" s="17"/>
      <c r="S387" s="17"/>
      <c r="T387" s="17"/>
      <c r="U387" s="17"/>
      <c r="V387" s="17"/>
      <c r="W387" s="17"/>
      <c r="X387" s="17"/>
      <c r="Y387" s="46" t="str">
        <f ca="1">IFERROR(VLOOKUP(A387,catalogo!$E:$G,2,0),"-")</f>
        <v>-</v>
      </c>
      <c r="Z387" s="47" t="str">
        <f ca="1">IFERROR(VLOOKUP(A387,catalogo!$E:$G,3,0),"-")</f>
        <v>-</v>
      </c>
      <c r="AA387" s="48"/>
      <c r="AB387" s="48"/>
      <c r="AC387" s="48" t="str">
        <f ca="1">IFERROR(VLOOKUP(A387,catalogo!$E:$H,4,0),"-")</f>
        <v>-</v>
      </c>
      <c r="AD387" s="48"/>
      <c r="AE387" s="48"/>
      <c r="AF387" s="48"/>
      <c r="AG387" s="48"/>
      <c r="AH387" s="48"/>
      <c r="AI387" s="48"/>
    </row>
    <row r="388" spans="1:35" ht="12.5" hidden="1">
      <c r="A388" s="37" t="s">
        <v>944</v>
      </c>
      <c r="B388" s="38" t="str">
        <f>IFERROR(VLOOKUP(J388,catalogo!$B$1:$C$70,2,0),"-")</f>
        <v>-</v>
      </c>
      <c r="C388" s="39">
        <v>46064.416666666664</v>
      </c>
      <c r="D388" s="17"/>
      <c r="E388" s="17"/>
      <c r="F388" s="17"/>
      <c r="G388" s="42">
        <v>142.84</v>
      </c>
      <c r="H388" s="42">
        <v>142.84</v>
      </c>
      <c r="I388" s="43" t="s">
        <v>156</v>
      </c>
      <c r="J388" s="43" t="s">
        <v>119</v>
      </c>
      <c r="K388" s="43" t="s">
        <v>232</v>
      </c>
      <c r="L388" s="44" t="s">
        <v>233</v>
      </c>
      <c r="M388" s="45">
        <v>3241</v>
      </c>
      <c r="N388" s="44" t="s">
        <v>167</v>
      </c>
      <c r="O388" s="17"/>
      <c r="P388" s="17"/>
      <c r="Q388" s="17"/>
      <c r="R388" s="17"/>
      <c r="S388" s="17"/>
      <c r="T388" s="17"/>
      <c r="U388" s="17"/>
      <c r="V388" s="17"/>
      <c r="W388" s="17"/>
      <c r="X388" s="17"/>
      <c r="Y388" s="46" t="str">
        <f ca="1">IFERROR(VLOOKUP(A388,catalogo!$E:$G,2,0),"-")</f>
        <v>-</v>
      </c>
      <c r="Z388" s="47" t="str">
        <f ca="1">IFERROR(VLOOKUP(A388,catalogo!$E:$G,3,0),"-")</f>
        <v>-</v>
      </c>
      <c r="AA388" s="48"/>
      <c r="AB388" s="48"/>
      <c r="AC388" s="48" t="str">
        <f ca="1">IFERROR(VLOOKUP(A388,catalogo!$E:$H,4,0),"-")</f>
        <v>-</v>
      </c>
      <c r="AD388" s="48"/>
      <c r="AE388" s="48"/>
      <c r="AF388" s="48"/>
      <c r="AG388" s="48"/>
      <c r="AH388" s="48"/>
      <c r="AI388" s="48"/>
    </row>
    <row r="389" spans="1:35" ht="12.5" hidden="1">
      <c r="A389" s="37" t="s">
        <v>945</v>
      </c>
      <c r="B389" s="38" t="str">
        <f>IFERROR(VLOOKUP(J389,catalogo!$B$1:$C$100,2,0),"-")</f>
        <v>#58</v>
      </c>
      <c r="C389" s="39">
        <v>46064.416666666664</v>
      </c>
      <c r="D389" s="40"/>
      <c r="E389" s="41"/>
      <c r="F389" s="41"/>
      <c r="G389" s="42">
        <v>1000</v>
      </c>
      <c r="H389" s="42">
        <v>1000</v>
      </c>
      <c r="I389" s="43" t="s">
        <v>156</v>
      </c>
      <c r="J389" s="43" t="s">
        <v>118</v>
      </c>
      <c r="K389" s="43" t="s">
        <v>622</v>
      </c>
      <c r="L389" s="44" t="s">
        <v>623</v>
      </c>
      <c r="M389" s="44" t="s">
        <v>163</v>
      </c>
      <c r="N389" s="44" t="s">
        <v>144</v>
      </c>
      <c r="O389" s="41"/>
      <c r="P389" s="41"/>
      <c r="Q389" s="41"/>
      <c r="R389" s="41"/>
      <c r="S389" s="41"/>
      <c r="T389" s="41"/>
      <c r="U389" s="41"/>
      <c r="V389" s="41"/>
      <c r="W389" s="41"/>
      <c r="X389" s="41"/>
      <c r="Y389" s="46" t="str">
        <f ca="1">IFERROR(VLOOKUP(A389,catalogo!$E:$H,2,0),"-")</f>
        <v>-</v>
      </c>
      <c r="Z389" s="47" t="str">
        <f ca="1">IFERROR(VLOOKUP(A389,catalogo!$E:$G,3,0),"-")</f>
        <v>-</v>
      </c>
      <c r="AA389" s="48"/>
      <c r="AB389" s="48"/>
      <c r="AC389" s="48" t="str">
        <f ca="1">IFERROR(VLOOKUP(A389,catalogo!$E:$H,4,0),"-")</f>
        <v>-</v>
      </c>
      <c r="AD389" s="48"/>
      <c r="AE389" s="48"/>
      <c r="AF389" s="48"/>
      <c r="AG389" s="48"/>
      <c r="AH389" s="48"/>
      <c r="AI389" s="48"/>
    </row>
    <row r="390" spans="1:35" ht="12.5" hidden="1">
      <c r="A390" s="37" t="s">
        <v>946</v>
      </c>
      <c r="B390" s="38" t="str">
        <f>IFERROR(VLOOKUP(J390,catalogo!$B$1:$C$70,2,0),"-")</f>
        <v>#21</v>
      </c>
      <c r="C390" s="39">
        <v>46064.416666666664</v>
      </c>
      <c r="D390" s="17"/>
      <c r="E390" s="17"/>
      <c r="F390" s="17"/>
      <c r="G390" s="42">
        <v>500</v>
      </c>
      <c r="H390" s="42">
        <v>500</v>
      </c>
      <c r="I390" s="43" t="s">
        <v>156</v>
      </c>
      <c r="J390" s="43" t="s">
        <v>122</v>
      </c>
      <c r="K390" s="43" t="s">
        <v>947</v>
      </c>
      <c r="L390" s="44" t="s">
        <v>948</v>
      </c>
      <c r="M390" s="44">
        <v>2203</v>
      </c>
      <c r="N390" s="44" t="s">
        <v>167</v>
      </c>
      <c r="O390" s="17"/>
      <c r="P390" s="17"/>
      <c r="Q390" s="17"/>
      <c r="R390" s="17"/>
      <c r="S390" s="17"/>
      <c r="T390" s="17"/>
      <c r="U390" s="17"/>
      <c r="V390" s="17"/>
      <c r="W390" s="17"/>
      <c r="X390" s="17"/>
      <c r="Y390" s="46" t="str">
        <f ca="1">IFERROR(VLOOKUP(A390,catalogo!$E:$G,2,0),"-")</f>
        <v>Transaction cost</v>
      </c>
      <c r="Z390" s="47" t="str">
        <f ca="1">IFERROR(VLOOKUP(A390,catalogo!$E:$G,3,0),"-")</f>
        <v>PO2165. Visita taller CAMI para reunión con cliente Veolia</v>
      </c>
      <c r="AA390" s="48"/>
      <c r="AB390" s="48"/>
      <c r="AC390" s="48" t="str">
        <f ca="1">IFERROR(VLOOKUP(A390,catalogo!$E:$H,4,0),"-")</f>
        <v>29410d37-4441-4fae-aab8-a4977cabda94</v>
      </c>
      <c r="AD390" s="48"/>
      <c r="AE390" s="48"/>
      <c r="AF390" s="48"/>
      <c r="AG390" s="48"/>
      <c r="AH390" s="48"/>
      <c r="AI390" s="48"/>
    </row>
    <row r="391" spans="1:35" ht="12.5" hidden="1">
      <c r="A391" s="37" t="s">
        <v>949</v>
      </c>
      <c r="B391" s="38" t="str">
        <f>IFERROR(VLOOKUP(J391,catalogo!$B$1:$C$75,2,0),"-")</f>
        <v>-</v>
      </c>
      <c r="C391" s="39">
        <v>46064.416666666664</v>
      </c>
      <c r="D391" s="17"/>
      <c r="E391" s="17"/>
      <c r="F391" s="17"/>
      <c r="G391" s="42">
        <v>230.1</v>
      </c>
      <c r="H391" s="42">
        <v>230.1</v>
      </c>
      <c r="I391" s="43" t="s">
        <v>156</v>
      </c>
      <c r="J391" s="43" t="s">
        <v>187</v>
      </c>
      <c r="K391" s="43" t="s">
        <v>950</v>
      </c>
      <c r="L391" s="44" t="s">
        <v>820</v>
      </c>
      <c r="M391" s="45" t="s">
        <v>190</v>
      </c>
      <c r="N391" s="44" t="s">
        <v>167</v>
      </c>
      <c r="O391" s="17"/>
      <c r="P391" s="17"/>
      <c r="Q391" s="17"/>
      <c r="R391" s="17"/>
      <c r="S391" s="17"/>
      <c r="T391" s="17"/>
      <c r="U391" s="17"/>
      <c r="V391" s="17"/>
      <c r="W391" s="17"/>
      <c r="X391" s="17"/>
      <c r="Y391" s="46" t="str">
        <f ca="1">IFERROR(VLOOKUP(A391,catalogo!$E:$H,2,0),"-")</f>
        <v>-</v>
      </c>
      <c r="Z391" s="47" t="str">
        <f ca="1">IFERROR(VLOOKUP(A391,catalogo!$E:$G,3,0),"-")</f>
        <v>-</v>
      </c>
      <c r="AA391" s="48"/>
      <c r="AB391" s="48"/>
      <c r="AC391" s="48" t="str">
        <f ca="1">IFERROR(VLOOKUP(A391,catalogo!$E:$H,4,0),"-")</f>
        <v>-</v>
      </c>
      <c r="AD391" s="48"/>
      <c r="AE391" s="48"/>
      <c r="AF391" s="48"/>
      <c r="AG391" s="48"/>
      <c r="AH391" s="48"/>
      <c r="AI391" s="48"/>
    </row>
    <row r="392" spans="1:35" ht="12.5" hidden="1">
      <c r="A392" s="37" t="s">
        <v>951</v>
      </c>
      <c r="B392" s="38" t="str">
        <f>IFERROR(VLOOKUP(J392,catalogo!$B$1:$C$70,2,0),"-")</f>
        <v>#26</v>
      </c>
      <c r="C392" s="39">
        <v>46064.416666666664</v>
      </c>
      <c r="D392" s="17"/>
      <c r="E392" s="17"/>
      <c r="F392" s="17"/>
      <c r="G392" s="42">
        <v>254</v>
      </c>
      <c r="H392" s="42">
        <v>254</v>
      </c>
      <c r="I392" s="43" t="s">
        <v>156</v>
      </c>
      <c r="J392" s="43" t="s">
        <v>67</v>
      </c>
      <c r="K392" s="43" t="s">
        <v>335</v>
      </c>
      <c r="L392" s="44" t="s">
        <v>336</v>
      </c>
      <c r="M392" s="44" t="s">
        <v>159</v>
      </c>
      <c r="N392" s="44" t="s">
        <v>144</v>
      </c>
      <c r="O392" s="17"/>
      <c r="P392" s="17"/>
      <c r="Q392" s="17"/>
      <c r="R392" s="17"/>
      <c r="S392" s="17"/>
      <c r="T392" s="17"/>
      <c r="U392" s="17"/>
      <c r="V392" s="17"/>
      <c r="W392" s="17"/>
      <c r="X392" s="17"/>
      <c r="Y392" s="46" t="str">
        <f ca="1">IFERROR(VLOOKUP(A392,catalogo!$E:$G,2,0),"-")</f>
        <v>-</v>
      </c>
      <c r="Z392" s="47" t="str">
        <f ca="1">IFERROR(VLOOKUP(A392,catalogo!$E:$G,3,0),"-")</f>
        <v>-</v>
      </c>
      <c r="AA392" s="48"/>
      <c r="AB392" s="48"/>
      <c r="AC392" s="48" t="str">
        <f ca="1">IFERROR(VLOOKUP(A392,catalogo!$E:$H,4,0),"-")</f>
        <v>-</v>
      </c>
      <c r="AD392" s="48"/>
      <c r="AE392" s="48"/>
      <c r="AF392" s="48"/>
      <c r="AG392" s="48"/>
      <c r="AH392" s="48"/>
      <c r="AI392" s="48"/>
    </row>
    <row r="393" spans="1:35" ht="12.5" hidden="1">
      <c r="A393" s="37" t="s">
        <v>952</v>
      </c>
      <c r="B393" s="38" t="str">
        <f>IFERROR(VLOOKUP(J393,catalogo!$B$1:$C$70,2,0),"-")</f>
        <v>-</v>
      </c>
      <c r="C393" s="39">
        <v>46064.416666666664</v>
      </c>
      <c r="D393" s="17"/>
      <c r="E393" s="17"/>
      <c r="F393" s="17"/>
      <c r="G393" s="42">
        <v>313.95999999999998</v>
      </c>
      <c r="H393" s="42">
        <v>313.95999999999998</v>
      </c>
      <c r="I393" s="43" t="s">
        <v>156</v>
      </c>
      <c r="J393" s="43" t="s">
        <v>187</v>
      </c>
      <c r="K393" s="43" t="s">
        <v>232</v>
      </c>
      <c r="L393" s="44" t="s">
        <v>233</v>
      </c>
      <c r="M393" s="45" t="s">
        <v>477</v>
      </c>
      <c r="N393" s="44" t="s">
        <v>144</v>
      </c>
      <c r="O393" s="17"/>
      <c r="P393" s="17"/>
      <c r="Q393" s="17"/>
      <c r="R393" s="17"/>
      <c r="S393" s="17"/>
      <c r="T393" s="17"/>
      <c r="U393" s="17"/>
      <c r="V393" s="17"/>
      <c r="W393" s="17"/>
      <c r="X393" s="17"/>
      <c r="Y393" s="46" t="str">
        <f ca="1">IFERROR(VLOOKUP(A393,catalogo!$E:$G,2,0),"-")</f>
        <v>-</v>
      </c>
      <c r="Z393" s="47" t="str">
        <f ca="1">IFERROR(VLOOKUP(A393,catalogo!$E:$G,3,0),"-")</f>
        <v>-</v>
      </c>
      <c r="AA393" s="48"/>
      <c r="AB393" s="48"/>
      <c r="AC393" s="48" t="str">
        <f ca="1">IFERROR(VLOOKUP(A393,catalogo!$E:$H,4,0),"-")</f>
        <v>-</v>
      </c>
      <c r="AD393" s="48"/>
      <c r="AE393" s="48"/>
      <c r="AF393" s="48"/>
      <c r="AG393" s="48"/>
      <c r="AH393" s="48"/>
      <c r="AI393" s="48"/>
    </row>
    <row r="394" spans="1:35" ht="12.5" hidden="1">
      <c r="A394" s="37" t="s">
        <v>405</v>
      </c>
      <c r="B394" s="38" t="str">
        <f>IFERROR(VLOOKUP(J394,catalogo!$B$1:$C$75,2,0),"-")</f>
        <v>#69</v>
      </c>
      <c r="C394" s="39">
        <v>46064.416666666664</v>
      </c>
      <c r="D394" s="52"/>
      <c r="E394" s="17"/>
      <c r="F394" s="17"/>
      <c r="G394" s="42">
        <v>50</v>
      </c>
      <c r="H394" s="42">
        <v>50</v>
      </c>
      <c r="I394" s="43" t="s">
        <v>156</v>
      </c>
      <c r="J394" s="43" t="s">
        <v>110</v>
      </c>
      <c r="K394" s="43" t="s">
        <v>284</v>
      </c>
      <c r="L394" s="44" t="s">
        <v>233</v>
      </c>
      <c r="M394" s="45" t="s">
        <v>464</v>
      </c>
      <c r="N394" s="44" t="s">
        <v>144</v>
      </c>
      <c r="O394" s="17"/>
      <c r="P394" s="17"/>
      <c r="Q394" s="17"/>
      <c r="R394" s="17"/>
      <c r="S394" s="17"/>
      <c r="T394" s="17"/>
      <c r="U394" s="17"/>
      <c r="V394" s="17"/>
      <c r="W394" s="17"/>
      <c r="X394" s="17"/>
      <c r="Y394" s="46" t="str">
        <f ca="1">IFERROR(VLOOKUP(A394,catalogo!$E:$H,2,0),"-")</f>
        <v>-</v>
      </c>
      <c r="Z394" s="47" t="str">
        <f ca="1">IFERROR(VLOOKUP(A394,catalogo!$E:$G,3,0),"-")</f>
        <v>-</v>
      </c>
      <c r="AA394" s="48"/>
      <c r="AB394" s="48"/>
      <c r="AC394" s="48" t="str">
        <f ca="1">IFERROR(VLOOKUP(A394,catalogo!$E:$H,4,0),"-")</f>
        <v>-</v>
      </c>
      <c r="AD394" s="48"/>
      <c r="AE394" s="48"/>
      <c r="AF394" s="48"/>
      <c r="AG394" s="48"/>
      <c r="AH394" s="48"/>
      <c r="AI394" s="48"/>
    </row>
    <row r="395" spans="1:35" ht="12.5" hidden="1">
      <c r="A395" s="37" t="s">
        <v>295</v>
      </c>
      <c r="B395" s="38" t="str">
        <f>IFERROR(VLOOKUP(J395,catalogo!$B$1:$C$75,2,0),"-")</f>
        <v>#19</v>
      </c>
      <c r="C395" s="39">
        <v>46064.416666666664</v>
      </c>
      <c r="D395" s="17"/>
      <c r="E395" s="17"/>
      <c r="F395" s="17"/>
      <c r="G395" s="42">
        <v>329.97</v>
      </c>
      <c r="H395" s="42">
        <v>329.97</v>
      </c>
      <c r="I395" s="43" t="s">
        <v>156</v>
      </c>
      <c r="J395" s="50" t="s">
        <v>105</v>
      </c>
      <c r="K395" s="43" t="s">
        <v>232</v>
      </c>
      <c r="L395" s="44" t="s">
        <v>233</v>
      </c>
      <c r="M395" s="44" t="s">
        <v>276</v>
      </c>
      <c r="N395" s="44" t="s">
        <v>144</v>
      </c>
      <c r="O395" s="17"/>
      <c r="P395" s="17"/>
      <c r="Q395" s="17"/>
      <c r="R395" s="17"/>
      <c r="S395" s="17"/>
      <c r="T395" s="17"/>
      <c r="U395" s="17"/>
      <c r="V395" s="17"/>
      <c r="W395" s="17"/>
      <c r="X395" s="17"/>
      <c r="Y395" s="46">
        <f ca="1">IFERROR(VLOOKUP(A395,catalogo!$E:$H,2,0),"-")</f>
        <v>0</v>
      </c>
      <c r="Z395" s="47">
        <f ca="1">IFERROR(VLOOKUP(A395,catalogo!$E:$G,3,0),"-")</f>
        <v>0</v>
      </c>
      <c r="AA395" s="48"/>
      <c r="AB395" s="48"/>
      <c r="AC395" s="48" t="str">
        <f ca="1">IFERROR(VLOOKUP(A395,catalogo!$E:$H,4,0),"-")</f>
        <v>.</v>
      </c>
      <c r="AD395" s="48"/>
      <c r="AE395" s="48"/>
      <c r="AF395" s="48"/>
      <c r="AG395" s="48"/>
      <c r="AH395" s="48"/>
      <c r="AI395" s="48"/>
    </row>
    <row r="396" spans="1:35" ht="12.5" hidden="1">
      <c r="A396" s="37" t="s">
        <v>953</v>
      </c>
      <c r="B396" s="38" t="str">
        <f>IFERROR(VLOOKUP(J396,catalogo!$B$1:$C$80,2,0),"-")</f>
        <v>#74</v>
      </c>
      <c r="C396" s="39">
        <v>46064.416666666664</v>
      </c>
      <c r="D396" s="17"/>
      <c r="E396" s="17"/>
      <c r="F396" s="17"/>
      <c r="G396" s="42">
        <v>411.4</v>
      </c>
      <c r="H396" s="42">
        <v>411.4</v>
      </c>
      <c r="I396" s="43" t="s">
        <v>156</v>
      </c>
      <c r="J396" s="43" t="s">
        <v>286</v>
      </c>
      <c r="K396" s="43" t="s">
        <v>954</v>
      </c>
      <c r="L396" s="44" t="s">
        <v>955</v>
      </c>
      <c r="M396" s="45">
        <v>5481</v>
      </c>
      <c r="N396" s="44" t="s">
        <v>167</v>
      </c>
      <c r="O396" s="17"/>
      <c r="P396" s="17"/>
      <c r="Q396" s="17"/>
      <c r="R396" s="17"/>
      <c r="S396" s="17"/>
      <c r="T396" s="17"/>
      <c r="U396" s="17"/>
      <c r="V396" s="17"/>
      <c r="W396" s="17"/>
      <c r="X396" s="17"/>
      <c r="Y396" s="46" t="str">
        <f ca="1">IFERROR(VLOOKUP(A396,catalogo!$E:$H,2,0),"-")</f>
        <v>-</v>
      </c>
      <c r="Z396" s="47" t="str">
        <f ca="1">IFERROR(VLOOKUP(A396,catalogo!$E:$G,3,0),"-")</f>
        <v>-</v>
      </c>
      <c r="AA396" s="48"/>
      <c r="AB396" s="48"/>
      <c r="AC396" s="48" t="str">
        <f ca="1">IFERROR(VLOOKUP(A396,catalogo!$E:$H,4,0),"-")</f>
        <v>-</v>
      </c>
      <c r="AD396" s="48"/>
      <c r="AE396" s="48"/>
      <c r="AF396" s="48"/>
      <c r="AG396" s="48"/>
      <c r="AH396" s="48"/>
      <c r="AI396" s="48"/>
    </row>
    <row r="397" spans="1:35" ht="15.5" hidden="1">
      <c r="A397" s="37" t="s">
        <v>956</v>
      </c>
      <c r="B397" s="38" t="str">
        <f>IFERROR(VLOOKUP(J397,catalogo!$B$1:$C$75,2,0),"-")</f>
        <v>#26</v>
      </c>
      <c r="C397" s="39">
        <v>46064.416666666664</v>
      </c>
      <c r="D397" s="17"/>
      <c r="E397" s="17"/>
      <c r="F397" s="17"/>
      <c r="G397" s="42">
        <v>300.82</v>
      </c>
      <c r="H397" s="42">
        <v>300.82</v>
      </c>
      <c r="I397" s="43" t="s">
        <v>156</v>
      </c>
      <c r="J397" s="43" t="s">
        <v>67</v>
      </c>
      <c r="K397" s="43" t="s">
        <v>335</v>
      </c>
      <c r="L397" s="44" t="s">
        <v>336</v>
      </c>
      <c r="M397" s="45" t="s">
        <v>159</v>
      </c>
      <c r="N397" s="44" t="s">
        <v>144</v>
      </c>
      <c r="O397" s="49"/>
      <c r="P397" s="17"/>
      <c r="Q397" s="17"/>
      <c r="R397" s="17"/>
      <c r="S397" s="17"/>
      <c r="T397" s="17"/>
      <c r="U397" s="17"/>
      <c r="V397" s="17"/>
      <c r="W397" s="17"/>
      <c r="X397" s="17"/>
      <c r="Y397" s="46" t="str">
        <f ca="1">IFERROR(VLOOKUP(A397,catalogo!$E:$H,2,0),"-")</f>
        <v>-</v>
      </c>
      <c r="Z397" s="47" t="str">
        <f ca="1">IFERROR(VLOOKUP(A397,catalogo!$E:$G,3,0),"-")</f>
        <v>-</v>
      </c>
      <c r="AA397" s="48"/>
      <c r="AB397" s="48"/>
      <c r="AC397" s="48" t="str">
        <f ca="1">IFERROR(VLOOKUP(A397,catalogo!$E:$H,4,0),"-")</f>
        <v>-</v>
      </c>
      <c r="AD397" s="48"/>
      <c r="AE397" s="48"/>
      <c r="AF397" s="48"/>
      <c r="AG397" s="48"/>
      <c r="AH397" s="48"/>
      <c r="AI397" s="48"/>
    </row>
    <row r="398" spans="1:35" ht="15.5" hidden="1">
      <c r="A398" s="37" t="s">
        <v>957</v>
      </c>
      <c r="B398" s="38" t="str">
        <f>IFERROR(VLOOKUP(J398,catalogo!$B$1:$C$100,2,0),"-")</f>
        <v>#64</v>
      </c>
      <c r="C398" s="39">
        <v>46064.416666666664</v>
      </c>
      <c r="D398" s="17"/>
      <c r="E398" s="17"/>
      <c r="F398" s="17"/>
      <c r="G398" s="42">
        <v>158.30000000000001</v>
      </c>
      <c r="H398" s="42">
        <v>158.30000000000001</v>
      </c>
      <c r="I398" s="43" t="s">
        <v>156</v>
      </c>
      <c r="J398" s="43" t="s">
        <v>139</v>
      </c>
      <c r="K398" s="43" t="s">
        <v>169</v>
      </c>
      <c r="L398" s="44" t="s">
        <v>170</v>
      </c>
      <c r="M398" s="45">
        <v>7142</v>
      </c>
      <c r="N398" s="44" t="s">
        <v>167</v>
      </c>
      <c r="O398" s="49"/>
      <c r="P398" s="17"/>
      <c r="Q398" s="17"/>
      <c r="R398" s="17"/>
      <c r="S398" s="17"/>
      <c r="T398" s="17"/>
      <c r="U398" s="17"/>
      <c r="V398" s="17"/>
      <c r="W398" s="17"/>
      <c r="X398" s="17"/>
      <c r="Y398" s="46" t="str">
        <f ca="1">IFERROR(VLOOKUP(A398,catalogo!$E:$H,2,0),"-")</f>
        <v>-</v>
      </c>
      <c r="Z398" s="47" t="str">
        <f ca="1">IFERROR(VLOOKUP(A398,catalogo!$E:$G,3,0),"-")</f>
        <v>-</v>
      </c>
      <c r="AA398" s="48"/>
      <c r="AB398" s="48"/>
      <c r="AC398" s="48" t="str">
        <f ca="1">IFERROR(VLOOKUP(A398,catalogo!$E:$H,4,0),"-")</f>
        <v>-</v>
      </c>
      <c r="AD398" s="48"/>
      <c r="AE398" s="48"/>
      <c r="AF398" s="48"/>
      <c r="AG398" s="48"/>
      <c r="AH398" s="48"/>
      <c r="AI398" s="48"/>
    </row>
    <row r="399" spans="1:35" ht="12.5" hidden="1">
      <c r="A399" s="37" t="s">
        <v>227</v>
      </c>
      <c r="B399" s="38" t="str">
        <f>IFERROR(VLOOKUP(J399,catalogo!$B$1:$C$75,2,0),"-")</f>
        <v>-</v>
      </c>
      <c r="C399" s="39">
        <v>46064.416666666664</v>
      </c>
      <c r="D399" s="17"/>
      <c r="E399" s="17"/>
      <c r="F399" s="17"/>
      <c r="G399" s="42">
        <v>25</v>
      </c>
      <c r="H399" s="42">
        <v>25</v>
      </c>
      <c r="I399" s="43" t="s">
        <v>156</v>
      </c>
      <c r="J399" s="43" t="s">
        <v>321</v>
      </c>
      <c r="K399" s="43" t="s">
        <v>841</v>
      </c>
      <c r="L399" s="44" t="s">
        <v>842</v>
      </c>
      <c r="M399" s="45">
        <v>3340</v>
      </c>
      <c r="N399" s="44" t="s">
        <v>167</v>
      </c>
      <c r="O399" s="17"/>
      <c r="P399" s="17"/>
      <c r="Q399" s="17"/>
      <c r="R399" s="17"/>
      <c r="S399" s="17"/>
      <c r="T399" s="17"/>
      <c r="U399" s="17"/>
      <c r="V399" s="17"/>
      <c r="W399" s="17"/>
      <c r="X399" s="17"/>
      <c r="Y399" s="46" t="str">
        <f ca="1">IFERROR(VLOOKUP(A399,catalogo!$E:$H,2,0),"-")</f>
        <v>-</v>
      </c>
      <c r="Z399" s="47" t="str">
        <f ca="1">IFERROR(VLOOKUP(A399,catalogo!$E:$G,3,0),"-")</f>
        <v>-</v>
      </c>
      <c r="AA399" s="48"/>
      <c r="AB399" s="48"/>
      <c r="AC399" s="48" t="str">
        <f ca="1">IFERROR(VLOOKUP(A399,catalogo!$E:$H,4,0),"-")</f>
        <v>-</v>
      </c>
      <c r="AD399" s="48"/>
      <c r="AE399" s="48"/>
      <c r="AF399" s="48"/>
      <c r="AG399" s="48"/>
      <c r="AH399" s="48"/>
      <c r="AI399" s="48"/>
    </row>
    <row r="400" spans="1:35" ht="12.5" hidden="1">
      <c r="A400" s="37" t="s">
        <v>958</v>
      </c>
      <c r="B400" s="38" t="str">
        <f>IFERROR(VLOOKUP(J400,catalogo!$B$1:$C$85,2,0),"-")</f>
        <v>-</v>
      </c>
      <c r="C400" s="39">
        <v>46064.416666666664</v>
      </c>
      <c r="D400" s="17"/>
      <c r="E400" s="17"/>
      <c r="F400" s="17"/>
      <c r="G400" s="42">
        <v>138</v>
      </c>
      <c r="H400" s="42">
        <v>138</v>
      </c>
      <c r="I400" s="43" t="s">
        <v>156</v>
      </c>
      <c r="J400" s="43" t="s">
        <v>269</v>
      </c>
      <c r="K400" s="43" t="s">
        <v>959</v>
      </c>
      <c r="L400" s="44" t="s">
        <v>960</v>
      </c>
      <c r="M400" s="44">
        <v>6130</v>
      </c>
      <c r="N400" s="44" t="s">
        <v>167</v>
      </c>
      <c r="O400" s="17"/>
      <c r="P400" s="17"/>
      <c r="Q400" s="17"/>
      <c r="R400" s="17"/>
      <c r="S400" s="17"/>
      <c r="T400" s="17"/>
      <c r="U400" s="17"/>
      <c r="V400" s="17"/>
      <c r="W400" s="17"/>
      <c r="X400" s="17"/>
      <c r="Y400" s="46" t="str">
        <f ca="1">IFERROR(VLOOKUP(A400,catalogo!$E:$G,2,0),"-")</f>
        <v>-</v>
      </c>
      <c r="Z400" s="47" t="str">
        <f ca="1">IFERROR(VLOOKUP(A400,catalogo!$E:$G,3,0),"-")</f>
        <v>-</v>
      </c>
      <c r="AA400" s="48"/>
      <c r="AB400" s="48"/>
      <c r="AC400" s="48" t="str">
        <f ca="1">IFERROR(VLOOKUP(A400,catalogo!$E:$H,4,0),"-")</f>
        <v>-</v>
      </c>
      <c r="AD400" s="48"/>
      <c r="AE400" s="48"/>
      <c r="AF400" s="48"/>
      <c r="AG400" s="48"/>
      <c r="AH400" s="48"/>
      <c r="AI400" s="48"/>
    </row>
    <row r="401" spans="1:35" ht="12.5" hidden="1">
      <c r="A401" s="37" t="s">
        <v>961</v>
      </c>
      <c r="B401" s="38" t="str">
        <f>IFERROR(VLOOKUP(J401,catalogo!$B$1:$C$75,2,0),"-")</f>
        <v>-</v>
      </c>
      <c r="C401" s="39">
        <v>46064.416666666664</v>
      </c>
      <c r="D401" s="17"/>
      <c r="E401" s="17"/>
      <c r="F401" s="17"/>
      <c r="G401" s="42">
        <v>80.599999999999994</v>
      </c>
      <c r="H401" s="42">
        <v>80.599999999999994</v>
      </c>
      <c r="I401" s="43" t="s">
        <v>156</v>
      </c>
      <c r="J401" s="43" t="s">
        <v>269</v>
      </c>
      <c r="K401" s="43" t="s">
        <v>962</v>
      </c>
      <c r="L401" s="44" t="s">
        <v>963</v>
      </c>
      <c r="M401" s="44">
        <v>6130</v>
      </c>
      <c r="N401" s="44" t="s">
        <v>167</v>
      </c>
      <c r="O401" s="17"/>
      <c r="P401" s="17"/>
      <c r="Q401" s="17"/>
      <c r="R401" s="17"/>
      <c r="S401" s="17"/>
      <c r="T401" s="17"/>
      <c r="U401" s="17"/>
      <c r="V401" s="17"/>
      <c r="W401" s="17"/>
      <c r="X401" s="17"/>
      <c r="Y401" s="46" t="str">
        <f ca="1">IFERROR(VLOOKUP(A401,catalogo!$E:$H,2,0),"-")</f>
        <v>-</v>
      </c>
      <c r="Z401" s="47" t="str">
        <f ca="1">IFERROR(VLOOKUP(A401,catalogo!$E:$G,3,0),"-")</f>
        <v>-</v>
      </c>
      <c r="AA401" s="48"/>
      <c r="AB401" s="48"/>
      <c r="AC401" s="48" t="str">
        <f ca="1">IFERROR(VLOOKUP(A401,catalogo!$E:$H,4,0),"-")</f>
        <v>-</v>
      </c>
      <c r="AD401" s="48"/>
      <c r="AE401" s="48"/>
      <c r="AF401" s="48"/>
      <c r="AG401" s="48"/>
      <c r="AH401" s="48"/>
      <c r="AI401" s="48"/>
    </row>
    <row r="402" spans="1:35" ht="15.5" hidden="1">
      <c r="A402" s="37" t="s">
        <v>964</v>
      </c>
      <c r="B402" s="38" t="str">
        <f>IFERROR(VLOOKUP(J402,catalogo!$B$1:$C$75,2,0),"-")</f>
        <v>#42</v>
      </c>
      <c r="C402" s="39">
        <v>46064.417361111111</v>
      </c>
      <c r="D402" s="17"/>
      <c r="E402" s="17"/>
      <c r="F402" s="17"/>
      <c r="G402" s="42">
        <v>64.3</v>
      </c>
      <c r="H402" s="42">
        <v>64.3</v>
      </c>
      <c r="I402" s="43" t="s">
        <v>156</v>
      </c>
      <c r="J402" s="43" t="s">
        <v>78</v>
      </c>
      <c r="K402" s="43" t="s">
        <v>374</v>
      </c>
      <c r="L402" s="44" t="s">
        <v>375</v>
      </c>
      <c r="M402" s="44">
        <v>4431</v>
      </c>
      <c r="N402" s="44" t="s">
        <v>167</v>
      </c>
      <c r="O402" s="49"/>
      <c r="P402" s="17"/>
      <c r="Q402" s="17"/>
      <c r="R402" s="17"/>
      <c r="S402" s="17"/>
      <c r="T402" s="17"/>
      <c r="U402" s="17"/>
      <c r="V402" s="17"/>
      <c r="W402" s="17"/>
      <c r="X402" s="17"/>
      <c r="Y402" s="46" t="str">
        <f ca="1">IFERROR(VLOOKUP(A402,catalogo!$E:$H,2,0),"-")</f>
        <v>-</v>
      </c>
      <c r="Z402" s="47" t="str">
        <f ca="1">IFERROR(VLOOKUP(A402,catalogo!$E:$G,3,0),"-")</f>
        <v>-</v>
      </c>
      <c r="AA402" s="48"/>
      <c r="AB402" s="48"/>
      <c r="AC402" s="48" t="str">
        <f ca="1">IFERROR(VLOOKUP(A402,catalogo!$E:$H,4,0),"-")</f>
        <v>-</v>
      </c>
      <c r="AD402" s="48"/>
      <c r="AE402" s="48"/>
      <c r="AF402" s="48"/>
      <c r="AG402" s="48"/>
      <c r="AH402" s="48"/>
      <c r="AI402" s="48"/>
    </row>
    <row r="403" spans="1:35" ht="12.5" hidden="1">
      <c r="A403" s="37" t="s">
        <v>196</v>
      </c>
      <c r="B403" s="38" t="str">
        <f>IFERROR(VLOOKUP(J403,catalogo!$B$1:$C$75,2,0),"-")</f>
        <v>#26</v>
      </c>
      <c r="C403" s="39">
        <v>46064.417361111111</v>
      </c>
      <c r="D403" s="17"/>
      <c r="E403" s="17"/>
      <c r="F403" s="17"/>
      <c r="G403" s="42">
        <v>254</v>
      </c>
      <c r="H403" s="42">
        <v>254</v>
      </c>
      <c r="I403" s="43" t="s">
        <v>156</v>
      </c>
      <c r="J403" s="43" t="s">
        <v>67</v>
      </c>
      <c r="K403" s="43" t="s">
        <v>965</v>
      </c>
      <c r="L403" s="44" t="s">
        <v>336</v>
      </c>
      <c r="M403" s="44" t="s">
        <v>159</v>
      </c>
      <c r="N403" s="44" t="s">
        <v>144</v>
      </c>
      <c r="O403" s="17"/>
      <c r="P403" s="17"/>
      <c r="Q403" s="17"/>
      <c r="R403" s="17"/>
      <c r="S403" s="17"/>
      <c r="T403" s="17"/>
      <c r="U403" s="17"/>
      <c r="V403" s="17"/>
      <c r="W403" s="17"/>
      <c r="X403" s="17"/>
      <c r="Y403" s="46" t="str">
        <f ca="1">IFERROR(VLOOKUP(A403,catalogo!$E:$H,2,0),"-")</f>
        <v>Tech&amp;Product</v>
      </c>
      <c r="Z403" s="47">
        <f ca="1">IFERROR(VLOOKUP(A403,catalogo!$E:$G,3,0),"-")</f>
        <v>0</v>
      </c>
      <c r="AA403" s="48"/>
      <c r="AB403" s="48"/>
      <c r="AC403" s="48" t="str">
        <f ca="1">IFERROR(VLOOKUP(A403,catalogo!$E:$H,4,0),"-")</f>
        <v>.</v>
      </c>
      <c r="AD403" s="48"/>
      <c r="AE403" s="48"/>
      <c r="AF403" s="48"/>
      <c r="AG403" s="48"/>
      <c r="AH403" s="48"/>
      <c r="AI403" s="48"/>
    </row>
    <row r="404" spans="1:35" ht="12.5" hidden="1">
      <c r="A404" s="37" t="s">
        <v>966</v>
      </c>
      <c r="B404" s="38" t="str">
        <f>IFERROR(VLOOKUP(J404,catalogo!$B$1:$C$100,2,0),"-")</f>
        <v>#68</v>
      </c>
      <c r="C404" s="39">
        <v>46064.417361111111</v>
      </c>
      <c r="D404" s="17"/>
      <c r="E404" s="17"/>
      <c r="F404" s="17"/>
      <c r="G404" s="42">
        <v>997.18</v>
      </c>
      <c r="H404" s="42">
        <v>997.18</v>
      </c>
      <c r="I404" s="43" t="s">
        <v>156</v>
      </c>
      <c r="J404" s="43" t="s">
        <v>384</v>
      </c>
      <c r="K404" s="43" t="s">
        <v>967</v>
      </c>
      <c r="L404" s="44" t="s">
        <v>968</v>
      </c>
      <c r="M404" s="44">
        <v>2937</v>
      </c>
      <c r="N404" s="44" t="s">
        <v>167</v>
      </c>
      <c r="O404" s="17"/>
      <c r="P404" s="17"/>
      <c r="Q404" s="17"/>
      <c r="R404" s="17"/>
      <c r="S404" s="17"/>
      <c r="T404" s="17"/>
      <c r="U404" s="17"/>
      <c r="V404" s="17"/>
      <c r="W404" s="17"/>
      <c r="X404" s="17"/>
      <c r="Y404" s="46" t="str">
        <f ca="1">IFERROR(VLOOKUP(A404,catalogo!$E:$H,2,0),"-")</f>
        <v>-</v>
      </c>
      <c r="Z404" s="47" t="str">
        <f ca="1">IFERROR(VLOOKUP(A404,catalogo!$E:$G,3,0),"-")</f>
        <v>-</v>
      </c>
      <c r="AA404" s="48"/>
      <c r="AB404" s="48"/>
      <c r="AC404" s="48" t="str">
        <f ca="1">IFERROR(VLOOKUP(A404,catalogo!$E:$H,4,0),"-")</f>
        <v>-</v>
      </c>
      <c r="AD404" s="48"/>
      <c r="AE404" s="48"/>
      <c r="AF404" s="48"/>
      <c r="AG404" s="48"/>
      <c r="AH404" s="48"/>
      <c r="AI404" s="48"/>
    </row>
    <row r="405" spans="1:35" ht="12.5" hidden="1">
      <c r="A405" s="37" t="s">
        <v>969</v>
      </c>
      <c r="B405" s="38" t="str">
        <f>IFERROR(VLOOKUP(J405,catalogo!$B$1:$C$75,2,0),"-")</f>
        <v>#26</v>
      </c>
      <c r="C405" s="39">
        <v>46064.417361111111</v>
      </c>
      <c r="D405" s="17"/>
      <c r="E405" s="17"/>
      <c r="F405" s="17"/>
      <c r="G405" s="42">
        <v>187</v>
      </c>
      <c r="H405" s="42">
        <v>187</v>
      </c>
      <c r="I405" s="43" t="s">
        <v>156</v>
      </c>
      <c r="J405" s="43" t="s">
        <v>67</v>
      </c>
      <c r="K405" s="43" t="s">
        <v>970</v>
      </c>
      <c r="L405" s="44" t="s">
        <v>971</v>
      </c>
      <c r="M405" s="45">
        <v>8061</v>
      </c>
      <c r="N405" s="44" t="s">
        <v>167</v>
      </c>
      <c r="O405" s="17"/>
      <c r="P405" s="17"/>
      <c r="Q405" s="17"/>
      <c r="R405" s="17"/>
      <c r="S405" s="17"/>
      <c r="T405" s="17"/>
      <c r="U405" s="17"/>
      <c r="V405" s="17"/>
      <c r="W405" s="17"/>
      <c r="X405" s="17"/>
      <c r="Y405" s="46" t="str">
        <f ca="1">IFERROR(VLOOKUP(A405,catalogo!$E:$H,2,0),"-")</f>
        <v>-</v>
      </c>
      <c r="Z405" s="47" t="str">
        <f ca="1">IFERROR(VLOOKUP(A405,catalogo!$E:$G,3,0),"-")</f>
        <v>-</v>
      </c>
      <c r="AA405" s="48"/>
      <c r="AB405" s="48"/>
      <c r="AC405" s="48" t="str">
        <f ca="1">IFERROR(VLOOKUP(A405,catalogo!$E:$H,4,0),"-")</f>
        <v>-</v>
      </c>
      <c r="AD405" s="48"/>
      <c r="AE405" s="48"/>
      <c r="AF405" s="48"/>
      <c r="AG405" s="48"/>
      <c r="AH405" s="48"/>
      <c r="AI405" s="48"/>
    </row>
    <row r="406" spans="1:35" ht="15.5" hidden="1">
      <c r="A406" s="37" t="s">
        <v>972</v>
      </c>
      <c r="B406" s="38" t="str">
        <f>IFERROR(VLOOKUP(J406,catalogo!$B$1:$C$75,2,0),"-")</f>
        <v>-</v>
      </c>
      <c r="C406" s="39">
        <v>46064.417361111111</v>
      </c>
      <c r="D406" s="17"/>
      <c r="E406" s="17"/>
      <c r="F406" s="17"/>
      <c r="G406" s="42">
        <v>98</v>
      </c>
      <c r="H406" s="42">
        <v>98</v>
      </c>
      <c r="I406" s="43" t="s">
        <v>156</v>
      </c>
      <c r="J406" s="43" t="s">
        <v>269</v>
      </c>
      <c r="K406" s="43" t="s">
        <v>973</v>
      </c>
      <c r="L406" s="44" t="s">
        <v>974</v>
      </c>
      <c r="M406" s="45">
        <v>6130</v>
      </c>
      <c r="N406" s="44" t="s">
        <v>167</v>
      </c>
      <c r="O406" s="49"/>
      <c r="P406" s="17"/>
      <c r="Q406" s="17"/>
      <c r="R406" s="17"/>
      <c r="S406" s="17"/>
      <c r="T406" s="17"/>
      <c r="U406" s="17"/>
      <c r="V406" s="17"/>
      <c r="W406" s="17"/>
      <c r="X406" s="17"/>
      <c r="Y406" s="46" t="str">
        <f ca="1">IFERROR(VLOOKUP(A406,catalogo!$E:$H,2,0),"-")</f>
        <v>-</v>
      </c>
      <c r="Z406" s="47" t="str">
        <f ca="1">IFERROR(VLOOKUP(A406,catalogo!$E:$G,3,0),"-")</f>
        <v>-</v>
      </c>
      <c r="AA406" s="48"/>
      <c r="AB406" s="48"/>
      <c r="AC406" s="48" t="str">
        <f ca="1">IFERROR(VLOOKUP(A406,catalogo!$E:$H,4,0),"-")</f>
        <v>-</v>
      </c>
      <c r="AD406" s="48"/>
      <c r="AE406" s="48"/>
      <c r="AF406" s="48"/>
      <c r="AG406" s="48"/>
      <c r="AH406" s="48"/>
      <c r="AI406" s="48"/>
    </row>
    <row r="407" spans="1:35" ht="12.5" hidden="1">
      <c r="A407" s="37" t="s">
        <v>424</v>
      </c>
      <c r="B407" s="38" t="str">
        <f>IFERROR(VLOOKUP(J407,catalogo!$B$1:$C$75,2,0),"-")</f>
        <v>#26</v>
      </c>
      <c r="C407" s="39">
        <v>46064.417361111111</v>
      </c>
      <c r="D407" s="52"/>
      <c r="E407" s="17"/>
      <c r="F407" s="17"/>
      <c r="G407" s="42">
        <v>210</v>
      </c>
      <c r="H407" s="42">
        <v>210</v>
      </c>
      <c r="I407" s="43" t="s">
        <v>156</v>
      </c>
      <c r="J407" s="43" t="s">
        <v>67</v>
      </c>
      <c r="K407" s="43" t="s">
        <v>975</v>
      </c>
      <c r="L407" s="44" t="s">
        <v>976</v>
      </c>
      <c r="M407" s="45">
        <v>8061</v>
      </c>
      <c r="N407" s="44" t="s">
        <v>167</v>
      </c>
      <c r="O407" s="17"/>
      <c r="P407" s="17"/>
      <c r="Q407" s="17"/>
      <c r="R407" s="17"/>
      <c r="S407" s="17"/>
      <c r="T407" s="17"/>
      <c r="U407" s="17"/>
      <c r="V407" s="17"/>
      <c r="W407" s="17"/>
      <c r="X407" s="17"/>
      <c r="Y407" s="46" t="str">
        <f ca="1">IFERROR(VLOOKUP(A407,catalogo!$E:$H,2,0),"-")</f>
        <v>G&amp;A expenses</v>
      </c>
      <c r="Z407" s="47">
        <f ca="1">IFERROR(VLOOKUP(A407,catalogo!$E:$G,3,0),"-")</f>
        <v>0</v>
      </c>
      <c r="AA407" s="48"/>
      <c r="AB407" s="48"/>
      <c r="AC407" s="48" t="str">
        <f ca="1">IFERROR(VLOOKUP(A407,catalogo!$E:$H,4,0),"-")</f>
        <v>.</v>
      </c>
      <c r="AD407" s="48"/>
      <c r="AE407" s="48"/>
      <c r="AF407" s="48"/>
      <c r="AG407" s="48"/>
      <c r="AH407" s="48"/>
      <c r="AI407" s="48"/>
    </row>
    <row r="408" spans="1:35" ht="12.5" hidden="1">
      <c r="A408" s="37" t="s">
        <v>977</v>
      </c>
      <c r="B408" s="38" t="str">
        <f>IFERROR(VLOOKUP(J408,catalogo!$B$1:$C$80,2,0),"-")</f>
        <v>-</v>
      </c>
      <c r="C408" s="39">
        <v>46064.417361111111</v>
      </c>
      <c r="D408" s="17"/>
      <c r="E408" s="17"/>
      <c r="F408" s="17"/>
      <c r="G408" s="42">
        <v>1622.25</v>
      </c>
      <c r="H408" s="42">
        <v>1622.25</v>
      </c>
      <c r="I408" s="43" t="s">
        <v>156</v>
      </c>
      <c r="J408" s="43" t="s">
        <v>493</v>
      </c>
      <c r="K408" s="43" t="s">
        <v>799</v>
      </c>
      <c r="L408" s="44" t="s">
        <v>800</v>
      </c>
      <c r="M408" s="45">
        <v>4682</v>
      </c>
      <c r="N408" s="44" t="s">
        <v>167</v>
      </c>
      <c r="O408" s="17"/>
      <c r="P408" s="17"/>
      <c r="Q408" s="17"/>
      <c r="R408" s="17"/>
      <c r="S408" s="17"/>
      <c r="T408" s="17"/>
      <c r="U408" s="17"/>
      <c r="V408" s="17"/>
      <c r="W408" s="17"/>
      <c r="X408" s="17"/>
      <c r="Y408" s="46" t="str">
        <f ca="1">IFERROR(VLOOKUP(A408,catalogo!$E:$G,2,0),"-")</f>
        <v>-</v>
      </c>
      <c r="Z408" s="47" t="str">
        <f ca="1">IFERROR(VLOOKUP(A408,catalogo!$E:$G,3,0),"-")</f>
        <v>-</v>
      </c>
      <c r="AA408" s="48"/>
      <c r="AB408" s="48"/>
      <c r="AC408" s="48" t="str">
        <f ca="1">IFERROR(VLOOKUP(A408,catalogo!$E:$H,4,0),"-")</f>
        <v>-</v>
      </c>
      <c r="AD408" s="48"/>
      <c r="AE408" s="48"/>
      <c r="AF408" s="48"/>
      <c r="AG408" s="48"/>
      <c r="AH408" s="48"/>
      <c r="AI408" s="48"/>
    </row>
    <row r="409" spans="1:35" ht="12.5" hidden="1">
      <c r="A409" s="37" t="s">
        <v>978</v>
      </c>
      <c r="B409" s="38" t="str">
        <f>IFERROR(VLOOKUP(J409,catalogo!$B$1:$C$75,2,0),"-")</f>
        <v>-</v>
      </c>
      <c r="C409" s="39">
        <v>46064.417361111111</v>
      </c>
      <c r="D409" s="40"/>
      <c r="E409" s="41"/>
      <c r="F409" s="41"/>
      <c r="G409" s="42">
        <v>25</v>
      </c>
      <c r="H409" s="42">
        <v>25</v>
      </c>
      <c r="I409" s="43" t="s">
        <v>156</v>
      </c>
      <c r="J409" s="43" t="s">
        <v>321</v>
      </c>
      <c r="K409" s="43" t="s">
        <v>841</v>
      </c>
      <c r="L409" s="44" t="s">
        <v>842</v>
      </c>
      <c r="M409" s="45">
        <v>3340</v>
      </c>
      <c r="N409" s="44" t="s">
        <v>167</v>
      </c>
      <c r="O409" s="41"/>
      <c r="P409" s="41"/>
      <c r="Q409" s="41"/>
      <c r="R409" s="41"/>
      <c r="S409" s="41"/>
      <c r="T409" s="41"/>
      <c r="U409" s="41"/>
      <c r="V409" s="41"/>
      <c r="W409" s="41"/>
      <c r="X409" s="41"/>
      <c r="Y409" s="46" t="str">
        <f ca="1">IFERROR(VLOOKUP(A409,catalogo!$E:$H,2,0),"-")</f>
        <v>-</v>
      </c>
      <c r="Z409" s="47" t="str">
        <f ca="1">IFERROR(VLOOKUP(A409,catalogo!$E:$G,3,0),"-")</f>
        <v>-</v>
      </c>
      <c r="AA409" s="48"/>
      <c r="AB409" s="48"/>
      <c r="AC409" s="48" t="str">
        <f ca="1">IFERROR(VLOOKUP(A409,catalogo!$E:$H,4,0),"-")</f>
        <v>-</v>
      </c>
      <c r="AD409" s="48"/>
      <c r="AE409" s="48"/>
      <c r="AF409" s="48"/>
      <c r="AG409" s="48"/>
      <c r="AH409" s="48"/>
      <c r="AI409" s="48"/>
    </row>
    <row r="410" spans="1:35" ht="15.5" hidden="1">
      <c r="A410" s="37" t="s">
        <v>979</v>
      </c>
      <c r="B410" s="38" t="str">
        <f>IFERROR(VLOOKUP(J410,catalogo!$B$1:$C$100,2,0),"-")</f>
        <v>#66</v>
      </c>
      <c r="C410" s="39">
        <v>46064.417361111111</v>
      </c>
      <c r="D410" s="17"/>
      <c r="E410" s="17"/>
      <c r="F410" s="17"/>
      <c r="G410" s="42">
        <v>33</v>
      </c>
      <c r="H410" s="42">
        <v>33</v>
      </c>
      <c r="I410" s="43" t="s">
        <v>156</v>
      </c>
      <c r="J410" s="43" t="s">
        <v>80</v>
      </c>
      <c r="K410" s="43" t="s">
        <v>892</v>
      </c>
      <c r="L410" s="44" t="s">
        <v>407</v>
      </c>
      <c r="M410" s="45">
        <v>2406</v>
      </c>
      <c r="N410" s="44" t="s">
        <v>167</v>
      </c>
      <c r="O410" s="49"/>
      <c r="P410" s="17"/>
      <c r="Q410" s="17"/>
      <c r="R410" s="17"/>
      <c r="S410" s="17"/>
      <c r="T410" s="17"/>
      <c r="U410" s="17"/>
      <c r="V410" s="17"/>
      <c r="W410" s="17"/>
      <c r="X410" s="17"/>
      <c r="Y410" s="46" t="str">
        <f ca="1">IFERROR(VLOOKUP(A410,catalogo!$E:$H,2,0),"-")</f>
        <v>-</v>
      </c>
      <c r="Z410" s="47" t="str">
        <f ca="1">IFERROR(VLOOKUP(A410,catalogo!$E:$G,3,0),"-")</f>
        <v>-</v>
      </c>
      <c r="AA410" s="48"/>
      <c r="AB410" s="48"/>
      <c r="AC410" s="48" t="str">
        <f ca="1">IFERROR(VLOOKUP(A410,catalogo!$E:$H,4,0),"-")</f>
        <v>-</v>
      </c>
      <c r="AD410" s="48"/>
      <c r="AE410" s="48"/>
      <c r="AF410" s="48"/>
      <c r="AG410" s="48"/>
      <c r="AH410" s="48"/>
      <c r="AI410" s="48"/>
    </row>
    <row r="411" spans="1:35" ht="12.5" hidden="1">
      <c r="A411" s="37" t="s">
        <v>397</v>
      </c>
      <c r="B411" s="38" t="str">
        <f>IFERROR(VLOOKUP(J411,catalogo!$B$1:$C$100,2,0),"-")</f>
        <v>#42</v>
      </c>
      <c r="C411" s="39">
        <v>46064.417361111111</v>
      </c>
      <c r="D411" s="52"/>
      <c r="E411" s="17"/>
      <c r="F411" s="17"/>
      <c r="G411" s="42">
        <v>671</v>
      </c>
      <c r="H411" s="42">
        <v>671</v>
      </c>
      <c r="I411" s="43" t="s">
        <v>156</v>
      </c>
      <c r="J411" s="43" t="s">
        <v>78</v>
      </c>
      <c r="K411" s="43" t="s">
        <v>980</v>
      </c>
      <c r="L411" s="44" t="s">
        <v>981</v>
      </c>
      <c r="M411" s="45">
        <v>4431</v>
      </c>
      <c r="N411" s="44" t="s">
        <v>167</v>
      </c>
      <c r="O411" s="17"/>
      <c r="P411" s="17"/>
      <c r="Q411" s="17"/>
      <c r="R411" s="17"/>
      <c r="S411" s="17"/>
      <c r="T411" s="17"/>
      <c r="U411" s="17"/>
      <c r="V411" s="17"/>
      <c r="W411" s="17"/>
      <c r="X411" s="17"/>
      <c r="Y411" s="46" t="str">
        <f ca="1">IFERROR(VLOOKUP(A411,catalogo!$E:$H,2,0),"-")</f>
        <v>-</v>
      </c>
      <c r="Z411" s="47" t="str">
        <f ca="1">IFERROR(VLOOKUP(A411,catalogo!$E:$G,3,0),"-")</f>
        <v>-</v>
      </c>
      <c r="AA411" s="48"/>
      <c r="AB411" s="48"/>
      <c r="AC411" s="48" t="str">
        <f ca="1">IFERROR(VLOOKUP(A411,catalogo!$E:$H,4,0),"-")</f>
        <v>-</v>
      </c>
      <c r="AD411" s="48"/>
      <c r="AE411" s="48"/>
      <c r="AF411" s="48"/>
      <c r="AG411" s="48"/>
      <c r="AH411" s="48"/>
      <c r="AI411" s="48"/>
    </row>
    <row r="412" spans="1:35" ht="12.5" hidden="1">
      <c r="A412" s="37" t="s">
        <v>502</v>
      </c>
      <c r="B412" s="38" t="str">
        <f>IFERROR(VLOOKUP(J412,catalogo!$B$1:$C$75,2,0),"-")</f>
        <v>#64</v>
      </c>
      <c r="C412" s="39">
        <v>46064.417361111111</v>
      </c>
      <c r="D412" s="52"/>
      <c r="E412" s="17"/>
      <c r="F412" s="17"/>
      <c r="G412" s="42">
        <v>27</v>
      </c>
      <c r="H412" s="42">
        <v>27</v>
      </c>
      <c r="I412" s="43" t="s">
        <v>156</v>
      </c>
      <c r="J412" s="43" t="s">
        <v>139</v>
      </c>
      <c r="K412" s="43" t="s">
        <v>836</v>
      </c>
      <c r="L412" s="44" t="s">
        <v>655</v>
      </c>
      <c r="M412" s="45">
        <v>7142</v>
      </c>
      <c r="N412" s="44" t="s">
        <v>167</v>
      </c>
      <c r="O412" s="17"/>
      <c r="P412" s="17"/>
      <c r="Q412" s="17"/>
      <c r="R412" s="17"/>
      <c r="S412" s="17"/>
      <c r="T412" s="17"/>
      <c r="U412" s="17"/>
      <c r="V412" s="17"/>
      <c r="W412" s="17"/>
      <c r="X412" s="17"/>
      <c r="Y412" s="46" t="str">
        <f ca="1">IFERROR(VLOOKUP(A412,catalogo!$E:$H,2,0),"-")</f>
        <v>-</v>
      </c>
      <c r="Z412" s="47" t="str">
        <f ca="1">IFERROR(VLOOKUP(A412,catalogo!$E:$G,3,0),"-")</f>
        <v>-</v>
      </c>
      <c r="AA412" s="48"/>
      <c r="AB412" s="48"/>
      <c r="AC412" s="48" t="str">
        <f ca="1">IFERROR(VLOOKUP(A412,catalogo!$E:$H,4,0),"-")</f>
        <v>-</v>
      </c>
      <c r="AD412" s="48"/>
      <c r="AE412" s="48"/>
      <c r="AF412" s="48"/>
      <c r="AG412" s="48"/>
      <c r="AH412" s="48"/>
      <c r="AI412" s="48"/>
    </row>
    <row r="413" spans="1:35" ht="12.5" hidden="1">
      <c r="A413" s="37" t="s">
        <v>292</v>
      </c>
      <c r="B413" s="38" t="str">
        <f>IFERROR(VLOOKUP(J413,catalogo!$B$1:$C$75,2,0),"-")</f>
        <v>-</v>
      </c>
      <c r="C413" s="39">
        <v>46064.417361111111</v>
      </c>
      <c r="D413" s="17"/>
      <c r="E413" s="17"/>
      <c r="F413" s="17"/>
      <c r="G413" s="42">
        <v>1239</v>
      </c>
      <c r="H413" s="42">
        <v>1239</v>
      </c>
      <c r="I413" s="43" t="s">
        <v>156</v>
      </c>
      <c r="J413" s="43" t="s">
        <v>321</v>
      </c>
      <c r="K413" s="43" t="s">
        <v>982</v>
      </c>
      <c r="L413" s="44" t="s">
        <v>500</v>
      </c>
      <c r="M413" s="45">
        <v>3340</v>
      </c>
      <c r="N413" s="44" t="s">
        <v>167</v>
      </c>
      <c r="O413" s="17"/>
      <c r="P413" s="17"/>
      <c r="Q413" s="17"/>
      <c r="R413" s="17"/>
      <c r="S413" s="17"/>
      <c r="T413" s="17"/>
      <c r="U413" s="17"/>
      <c r="V413" s="17"/>
      <c r="W413" s="17"/>
      <c r="X413" s="17"/>
      <c r="Y413" s="46" t="str">
        <f ca="1">IFERROR(VLOOKUP(A413,catalogo!$E:$H,2,0),"-")</f>
        <v>-</v>
      </c>
      <c r="Z413" s="47" t="str">
        <f ca="1">IFERROR(VLOOKUP(A413,catalogo!$E:$G,3,0),"-")</f>
        <v>-</v>
      </c>
      <c r="AA413" s="48"/>
      <c r="AB413" s="48"/>
      <c r="AC413" s="48" t="str">
        <f ca="1">IFERROR(VLOOKUP(A413,catalogo!$E:$H,4,0),"-")</f>
        <v>-</v>
      </c>
      <c r="AD413" s="48"/>
      <c r="AE413" s="48"/>
      <c r="AF413" s="48"/>
      <c r="AG413" s="48"/>
      <c r="AH413" s="48"/>
      <c r="AI413" s="48"/>
    </row>
    <row r="414" spans="1:35" ht="12.5" hidden="1">
      <c r="A414" s="37" t="s">
        <v>983</v>
      </c>
      <c r="B414" s="38" t="str">
        <f>IFERROR(VLOOKUP(J414,catalogo!$B$1:$C$75,2,0),"-")</f>
        <v>#64</v>
      </c>
      <c r="C414" s="39">
        <v>46064.417361111111</v>
      </c>
      <c r="D414" s="17"/>
      <c r="E414" s="17"/>
      <c r="F414" s="17"/>
      <c r="G414" s="42">
        <v>200.29</v>
      </c>
      <c r="H414" s="42">
        <v>200.29</v>
      </c>
      <c r="I414" s="43" t="s">
        <v>156</v>
      </c>
      <c r="J414" s="43" t="s">
        <v>139</v>
      </c>
      <c r="K414" s="43" t="s">
        <v>169</v>
      </c>
      <c r="L414" s="44" t="s">
        <v>170</v>
      </c>
      <c r="M414" s="44">
        <v>7142</v>
      </c>
      <c r="N414" s="44" t="s">
        <v>167</v>
      </c>
      <c r="O414" s="17"/>
      <c r="P414" s="17"/>
      <c r="Q414" s="17"/>
      <c r="R414" s="17"/>
      <c r="S414" s="17"/>
      <c r="T414" s="17"/>
      <c r="U414" s="17"/>
      <c r="V414" s="17"/>
      <c r="W414" s="17"/>
      <c r="X414" s="17"/>
      <c r="Y414" s="46" t="str">
        <f ca="1">IFERROR(VLOOKUP(A414,catalogo!$E:$H,2,0),"-")</f>
        <v>-</v>
      </c>
      <c r="Z414" s="47" t="str">
        <f ca="1">IFERROR(VLOOKUP(A414,catalogo!$E:$G,3,0),"-")</f>
        <v>-</v>
      </c>
      <c r="AA414" s="48"/>
      <c r="AB414" s="48"/>
      <c r="AC414" s="48" t="str">
        <f ca="1">IFERROR(VLOOKUP(A414,catalogo!$E:$H,4,0),"-")</f>
        <v>-</v>
      </c>
      <c r="AD414" s="48"/>
      <c r="AE414" s="48"/>
      <c r="AF414" s="48"/>
      <c r="AG414" s="48"/>
      <c r="AH414" s="48"/>
      <c r="AI414" s="48"/>
    </row>
    <row r="415" spans="1:35" ht="12.5" hidden="1">
      <c r="A415" s="37" t="s">
        <v>984</v>
      </c>
      <c r="B415" s="38" t="str">
        <f>IFERROR(VLOOKUP(J415,catalogo!$B$1:$C$75,2,0),"-")</f>
        <v>#66</v>
      </c>
      <c r="C415" s="39">
        <v>46064.417361111111</v>
      </c>
      <c r="D415" s="17"/>
      <c r="E415" s="17"/>
      <c r="F415" s="17"/>
      <c r="G415" s="42">
        <v>1014</v>
      </c>
      <c r="H415" s="42">
        <v>1014</v>
      </c>
      <c r="I415" s="43" t="s">
        <v>156</v>
      </c>
      <c r="J415" s="43" t="s">
        <v>80</v>
      </c>
      <c r="K415" s="43" t="s">
        <v>892</v>
      </c>
      <c r="L415" s="44" t="s">
        <v>407</v>
      </c>
      <c r="M415" s="44">
        <v>2406</v>
      </c>
      <c r="N415" s="44" t="s">
        <v>167</v>
      </c>
      <c r="O415" s="17"/>
      <c r="P415" s="17"/>
      <c r="Q415" s="17"/>
      <c r="R415" s="17"/>
      <c r="S415" s="17"/>
      <c r="T415" s="17"/>
      <c r="U415" s="17"/>
      <c r="V415" s="17"/>
      <c r="W415" s="17"/>
      <c r="X415" s="17"/>
      <c r="Y415" s="46" t="str">
        <f ca="1">IFERROR(VLOOKUP(A415,catalogo!$E:$H,2,0),"-")</f>
        <v>-</v>
      </c>
      <c r="Z415" s="47" t="str">
        <f ca="1">IFERROR(VLOOKUP(A415,catalogo!$E:$G,3,0),"-")</f>
        <v>-</v>
      </c>
      <c r="AA415" s="48"/>
      <c r="AB415" s="48"/>
      <c r="AC415" s="48" t="str">
        <f ca="1">IFERROR(VLOOKUP(A415,catalogo!$E:$H,4,0),"-")</f>
        <v>-</v>
      </c>
      <c r="AD415" s="48"/>
      <c r="AE415" s="48"/>
      <c r="AF415" s="48"/>
      <c r="AG415" s="48"/>
      <c r="AH415" s="48"/>
      <c r="AI415" s="48"/>
    </row>
    <row r="416" spans="1:35" ht="12.5" hidden="1">
      <c r="A416" s="37" t="s">
        <v>985</v>
      </c>
      <c r="B416" s="38" t="str">
        <f>IFERROR(VLOOKUP(J416,catalogo!$B$1:$C$75,2,0),"-")</f>
        <v>#64</v>
      </c>
      <c r="C416" s="39">
        <v>46064.417361111111</v>
      </c>
      <c r="D416" s="17"/>
      <c r="E416" s="17"/>
      <c r="F416" s="17"/>
      <c r="G416" s="42">
        <v>96.16</v>
      </c>
      <c r="H416" s="42">
        <v>96.16</v>
      </c>
      <c r="I416" s="43" t="s">
        <v>156</v>
      </c>
      <c r="J416" s="43" t="s">
        <v>139</v>
      </c>
      <c r="K416" s="43" t="s">
        <v>169</v>
      </c>
      <c r="L416" s="44" t="s">
        <v>170</v>
      </c>
      <c r="M416" s="45">
        <v>7142</v>
      </c>
      <c r="N416" s="44" t="s">
        <v>167</v>
      </c>
      <c r="O416" s="17"/>
      <c r="P416" s="17"/>
      <c r="Q416" s="17"/>
      <c r="R416" s="17"/>
      <c r="S416" s="17"/>
      <c r="T416" s="17"/>
      <c r="U416" s="17"/>
      <c r="V416" s="17"/>
      <c r="W416" s="17"/>
      <c r="X416" s="17"/>
      <c r="Y416" s="46" t="str">
        <f ca="1">IFERROR(VLOOKUP(A416,catalogo!$E:$H,2,0),"-")</f>
        <v>-</v>
      </c>
      <c r="Z416" s="47" t="str">
        <f ca="1">IFERROR(VLOOKUP(A416,catalogo!$E:$G,3,0),"-")</f>
        <v>-</v>
      </c>
      <c r="AA416" s="48"/>
      <c r="AB416" s="48"/>
      <c r="AC416" s="48" t="str">
        <f ca="1">IFERROR(VLOOKUP(A416,catalogo!$E:$H,4,0),"-")</f>
        <v>-</v>
      </c>
      <c r="AD416" s="48"/>
      <c r="AE416" s="48"/>
      <c r="AF416" s="48"/>
      <c r="AG416" s="48"/>
      <c r="AH416" s="48"/>
      <c r="AI416" s="48"/>
    </row>
    <row r="417" spans="1:35" ht="12.5" hidden="1">
      <c r="A417" s="37" t="s">
        <v>986</v>
      </c>
      <c r="B417" s="38" t="str">
        <f>IFERROR(VLOOKUP(J417,catalogo!$B$1:$C$85,2,0),"-")</f>
        <v>-</v>
      </c>
      <c r="C417" s="39">
        <v>46064.417361111111</v>
      </c>
      <c r="D417" s="17"/>
      <c r="E417" s="17"/>
      <c r="F417" s="17"/>
      <c r="G417" s="42">
        <v>234.6</v>
      </c>
      <c r="H417" s="42">
        <v>234.6</v>
      </c>
      <c r="I417" s="43" t="s">
        <v>156</v>
      </c>
      <c r="J417" s="43" t="s">
        <v>269</v>
      </c>
      <c r="K417" s="43" t="s">
        <v>987</v>
      </c>
      <c r="L417" s="44" t="s">
        <v>988</v>
      </c>
      <c r="M417" s="45">
        <v>6130</v>
      </c>
      <c r="N417" s="44" t="s">
        <v>167</v>
      </c>
      <c r="O417" s="17"/>
      <c r="P417" s="17"/>
      <c r="Q417" s="17"/>
      <c r="R417" s="17"/>
      <c r="S417" s="17"/>
      <c r="T417" s="17"/>
      <c r="U417" s="17"/>
      <c r="V417" s="17"/>
      <c r="W417" s="17"/>
      <c r="X417" s="17"/>
      <c r="Y417" s="46" t="str">
        <f ca="1">IFERROR(VLOOKUP(A417,catalogo!$E:$G,2,0),"-")</f>
        <v>-</v>
      </c>
      <c r="Z417" s="47" t="str">
        <f ca="1">IFERROR(VLOOKUP(A417,catalogo!$E:$G,3,0),"-")</f>
        <v>-</v>
      </c>
      <c r="AA417" s="48"/>
      <c r="AB417" s="48"/>
      <c r="AC417" s="48" t="str">
        <f ca="1">IFERROR(VLOOKUP(A417,catalogo!$E:$H,4,0),"-")</f>
        <v>-</v>
      </c>
      <c r="AD417" s="48"/>
      <c r="AE417" s="48"/>
      <c r="AF417" s="48"/>
      <c r="AG417" s="48"/>
      <c r="AH417" s="48"/>
      <c r="AI417" s="48"/>
    </row>
    <row r="418" spans="1:35" ht="12.5" hidden="1">
      <c r="A418" s="37" t="s">
        <v>989</v>
      </c>
      <c r="B418" s="38" t="str">
        <f>IFERROR(VLOOKUP(J418,catalogo!$B$1:$C$70,2,0),"-")</f>
        <v>-</v>
      </c>
      <c r="C418" s="39">
        <v>46064.417361111111</v>
      </c>
      <c r="D418" s="17"/>
      <c r="E418" s="17"/>
      <c r="F418" s="17"/>
      <c r="G418" s="42">
        <v>906.2</v>
      </c>
      <c r="H418" s="42">
        <v>50</v>
      </c>
      <c r="I418" s="43" t="s">
        <v>172</v>
      </c>
      <c r="J418" s="43" t="s">
        <v>343</v>
      </c>
      <c r="K418" s="43" t="s">
        <v>990</v>
      </c>
      <c r="L418" s="44" t="s">
        <v>991</v>
      </c>
      <c r="M418" s="44" t="s">
        <v>433</v>
      </c>
      <c r="N418" s="44" t="s">
        <v>144</v>
      </c>
      <c r="O418" s="17"/>
      <c r="P418" s="17"/>
      <c r="Q418" s="17"/>
      <c r="R418" s="17"/>
      <c r="S418" s="17"/>
      <c r="T418" s="17"/>
      <c r="U418" s="17"/>
      <c r="V418" s="17"/>
      <c r="W418" s="17"/>
      <c r="X418" s="17"/>
      <c r="Y418" s="46" t="str">
        <f ca="1">IFERROR(VLOOKUP(A418,catalogo!$E:$H,2,0),"-")</f>
        <v>-</v>
      </c>
      <c r="Z418" s="47" t="str">
        <f ca="1">IFERROR(VLOOKUP(A418,catalogo!$E:$G,3,0),"-")</f>
        <v>-</v>
      </c>
      <c r="AA418" s="48"/>
      <c r="AB418" s="48"/>
      <c r="AC418" s="48" t="str">
        <f ca="1">IFERROR(VLOOKUP(A418,catalogo!$E:$H,4,0),"-")</f>
        <v>-</v>
      </c>
      <c r="AD418" s="48"/>
      <c r="AE418" s="48"/>
      <c r="AF418" s="48"/>
      <c r="AG418" s="48"/>
      <c r="AH418" s="48"/>
      <c r="AI418" s="48"/>
    </row>
    <row r="419" spans="1:35" ht="12.5" hidden="1">
      <c r="A419" s="37" t="s">
        <v>992</v>
      </c>
      <c r="B419" s="38" t="str">
        <f>IFERROR(VLOOKUP(J419,catalogo!$B$1:$C$100,2,0),"-")</f>
        <v>#75</v>
      </c>
      <c r="C419" s="39">
        <v>46064.417361111111</v>
      </c>
      <c r="D419" s="17"/>
      <c r="E419" s="17"/>
      <c r="F419" s="17"/>
      <c r="G419" s="42">
        <v>8424.73</v>
      </c>
      <c r="H419" s="42">
        <v>464.84</v>
      </c>
      <c r="I419" s="43" t="s">
        <v>172</v>
      </c>
      <c r="J419" s="43" t="s">
        <v>343</v>
      </c>
      <c r="K419" s="43" t="s">
        <v>993</v>
      </c>
      <c r="L419" s="44" t="s">
        <v>994</v>
      </c>
      <c r="M419" s="45" t="s">
        <v>433</v>
      </c>
      <c r="N419" s="44" t="s">
        <v>144</v>
      </c>
      <c r="O419" s="17"/>
      <c r="P419" s="17"/>
      <c r="Q419" s="17"/>
      <c r="R419" s="17"/>
      <c r="S419" s="17"/>
      <c r="T419" s="17"/>
      <c r="U419" s="17"/>
      <c r="V419" s="17"/>
      <c r="W419" s="17"/>
      <c r="X419" s="17"/>
      <c r="Y419" s="46" t="str">
        <f ca="1">IFERROR(VLOOKUP(A419,catalogo!$E:$H,2,0),"-")</f>
        <v>-</v>
      </c>
      <c r="Z419" s="47" t="str">
        <f ca="1">IFERROR(VLOOKUP(A419,catalogo!$E:$G,3,0),"-")</f>
        <v>-</v>
      </c>
      <c r="AA419" s="48"/>
      <c r="AB419" s="48"/>
      <c r="AC419" s="48" t="str">
        <f ca="1">IFERROR(VLOOKUP(A419,catalogo!$E:$H,4,0),"-")</f>
        <v>-</v>
      </c>
      <c r="AD419" s="48"/>
      <c r="AE419" s="48"/>
      <c r="AF419" s="48"/>
      <c r="AG419" s="48"/>
      <c r="AH419" s="48"/>
      <c r="AI419" s="48"/>
    </row>
    <row r="420" spans="1:35" ht="12.5" hidden="1">
      <c r="A420" s="37" t="s">
        <v>304</v>
      </c>
      <c r="B420" s="38" t="str">
        <f>IFERROR(VLOOKUP(J420,catalogo!$B$1:$C$75,2,0),"-")</f>
        <v>-</v>
      </c>
      <c r="C420" s="39">
        <v>46064.417361111111</v>
      </c>
      <c r="D420" s="17"/>
      <c r="E420" s="17"/>
      <c r="F420" s="17"/>
      <c r="G420" s="42">
        <v>25</v>
      </c>
      <c r="H420" s="42">
        <v>25</v>
      </c>
      <c r="I420" s="43" t="s">
        <v>156</v>
      </c>
      <c r="J420" s="43" t="s">
        <v>321</v>
      </c>
      <c r="K420" s="43" t="s">
        <v>841</v>
      </c>
      <c r="L420" s="44" t="s">
        <v>842</v>
      </c>
      <c r="M420" s="45">
        <v>3340</v>
      </c>
      <c r="N420" s="44" t="s">
        <v>167</v>
      </c>
      <c r="O420" s="17" t="s">
        <v>995</v>
      </c>
      <c r="P420" s="17"/>
      <c r="Q420" s="17"/>
      <c r="R420" s="17"/>
      <c r="S420" s="17"/>
      <c r="T420" s="17"/>
      <c r="U420" s="17"/>
      <c r="V420" s="17"/>
      <c r="W420" s="17"/>
      <c r="X420" s="17"/>
      <c r="Y420" s="46" t="str">
        <f ca="1">IFERROR(VLOOKUP(A420,catalogo!$E:$H,2,0),"-")</f>
        <v>-</v>
      </c>
      <c r="Z420" s="47" t="str">
        <f ca="1">IFERROR(VLOOKUP(A420,catalogo!$E:$G,3,0),"-")</f>
        <v>-</v>
      </c>
      <c r="AA420" s="48"/>
      <c r="AB420" s="48"/>
      <c r="AC420" s="48" t="str">
        <f ca="1">IFERROR(VLOOKUP(A420,catalogo!$E:$H,4,0),"-")</f>
        <v>-</v>
      </c>
      <c r="AD420" s="48"/>
      <c r="AE420" s="48"/>
      <c r="AF420" s="48"/>
      <c r="AG420" s="48"/>
      <c r="AH420" s="48"/>
      <c r="AI420" s="48"/>
    </row>
    <row r="421" spans="1:35" ht="12.5" hidden="1">
      <c r="A421" s="37" t="s">
        <v>996</v>
      </c>
      <c r="B421" s="38" t="str">
        <f>IFERROR(VLOOKUP(J421,catalogo!$B$1:$C$100,2,0),"-")</f>
        <v>#42</v>
      </c>
      <c r="C421" s="39">
        <v>46064.417361111111</v>
      </c>
      <c r="D421" s="17"/>
      <c r="E421" s="17"/>
      <c r="F421" s="17"/>
      <c r="G421" s="42">
        <v>109.5</v>
      </c>
      <c r="H421" s="42">
        <v>109.5</v>
      </c>
      <c r="I421" s="43" t="s">
        <v>156</v>
      </c>
      <c r="J421" s="43" t="s">
        <v>78</v>
      </c>
      <c r="K421" s="43" t="s">
        <v>997</v>
      </c>
      <c r="L421" s="44" t="s">
        <v>655</v>
      </c>
      <c r="M421" s="45">
        <v>4431</v>
      </c>
      <c r="N421" s="44" t="s">
        <v>167</v>
      </c>
      <c r="O421" s="17"/>
      <c r="P421" s="17"/>
      <c r="Q421" s="17"/>
      <c r="R421" s="17"/>
      <c r="S421" s="17"/>
      <c r="T421" s="17"/>
      <c r="U421" s="17"/>
      <c r="V421" s="17"/>
      <c r="W421" s="17"/>
      <c r="X421" s="17"/>
      <c r="Y421" s="46" t="str">
        <f ca="1">IFERROR(VLOOKUP(A421,catalogo!$E:$G,2,0),"-")</f>
        <v>-</v>
      </c>
      <c r="Z421" s="47" t="str">
        <f ca="1">IFERROR(VLOOKUP(A421,catalogo!$E:$G,3,0),"-")</f>
        <v>-</v>
      </c>
      <c r="AA421" s="48"/>
      <c r="AB421" s="48"/>
      <c r="AC421" s="48" t="str">
        <f ca="1">IFERROR(VLOOKUP(A421,catalogo!$E:$H,4,0),"-")</f>
        <v>-</v>
      </c>
      <c r="AD421" s="48"/>
      <c r="AE421" s="48"/>
      <c r="AF421" s="48"/>
      <c r="AG421" s="48"/>
      <c r="AH421" s="48"/>
      <c r="AI421" s="48"/>
    </row>
    <row r="422" spans="1:35" ht="12.5" hidden="1">
      <c r="A422" s="37" t="s">
        <v>998</v>
      </c>
      <c r="B422" s="38" t="str">
        <f>IFERROR(VLOOKUP(J422,catalogo!$B$1:$C$100,2,0),"-")</f>
        <v>#58</v>
      </c>
      <c r="C422" s="39">
        <v>46064.417361111111</v>
      </c>
      <c r="D422" s="17"/>
      <c r="E422" s="17"/>
      <c r="F422" s="17"/>
      <c r="G422" s="42">
        <v>192.5</v>
      </c>
      <c r="H422" s="42">
        <v>192.5</v>
      </c>
      <c r="I422" s="43" t="s">
        <v>156</v>
      </c>
      <c r="J422" s="43" t="s">
        <v>118</v>
      </c>
      <c r="K422" s="43" t="s">
        <v>970</v>
      </c>
      <c r="L422" s="44" t="s">
        <v>971</v>
      </c>
      <c r="M422" s="45">
        <v>5576</v>
      </c>
      <c r="N422" s="44" t="s">
        <v>167</v>
      </c>
      <c r="O422" s="17"/>
      <c r="P422" s="17"/>
      <c r="Q422" s="17"/>
      <c r="R422" s="17"/>
      <c r="S422" s="17"/>
      <c r="T422" s="17"/>
      <c r="U422" s="17"/>
      <c r="V422" s="17"/>
      <c r="W422" s="17"/>
      <c r="X422" s="17"/>
      <c r="Y422" s="46" t="str">
        <f ca="1">IFERROR(VLOOKUP(A422,catalogo!$E:$G,2,0),"-")</f>
        <v>-</v>
      </c>
      <c r="Z422" s="47" t="str">
        <f ca="1">IFERROR(VLOOKUP(A422,catalogo!$E:$G,3,0),"-")</f>
        <v>-</v>
      </c>
      <c r="AA422" s="48"/>
      <c r="AB422" s="48"/>
      <c r="AC422" s="48" t="str">
        <f ca="1">IFERROR(VLOOKUP(A422,catalogo!$E:$H,4,0),"-")</f>
        <v>-</v>
      </c>
      <c r="AD422" s="48"/>
      <c r="AE422" s="48"/>
      <c r="AF422" s="48"/>
      <c r="AG422" s="48"/>
      <c r="AH422" s="48"/>
      <c r="AI422" s="48"/>
    </row>
    <row r="423" spans="1:35" ht="15.5" hidden="1">
      <c r="A423" s="37" t="s">
        <v>999</v>
      </c>
      <c r="B423" s="38" t="str">
        <f>IFERROR(VLOOKUP(J423,catalogo!$B$1:$C$75,2,0),"-")</f>
        <v>-</v>
      </c>
      <c r="C423" s="39">
        <v>46065.416666666664</v>
      </c>
      <c r="D423" s="17"/>
      <c r="E423" s="17"/>
      <c r="F423" s="17"/>
      <c r="G423" s="42">
        <v>316.57</v>
      </c>
      <c r="H423" s="42">
        <v>316.57</v>
      </c>
      <c r="I423" s="43" t="s">
        <v>156</v>
      </c>
      <c r="J423" s="43" t="s">
        <v>187</v>
      </c>
      <c r="K423" s="43" t="s">
        <v>180</v>
      </c>
      <c r="L423" s="44" t="s">
        <v>181</v>
      </c>
      <c r="M423" s="45" t="s">
        <v>477</v>
      </c>
      <c r="N423" s="44" t="s">
        <v>144</v>
      </c>
      <c r="O423" s="49"/>
      <c r="P423" s="17"/>
      <c r="Q423" s="17"/>
      <c r="R423" s="17"/>
      <c r="S423" s="17"/>
      <c r="T423" s="17"/>
      <c r="U423" s="17"/>
      <c r="V423" s="17"/>
      <c r="W423" s="17"/>
      <c r="X423" s="17"/>
      <c r="Y423" s="46" t="str">
        <f ca="1">IFERROR(VLOOKUP(A423,catalogo!$E:$H,2,0),"-")</f>
        <v>-</v>
      </c>
      <c r="Z423" s="47" t="str">
        <f ca="1">IFERROR(VLOOKUP(A423,catalogo!$E:$G,3,0),"-")</f>
        <v>-</v>
      </c>
      <c r="AA423" s="48"/>
      <c r="AB423" s="48"/>
      <c r="AC423" s="48" t="str">
        <f ca="1">IFERROR(VLOOKUP(A423,catalogo!$E:$H,4,0),"-")</f>
        <v>-</v>
      </c>
      <c r="AD423" s="48"/>
      <c r="AE423" s="48"/>
      <c r="AF423" s="48"/>
      <c r="AG423" s="48"/>
      <c r="AH423" s="48"/>
      <c r="AI423" s="48"/>
    </row>
    <row r="424" spans="1:35" ht="15.5" hidden="1">
      <c r="A424" s="37" t="s">
        <v>1000</v>
      </c>
      <c r="B424" s="38" t="str">
        <f>IFERROR(VLOOKUP(J424,catalogo!$B$1:$C$75,2,0),"-")</f>
        <v>#42</v>
      </c>
      <c r="C424" s="39">
        <v>46065.416666666664</v>
      </c>
      <c r="D424" s="17"/>
      <c r="E424" s="17"/>
      <c r="F424" s="17"/>
      <c r="G424" s="42">
        <v>69</v>
      </c>
      <c r="H424" s="42">
        <v>69</v>
      </c>
      <c r="I424" s="43" t="s">
        <v>156</v>
      </c>
      <c r="J424" s="43" t="s">
        <v>78</v>
      </c>
      <c r="K424" s="43" t="s">
        <v>461</v>
      </c>
      <c r="L424" s="44" t="s">
        <v>462</v>
      </c>
      <c r="M424" s="45">
        <v>4431</v>
      </c>
      <c r="N424" s="44" t="s">
        <v>167</v>
      </c>
      <c r="O424" s="49"/>
      <c r="P424" s="17"/>
      <c r="Q424" s="17"/>
      <c r="R424" s="17"/>
      <c r="S424" s="17"/>
      <c r="T424" s="17"/>
      <c r="U424" s="17"/>
      <c r="V424" s="17"/>
      <c r="W424" s="17"/>
      <c r="X424" s="17"/>
      <c r="Y424" s="46" t="str">
        <f ca="1">IFERROR(VLOOKUP(A424,catalogo!$E:$H,2,0),"-")</f>
        <v>-</v>
      </c>
      <c r="Z424" s="47" t="str">
        <f ca="1">IFERROR(VLOOKUP(A424,catalogo!$E:$G,3,0),"-")</f>
        <v>-</v>
      </c>
      <c r="AA424" s="48"/>
      <c r="AB424" s="48"/>
      <c r="AC424" s="48" t="str">
        <f ca="1">IFERROR(VLOOKUP(A424,catalogo!$E:$H,4,0),"-")</f>
        <v>-</v>
      </c>
      <c r="AD424" s="48"/>
      <c r="AE424" s="48"/>
      <c r="AF424" s="48"/>
      <c r="AG424" s="48"/>
      <c r="AH424" s="48"/>
      <c r="AI424" s="48"/>
    </row>
    <row r="425" spans="1:35" ht="12.5" hidden="1">
      <c r="A425" s="37" t="s">
        <v>218</v>
      </c>
      <c r="B425" s="38" t="str">
        <f>IFERROR(VLOOKUP(J425,catalogo!$B$1:$C$75,2,0),"-")</f>
        <v>#19</v>
      </c>
      <c r="C425" s="39">
        <v>46065.416666666664</v>
      </c>
      <c r="D425" s="17"/>
      <c r="E425" s="17"/>
      <c r="F425" s="17"/>
      <c r="G425" s="42">
        <v>259.94</v>
      </c>
      <c r="H425" s="42">
        <v>259.94</v>
      </c>
      <c r="I425" s="43" t="s">
        <v>156</v>
      </c>
      <c r="J425" s="43" t="s">
        <v>105</v>
      </c>
      <c r="K425" s="43" t="s">
        <v>232</v>
      </c>
      <c r="L425" s="44" t="s">
        <v>233</v>
      </c>
      <c r="M425" s="45" t="s">
        <v>276</v>
      </c>
      <c r="N425" s="44" t="s">
        <v>144</v>
      </c>
      <c r="O425" s="17"/>
      <c r="P425" s="17"/>
      <c r="Q425" s="17"/>
      <c r="R425" s="17"/>
      <c r="S425" s="17"/>
      <c r="T425" s="17"/>
      <c r="U425" s="17"/>
      <c r="V425" s="17"/>
      <c r="W425" s="17"/>
      <c r="X425" s="17"/>
      <c r="Y425" s="46" t="str">
        <f ca="1">IFERROR(VLOOKUP(A425,catalogo!$E:$H,2,0),"-")</f>
        <v>Sales</v>
      </c>
      <c r="Z425" s="47" t="str">
        <f ca="1">IFERROR(VLOOKUP(A425,catalogo!$E:$G,3,0),"-")</f>
        <v>Vuelo a chicago Radioflyer</v>
      </c>
      <c r="AA425" s="48"/>
      <c r="AB425" s="48"/>
      <c r="AC425" s="48" t="str">
        <f ca="1">IFERROR(VLOOKUP(A425,catalogo!$E:$H,4,0),"-")</f>
        <v>.</v>
      </c>
      <c r="AD425" s="48"/>
      <c r="AE425" s="48"/>
      <c r="AF425" s="48"/>
      <c r="AG425" s="48"/>
      <c r="AH425" s="48"/>
      <c r="AI425" s="48"/>
    </row>
    <row r="426" spans="1:35" ht="12.5" hidden="1">
      <c r="A426" s="37" t="s">
        <v>1001</v>
      </c>
      <c r="B426" s="38" t="str">
        <f>IFERROR(VLOOKUP(J426,catalogo!$B$1:$C$100,2,0),"-")</f>
        <v>#40</v>
      </c>
      <c r="C426" s="39">
        <v>46065.416666666664</v>
      </c>
      <c r="D426" s="17"/>
      <c r="E426" s="17"/>
      <c r="F426" s="17"/>
      <c r="G426" s="42">
        <v>650</v>
      </c>
      <c r="H426" s="42">
        <v>650</v>
      </c>
      <c r="I426" s="43" t="s">
        <v>156</v>
      </c>
      <c r="J426" s="43" t="s">
        <v>136</v>
      </c>
      <c r="K426" s="43" t="s">
        <v>1002</v>
      </c>
      <c r="L426" s="44" t="s">
        <v>1003</v>
      </c>
      <c r="M426" s="45">
        <v>7740</v>
      </c>
      <c r="N426" s="44" t="s">
        <v>167</v>
      </c>
      <c r="O426" s="17"/>
      <c r="P426" s="17"/>
      <c r="Q426" s="17"/>
      <c r="R426" s="17"/>
      <c r="S426" s="17"/>
      <c r="T426" s="17"/>
      <c r="U426" s="17"/>
      <c r="V426" s="17"/>
      <c r="W426" s="17"/>
      <c r="X426" s="17"/>
      <c r="Y426" s="46" t="str">
        <f ca="1">IFERROR(VLOOKUP(A426,catalogo!$E:$H,2,0),"-")</f>
        <v>-</v>
      </c>
      <c r="Z426" s="47" t="str">
        <f ca="1">IFERROR(VLOOKUP(A426,catalogo!$E:$G,3,0),"-")</f>
        <v>-</v>
      </c>
      <c r="AA426" s="48"/>
      <c r="AB426" s="48"/>
      <c r="AC426" s="48" t="str">
        <f ca="1">IFERROR(VLOOKUP(A426,catalogo!$E:$H,4,0),"-")</f>
        <v>-</v>
      </c>
      <c r="AD426" s="48"/>
      <c r="AE426" s="48"/>
      <c r="AF426" s="48"/>
      <c r="AG426" s="48"/>
      <c r="AH426" s="48"/>
      <c r="AI426" s="48"/>
    </row>
    <row r="427" spans="1:35" ht="15.5" hidden="1">
      <c r="A427" s="37" t="s">
        <v>1004</v>
      </c>
      <c r="B427" s="38" t="str">
        <f>IFERROR(VLOOKUP(J427,catalogo!$B$1:$C$100,2,0),"-")</f>
        <v>#19</v>
      </c>
      <c r="C427" s="39">
        <v>46065.416666666664</v>
      </c>
      <c r="D427" s="17"/>
      <c r="E427" s="17"/>
      <c r="F427" s="17"/>
      <c r="G427" s="42">
        <v>458.24</v>
      </c>
      <c r="H427" s="42">
        <v>458.24</v>
      </c>
      <c r="I427" s="43" t="s">
        <v>156</v>
      </c>
      <c r="J427" s="43" t="s">
        <v>105</v>
      </c>
      <c r="K427" s="43" t="s">
        <v>180</v>
      </c>
      <c r="L427" s="44" t="s">
        <v>181</v>
      </c>
      <c r="M427" s="44" t="s">
        <v>276</v>
      </c>
      <c r="N427" s="44" t="s">
        <v>144</v>
      </c>
      <c r="O427" s="49"/>
      <c r="P427" s="17"/>
      <c r="Q427" s="17"/>
      <c r="R427" s="17"/>
      <c r="S427" s="17"/>
      <c r="T427" s="17"/>
      <c r="U427" s="17"/>
      <c r="V427" s="17"/>
      <c r="W427" s="17"/>
      <c r="X427" s="17"/>
      <c r="Y427" s="46" t="str">
        <f ca="1">IFERROR(VLOOKUP(A427,catalogo!$E:$H,2,0),"-")</f>
        <v>Transaction cost</v>
      </c>
      <c r="Z427" s="47" t="str">
        <f ca="1">IFERROR(VLOOKUP(A427,catalogo!$E:$G,3,0),"-")</f>
        <v>PO1953  ARTEVALLEDEBRAVO</v>
      </c>
      <c r="AA427" s="48"/>
      <c r="AB427" s="48"/>
      <c r="AC427" s="48" t="str">
        <f ca="1">IFERROR(VLOOKUP(A427,catalogo!$E:$H,4,0),"-")</f>
        <v>-</v>
      </c>
      <c r="AD427" s="48"/>
      <c r="AE427" s="48"/>
      <c r="AF427" s="48"/>
      <c r="AG427" s="48"/>
      <c r="AH427" s="48"/>
      <c r="AI427" s="48"/>
    </row>
    <row r="428" spans="1:35" ht="12.5" hidden="1">
      <c r="A428" s="37" t="s">
        <v>1005</v>
      </c>
      <c r="B428" s="38" t="str">
        <f>IFERROR(VLOOKUP(J428,catalogo!$B$1:$C$70,2,0),"-")</f>
        <v>#41</v>
      </c>
      <c r="C428" s="39">
        <v>46065.416666666664</v>
      </c>
      <c r="D428" s="17"/>
      <c r="E428" s="17"/>
      <c r="F428" s="17"/>
      <c r="G428" s="42">
        <v>1336</v>
      </c>
      <c r="H428" s="42">
        <v>1336</v>
      </c>
      <c r="I428" s="43" t="s">
        <v>156</v>
      </c>
      <c r="J428" s="43" t="s">
        <v>68</v>
      </c>
      <c r="K428" s="43" t="s">
        <v>1006</v>
      </c>
      <c r="L428" s="44" t="s">
        <v>1007</v>
      </c>
      <c r="M428" s="44">
        <v>4217</v>
      </c>
      <c r="N428" s="44" t="s">
        <v>167</v>
      </c>
      <c r="O428" s="17"/>
      <c r="P428" s="17"/>
      <c r="Q428" s="17"/>
      <c r="R428" s="17"/>
      <c r="S428" s="17"/>
      <c r="T428" s="17"/>
      <c r="U428" s="17"/>
      <c r="V428" s="17"/>
      <c r="W428" s="17"/>
      <c r="X428" s="17"/>
      <c r="Y428" s="46" t="str">
        <f ca="1">IFERROR(VLOOKUP(A428,catalogo!$E:$G,2,0),"-")</f>
        <v>-</v>
      </c>
      <c r="Z428" s="47" t="str">
        <f ca="1">IFERROR(VLOOKUP(A428,catalogo!$E:$G,3,0),"-")</f>
        <v>-</v>
      </c>
      <c r="AA428" s="48"/>
      <c r="AB428" s="48"/>
      <c r="AC428" s="48" t="str">
        <f ca="1">IFERROR(VLOOKUP(A428,catalogo!$E:$H,4,0),"-")</f>
        <v>-</v>
      </c>
      <c r="AD428" s="48"/>
      <c r="AE428" s="48"/>
      <c r="AF428" s="48"/>
      <c r="AG428" s="48"/>
      <c r="AH428" s="48"/>
      <c r="AI428" s="48"/>
    </row>
    <row r="429" spans="1:35" ht="15.5" hidden="1">
      <c r="A429" s="37" t="s">
        <v>1008</v>
      </c>
      <c r="B429" s="38" t="str">
        <f>IFERROR(VLOOKUP(J429,catalogo!$B$1:$C$75,2,0),"-")</f>
        <v>#16</v>
      </c>
      <c r="C429" s="39">
        <v>46065.416666666664</v>
      </c>
      <c r="D429" s="17"/>
      <c r="E429" s="17"/>
      <c r="F429" s="17"/>
      <c r="G429" s="42">
        <v>179</v>
      </c>
      <c r="H429" s="42">
        <v>179</v>
      </c>
      <c r="I429" s="43" t="s">
        <v>156</v>
      </c>
      <c r="J429" s="43" t="s">
        <v>85</v>
      </c>
      <c r="K429" s="43" t="s">
        <v>454</v>
      </c>
      <c r="L429" s="44" t="s">
        <v>455</v>
      </c>
      <c r="M429" s="45" t="s">
        <v>143</v>
      </c>
      <c r="N429" s="44" t="s">
        <v>144</v>
      </c>
      <c r="O429" s="49"/>
      <c r="P429" s="17"/>
      <c r="Q429" s="17"/>
      <c r="R429" s="17"/>
      <c r="S429" s="17"/>
      <c r="T429" s="17"/>
      <c r="U429" s="17"/>
      <c r="V429" s="17"/>
      <c r="W429" s="17"/>
      <c r="X429" s="17"/>
      <c r="Y429" s="46" t="str">
        <f ca="1">IFERROR(VLOOKUP(A429,catalogo!$E:$H,2,0),"-")</f>
        <v>Office expenses</v>
      </c>
      <c r="Z429" s="47">
        <f ca="1">IFERROR(VLOOKUP(A429,catalogo!$E:$G,3,0),"-")</f>
        <v>0</v>
      </c>
      <c r="AA429" s="48"/>
      <c r="AB429" s="48"/>
      <c r="AC429" s="48">
        <f ca="1">IFERROR(VLOOKUP(A429,catalogo!$E:$H,4,0),"-")</f>
        <v>0</v>
      </c>
      <c r="AD429" s="48"/>
      <c r="AE429" s="48"/>
      <c r="AF429" s="48"/>
      <c r="AG429" s="48"/>
      <c r="AH429" s="48"/>
      <c r="AI429" s="48"/>
    </row>
    <row r="430" spans="1:35" ht="15.5" hidden="1">
      <c r="A430" s="37" t="s">
        <v>1009</v>
      </c>
      <c r="B430" s="38" t="str">
        <f>IFERROR(VLOOKUP(J430,catalogo!$B$1:$C$100,2,0),"-")</f>
        <v>#56</v>
      </c>
      <c r="C430" s="39">
        <v>46065.416666666664</v>
      </c>
      <c r="D430" s="17"/>
      <c r="E430" s="17"/>
      <c r="F430" s="17"/>
      <c r="G430" s="42">
        <v>309.93</v>
      </c>
      <c r="H430" s="42">
        <v>309.93</v>
      </c>
      <c r="I430" s="43" t="s">
        <v>156</v>
      </c>
      <c r="J430" s="43" t="s">
        <v>99</v>
      </c>
      <c r="K430" s="43" t="s">
        <v>232</v>
      </c>
      <c r="L430" s="44" t="s">
        <v>233</v>
      </c>
      <c r="M430" s="44">
        <v>8949</v>
      </c>
      <c r="N430" s="44" t="s">
        <v>167</v>
      </c>
      <c r="O430" s="49"/>
      <c r="P430" s="17"/>
      <c r="Q430" s="17"/>
      <c r="R430" s="17"/>
      <c r="S430" s="17"/>
      <c r="T430" s="17"/>
      <c r="U430" s="17"/>
      <c r="V430" s="17"/>
      <c r="W430" s="17"/>
      <c r="X430" s="17"/>
      <c r="Y430" s="46" t="str">
        <f ca="1">IFERROR(VLOOKUP(A430,catalogo!$E:$H,2,0),"-")</f>
        <v>-</v>
      </c>
      <c r="Z430" s="47" t="str">
        <f ca="1">IFERROR(VLOOKUP(A430,catalogo!$E:$G,3,0),"-")</f>
        <v>-</v>
      </c>
      <c r="AA430" s="48"/>
      <c r="AB430" s="48"/>
      <c r="AC430" s="48" t="str">
        <f ca="1">IFERROR(VLOOKUP(A430,catalogo!$E:$H,4,0),"-")</f>
        <v>-</v>
      </c>
      <c r="AD430" s="48"/>
      <c r="AE430" s="48"/>
      <c r="AF430" s="48"/>
      <c r="AG430" s="48"/>
      <c r="AH430" s="48"/>
      <c r="AI430" s="48"/>
    </row>
    <row r="431" spans="1:35" ht="12.5" hidden="1">
      <c r="A431" s="37" t="s">
        <v>1010</v>
      </c>
      <c r="B431" s="38" t="str">
        <f>IFERROR(VLOOKUP(J431,catalogo!$B$1:$C$70,2,0),"-")</f>
        <v>#58</v>
      </c>
      <c r="C431" s="39">
        <v>46065.416666666664</v>
      </c>
      <c r="D431" s="17"/>
      <c r="E431" s="17"/>
      <c r="F431" s="17"/>
      <c r="G431" s="42">
        <v>213</v>
      </c>
      <c r="H431" s="42">
        <v>213</v>
      </c>
      <c r="I431" s="43" t="s">
        <v>156</v>
      </c>
      <c r="J431" s="43" t="s">
        <v>118</v>
      </c>
      <c r="K431" s="43" t="s">
        <v>1011</v>
      </c>
      <c r="L431" s="44" t="s">
        <v>1012</v>
      </c>
      <c r="M431" s="44">
        <v>5576</v>
      </c>
      <c r="N431" s="44" t="s">
        <v>167</v>
      </c>
      <c r="O431" s="17"/>
      <c r="P431" s="17"/>
      <c r="Q431" s="17"/>
      <c r="R431" s="17"/>
      <c r="S431" s="17"/>
      <c r="T431" s="17"/>
      <c r="U431" s="17"/>
      <c r="V431" s="17"/>
      <c r="W431" s="17"/>
      <c r="X431" s="17"/>
      <c r="Y431" s="46" t="str">
        <f ca="1">IFERROR(VLOOKUP(A431,catalogo!$E:$G,2,0),"-")</f>
        <v>-</v>
      </c>
      <c r="Z431" s="47" t="str">
        <f ca="1">IFERROR(VLOOKUP(A431,catalogo!$E:$G,3,0),"-")</f>
        <v>-</v>
      </c>
      <c r="AA431" s="48"/>
      <c r="AB431" s="48"/>
      <c r="AC431" s="48" t="str">
        <f ca="1">IFERROR(VLOOKUP(A431,catalogo!$E:$H,4,0),"-")</f>
        <v>-</v>
      </c>
      <c r="AD431" s="48"/>
      <c r="AE431" s="48"/>
      <c r="AF431" s="48"/>
      <c r="AG431" s="48"/>
      <c r="AH431" s="48"/>
      <c r="AI431" s="48"/>
    </row>
    <row r="432" spans="1:35" ht="12.5" hidden="1">
      <c r="A432" s="37" t="s">
        <v>1013</v>
      </c>
      <c r="B432" s="38" t="str">
        <f>IFERROR(VLOOKUP(J432,catalogo!$B$1:$C$70,2,0),"-")</f>
        <v>-</v>
      </c>
      <c r="C432" s="39">
        <v>46065.416666666664</v>
      </c>
      <c r="D432" s="17"/>
      <c r="E432" s="17"/>
      <c r="F432" s="17"/>
      <c r="G432" s="42">
        <v>499.4</v>
      </c>
      <c r="H432" s="42">
        <v>499.4</v>
      </c>
      <c r="I432" s="43" t="s">
        <v>156</v>
      </c>
      <c r="J432" s="43" t="s">
        <v>269</v>
      </c>
      <c r="K432" s="43" t="s">
        <v>1014</v>
      </c>
      <c r="L432" s="44" t="s">
        <v>1015</v>
      </c>
      <c r="M432" s="45">
        <v>6130</v>
      </c>
      <c r="N432" s="44" t="s">
        <v>167</v>
      </c>
      <c r="O432" s="17"/>
      <c r="P432" s="17"/>
      <c r="Q432" s="17"/>
      <c r="R432" s="17"/>
      <c r="S432" s="17"/>
      <c r="T432" s="17"/>
      <c r="U432" s="17"/>
      <c r="V432" s="17"/>
      <c r="W432" s="17"/>
      <c r="X432" s="17"/>
      <c r="Y432" s="46" t="str">
        <f ca="1">IFERROR(VLOOKUP(A432,catalogo!$E:$G,2,0),"-")</f>
        <v>-</v>
      </c>
      <c r="Z432" s="47" t="str">
        <f ca="1">IFERROR(VLOOKUP(A432,catalogo!$E:$G,3,0),"-")</f>
        <v>-</v>
      </c>
      <c r="AA432" s="48"/>
      <c r="AB432" s="48"/>
      <c r="AC432" s="48" t="str">
        <f ca="1">IFERROR(VLOOKUP(A432,catalogo!$E:$H,4,0),"-")</f>
        <v>-</v>
      </c>
      <c r="AD432" s="48"/>
      <c r="AE432" s="48"/>
      <c r="AF432" s="48"/>
      <c r="AG432" s="48"/>
      <c r="AH432" s="48"/>
      <c r="AI432" s="48"/>
    </row>
    <row r="433" spans="1:35" ht="15.5" hidden="1">
      <c r="A433" s="37" t="s">
        <v>1016</v>
      </c>
      <c r="B433" s="38" t="str">
        <f>IFERROR(VLOOKUP(J433,catalogo!$B$1:$C$75,2,0),"-")</f>
        <v>#16</v>
      </c>
      <c r="C433" s="39">
        <v>46065.416666666664</v>
      </c>
      <c r="D433" s="17"/>
      <c r="E433" s="17"/>
      <c r="F433" s="17"/>
      <c r="G433" s="42">
        <v>939.94</v>
      </c>
      <c r="H433" s="42">
        <v>939.94</v>
      </c>
      <c r="I433" s="43" t="s">
        <v>156</v>
      </c>
      <c r="J433" s="43" t="s">
        <v>85</v>
      </c>
      <c r="K433" s="43" t="s">
        <v>454</v>
      </c>
      <c r="L433" s="44" t="s">
        <v>455</v>
      </c>
      <c r="M433" s="45" t="s">
        <v>143</v>
      </c>
      <c r="N433" s="44" t="s">
        <v>144</v>
      </c>
      <c r="O433" s="49"/>
      <c r="P433" s="17"/>
      <c r="Q433" s="17"/>
      <c r="R433" s="17"/>
      <c r="S433" s="17"/>
      <c r="T433" s="17"/>
      <c r="U433" s="17"/>
      <c r="V433" s="17"/>
      <c r="W433" s="17"/>
      <c r="X433" s="17"/>
      <c r="Y433" s="46" t="str">
        <f ca="1">IFERROR(VLOOKUP(A433,catalogo!$E:$H,2,0),"-")</f>
        <v>G&amp;A expenses</v>
      </c>
      <c r="Z433" s="47">
        <f ca="1">IFERROR(VLOOKUP(A433,catalogo!$E:$G,3,0),"-")</f>
        <v>0</v>
      </c>
      <c r="AA433" s="48"/>
      <c r="AB433" s="48"/>
      <c r="AC433" s="48">
        <f ca="1">IFERROR(VLOOKUP(A433,catalogo!$E:$H,4,0),"-")</f>
        <v>0</v>
      </c>
      <c r="AD433" s="48"/>
      <c r="AE433" s="48"/>
      <c r="AF433" s="48"/>
      <c r="AG433" s="48"/>
      <c r="AH433" s="48"/>
      <c r="AI433" s="48"/>
    </row>
    <row r="434" spans="1:35" ht="12.5" hidden="1">
      <c r="A434" s="37" t="s">
        <v>252</v>
      </c>
      <c r="B434" s="38" t="str">
        <f>IFERROR(VLOOKUP(J434,catalogo!$B$1:$C$75,2,0),"-")</f>
        <v>#64</v>
      </c>
      <c r="C434" s="39">
        <v>46065.416666666664</v>
      </c>
      <c r="D434" s="17"/>
      <c r="E434" s="17"/>
      <c r="F434" s="17"/>
      <c r="G434" s="42">
        <v>338.46</v>
      </c>
      <c r="H434" s="42">
        <v>338.46</v>
      </c>
      <c r="I434" s="43" t="s">
        <v>156</v>
      </c>
      <c r="J434" s="43" t="s">
        <v>139</v>
      </c>
      <c r="K434" s="43" t="s">
        <v>180</v>
      </c>
      <c r="L434" s="44" t="s">
        <v>181</v>
      </c>
      <c r="M434" s="45">
        <v>7142</v>
      </c>
      <c r="N434" s="44" t="s">
        <v>167</v>
      </c>
      <c r="O434" s="17"/>
      <c r="P434" s="17"/>
      <c r="Q434" s="17"/>
      <c r="R434" s="17"/>
      <c r="S434" s="17"/>
      <c r="T434" s="17"/>
      <c r="U434" s="17"/>
      <c r="V434" s="17"/>
      <c r="W434" s="17"/>
      <c r="X434" s="17"/>
      <c r="Y434" s="46" t="str">
        <f ca="1">IFERROR(VLOOKUP(A434,catalogo!$E:$H,2,0),"-")</f>
        <v>-</v>
      </c>
      <c r="Z434" s="47" t="str">
        <f ca="1">IFERROR(VLOOKUP(A434,catalogo!$E:$G,3,0),"-")</f>
        <v>-</v>
      </c>
      <c r="AA434" s="48"/>
      <c r="AB434" s="48"/>
      <c r="AC434" s="48" t="str">
        <f ca="1">IFERROR(VLOOKUP(A434,catalogo!$E:$H,4,0),"-")</f>
        <v>-</v>
      </c>
      <c r="AD434" s="48"/>
      <c r="AE434" s="48"/>
      <c r="AF434" s="48"/>
      <c r="AG434" s="48"/>
      <c r="AH434" s="48"/>
      <c r="AI434" s="48"/>
    </row>
    <row r="435" spans="1:35" ht="12.5" hidden="1">
      <c r="A435" s="37" t="s">
        <v>1017</v>
      </c>
      <c r="B435" s="38" t="str">
        <f>IFERROR(VLOOKUP(J435,catalogo!$B$1:$C$80,2,0),"-")</f>
        <v>#16</v>
      </c>
      <c r="C435" s="39">
        <v>46065.416666666664</v>
      </c>
      <c r="D435" s="17"/>
      <c r="E435" s="17"/>
      <c r="F435" s="17"/>
      <c r="G435" s="42">
        <v>499.72</v>
      </c>
      <c r="H435" s="42">
        <v>499.72</v>
      </c>
      <c r="I435" s="43" t="s">
        <v>156</v>
      </c>
      <c r="J435" s="43" t="s">
        <v>85</v>
      </c>
      <c r="K435" s="43" t="s">
        <v>454</v>
      </c>
      <c r="L435" s="44" t="s">
        <v>455</v>
      </c>
      <c r="M435" s="44" t="s">
        <v>143</v>
      </c>
      <c r="N435" s="44" t="s">
        <v>144</v>
      </c>
      <c r="O435" s="17"/>
      <c r="P435" s="17"/>
      <c r="Q435" s="17"/>
      <c r="R435" s="17"/>
      <c r="S435" s="17"/>
      <c r="T435" s="17"/>
      <c r="U435" s="17"/>
      <c r="V435" s="17"/>
      <c r="W435" s="17"/>
      <c r="X435" s="17"/>
      <c r="Y435" s="46" t="str">
        <f ca="1">IFERROR(VLOOKUP(A435,catalogo!$E:$G,2,0),"-")</f>
        <v>Tech&amp;Product</v>
      </c>
      <c r="Z435" s="47">
        <f ca="1">IFERROR(VLOOKUP(A435,catalogo!$E:$G,3,0),"-")</f>
        <v>0</v>
      </c>
      <c r="AA435" s="48"/>
      <c r="AB435" s="48"/>
      <c r="AC435" s="48">
        <f ca="1">IFERROR(VLOOKUP(A435,catalogo!$E:$H,4,0),"-")</f>
        <v>0</v>
      </c>
      <c r="AD435" s="48"/>
      <c r="AE435" s="48"/>
      <c r="AF435" s="48"/>
      <c r="AG435" s="48"/>
      <c r="AH435" s="48"/>
      <c r="AI435" s="48"/>
    </row>
    <row r="436" spans="1:35" ht="15.5" hidden="1">
      <c r="A436" s="37" t="s">
        <v>1018</v>
      </c>
      <c r="B436" s="38" t="str">
        <f>IFERROR(VLOOKUP(J436,catalogo!$B$1:$C$100,2,0),"-")</f>
        <v>#74</v>
      </c>
      <c r="C436" s="39">
        <v>46065.416666666664</v>
      </c>
      <c r="D436" s="17"/>
      <c r="E436" s="17"/>
      <c r="F436" s="17"/>
      <c r="G436" s="42">
        <v>149.94999999999999</v>
      </c>
      <c r="H436" s="42">
        <v>149.94999999999999</v>
      </c>
      <c r="I436" s="43" t="s">
        <v>156</v>
      </c>
      <c r="J436" s="43" t="s">
        <v>286</v>
      </c>
      <c r="K436" s="43" t="s">
        <v>232</v>
      </c>
      <c r="L436" s="44" t="s">
        <v>233</v>
      </c>
      <c r="M436" s="45">
        <v>5481</v>
      </c>
      <c r="N436" s="44" t="s">
        <v>167</v>
      </c>
      <c r="O436" s="49"/>
      <c r="P436" s="17"/>
      <c r="Q436" s="17"/>
      <c r="R436" s="17"/>
      <c r="S436" s="17"/>
      <c r="T436" s="17"/>
      <c r="U436" s="17"/>
      <c r="V436" s="17"/>
      <c r="W436" s="17"/>
      <c r="X436" s="17"/>
      <c r="Y436" s="46" t="str">
        <f ca="1">IFERROR(VLOOKUP(A436,catalogo!$E:$H,2,0),"-")</f>
        <v>-</v>
      </c>
      <c r="Z436" s="47" t="str">
        <f ca="1">IFERROR(VLOOKUP(A436,catalogo!$E:$G,3,0),"-")</f>
        <v>-</v>
      </c>
      <c r="AA436" s="48"/>
      <c r="AB436" s="48"/>
      <c r="AC436" s="48" t="str">
        <f ca="1">IFERROR(VLOOKUP(A436,catalogo!$E:$H,4,0),"-")</f>
        <v>-</v>
      </c>
      <c r="AD436" s="48"/>
      <c r="AE436" s="48"/>
      <c r="AF436" s="48"/>
      <c r="AG436" s="48"/>
      <c r="AH436" s="48"/>
      <c r="AI436" s="48"/>
    </row>
    <row r="437" spans="1:35" ht="15.5" hidden="1">
      <c r="A437" s="37" t="s">
        <v>1019</v>
      </c>
      <c r="B437" s="38" t="str">
        <f>IFERROR(VLOOKUP(J437,catalogo!$B$1:$C$75,2,0),"-")</f>
        <v>#69</v>
      </c>
      <c r="C437" s="39">
        <v>46065.416666666664</v>
      </c>
      <c r="D437" s="17"/>
      <c r="E437" s="17"/>
      <c r="F437" s="17"/>
      <c r="G437" s="42">
        <v>315.18</v>
      </c>
      <c r="H437" s="42">
        <v>315.18</v>
      </c>
      <c r="I437" s="43" t="s">
        <v>156</v>
      </c>
      <c r="J437" s="43" t="s">
        <v>110</v>
      </c>
      <c r="K437" s="43" t="s">
        <v>284</v>
      </c>
      <c r="L437" s="44" t="s">
        <v>233</v>
      </c>
      <c r="M437" s="44" t="s">
        <v>464</v>
      </c>
      <c r="N437" s="44" t="s">
        <v>144</v>
      </c>
      <c r="O437" s="49"/>
      <c r="P437" s="17"/>
      <c r="Q437" s="17"/>
      <c r="R437" s="17"/>
      <c r="S437" s="17"/>
      <c r="T437" s="17"/>
      <c r="U437" s="17"/>
      <c r="V437" s="17"/>
      <c r="W437" s="17"/>
      <c r="X437" s="17"/>
      <c r="Y437" s="46" t="str">
        <f ca="1">IFERROR(VLOOKUP(A437,catalogo!$E:$H,2,0),"-")</f>
        <v>-</v>
      </c>
      <c r="Z437" s="47" t="str">
        <f ca="1">IFERROR(VLOOKUP(A437,catalogo!$E:$G,3,0),"-")</f>
        <v>-</v>
      </c>
      <c r="AA437" s="48"/>
      <c r="AB437" s="48"/>
      <c r="AC437" s="48" t="str">
        <f ca="1">IFERROR(VLOOKUP(A437,catalogo!$E:$H,4,0),"-")</f>
        <v>-</v>
      </c>
      <c r="AD437" s="48"/>
      <c r="AE437" s="48"/>
      <c r="AF437" s="48"/>
      <c r="AG437" s="48"/>
      <c r="AH437" s="48"/>
      <c r="AI437" s="48"/>
    </row>
    <row r="438" spans="1:35" ht="15.5" hidden="1">
      <c r="A438" s="37" t="s">
        <v>1020</v>
      </c>
      <c r="B438" s="38" t="str">
        <f>IFERROR(VLOOKUP(J438,catalogo!$B$1:$C$75,2,0),"-")</f>
        <v>#16</v>
      </c>
      <c r="C438" s="39">
        <v>46065.416666666664</v>
      </c>
      <c r="D438" s="17"/>
      <c r="E438" s="17"/>
      <c r="F438" s="17"/>
      <c r="G438" s="42">
        <v>299.99</v>
      </c>
      <c r="H438" s="42">
        <v>299.99</v>
      </c>
      <c r="I438" s="43" t="s">
        <v>156</v>
      </c>
      <c r="J438" s="43" t="s">
        <v>85</v>
      </c>
      <c r="K438" s="43" t="s">
        <v>454</v>
      </c>
      <c r="L438" s="44" t="s">
        <v>455</v>
      </c>
      <c r="M438" s="45" t="s">
        <v>143</v>
      </c>
      <c r="N438" s="44" t="s">
        <v>144</v>
      </c>
      <c r="O438" s="49"/>
      <c r="P438" s="17"/>
      <c r="Q438" s="17"/>
      <c r="R438" s="17"/>
      <c r="S438" s="17"/>
      <c r="T438" s="17"/>
      <c r="U438" s="17"/>
      <c r="V438" s="17"/>
      <c r="W438" s="17"/>
      <c r="X438" s="17"/>
      <c r="Y438" s="46" t="str">
        <f ca="1">IFERROR(VLOOKUP(A438,catalogo!$E:$H,2,0),"-")</f>
        <v>Office expenses</v>
      </c>
      <c r="Z438" s="47">
        <f ca="1">IFERROR(VLOOKUP(A438,catalogo!$E:$G,3,0),"-")</f>
        <v>0</v>
      </c>
      <c r="AA438" s="48"/>
      <c r="AB438" s="48"/>
      <c r="AC438" s="48">
        <f ca="1">IFERROR(VLOOKUP(A438,catalogo!$E:$H,4,0),"-")</f>
        <v>0</v>
      </c>
      <c r="AD438" s="48"/>
      <c r="AE438" s="48"/>
      <c r="AF438" s="48"/>
      <c r="AG438" s="48"/>
      <c r="AH438" s="48"/>
      <c r="AI438" s="48"/>
    </row>
    <row r="439" spans="1:35" ht="15.5" hidden="1">
      <c r="A439" s="37" t="s">
        <v>1021</v>
      </c>
      <c r="B439" s="38" t="str">
        <f>IFERROR(VLOOKUP(J439,catalogo!$B$1:$C$75,2,0),"-")</f>
        <v>-</v>
      </c>
      <c r="C439" s="39">
        <v>46065.416666666664</v>
      </c>
      <c r="D439" s="17"/>
      <c r="E439" s="17"/>
      <c r="F439" s="17"/>
      <c r="G439" s="42">
        <v>489.98</v>
      </c>
      <c r="H439" s="42">
        <v>489.98</v>
      </c>
      <c r="I439" s="43" t="s">
        <v>156</v>
      </c>
      <c r="J439" s="43" t="s">
        <v>269</v>
      </c>
      <c r="K439" s="43" t="s">
        <v>232</v>
      </c>
      <c r="L439" s="44" t="s">
        <v>233</v>
      </c>
      <c r="M439" s="44" t="s">
        <v>270</v>
      </c>
      <c r="N439" s="44" t="s">
        <v>144</v>
      </c>
      <c r="O439" s="49"/>
      <c r="P439" s="17"/>
      <c r="Q439" s="17"/>
      <c r="R439" s="17"/>
      <c r="S439" s="17"/>
      <c r="T439" s="17"/>
      <c r="U439" s="17"/>
      <c r="V439" s="17"/>
      <c r="W439" s="17"/>
      <c r="X439" s="17"/>
      <c r="Y439" s="46" t="str">
        <f ca="1">IFERROR(VLOOKUP(A439,catalogo!$E:$H,2,0),"-")</f>
        <v>-</v>
      </c>
      <c r="Z439" s="47" t="str">
        <f ca="1">IFERROR(VLOOKUP(A439,catalogo!$E:$G,3,0),"-")</f>
        <v>-</v>
      </c>
      <c r="AA439" s="48"/>
      <c r="AB439" s="48"/>
      <c r="AC439" s="48" t="str">
        <f ca="1">IFERROR(VLOOKUP(A439,catalogo!$E:$H,4,0),"-")</f>
        <v>-</v>
      </c>
      <c r="AD439" s="48"/>
      <c r="AE439" s="48"/>
      <c r="AF439" s="48"/>
      <c r="AG439" s="48"/>
      <c r="AH439" s="48"/>
      <c r="AI439" s="48"/>
    </row>
    <row r="440" spans="1:35" ht="12.5" hidden="1">
      <c r="A440" s="37" t="s">
        <v>1022</v>
      </c>
      <c r="B440" s="38" t="str">
        <f>IFERROR(VLOOKUP(J440,catalogo!$B$1:$C$80,2,0),"-")</f>
        <v>-</v>
      </c>
      <c r="C440" s="39">
        <v>46065.416666666664</v>
      </c>
      <c r="D440" s="40"/>
      <c r="E440" s="41"/>
      <c r="F440" s="41"/>
      <c r="G440" s="42">
        <v>1915.9</v>
      </c>
      <c r="H440" s="42">
        <v>1915.9</v>
      </c>
      <c r="I440" s="43" t="s">
        <v>156</v>
      </c>
      <c r="J440" s="43" t="s">
        <v>493</v>
      </c>
      <c r="K440" s="43" t="s">
        <v>1023</v>
      </c>
      <c r="L440" s="44" t="s">
        <v>1024</v>
      </c>
      <c r="M440" s="45">
        <v>4682</v>
      </c>
      <c r="N440" s="44" t="s">
        <v>167</v>
      </c>
      <c r="O440" s="41"/>
      <c r="P440" s="41"/>
      <c r="Q440" s="51"/>
      <c r="R440" s="41"/>
      <c r="S440" s="41"/>
      <c r="T440" s="41"/>
      <c r="U440" s="41"/>
      <c r="V440" s="41"/>
      <c r="W440" s="41"/>
      <c r="X440" s="41"/>
      <c r="Y440" s="46" t="str">
        <f ca="1">IFERROR(VLOOKUP(A440,catalogo!$E:$H,2,0),"-")</f>
        <v>-</v>
      </c>
      <c r="Z440" s="47" t="str">
        <f ca="1">IFERROR(VLOOKUP(A440,catalogo!$E:$G,3,0),"-")</f>
        <v>-</v>
      </c>
      <c r="AA440" s="48"/>
      <c r="AB440" s="48"/>
      <c r="AC440" s="48" t="str">
        <f ca="1">IFERROR(VLOOKUP(A440,catalogo!$E:$H,4,0),"-")</f>
        <v>-</v>
      </c>
      <c r="AD440" s="48"/>
      <c r="AE440" s="48"/>
      <c r="AF440" s="48"/>
      <c r="AG440" s="48"/>
      <c r="AH440" s="48"/>
      <c r="AI440" s="48"/>
    </row>
    <row r="441" spans="1:35" ht="12.5" hidden="1">
      <c r="A441" s="37" t="s">
        <v>1025</v>
      </c>
      <c r="B441" s="38" t="str">
        <f>IFERROR(VLOOKUP(J441,catalogo!$B$1:$C$100,2,0),"-")</f>
        <v>#30</v>
      </c>
      <c r="C441" s="39">
        <v>46065.416666666664</v>
      </c>
      <c r="D441" s="40"/>
      <c r="E441" s="41"/>
      <c r="F441" s="41"/>
      <c r="G441" s="42">
        <v>300</v>
      </c>
      <c r="H441" s="42">
        <v>300</v>
      </c>
      <c r="I441" s="43" t="s">
        <v>156</v>
      </c>
      <c r="J441" s="43" t="s">
        <v>97</v>
      </c>
      <c r="K441" s="43" t="s">
        <v>622</v>
      </c>
      <c r="L441" s="44" t="s">
        <v>623</v>
      </c>
      <c r="M441" s="45" t="s">
        <v>1026</v>
      </c>
      <c r="N441" s="44" t="s">
        <v>144</v>
      </c>
      <c r="O441" s="41"/>
      <c r="P441" s="41"/>
      <c r="Q441" s="41"/>
      <c r="R441" s="41"/>
      <c r="S441" s="41"/>
      <c r="T441" s="41"/>
      <c r="U441" s="41"/>
      <c r="V441" s="41"/>
      <c r="W441" s="41"/>
      <c r="X441" s="41"/>
      <c r="Y441" s="46" t="str">
        <f ca="1">IFERROR(VLOOKUP(A441,catalogo!$E:$H,2,0),"-")</f>
        <v>Tech&amp;Product</v>
      </c>
      <c r="Z441" s="47">
        <f ca="1">IFERROR(VLOOKUP(A441,catalogo!$E:$G,3,0),"-")</f>
        <v>0</v>
      </c>
      <c r="AA441" s="48"/>
      <c r="AB441" s="48"/>
      <c r="AC441" s="48">
        <f ca="1">IFERROR(VLOOKUP(A441,catalogo!$E:$H,4,0),"-")</f>
        <v>0</v>
      </c>
      <c r="AD441" s="48"/>
      <c r="AE441" s="48"/>
      <c r="AF441" s="48"/>
      <c r="AG441" s="48"/>
      <c r="AH441" s="48"/>
      <c r="AI441" s="48"/>
    </row>
    <row r="442" spans="1:35" ht="12.5" hidden="1">
      <c r="A442" s="37" t="s">
        <v>1027</v>
      </c>
      <c r="B442" s="38" t="str">
        <f>IFERROR(VLOOKUP(J442,catalogo!$B$1:$C$70,2,0),"-")</f>
        <v>#26</v>
      </c>
      <c r="C442" s="39">
        <v>46065.416666666664</v>
      </c>
      <c r="D442" s="17"/>
      <c r="E442" s="17"/>
      <c r="F442" s="17"/>
      <c r="G442" s="42">
        <v>141</v>
      </c>
      <c r="H442" s="42">
        <v>141</v>
      </c>
      <c r="I442" s="43" t="s">
        <v>156</v>
      </c>
      <c r="J442" s="43" t="s">
        <v>67</v>
      </c>
      <c r="K442" s="43" t="s">
        <v>335</v>
      </c>
      <c r="L442" s="44" t="s">
        <v>336</v>
      </c>
      <c r="M442" s="44" t="s">
        <v>159</v>
      </c>
      <c r="N442" s="44" t="s">
        <v>144</v>
      </c>
      <c r="O442" s="17"/>
      <c r="P442" s="17"/>
      <c r="Q442" s="17"/>
      <c r="R442" s="17"/>
      <c r="S442" s="17"/>
      <c r="T442" s="17"/>
      <c r="U442" s="17"/>
      <c r="V442" s="17"/>
      <c r="W442" s="17"/>
      <c r="X442" s="17"/>
      <c r="Y442" s="46" t="str">
        <f ca="1">IFERROR(VLOOKUP(A442,catalogo!$E:$G,2,0),"-")</f>
        <v>-</v>
      </c>
      <c r="Z442" s="47" t="str">
        <f ca="1">IFERROR(VLOOKUP(A442,catalogo!$E:$G,3,0),"-")</f>
        <v>-</v>
      </c>
      <c r="AA442" s="48"/>
      <c r="AB442" s="48"/>
      <c r="AC442" s="48" t="str">
        <f ca="1">IFERROR(VLOOKUP(A442,catalogo!$E:$H,4,0),"-")</f>
        <v>-</v>
      </c>
      <c r="AD442" s="48"/>
      <c r="AE442" s="48"/>
      <c r="AF442" s="48"/>
      <c r="AG442" s="48"/>
      <c r="AH442" s="48"/>
      <c r="AI442" s="48"/>
    </row>
    <row r="443" spans="1:35" ht="12.5" hidden="1">
      <c r="A443" s="37" t="s">
        <v>1028</v>
      </c>
      <c r="B443" s="38" t="str">
        <f>IFERROR(VLOOKUP(J443,catalogo!$B$1:$C$70,2,0),"-")</f>
        <v>-</v>
      </c>
      <c r="C443" s="39">
        <v>46065.416666666664</v>
      </c>
      <c r="D443" s="17"/>
      <c r="E443" s="17"/>
      <c r="F443" s="17"/>
      <c r="G443" s="42">
        <v>1038.7</v>
      </c>
      <c r="H443" s="42">
        <v>1038.7</v>
      </c>
      <c r="I443" s="43" t="s">
        <v>156</v>
      </c>
      <c r="J443" s="43" t="s">
        <v>269</v>
      </c>
      <c r="K443" s="43" t="s">
        <v>338</v>
      </c>
      <c r="L443" s="44" t="s">
        <v>317</v>
      </c>
      <c r="M443" s="44" t="s">
        <v>270</v>
      </c>
      <c r="N443" s="44" t="s">
        <v>144</v>
      </c>
      <c r="O443" s="17"/>
      <c r="P443" s="17"/>
      <c r="Q443" s="17"/>
      <c r="R443" s="17"/>
      <c r="S443" s="17"/>
      <c r="T443" s="17"/>
      <c r="U443" s="17"/>
      <c r="V443" s="17"/>
      <c r="W443" s="17"/>
      <c r="X443" s="17"/>
      <c r="Y443" s="46" t="str">
        <f ca="1">IFERROR(VLOOKUP(A443,catalogo!$E:$G,2,0),"-")</f>
        <v>-</v>
      </c>
      <c r="Z443" s="47" t="str">
        <f ca="1">IFERROR(VLOOKUP(A443,catalogo!$E:$G,3,0),"-")</f>
        <v>-</v>
      </c>
      <c r="AA443" s="48"/>
      <c r="AB443" s="48"/>
      <c r="AC443" s="48" t="str">
        <f ca="1">IFERROR(VLOOKUP(A443,catalogo!$E:$H,4,0),"-")</f>
        <v>-</v>
      </c>
      <c r="AD443" s="48"/>
      <c r="AE443" s="48"/>
      <c r="AF443" s="48"/>
      <c r="AG443" s="48"/>
      <c r="AH443" s="48"/>
      <c r="AI443" s="48"/>
    </row>
    <row r="444" spans="1:35" ht="15.5" hidden="1">
      <c r="A444" s="37" t="s">
        <v>1029</v>
      </c>
      <c r="B444" s="38" t="str">
        <f>IFERROR(VLOOKUP(J444,catalogo!$B$1:$C$75,2,0),"-")</f>
        <v>#55</v>
      </c>
      <c r="C444" s="39">
        <v>46065.416666666664</v>
      </c>
      <c r="D444" s="17"/>
      <c r="E444" s="17"/>
      <c r="F444" s="17"/>
      <c r="G444" s="42">
        <v>1075</v>
      </c>
      <c r="H444" s="42">
        <v>1075</v>
      </c>
      <c r="I444" s="43" t="s">
        <v>156</v>
      </c>
      <c r="J444" s="43" t="s">
        <v>89</v>
      </c>
      <c r="K444" s="43" t="s">
        <v>1030</v>
      </c>
      <c r="L444" s="44" t="s">
        <v>1031</v>
      </c>
      <c r="M444" s="44">
        <v>3013</v>
      </c>
      <c r="N444" s="44" t="s">
        <v>167</v>
      </c>
      <c r="O444" s="49"/>
      <c r="P444" s="17"/>
      <c r="Q444" s="17"/>
      <c r="R444" s="17"/>
      <c r="S444" s="17"/>
      <c r="T444" s="17"/>
      <c r="U444" s="17"/>
      <c r="V444" s="17"/>
      <c r="W444" s="17"/>
      <c r="X444" s="17"/>
      <c r="Y444" s="46" t="str">
        <f ca="1">IFERROR(VLOOKUP(A444,catalogo!$E:$H,2,0),"-")</f>
        <v>-</v>
      </c>
      <c r="Z444" s="47" t="str">
        <f ca="1">IFERROR(VLOOKUP(A444,catalogo!$E:$G,3,0),"-")</f>
        <v>-</v>
      </c>
      <c r="AA444" s="48"/>
      <c r="AB444" s="48"/>
      <c r="AC444" s="48" t="str">
        <f ca="1">IFERROR(VLOOKUP(A444,catalogo!$E:$H,4,0),"-")</f>
        <v>-</v>
      </c>
      <c r="AD444" s="48"/>
      <c r="AE444" s="48"/>
      <c r="AF444" s="48"/>
      <c r="AG444" s="48"/>
      <c r="AH444" s="48"/>
      <c r="AI444" s="48"/>
    </row>
    <row r="445" spans="1:35" ht="15.5" hidden="1">
      <c r="A445" s="37" t="s">
        <v>1032</v>
      </c>
      <c r="B445" s="38" t="str">
        <f>IFERROR(VLOOKUP(J445,catalogo!$B$1:$C$75,2,0),"-")</f>
        <v>-</v>
      </c>
      <c r="C445" s="39">
        <v>46065.416666666664</v>
      </c>
      <c r="D445" s="17"/>
      <c r="E445" s="17"/>
      <c r="F445" s="17"/>
      <c r="G445" s="42">
        <v>400</v>
      </c>
      <c r="H445" s="42">
        <v>400</v>
      </c>
      <c r="I445" s="43" t="s">
        <v>156</v>
      </c>
      <c r="J445" s="43" t="s">
        <v>325</v>
      </c>
      <c r="K445" s="43" t="s">
        <v>327</v>
      </c>
      <c r="L445" s="44" t="s">
        <v>328</v>
      </c>
      <c r="M445" s="45">
        <v>7984</v>
      </c>
      <c r="N445" s="44" t="s">
        <v>167</v>
      </c>
      <c r="O445" s="49"/>
      <c r="P445" s="17"/>
      <c r="Q445" s="17"/>
      <c r="R445" s="17"/>
      <c r="S445" s="17"/>
      <c r="T445" s="17"/>
      <c r="U445" s="17"/>
      <c r="V445" s="17"/>
      <c r="W445" s="17"/>
      <c r="X445" s="17"/>
      <c r="Y445" s="46" t="str">
        <f ca="1">IFERROR(VLOOKUP(A445,catalogo!$E:$H,2,0),"-")</f>
        <v>-</v>
      </c>
      <c r="Z445" s="47" t="str">
        <f ca="1">IFERROR(VLOOKUP(A445,catalogo!$E:$G,3,0),"-")</f>
        <v>-</v>
      </c>
      <c r="AA445" s="48"/>
      <c r="AB445" s="48"/>
      <c r="AC445" s="48" t="str">
        <f ca="1">IFERROR(VLOOKUP(A445,catalogo!$E:$H,4,0),"-")</f>
        <v>-</v>
      </c>
      <c r="AD445" s="48"/>
      <c r="AE445" s="48"/>
      <c r="AF445" s="48"/>
      <c r="AG445" s="48"/>
      <c r="AH445" s="48"/>
      <c r="AI445" s="48"/>
    </row>
    <row r="446" spans="1:35" ht="12.5" hidden="1">
      <c r="A446" s="37" t="s">
        <v>1033</v>
      </c>
      <c r="B446" s="38" t="str">
        <f>IFERROR(VLOOKUP(J446,catalogo!$B$1:$C$75,2,0),"-")</f>
        <v>-</v>
      </c>
      <c r="C446" s="39">
        <v>46065.416666666664</v>
      </c>
      <c r="D446" s="40"/>
      <c r="E446" s="41"/>
      <c r="F446" s="41"/>
      <c r="G446" s="42">
        <v>610</v>
      </c>
      <c r="H446" s="42">
        <v>610</v>
      </c>
      <c r="I446" s="43" t="s">
        <v>156</v>
      </c>
      <c r="J446" s="43" t="s">
        <v>321</v>
      </c>
      <c r="K446" s="43" t="s">
        <v>319</v>
      </c>
      <c r="L446" s="44" t="s">
        <v>317</v>
      </c>
      <c r="M446" s="45">
        <v>3340</v>
      </c>
      <c r="N446" s="44" t="s">
        <v>167</v>
      </c>
      <c r="O446" s="41"/>
      <c r="P446" s="41"/>
      <c r="Q446" s="41"/>
      <c r="R446" s="41"/>
      <c r="S446" s="41"/>
      <c r="T446" s="41"/>
      <c r="U446" s="41"/>
      <c r="V446" s="41"/>
      <c r="W446" s="41"/>
      <c r="X446" s="41"/>
      <c r="Y446" s="46" t="str">
        <f ca="1">IFERROR(VLOOKUP(A446,catalogo!$E:$H,2,0),"-")</f>
        <v>Transaction cost</v>
      </c>
      <c r="Z446" s="47">
        <f ca="1">IFERROR(VLOOKUP(A446,catalogo!$E:$G,3,0),"-")</f>
        <v>0</v>
      </c>
      <c r="AA446" s="48"/>
      <c r="AB446" s="48"/>
      <c r="AC446" s="48">
        <f ca="1">IFERROR(VLOOKUP(A446,catalogo!$E:$H,4,0),"-")</f>
        <v>0</v>
      </c>
      <c r="AD446" s="48"/>
      <c r="AE446" s="48"/>
      <c r="AF446" s="48"/>
      <c r="AG446" s="48"/>
      <c r="AH446" s="48"/>
      <c r="AI446" s="48"/>
    </row>
    <row r="447" spans="1:35" ht="12.5" hidden="1">
      <c r="A447" s="37" t="s">
        <v>1034</v>
      </c>
      <c r="B447" s="38" t="str">
        <f>IFERROR(VLOOKUP(J447,catalogo!$B$1:$C$85,2,0),"-")</f>
        <v>#26</v>
      </c>
      <c r="C447" s="39">
        <v>46065.416666666664</v>
      </c>
      <c r="D447" s="17"/>
      <c r="E447" s="17"/>
      <c r="F447" s="17"/>
      <c r="G447" s="42">
        <v>335</v>
      </c>
      <c r="H447" s="42">
        <v>335</v>
      </c>
      <c r="I447" s="43" t="s">
        <v>156</v>
      </c>
      <c r="J447" s="43" t="s">
        <v>67</v>
      </c>
      <c r="K447" s="43" t="s">
        <v>1035</v>
      </c>
      <c r="L447" s="44" t="s">
        <v>1036</v>
      </c>
      <c r="M447" s="45">
        <v>8061</v>
      </c>
      <c r="N447" s="44" t="s">
        <v>167</v>
      </c>
      <c r="O447" s="17"/>
      <c r="P447" s="17"/>
      <c r="Q447" s="17"/>
      <c r="R447" s="17"/>
      <c r="S447" s="17"/>
      <c r="T447" s="17"/>
      <c r="U447" s="17"/>
      <c r="V447" s="17"/>
      <c r="W447" s="17"/>
      <c r="X447" s="17"/>
      <c r="Y447" s="46" t="str">
        <f ca="1">IFERROR(VLOOKUP(A447,catalogo!$E:$H,2,0),"-")</f>
        <v>-</v>
      </c>
      <c r="Z447" s="47" t="str">
        <f ca="1">IFERROR(VLOOKUP(A447,catalogo!$E:$G,3,0),"-")</f>
        <v>-</v>
      </c>
      <c r="AA447" s="48"/>
      <c r="AB447" s="48"/>
      <c r="AC447" s="48" t="str">
        <f ca="1">IFERROR(VLOOKUP(A447,catalogo!$E:$H,4,0),"-")</f>
        <v>-</v>
      </c>
      <c r="AD447" s="48"/>
      <c r="AE447" s="48"/>
      <c r="AF447" s="48"/>
      <c r="AG447" s="48"/>
      <c r="AH447" s="48"/>
      <c r="AI447" s="48"/>
    </row>
    <row r="448" spans="1:35" ht="12.5" hidden="1">
      <c r="A448" s="37" t="s">
        <v>1037</v>
      </c>
      <c r="B448" s="38" t="str">
        <f>IFERROR(VLOOKUP(J448,catalogo!$B$1:$C$75,2,0),"-")</f>
        <v>#41</v>
      </c>
      <c r="C448" s="39">
        <v>46065.416666666664</v>
      </c>
      <c r="D448" s="17"/>
      <c r="E448" s="17"/>
      <c r="F448" s="17"/>
      <c r="G448" s="42">
        <v>1000</v>
      </c>
      <c r="H448" s="42">
        <v>1000</v>
      </c>
      <c r="I448" s="43" t="s">
        <v>156</v>
      </c>
      <c r="J448" s="50" t="s">
        <v>68</v>
      </c>
      <c r="K448" s="43" t="s">
        <v>622</v>
      </c>
      <c r="L448" s="44" t="s">
        <v>623</v>
      </c>
      <c r="M448" s="44" t="s">
        <v>1038</v>
      </c>
      <c r="N448" s="44" t="s">
        <v>144</v>
      </c>
      <c r="O448" s="17"/>
      <c r="P448" s="17"/>
      <c r="Q448" s="17"/>
      <c r="R448" s="17"/>
      <c r="S448" s="17"/>
      <c r="T448" s="17"/>
      <c r="U448" s="17"/>
      <c r="V448" s="17"/>
      <c r="W448" s="17"/>
      <c r="X448" s="17"/>
      <c r="Y448" s="46" t="str">
        <f ca="1">IFERROR(VLOOKUP(A448,catalogo!$E:$H,2,0),"-")</f>
        <v>-</v>
      </c>
      <c r="Z448" s="47" t="str">
        <f ca="1">IFERROR(VLOOKUP(A448,catalogo!$E:$G,3,0),"-")</f>
        <v>-</v>
      </c>
      <c r="AA448" s="48"/>
      <c r="AB448" s="48"/>
      <c r="AC448" s="48" t="str">
        <f ca="1">IFERROR(VLOOKUP(A448,catalogo!$E:$H,4,0),"-")</f>
        <v>-</v>
      </c>
      <c r="AD448" s="48"/>
      <c r="AE448" s="48"/>
      <c r="AF448" s="48"/>
      <c r="AG448" s="48"/>
      <c r="AH448" s="48"/>
      <c r="AI448" s="48"/>
    </row>
    <row r="449" spans="1:35" ht="12.5" hidden="1">
      <c r="A449" s="37" t="s">
        <v>1039</v>
      </c>
      <c r="B449" s="38" t="str">
        <f>IFERROR(VLOOKUP(J449,catalogo!$B$1:$C$70,2,0),"-")</f>
        <v>-</v>
      </c>
      <c r="C449" s="39">
        <v>46065.416666666664</v>
      </c>
      <c r="D449" s="17"/>
      <c r="E449" s="17"/>
      <c r="F449" s="17"/>
      <c r="G449" s="42">
        <v>310</v>
      </c>
      <c r="H449" s="42">
        <v>310</v>
      </c>
      <c r="I449" s="43" t="s">
        <v>156</v>
      </c>
      <c r="J449" s="43" t="s">
        <v>321</v>
      </c>
      <c r="K449" s="43" t="s">
        <v>1040</v>
      </c>
      <c r="L449" s="44" t="s">
        <v>1041</v>
      </c>
      <c r="M449" s="45">
        <v>3340</v>
      </c>
      <c r="N449" s="44" t="s">
        <v>167</v>
      </c>
      <c r="O449" s="17"/>
      <c r="P449" s="17"/>
      <c r="Q449" s="17"/>
      <c r="R449" s="17"/>
      <c r="S449" s="17"/>
      <c r="T449" s="17"/>
      <c r="U449" s="17"/>
      <c r="V449" s="17"/>
      <c r="W449" s="17"/>
      <c r="X449" s="17"/>
      <c r="Y449" s="46" t="str">
        <f ca="1">IFERROR(VLOOKUP(A449,catalogo!$E:$G,2,0),"-")</f>
        <v>-</v>
      </c>
      <c r="Z449" s="47" t="str">
        <f ca="1">IFERROR(VLOOKUP(A449,catalogo!$E:$G,3,0),"-")</f>
        <v>-</v>
      </c>
      <c r="AA449" s="48"/>
      <c r="AB449" s="48"/>
      <c r="AC449" s="48" t="str">
        <f ca="1">IFERROR(VLOOKUP(A449,catalogo!$E:$H,4,0),"-")</f>
        <v>-</v>
      </c>
      <c r="AD449" s="48"/>
      <c r="AE449" s="48"/>
      <c r="AF449" s="48"/>
      <c r="AG449" s="48"/>
      <c r="AH449" s="48"/>
      <c r="AI449" s="48"/>
    </row>
    <row r="450" spans="1:35" ht="15.5" hidden="1">
      <c r="A450" s="37" t="s">
        <v>1042</v>
      </c>
      <c r="B450" s="38" t="str">
        <f>IFERROR(VLOOKUP(J450,catalogo!$B$1:$C$100,2,0),"-")</f>
        <v>#16</v>
      </c>
      <c r="C450" s="39">
        <v>46065.416666666664</v>
      </c>
      <c r="D450" s="17"/>
      <c r="E450" s="17"/>
      <c r="F450" s="17"/>
      <c r="G450" s="42">
        <v>10000</v>
      </c>
      <c r="H450" s="42">
        <v>10000</v>
      </c>
      <c r="I450" s="43" t="s">
        <v>156</v>
      </c>
      <c r="J450" s="43" t="s">
        <v>85</v>
      </c>
      <c r="K450" s="43" t="s">
        <v>330</v>
      </c>
      <c r="L450" s="44" t="s">
        <v>331</v>
      </c>
      <c r="M450" s="45" t="s">
        <v>332</v>
      </c>
      <c r="N450" s="44" t="s">
        <v>144</v>
      </c>
      <c r="O450" s="49"/>
      <c r="P450" s="17"/>
      <c r="Q450" s="17"/>
      <c r="R450" s="17"/>
      <c r="S450" s="17"/>
      <c r="T450" s="17"/>
      <c r="U450" s="17"/>
      <c r="V450" s="17"/>
      <c r="W450" s="17"/>
      <c r="X450" s="17"/>
      <c r="Y450" s="46" t="str">
        <f ca="1">IFERROR(VLOOKUP(A450,catalogo!$E:$H,2,0),"-")</f>
        <v>Tech&amp;Product</v>
      </c>
      <c r="Z450" s="47">
        <f ca="1">IFERROR(VLOOKUP(A450,catalogo!$E:$G,3,0),"-")</f>
        <v>0</v>
      </c>
      <c r="AA450" s="48"/>
      <c r="AB450" s="48"/>
      <c r="AC450" s="48">
        <f ca="1">IFERROR(VLOOKUP(A450,catalogo!$E:$H,4,0),"-")</f>
        <v>0</v>
      </c>
      <c r="AD450" s="48"/>
      <c r="AE450" s="48"/>
      <c r="AF450" s="48"/>
      <c r="AG450" s="48"/>
      <c r="AH450" s="48"/>
      <c r="AI450" s="48"/>
    </row>
    <row r="451" spans="1:35" ht="12.5" hidden="1">
      <c r="A451" s="37" t="s">
        <v>1043</v>
      </c>
      <c r="B451" s="38" t="str">
        <f>IFERROR(VLOOKUP(J451,catalogo!$B$1:$C$100,2,0),"-")</f>
        <v>#64</v>
      </c>
      <c r="C451" s="39">
        <v>46065.416666666664</v>
      </c>
      <c r="D451" s="17"/>
      <c r="E451" s="17"/>
      <c r="F451" s="17"/>
      <c r="G451" s="53">
        <v>266</v>
      </c>
      <c r="H451" s="53">
        <v>266</v>
      </c>
      <c r="I451" s="43" t="s">
        <v>156</v>
      </c>
      <c r="J451" s="43" t="s">
        <v>139</v>
      </c>
      <c r="K451" s="43" t="s">
        <v>1044</v>
      </c>
      <c r="L451" s="44" t="s">
        <v>1045</v>
      </c>
      <c r="M451" s="44">
        <v>7142</v>
      </c>
      <c r="N451" s="44" t="s">
        <v>167</v>
      </c>
      <c r="O451" s="17"/>
      <c r="P451" s="17"/>
      <c r="Q451" s="17"/>
      <c r="R451" s="17"/>
      <c r="S451" s="17"/>
      <c r="T451" s="17"/>
      <c r="U451" s="17"/>
      <c r="V451" s="17"/>
      <c r="W451" s="17"/>
      <c r="X451" s="17"/>
      <c r="Y451" s="46"/>
      <c r="Z451" s="47"/>
      <c r="AA451" s="48"/>
      <c r="AB451" s="48"/>
      <c r="AC451" s="48"/>
      <c r="AD451" s="48"/>
      <c r="AE451" s="48"/>
      <c r="AF451" s="48"/>
      <c r="AG451" s="48"/>
      <c r="AH451" s="48"/>
      <c r="AI451" s="48"/>
    </row>
    <row r="452" spans="1:35" ht="12.5" hidden="1">
      <c r="A452" s="37" t="s">
        <v>1046</v>
      </c>
      <c r="B452" s="38" t="str">
        <f>IFERROR(VLOOKUP(J452,catalogo!$B$1:$C$75,2,0),"-")</f>
        <v>#49</v>
      </c>
      <c r="C452" s="39">
        <v>46065.416666666664</v>
      </c>
      <c r="D452" s="17"/>
      <c r="E452" s="17"/>
      <c r="F452" s="17"/>
      <c r="G452" s="42">
        <v>110</v>
      </c>
      <c r="H452" s="42">
        <v>110</v>
      </c>
      <c r="I452" s="43" t="s">
        <v>156</v>
      </c>
      <c r="J452" s="43" t="s">
        <v>124</v>
      </c>
      <c r="K452" s="43" t="s">
        <v>1047</v>
      </c>
      <c r="L452" s="44" t="s">
        <v>1048</v>
      </c>
      <c r="M452" s="45">
        <v>4488</v>
      </c>
      <c r="N452" s="44" t="s">
        <v>167</v>
      </c>
      <c r="O452" s="17"/>
      <c r="P452" s="17"/>
      <c r="Q452" s="17"/>
      <c r="R452" s="17"/>
      <c r="S452" s="17"/>
      <c r="T452" s="17"/>
      <c r="U452" s="17"/>
      <c r="V452" s="17"/>
      <c r="W452" s="17"/>
      <c r="X452" s="17"/>
      <c r="Y452" s="46" t="str">
        <f ca="1">IFERROR(VLOOKUP(A452,catalogo!$E:$H,2,0),"-")</f>
        <v>-</v>
      </c>
      <c r="Z452" s="47" t="str">
        <f ca="1">IFERROR(VLOOKUP(A452,catalogo!$E:$G,3,0),"-")</f>
        <v>-</v>
      </c>
      <c r="AA452" s="48"/>
      <c r="AB452" s="48"/>
      <c r="AC452" s="48" t="str">
        <f ca="1">IFERROR(VLOOKUP(A452,catalogo!$E:$H,4,0),"-")</f>
        <v>-</v>
      </c>
      <c r="AD452" s="48"/>
      <c r="AE452" s="48"/>
      <c r="AF452" s="48"/>
      <c r="AG452" s="48"/>
      <c r="AH452" s="48"/>
      <c r="AI452" s="48"/>
    </row>
    <row r="453" spans="1:35" ht="15.5" hidden="1">
      <c r="A453" s="37" t="s">
        <v>1049</v>
      </c>
      <c r="B453" s="38" t="str">
        <f>IFERROR(VLOOKUP(J453,catalogo!$B$1:$C$75,2,0),"-")</f>
        <v>#69</v>
      </c>
      <c r="C453" s="39">
        <v>46065.416666666664</v>
      </c>
      <c r="D453" s="17"/>
      <c r="E453" s="17"/>
      <c r="F453" s="17"/>
      <c r="G453" s="42">
        <v>496</v>
      </c>
      <c r="H453" s="42">
        <v>496</v>
      </c>
      <c r="I453" s="43" t="s">
        <v>156</v>
      </c>
      <c r="J453" s="43" t="s">
        <v>110</v>
      </c>
      <c r="K453" s="43" t="s">
        <v>485</v>
      </c>
      <c r="L453" s="44" t="s">
        <v>233</v>
      </c>
      <c r="M453" s="45" t="s">
        <v>464</v>
      </c>
      <c r="N453" s="44" t="s">
        <v>144</v>
      </c>
      <c r="O453" s="49"/>
      <c r="P453" s="17"/>
      <c r="Q453" s="17"/>
      <c r="R453" s="17"/>
      <c r="S453" s="17"/>
      <c r="T453" s="17"/>
      <c r="U453" s="17"/>
      <c r="V453" s="17"/>
      <c r="W453" s="17"/>
      <c r="X453" s="17"/>
      <c r="Y453" s="46" t="str">
        <f ca="1">IFERROR(VLOOKUP(A453,catalogo!$E:$H,2,0),"-")</f>
        <v>-</v>
      </c>
      <c r="Z453" s="47" t="str">
        <f ca="1">IFERROR(VLOOKUP(A453,catalogo!$E:$G,3,0),"-")</f>
        <v>-</v>
      </c>
      <c r="AA453" s="48"/>
      <c r="AB453" s="48"/>
      <c r="AC453" s="48" t="str">
        <f ca="1">IFERROR(VLOOKUP(A453,catalogo!$E:$H,4,0),"-")</f>
        <v>-</v>
      </c>
      <c r="AD453" s="48"/>
      <c r="AE453" s="48"/>
      <c r="AF453" s="48"/>
      <c r="AG453" s="48"/>
      <c r="AH453" s="48"/>
      <c r="AI453" s="48"/>
    </row>
    <row r="454" spans="1:35" ht="15.5" hidden="1">
      <c r="A454" s="37" t="s">
        <v>1050</v>
      </c>
      <c r="B454" s="38" t="str">
        <f>IFERROR(VLOOKUP(J454,catalogo!$B$1:$C$75,2,0),"-")</f>
        <v>#8</v>
      </c>
      <c r="C454" s="39">
        <v>46065.416666666664</v>
      </c>
      <c r="D454" s="17"/>
      <c r="E454" s="17"/>
      <c r="F454" s="17"/>
      <c r="G454" s="42">
        <v>947</v>
      </c>
      <c r="H454" s="42">
        <v>947</v>
      </c>
      <c r="I454" s="43" t="s">
        <v>156</v>
      </c>
      <c r="J454" s="43" t="s">
        <v>128</v>
      </c>
      <c r="K454" s="43" t="s">
        <v>1051</v>
      </c>
      <c r="L454" s="44" t="s">
        <v>820</v>
      </c>
      <c r="M454" s="45">
        <v>16</v>
      </c>
      <c r="N454" s="44" t="s">
        <v>167</v>
      </c>
      <c r="O454" s="49"/>
      <c r="P454" s="17"/>
      <c r="Q454" s="17"/>
      <c r="R454" s="17"/>
      <c r="S454" s="17"/>
      <c r="T454" s="17"/>
      <c r="U454" s="17"/>
      <c r="V454" s="17"/>
      <c r="W454" s="17"/>
      <c r="X454" s="17"/>
      <c r="Y454" s="46" t="str">
        <f ca="1">IFERROR(VLOOKUP(A454,catalogo!$E:$H,2,0),"-")</f>
        <v>Transaction cost</v>
      </c>
      <c r="Z454" s="47" t="str">
        <f ca="1">IFERROR(VLOOKUP(A454,catalogo!$E:$G,3,0),"-")</f>
        <v>PAPELERIA PARA DOSSIER DE CALIDAD PO2165 - ENSAMBLE UF/CEB MECANICO</v>
      </c>
      <c r="AA454" s="48"/>
      <c r="AB454" s="48"/>
      <c r="AC454" s="48" t="str">
        <f ca="1">IFERROR(VLOOKUP(A454,catalogo!$E:$H,4,0),"-")</f>
        <v>.</v>
      </c>
      <c r="AD454" s="48"/>
      <c r="AE454" s="48"/>
      <c r="AF454" s="48"/>
      <c r="AG454" s="48"/>
      <c r="AH454" s="48"/>
      <c r="AI454" s="48"/>
    </row>
    <row r="455" spans="1:35" ht="12.5" hidden="1">
      <c r="A455" s="37" t="s">
        <v>517</v>
      </c>
      <c r="B455" s="38" t="str">
        <f>IFERROR(VLOOKUP(J455,catalogo!$B$1:$C$75,2,0),"-")</f>
        <v>#42</v>
      </c>
      <c r="C455" s="39">
        <v>46065.417361111111</v>
      </c>
      <c r="D455" s="52"/>
      <c r="E455" s="17"/>
      <c r="F455" s="17"/>
      <c r="G455" s="42">
        <v>80.599999999999994</v>
      </c>
      <c r="H455" s="42">
        <v>80.599999999999994</v>
      </c>
      <c r="I455" s="43" t="s">
        <v>156</v>
      </c>
      <c r="J455" s="43" t="s">
        <v>78</v>
      </c>
      <c r="K455" s="43" t="s">
        <v>962</v>
      </c>
      <c r="L455" s="44" t="s">
        <v>963</v>
      </c>
      <c r="M455" s="45">
        <v>4431</v>
      </c>
      <c r="N455" s="44" t="s">
        <v>167</v>
      </c>
      <c r="O455" s="17"/>
      <c r="P455" s="17"/>
      <c r="Q455" s="17"/>
      <c r="R455" s="17"/>
      <c r="S455" s="17"/>
      <c r="T455" s="17"/>
      <c r="U455" s="17"/>
      <c r="V455" s="17"/>
      <c r="W455" s="17"/>
      <c r="X455" s="17"/>
      <c r="Y455" s="46" t="str">
        <f ca="1">IFERROR(VLOOKUP(A455,catalogo!$E:$H,2,0),"-")</f>
        <v>Sales</v>
      </c>
      <c r="Z455" s="47" t="str">
        <f ca="1">IFERROR(VLOOKUP(A455,catalogo!$E:$G,3,0),"-")</f>
        <v>Gasolina visita desmontaje de Grua Grajales Robles PO1129</v>
      </c>
      <c r="AA455" s="48"/>
      <c r="AB455" s="48"/>
      <c r="AC455" s="48" t="str">
        <f ca="1">IFERROR(VLOOKUP(A455,catalogo!$E:$H,4,0),"-")</f>
        <v>TICKET</v>
      </c>
      <c r="AD455" s="48"/>
      <c r="AE455" s="48"/>
      <c r="AF455" s="48"/>
      <c r="AG455" s="48"/>
      <c r="AH455" s="48"/>
      <c r="AI455" s="48"/>
    </row>
    <row r="456" spans="1:35" ht="12.5" hidden="1">
      <c r="A456" s="37" t="s">
        <v>440</v>
      </c>
      <c r="B456" s="38" t="str">
        <f>IFERROR(VLOOKUP(J456,catalogo!$B$1:$C$75,2,0),"-")</f>
        <v>-</v>
      </c>
      <c r="C456" s="39">
        <v>46065.417361111111</v>
      </c>
      <c r="D456" s="52"/>
      <c r="E456" s="17"/>
      <c r="F456" s="17"/>
      <c r="G456" s="42">
        <v>450</v>
      </c>
      <c r="H456" s="42">
        <v>450</v>
      </c>
      <c r="I456" s="43" t="s">
        <v>156</v>
      </c>
      <c r="J456" s="43" t="s">
        <v>321</v>
      </c>
      <c r="K456" s="43" t="s">
        <v>1052</v>
      </c>
      <c r="L456" s="44" t="s">
        <v>1053</v>
      </c>
      <c r="M456" s="44">
        <v>3340</v>
      </c>
      <c r="N456" s="44" t="s">
        <v>167</v>
      </c>
      <c r="O456" s="17"/>
      <c r="P456" s="17"/>
      <c r="Q456" s="17"/>
      <c r="R456" s="17"/>
      <c r="S456" s="17"/>
      <c r="T456" s="17"/>
      <c r="U456" s="17"/>
      <c r="V456" s="17"/>
      <c r="W456" s="17"/>
      <c r="X456" s="17"/>
      <c r="Y456" s="46" t="str">
        <f ca="1">IFERROR(VLOOKUP(A456,catalogo!$E:$H,2,0),"-")</f>
        <v>G&amp;A expenses</v>
      </c>
      <c r="Z456" s="47" t="str">
        <f ca="1">IFERROR(VLOOKUP(A456,catalogo!$E:$G,3,0),"-")</f>
        <v>PO1777 Envío de equipo de seguridad</v>
      </c>
      <c r="AA456" s="48"/>
      <c r="AB456" s="48"/>
      <c r="AC456" s="48" t="str">
        <f ca="1">IFERROR(VLOOKUP(A456,catalogo!$E:$H,4,0),"-")</f>
        <v>04448AE5-5603-4B71-8558-13ED476D9B9D</v>
      </c>
      <c r="AD456" s="48"/>
      <c r="AE456" s="48"/>
      <c r="AF456" s="48"/>
      <c r="AG456" s="48"/>
      <c r="AH456" s="48"/>
      <c r="AI456" s="48"/>
    </row>
    <row r="457" spans="1:35" ht="12.5" hidden="1">
      <c r="A457" s="37" t="s">
        <v>258</v>
      </c>
      <c r="B457" s="38" t="str">
        <f>IFERROR(VLOOKUP(J457,catalogo!$B$1:$C$75,2,0),"-")</f>
        <v>#16</v>
      </c>
      <c r="C457" s="39">
        <v>46065.417361111111</v>
      </c>
      <c r="D457" s="17"/>
      <c r="E457" s="17"/>
      <c r="F457" s="17"/>
      <c r="G457" s="42">
        <v>0.86</v>
      </c>
      <c r="H457" s="42">
        <v>0.86</v>
      </c>
      <c r="I457" s="43" t="s">
        <v>156</v>
      </c>
      <c r="J457" s="43" t="s">
        <v>85</v>
      </c>
      <c r="K457" s="43" t="s">
        <v>1054</v>
      </c>
      <c r="L457" s="44" t="s">
        <v>455</v>
      </c>
      <c r="M457" s="45" t="s">
        <v>143</v>
      </c>
      <c r="N457" s="44" t="s">
        <v>144</v>
      </c>
      <c r="O457" s="17"/>
      <c r="P457" s="17"/>
      <c r="Q457" s="17"/>
      <c r="R457" s="17"/>
      <c r="S457" s="17"/>
      <c r="T457" s="17"/>
      <c r="U457" s="17"/>
      <c r="V457" s="17"/>
      <c r="W457" s="17"/>
      <c r="X457" s="17"/>
      <c r="Y457" s="46" t="str">
        <f ca="1">IFERROR(VLOOKUP(A457,catalogo!$E:$H,2,0),"-")</f>
        <v>Sales</v>
      </c>
      <c r="Z457" s="47" t="str">
        <f ca="1">IFERROR(VLOOKUP(A457,catalogo!$E:$G,3,0),"-")</f>
        <v>Marketing</v>
      </c>
      <c r="AA457" s="48"/>
      <c r="AB457" s="48"/>
      <c r="AC457" s="48">
        <f ca="1">IFERROR(VLOOKUP(A457,catalogo!$E:$H,4,0),"-")</f>
        <v>0</v>
      </c>
      <c r="AD457" s="48"/>
      <c r="AE457" s="48"/>
      <c r="AF457" s="48"/>
      <c r="AG457" s="48"/>
      <c r="AH457" s="48"/>
      <c r="AI457" s="48"/>
    </row>
    <row r="458" spans="1:35" ht="12.5" hidden="1">
      <c r="A458" s="37" t="s">
        <v>1055</v>
      </c>
      <c r="B458" s="38" t="str">
        <f>IFERROR(VLOOKUP(J458,catalogo!$B$1:$C$100,2,0),"-")</f>
        <v>#8</v>
      </c>
      <c r="C458" s="39">
        <v>46065.417361111111</v>
      </c>
      <c r="D458" s="17"/>
      <c r="E458" s="17"/>
      <c r="F458" s="17"/>
      <c r="G458" s="42">
        <v>145</v>
      </c>
      <c r="H458" s="42">
        <v>145</v>
      </c>
      <c r="I458" s="43" t="s">
        <v>156</v>
      </c>
      <c r="J458" s="43" t="s">
        <v>128</v>
      </c>
      <c r="K458" s="43" t="s">
        <v>1056</v>
      </c>
      <c r="L458" s="44" t="s">
        <v>500</v>
      </c>
      <c r="M458" s="45">
        <v>16</v>
      </c>
      <c r="N458" s="44" t="s">
        <v>167</v>
      </c>
      <c r="O458" s="17"/>
      <c r="P458" s="17"/>
      <c r="Q458" s="17"/>
      <c r="R458" s="17"/>
      <c r="S458" s="17"/>
      <c r="T458" s="17"/>
      <c r="U458" s="17"/>
      <c r="V458" s="17"/>
      <c r="W458" s="17"/>
      <c r="X458" s="17"/>
      <c r="Y458" s="46" t="str">
        <f ca="1">IFERROR(VLOOKUP(A458,catalogo!$E:$G,2,0),"-")</f>
        <v>Transaction cost</v>
      </c>
      <c r="Z458" s="47" t="str">
        <f ca="1">IFERROR(VLOOKUP(A458,catalogo!$E:$G,3,0),"-")</f>
        <v>PLUMONES PARA MARCAJE DE ESTRUCTURA PO2165 - ENSAMBLE UF/CEB MECANICO</v>
      </c>
      <c r="AA458" s="48"/>
      <c r="AB458" s="48"/>
      <c r="AC458" s="48" t="str">
        <f ca="1">IFERROR(VLOOKUP(A458,catalogo!$E:$H,4,0),"-")</f>
        <v>.</v>
      </c>
      <c r="AD458" s="48"/>
      <c r="AE458" s="48"/>
      <c r="AF458" s="48"/>
      <c r="AG458" s="48"/>
      <c r="AH458" s="48"/>
      <c r="AI458" s="48"/>
    </row>
    <row r="459" spans="1:35" ht="12.5" hidden="1">
      <c r="A459" s="37" t="s">
        <v>1057</v>
      </c>
      <c r="B459" s="38" t="str">
        <f>IFERROR(VLOOKUP(J459,catalogo!$B$1:$C$70,2,0),"-")</f>
        <v>-</v>
      </c>
      <c r="C459" s="39">
        <v>46065.417361111111</v>
      </c>
      <c r="D459" s="17"/>
      <c r="E459" s="17"/>
      <c r="F459" s="17"/>
      <c r="G459" s="42">
        <v>64.3</v>
      </c>
      <c r="H459" s="42">
        <v>64.3</v>
      </c>
      <c r="I459" s="43" t="s">
        <v>156</v>
      </c>
      <c r="J459" s="43" t="s">
        <v>269</v>
      </c>
      <c r="K459" s="43" t="s">
        <v>374</v>
      </c>
      <c r="L459" s="44" t="s">
        <v>375</v>
      </c>
      <c r="M459" s="45">
        <v>6130</v>
      </c>
      <c r="N459" s="44" t="s">
        <v>167</v>
      </c>
      <c r="O459" s="17"/>
      <c r="P459" s="17"/>
      <c r="Q459" s="17"/>
      <c r="R459" s="17"/>
      <c r="S459" s="17"/>
      <c r="T459" s="17"/>
      <c r="U459" s="17"/>
      <c r="V459" s="17"/>
      <c r="W459" s="17"/>
      <c r="X459" s="17"/>
      <c r="Y459" s="46" t="str">
        <f ca="1">IFERROR(VLOOKUP(A459,catalogo!$E:$G,2,0),"-")</f>
        <v>-</v>
      </c>
      <c r="Z459" s="47" t="str">
        <f ca="1">IFERROR(VLOOKUP(A459,catalogo!$E:$G,3,0),"-")</f>
        <v>-</v>
      </c>
      <c r="AA459" s="48"/>
      <c r="AB459" s="48"/>
      <c r="AC459" s="48" t="str">
        <f ca="1">IFERROR(VLOOKUP(A459,catalogo!$E:$H,4,0),"-")</f>
        <v>-</v>
      </c>
      <c r="AD459" s="48"/>
      <c r="AE459" s="48"/>
      <c r="AF459" s="48"/>
      <c r="AG459" s="48"/>
      <c r="AH459" s="48"/>
      <c r="AI459" s="48"/>
    </row>
    <row r="460" spans="1:35" ht="12.5" hidden="1">
      <c r="A460" s="37" t="s">
        <v>1058</v>
      </c>
      <c r="B460" s="38" t="str">
        <f>IFERROR(VLOOKUP(J460,catalogo!$B$1:$C$100,2,0),"-")</f>
        <v>#26</v>
      </c>
      <c r="C460" s="39">
        <v>46065.417361111111</v>
      </c>
      <c r="D460" s="17"/>
      <c r="E460" s="17"/>
      <c r="F460" s="17"/>
      <c r="G460" s="42">
        <v>1149</v>
      </c>
      <c r="H460" s="42">
        <v>1149</v>
      </c>
      <c r="I460" s="43" t="s">
        <v>156</v>
      </c>
      <c r="J460" s="43" t="s">
        <v>67</v>
      </c>
      <c r="K460" s="43" t="s">
        <v>1059</v>
      </c>
      <c r="L460" s="44" t="s">
        <v>1060</v>
      </c>
      <c r="M460" s="45">
        <v>8061</v>
      </c>
      <c r="N460" s="44" t="s">
        <v>167</v>
      </c>
      <c r="O460" s="17"/>
      <c r="P460" s="17"/>
      <c r="Q460" s="17"/>
      <c r="R460" s="17"/>
      <c r="S460" s="17"/>
      <c r="T460" s="17"/>
      <c r="U460" s="17"/>
      <c r="V460" s="17"/>
      <c r="W460" s="17"/>
      <c r="X460" s="17"/>
      <c r="Y460" s="46" t="str">
        <f ca="1">IFERROR(VLOOKUP(A460,catalogo!$E:$G,2,0),"-")</f>
        <v>-</v>
      </c>
      <c r="Z460" s="47" t="str">
        <f ca="1">IFERROR(VLOOKUP(A460,catalogo!$E:$G,3,0),"-")</f>
        <v>-</v>
      </c>
      <c r="AA460" s="48"/>
      <c r="AB460" s="48"/>
      <c r="AC460" s="48" t="str">
        <f ca="1">IFERROR(VLOOKUP(A460,catalogo!$E:$H,4,0),"-")</f>
        <v>-</v>
      </c>
      <c r="AD460" s="48"/>
      <c r="AE460" s="48"/>
      <c r="AF460" s="48"/>
      <c r="AG460" s="48"/>
      <c r="AH460" s="48"/>
      <c r="AI460" s="48"/>
    </row>
    <row r="461" spans="1:35" ht="12.5" hidden="1">
      <c r="A461" s="37" t="s">
        <v>1061</v>
      </c>
      <c r="B461" s="38" t="str">
        <f>IFERROR(VLOOKUP(J461,catalogo!$B$1:$C$100,2,0),"-")</f>
        <v>#40</v>
      </c>
      <c r="C461" s="39">
        <v>46065.417361111111</v>
      </c>
      <c r="D461" s="17"/>
      <c r="E461" s="17"/>
      <c r="F461" s="17"/>
      <c r="G461" s="42">
        <v>477</v>
      </c>
      <c r="H461" s="42">
        <v>477</v>
      </c>
      <c r="I461" s="43" t="s">
        <v>156</v>
      </c>
      <c r="J461" s="43" t="s">
        <v>136</v>
      </c>
      <c r="K461" s="43" t="s">
        <v>1062</v>
      </c>
      <c r="L461" s="44" t="s">
        <v>1063</v>
      </c>
      <c r="M461" s="45">
        <v>7740</v>
      </c>
      <c r="N461" s="44" t="s">
        <v>167</v>
      </c>
      <c r="O461" s="17"/>
      <c r="P461" s="17"/>
      <c r="Q461" s="17"/>
      <c r="R461" s="17"/>
      <c r="S461" s="17"/>
      <c r="T461" s="17"/>
      <c r="U461" s="17"/>
      <c r="V461" s="17"/>
      <c r="W461" s="17"/>
      <c r="X461" s="17"/>
      <c r="Y461" s="46" t="str">
        <f ca="1">IFERROR(VLOOKUP(A461,catalogo!$E:$H,2,0),"-")</f>
        <v>-</v>
      </c>
      <c r="Z461" s="47" t="str">
        <f ca="1">IFERROR(VLOOKUP(A461,catalogo!$E:$G,3,0),"-")</f>
        <v>-</v>
      </c>
      <c r="AA461" s="48"/>
      <c r="AB461" s="48"/>
      <c r="AC461" s="48" t="str">
        <f ca="1">IFERROR(VLOOKUP(A461,catalogo!$E:$H,4,0),"-")</f>
        <v>-</v>
      </c>
      <c r="AD461" s="48"/>
      <c r="AE461" s="48"/>
      <c r="AF461" s="48"/>
      <c r="AG461" s="48"/>
      <c r="AH461" s="48"/>
      <c r="AI461" s="48"/>
    </row>
    <row r="462" spans="1:35" ht="12.5" hidden="1">
      <c r="A462" s="37" t="s">
        <v>1064</v>
      </c>
      <c r="B462" s="38" t="str">
        <f>IFERROR(VLOOKUP(J462,catalogo!$B$1:$C$75,2,0),"-")</f>
        <v>#2</v>
      </c>
      <c r="C462" s="39">
        <v>46065.417361111111</v>
      </c>
      <c r="D462" s="17"/>
      <c r="E462" s="17"/>
      <c r="F462" s="17"/>
      <c r="G462" s="42">
        <v>906.2</v>
      </c>
      <c r="H462" s="42">
        <v>50</v>
      </c>
      <c r="I462" s="43" t="s">
        <v>172</v>
      </c>
      <c r="J462" s="43" t="s">
        <v>75</v>
      </c>
      <c r="K462" s="43" t="s">
        <v>1065</v>
      </c>
      <c r="L462" s="44" t="s">
        <v>1066</v>
      </c>
      <c r="M462" s="45" t="s">
        <v>199</v>
      </c>
      <c r="N462" s="44" t="s">
        <v>144</v>
      </c>
      <c r="O462" s="17"/>
      <c r="P462" s="17"/>
      <c r="Q462" s="17"/>
      <c r="R462" s="17"/>
      <c r="S462" s="17"/>
      <c r="T462" s="17"/>
      <c r="U462" s="17"/>
      <c r="V462" s="17"/>
      <c r="W462" s="17"/>
      <c r="X462" s="17"/>
      <c r="Y462" s="46" t="str">
        <f ca="1">IFERROR(VLOOKUP(A462,catalogo!$E:$H,2,0),"-")</f>
        <v>Tech&amp;Product</v>
      </c>
      <c r="Z462" s="47">
        <f ca="1">IFERROR(VLOOKUP(A462,catalogo!$E:$G,3,0),"-")</f>
        <v>0</v>
      </c>
      <c r="AA462" s="48"/>
      <c r="AB462" s="48"/>
      <c r="AC462" s="48" t="str">
        <f ca="1">IFERROR(VLOOKUP(A462,catalogo!$E:$H,4,0),"-")</f>
        <v>.</v>
      </c>
      <c r="AD462" s="48"/>
      <c r="AE462" s="48"/>
      <c r="AF462" s="48"/>
      <c r="AG462" s="48"/>
      <c r="AH462" s="48"/>
      <c r="AI462" s="48"/>
    </row>
    <row r="463" spans="1:35" ht="12.5" hidden="1">
      <c r="A463" s="37" t="s">
        <v>1067</v>
      </c>
      <c r="B463" s="38" t="str">
        <f>IFERROR(VLOOKUP(J463,catalogo!$B$1:$C$70,2,0),"-")</f>
        <v>#66</v>
      </c>
      <c r="C463" s="39">
        <v>46065.417361111111</v>
      </c>
      <c r="D463" s="17"/>
      <c r="E463" s="17"/>
      <c r="F463" s="17"/>
      <c r="G463" s="42">
        <v>350</v>
      </c>
      <c r="H463" s="42">
        <v>350</v>
      </c>
      <c r="I463" s="43" t="s">
        <v>156</v>
      </c>
      <c r="J463" s="43" t="s">
        <v>80</v>
      </c>
      <c r="K463" s="43" t="s">
        <v>201</v>
      </c>
      <c r="L463" s="44" t="s">
        <v>202</v>
      </c>
      <c r="M463" s="45">
        <v>2406</v>
      </c>
      <c r="N463" s="44" t="s">
        <v>167</v>
      </c>
      <c r="O463" s="17"/>
      <c r="P463" s="17"/>
      <c r="Q463" s="17"/>
      <c r="R463" s="17"/>
      <c r="S463" s="17"/>
      <c r="T463" s="17"/>
      <c r="U463" s="17"/>
      <c r="V463" s="17"/>
      <c r="W463" s="17"/>
      <c r="X463" s="17"/>
      <c r="Y463" s="46" t="str">
        <f ca="1">IFERROR(VLOOKUP(A463,catalogo!$E:$G,2,0),"-")</f>
        <v>-</v>
      </c>
      <c r="Z463" s="47" t="str">
        <f ca="1">IFERROR(VLOOKUP(A463,catalogo!$E:$G,3,0),"-")</f>
        <v>-</v>
      </c>
      <c r="AA463" s="48"/>
      <c r="AB463" s="48"/>
      <c r="AC463" s="48" t="str">
        <f ca="1">IFERROR(VLOOKUP(A463,catalogo!$E:$H,4,0),"-")</f>
        <v>-</v>
      </c>
      <c r="AD463" s="48"/>
      <c r="AE463" s="48"/>
      <c r="AF463" s="48"/>
      <c r="AG463" s="48"/>
      <c r="AH463" s="48"/>
      <c r="AI463" s="48"/>
    </row>
    <row r="464" spans="1:35" ht="12.5" hidden="1">
      <c r="A464" s="37" t="s">
        <v>1068</v>
      </c>
      <c r="B464" s="38" t="str">
        <f>IFERROR(VLOOKUP(J464,catalogo!$B$1:$C$75,2,0),"-")</f>
        <v>-</v>
      </c>
      <c r="C464" s="39">
        <v>46065.417361111111</v>
      </c>
      <c r="D464" s="52"/>
      <c r="E464" s="17"/>
      <c r="F464" s="17"/>
      <c r="G464" s="42">
        <v>320</v>
      </c>
      <c r="H464" s="42">
        <v>320</v>
      </c>
      <c r="I464" s="43" t="s">
        <v>156</v>
      </c>
      <c r="J464" s="43" t="s">
        <v>493</v>
      </c>
      <c r="K464" s="43" t="s">
        <v>759</v>
      </c>
      <c r="L464" s="44" t="s">
        <v>760</v>
      </c>
      <c r="M464" s="44">
        <v>4682</v>
      </c>
      <c r="N464" s="44" t="s">
        <v>167</v>
      </c>
      <c r="O464" s="17"/>
      <c r="P464" s="17"/>
      <c r="Q464" s="17"/>
      <c r="R464" s="17"/>
      <c r="S464" s="17"/>
      <c r="T464" s="17"/>
      <c r="U464" s="17"/>
      <c r="V464" s="17"/>
      <c r="W464" s="17"/>
      <c r="X464" s="17"/>
      <c r="Y464" s="46" t="str">
        <f ca="1">IFERROR(VLOOKUP(A464,catalogo!$E:$H,2,0),"-")</f>
        <v>-</v>
      </c>
      <c r="Z464" s="47" t="str">
        <f ca="1">IFERROR(VLOOKUP(A464,catalogo!$E:$G,3,0),"-")</f>
        <v>-</v>
      </c>
      <c r="AA464" s="48"/>
      <c r="AB464" s="48"/>
      <c r="AC464" s="48" t="str">
        <f ca="1">IFERROR(VLOOKUP(A464,catalogo!$E:$H,4,0),"-")</f>
        <v>-</v>
      </c>
      <c r="AD464" s="48"/>
      <c r="AE464" s="48"/>
      <c r="AF464" s="48"/>
      <c r="AG464" s="48"/>
      <c r="AH464" s="48"/>
      <c r="AI464" s="48"/>
    </row>
    <row r="465" spans="1:35" ht="12.5" hidden="1">
      <c r="A465" s="37" t="s">
        <v>1069</v>
      </c>
      <c r="B465" s="38" t="str">
        <f>IFERROR(VLOOKUP(J465,catalogo!$B$1:$C$75,2,0),"-")</f>
        <v>#30</v>
      </c>
      <c r="C465" s="39">
        <v>46065.417361111111</v>
      </c>
      <c r="D465" s="17"/>
      <c r="E465" s="17"/>
      <c r="F465" s="17"/>
      <c r="G465" s="42">
        <v>500</v>
      </c>
      <c r="H465" s="42">
        <v>500</v>
      </c>
      <c r="I465" s="55" t="s">
        <v>156</v>
      </c>
      <c r="J465" s="43" t="s">
        <v>97</v>
      </c>
      <c r="K465" s="43" t="s">
        <v>1070</v>
      </c>
      <c r="L465" s="44" t="s">
        <v>1071</v>
      </c>
      <c r="M465" s="45">
        <v>9904</v>
      </c>
      <c r="N465" s="44" t="s">
        <v>167</v>
      </c>
      <c r="O465" s="17"/>
      <c r="P465" s="17"/>
      <c r="Q465" s="17"/>
      <c r="R465" s="17"/>
      <c r="S465" s="17"/>
      <c r="T465" s="17"/>
      <c r="U465" s="17"/>
      <c r="V465" s="17"/>
      <c r="W465" s="17"/>
      <c r="X465" s="17"/>
      <c r="Y465" s="46" t="str">
        <f ca="1">IFERROR(VLOOKUP(A465,catalogo!$E:$H,2,0),"-")</f>
        <v>-</v>
      </c>
      <c r="Z465" s="47" t="str">
        <f ca="1">IFERROR(VLOOKUP(A465,catalogo!$E:$G,3,0),"-")</f>
        <v>-</v>
      </c>
      <c r="AA465" s="48"/>
      <c r="AB465" s="48"/>
      <c r="AC465" s="48" t="str">
        <f ca="1">IFERROR(VLOOKUP(A465,catalogo!$E:$H,4,0),"-")</f>
        <v>-</v>
      </c>
      <c r="AD465" s="48"/>
      <c r="AE465" s="48"/>
      <c r="AF465" s="48"/>
      <c r="AG465" s="48"/>
      <c r="AH465" s="48"/>
      <c r="AI465" s="48"/>
    </row>
    <row r="466" spans="1:35" ht="12.5" hidden="1">
      <c r="A466" s="37" t="s">
        <v>1072</v>
      </c>
      <c r="B466" s="38" t="str">
        <f>IFERROR(VLOOKUP(J466,catalogo!$B$1:$C$70,2,0),"-")</f>
        <v>#42</v>
      </c>
      <c r="C466" s="39">
        <v>46065.417361111111</v>
      </c>
      <c r="D466" s="17"/>
      <c r="E466" s="17"/>
      <c r="F466" s="17"/>
      <c r="G466" s="42">
        <v>646</v>
      </c>
      <c r="H466" s="42">
        <v>646</v>
      </c>
      <c r="I466" s="43" t="s">
        <v>156</v>
      </c>
      <c r="J466" s="43" t="s">
        <v>78</v>
      </c>
      <c r="K466" s="43" t="s">
        <v>1073</v>
      </c>
      <c r="L466" s="44" t="s">
        <v>1074</v>
      </c>
      <c r="M466" s="44">
        <v>4431</v>
      </c>
      <c r="N466" s="44" t="s">
        <v>167</v>
      </c>
      <c r="O466" s="17"/>
      <c r="P466" s="17"/>
      <c r="Q466" s="17"/>
      <c r="R466" s="17"/>
      <c r="S466" s="17"/>
      <c r="T466" s="17"/>
      <c r="U466" s="17"/>
      <c r="V466" s="17"/>
      <c r="W466" s="17"/>
      <c r="X466" s="17"/>
      <c r="Y466" s="46" t="str">
        <f ca="1">IFERROR(VLOOKUP(A466,catalogo!$E:$G,2,0),"-")</f>
        <v>-</v>
      </c>
      <c r="Z466" s="47" t="str">
        <f ca="1">IFERROR(VLOOKUP(A466,catalogo!$E:$G,3,0),"-")</f>
        <v>-</v>
      </c>
      <c r="AA466" s="48"/>
      <c r="AB466" s="48"/>
      <c r="AC466" s="48" t="str">
        <f ca="1">IFERROR(VLOOKUP(A466,catalogo!$E:$H,4,0),"-")</f>
        <v>-</v>
      </c>
      <c r="AD466" s="48"/>
      <c r="AE466" s="48"/>
      <c r="AF466" s="48"/>
      <c r="AG466" s="48"/>
      <c r="AH466" s="48"/>
      <c r="AI466" s="48"/>
    </row>
    <row r="467" spans="1:35" ht="12.5" hidden="1">
      <c r="A467" s="37" t="s">
        <v>1075</v>
      </c>
      <c r="B467" s="38" t="str">
        <f>IFERROR(VLOOKUP(J467,catalogo!$B$1:$C$75,2,0),"-")</f>
        <v>#2</v>
      </c>
      <c r="C467" s="39">
        <v>46065.417361111111</v>
      </c>
      <c r="D467" s="17"/>
      <c r="E467" s="17"/>
      <c r="F467" s="17"/>
      <c r="G467" s="42">
        <v>7115.29</v>
      </c>
      <c r="H467" s="42">
        <v>392.59</v>
      </c>
      <c r="I467" s="43" t="s">
        <v>172</v>
      </c>
      <c r="J467" s="43" t="s">
        <v>75</v>
      </c>
      <c r="K467" s="43" t="s">
        <v>1076</v>
      </c>
      <c r="L467" s="44" t="s">
        <v>1077</v>
      </c>
      <c r="M467" s="44" t="s">
        <v>199</v>
      </c>
      <c r="N467" s="44" t="s">
        <v>144</v>
      </c>
      <c r="O467" s="17"/>
      <c r="P467" s="17"/>
      <c r="Q467" s="17"/>
      <c r="R467" s="17"/>
      <c r="S467" s="17"/>
      <c r="T467" s="17"/>
      <c r="U467" s="17"/>
      <c r="V467" s="17"/>
      <c r="W467" s="17"/>
      <c r="X467" s="17"/>
      <c r="Y467" s="46" t="str">
        <f ca="1">IFERROR(VLOOKUP(A467,catalogo!$E:$H,2,0),"-")</f>
        <v>Tech&amp;Product</v>
      </c>
      <c r="Z467" s="47">
        <f ca="1">IFERROR(VLOOKUP(A467,catalogo!$E:$G,3,0),"-")</f>
        <v>0</v>
      </c>
      <c r="AA467" s="48"/>
      <c r="AB467" s="48"/>
      <c r="AC467" s="48" t="str">
        <f ca="1">IFERROR(VLOOKUP(A467,catalogo!$E:$H,4,0),"-")</f>
        <v>.</v>
      </c>
      <c r="AD467" s="48"/>
      <c r="AE467" s="48"/>
      <c r="AF467" s="48"/>
      <c r="AG467" s="48"/>
      <c r="AH467" s="48"/>
      <c r="AI467" s="48"/>
    </row>
    <row r="468" spans="1:35" ht="12.5" hidden="1">
      <c r="A468" s="37" t="s">
        <v>1078</v>
      </c>
      <c r="B468" s="38" t="str">
        <f>IFERROR(VLOOKUP(J468,catalogo!$B$1:$C$85,2,0),"-")</f>
        <v>#64</v>
      </c>
      <c r="C468" s="39">
        <v>46065.417361111111</v>
      </c>
      <c r="D468" s="17"/>
      <c r="E468" s="17"/>
      <c r="F468" s="17"/>
      <c r="G468" s="42">
        <v>22.9</v>
      </c>
      <c r="H468" s="42">
        <v>22.9</v>
      </c>
      <c r="I468" s="43" t="s">
        <v>156</v>
      </c>
      <c r="J468" s="43" t="s">
        <v>139</v>
      </c>
      <c r="K468" s="43" t="s">
        <v>169</v>
      </c>
      <c r="L468" s="44" t="s">
        <v>170</v>
      </c>
      <c r="M468" s="45">
        <v>7142</v>
      </c>
      <c r="N468" s="44" t="s">
        <v>167</v>
      </c>
      <c r="O468" s="17"/>
      <c r="P468" s="17"/>
      <c r="Q468" s="17"/>
      <c r="R468" s="17"/>
      <c r="S468" s="17"/>
      <c r="T468" s="17"/>
      <c r="U468" s="17"/>
      <c r="V468" s="17"/>
      <c r="W468" s="17"/>
      <c r="X468" s="17"/>
      <c r="Y468" s="46" t="str">
        <f ca="1">IFERROR(VLOOKUP(A468,catalogo!$E:$H,2,0),"-")</f>
        <v>-</v>
      </c>
      <c r="Z468" s="47" t="str">
        <f ca="1">IFERROR(VLOOKUP(A468,catalogo!$E:$G,3,0),"-")</f>
        <v>-</v>
      </c>
      <c r="AA468" s="48"/>
      <c r="AB468" s="48"/>
      <c r="AC468" s="48" t="str">
        <f ca="1">IFERROR(VLOOKUP(A468,catalogo!$E:$H,4,0),"-")</f>
        <v>-</v>
      </c>
      <c r="AD468" s="48"/>
      <c r="AE468" s="48"/>
      <c r="AF468" s="48"/>
      <c r="AG468" s="48"/>
      <c r="AH468" s="48"/>
      <c r="AI468" s="48"/>
    </row>
    <row r="469" spans="1:35" ht="12.5" hidden="1">
      <c r="A469" s="37" t="s">
        <v>301</v>
      </c>
      <c r="B469" s="38" t="str">
        <f>IFERROR(VLOOKUP(J469,catalogo!$B$1:$C$75,2,0),"-")</f>
        <v>#56</v>
      </c>
      <c r="C469" s="39">
        <v>46065.417361111111</v>
      </c>
      <c r="D469" s="17"/>
      <c r="E469" s="17"/>
      <c r="F469" s="17"/>
      <c r="G469" s="42">
        <v>104</v>
      </c>
      <c r="H469" s="42">
        <v>104</v>
      </c>
      <c r="I469" s="43" t="s">
        <v>156</v>
      </c>
      <c r="J469" s="43" t="s">
        <v>99</v>
      </c>
      <c r="K469" s="43" t="s">
        <v>359</v>
      </c>
      <c r="L469" s="44" t="s">
        <v>336</v>
      </c>
      <c r="M469" s="45">
        <v>8949</v>
      </c>
      <c r="N469" s="44" t="s">
        <v>167</v>
      </c>
      <c r="O469" s="17"/>
      <c r="P469" s="17"/>
      <c r="Q469" s="17"/>
      <c r="R469" s="17"/>
      <c r="S469" s="17"/>
      <c r="T469" s="17"/>
      <c r="U469" s="17"/>
      <c r="V469" s="17"/>
      <c r="W469" s="17"/>
      <c r="X469" s="17"/>
      <c r="Y469" s="46" t="str">
        <f ca="1">IFERROR(VLOOKUP(A469,catalogo!$E:$H,2,0),"-")</f>
        <v>Sales</v>
      </c>
      <c r="Z469" s="47" t="str">
        <f ca="1">IFERROR(VLOOKUP(A469,catalogo!$E:$G,3,0),"-")</f>
        <v xml:space="preserve">Vuelo Mty Grupo GI </v>
      </c>
      <c r="AA469" s="48"/>
      <c r="AB469" s="48"/>
      <c r="AC469" s="48" t="str">
        <f ca="1">IFERROR(VLOOKUP(A469,catalogo!$E:$H,4,0),"-")</f>
        <v>.</v>
      </c>
      <c r="AD469" s="48"/>
      <c r="AE469" s="48"/>
      <c r="AF469" s="48"/>
      <c r="AG469" s="48"/>
      <c r="AH469" s="48"/>
      <c r="AI469" s="48"/>
    </row>
    <row r="470" spans="1:35" ht="12.5" hidden="1">
      <c r="A470" s="37" t="s">
        <v>1079</v>
      </c>
      <c r="B470" s="38" t="str">
        <f>IFERROR(VLOOKUP(J470,catalogo!$B$1:$C$75,2,0),"-")</f>
        <v>#56</v>
      </c>
      <c r="C470" s="39">
        <v>46065.417361111111</v>
      </c>
      <c r="D470" s="17"/>
      <c r="E470" s="17"/>
      <c r="F470" s="17"/>
      <c r="G470" s="42">
        <v>1413.5</v>
      </c>
      <c r="H470" s="42">
        <v>1413.5</v>
      </c>
      <c r="I470" s="43" t="s">
        <v>156</v>
      </c>
      <c r="J470" s="43" t="s">
        <v>99</v>
      </c>
      <c r="K470" s="43" t="s">
        <v>1080</v>
      </c>
      <c r="L470" s="44" t="s">
        <v>1081</v>
      </c>
      <c r="M470" s="44">
        <v>8949</v>
      </c>
      <c r="N470" s="44" t="s">
        <v>167</v>
      </c>
      <c r="O470" s="17"/>
      <c r="P470" s="17"/>
      <c r="Q470" s="17"/>
      <c r="R470" s="17"/>
      <c r="S470" s="17"/>
      <c r="T470" s="17"/>
      <c r="U470" s="17"/>
      <c r="V470" s="17"/>
      <c r="W470" s="17"/>
      <c r="X470" s="17"/>
      <c r="Y470" s="46" t="str">
        <f ca="1">IFERROR(VLOOKUP(A470,catalogo!$E:$H,2,0),"-")</f>
        <v>-</v>
      </c>
      <c r="Z470" s="47" t="str">
        <f ca="1">IFERROR(VLOOKUP(A470,catalogo!$E:$G,3,0),"-")</f>
        <v>-</v>
      </c>
      <c r="AA470" s="48"/>
      <c r="AB470" s="48"/>
      <c r="AC470" s="48" t="str">
        <f ca="1">IFERROR(VLOOKUP(A470,catalogo!$E:$H,4,0),"-")</f>
        <v>-</v>
      </c>
      <c r="AD470" s="48"/>
      <c r="AE470" s="48"/>
      <c r="AF470" s="48"/>
      <c r="AG470" s="48"/>
      <c r="AH470" s="48"/>
      <c r="AI470" s="48"/>
    </row>
    <row r="471" spans="1:35" ht="12.5" hidden="1">
      <c r="A471" s="37" t="s">
        <v>1082</v>
      </c>
      <c r="B471" s="38" t="str">
        <f>IFERROR(VLOOKUP(J471,catalogo!$B$1:$C$75,2,0),"-")</f>
        <v>#42</v>
      </c>
      <c r="C471" s="39">
        <v>46065.417361111111</v>
      </c>
      <c r="D471" s="40"/>
      <c r="E471" s="41"/>
      <c r="F471" s="41"/>
      <c r="G471" s="42">
        <v>95</v>
      </c>
      <c r="H471" s="42">
        <v>95</v>
      </c>
      <c r="I471" s="43" t="s">
        <v>156</v>
      </c>
      <c r="J471" s="43" t="s">
        <v>78</v>
      </c>
      <c r="K471" s="43" t="s">
        <v>980</v>
      </c>
      <c r="L471" s="44" t="s">
        <v>981</v>
      </c>
      <c r="M471" s="45">
        <v>4431</v>
      </c>
      <c r="N471" s="44" t="s">
        <v>167</v>
      </c>
      <c r="O471" s="41"/>
      <c r="P471" s="41"/>
      <c r="Q471" s="41"/>
      <c r="R471" s="41"/>
      <c r="S471" s="41"/>
      <c r="T471" s="41"/>
      <c r="U471" s="41"/>
      <c r="V471" s="41"/>
      <c r="W471" s="41"/>
      <c r="X471" s="41"/>
      <c r="Y471" s="46" t="str">
        <f ca="1">IFERROR(VLOOKUP(A471,catalogo!$E:$H,2,0),"-")</f>
        <v>-</v>
      </c>
      <c r="Z471" s="47" t="str">
        <f ca="1">IFERROR(VLOOKUP(A471,catalogo!$E:$G,3,0),"-")</f>
        <v>-</v>
      </c>
      <c r="AA471" s="48"/>
      <c r="AB471" s="48"/>
      <c r="AC471" s="48" t="str">
        <f ca="1">IFERROR(VLOOKUP(A471,catalogo!$E:$H,4,0),"-")</f>
        <v>-</v>
      </c>
      <c r="AD471" s="48"/>
      <c r="AE471" s="48"/>
      <c r="AF471" s="48"/>
      <c r="AG471" s="48"/>
      <c r="AH471" s="48"/>
      <c r="AI471" s="48"/>
    </row>
    <row r="472" spans="1:35" ht="12.5" hidden="1">
      <c r="A472" s="37" t="s">
        <v>261</v>
      </c>
      <c r="B472" s="38" t="str">
        <f>IFERROR(VLOOKUP(J472,catalogo!$B$1:$C$100,2,0),"-")</f>
        <v>#56</v>
      </c>
      <c r="C472" s="39">
        <v>46065.417361111111</v>
      </c>
      <c r="D472" s="17"/>
      <c r="E472" s="17"/>
      <c r="F472" s="17"/>
      <c r="G472" s="42">
        <v>110</v>
      </c>
      <c r="H472" s="42">
        <v>110</v>
      </c>
      <c r="I472" s="43" t="s">
        <v>156</v>
      </c>
      <c r="J472" s="43" t="s">
        <v>99</v>
      </c>
      <c r="K472" s="43" t="s">
        <v>359</v>
      </c>
      <c r="L472" s="44" t="s">
        <v>336</v>
      </c>
      <c r="M472" s="45">
        <v>8949</v>
      </c>
      <c r="N472" s="44" t="s">
        <v>167</v>
      </c>
      <c r="O472" s="17"/>
      <c r="P472" s="17"/>
      <c r="Q472" s="17"/>
      <c r="R472" s="17"/>
      <c r="S472" s="17"/>
      <c r="T472" s="17"/>
      <c r="U472" s="17"/>
      <c r="V472" s="17"/>
      <c r="W472" s="17"/>
      <c r="X472" s="17"/>
      <c r="Y472" s="46" t="str">
        <f ca="1">IFERROR(VLOOKUP(A472,catalogo!$E:$H,2,0),"-")</f>
        <v>-</v>
      </c>
      <c r="Z472" s="47" t="str">
        <f ca="1">IFERROR(VLOOKUP(A472,catalogo!$E:$G,3,0),"-")</f>
        <v>-</v>
      </c>
      <c r="AA472" s="48"/>
      <c r="AB472" s="48"/>
      <c r="AC472" s="48" t="str">
        <f ca="1">IFERROR(VLOOKUP(A472,catalogo!$E:$H,4,0),"-")</f>
        <v>-</v>
      </c>
      <c r="AD472" s="48"/>
      <c r="AE472" s="48"/>
      <c r="AF472" s="48"/>
      <c r="AG472" s="48"/>
      <c r="AH472" s="48"/>
      <c r="AI472" s="48"/>
    </row>
    <row r="473" spans="1:35" ht="15.5" hidden="1">
      <c r="A473" s="37" t="s">
        <v>1083</v>
      </c>
      <c r="B473" s="38" t="str">
        <f>IFERROR(VLOOKUP(J473,catalogo!$B$1:$C$75,2,0),"-")</f>
        <v>#64</v>
      </c>
      <c r="C473" s="39">
        <v>46065.417361111111</v>
      </c>
      <c r="D473" s="17"/>
      <c r="E473" s="17"/>
      <c r="F473" s="17"/>
      <c r="G473" s="42">
        <v>320.82</v>
      </c>
      <c r="H473" s="42">
        <v>320.82</v>
      </c>
      <c r="I473" s="43" t="s">
        <v>156</v>
      </c>
      <c r="J473" s="43" t="s">
        <v>139</v>
      </c>
      <c r="K473" s="43" t="s">
        <v>195</v>
      </c>
      <c r="L473" s="44" t="s">
        <v>181</v>
      </c>
      <c r="M473" s="45">
        <v>7142</v>
      </c>
      <c r="N473" s="44" t="s">
        <v>167</v>
      </c>
      <c r="O473" s="49"/>
      <c r="P473" s="17"/>
      <c r="Q473" s="17"/>
      <c r="R473" s="17"/>
      <c r="S473" s="17"/>
      <c r="T473" s="17"/>
      <c r="U473" s="17"/>
      <c r="V473" s="17"/>
      <c r="W473" s="17"/>
      <c r="X473" s="17"/>
      <c r="Y473" s="46" t="str">
        <f ca="1">IFERROR(VLOOKUP(A473,catalogo!$E:$H,2,0),"-")</f>
        <v>-</v>
      </c>
      <c r="Z473" s="47" t="str">
        <f ca="1">IFERROR(VLOOKUP(A473,catalogo!$E:$G,3,0),"-")</f>
        <v>-</v>
      </c>
      <c r="AA473" s="48"/>
      <c r="AB473" s="48"/>
      <c r="AC473" s="48" t="str">
        <f ca="1">IFERROR(VLOOKUP(A473,catalogo!$E:$H,4,0),"-")</f>
        <v>-</v>
      </c>
      <c r="AD473" s="48"/>
      <c r="AE473" s="48"/>
      <c r="AF473" s="48"/>
      <c r="AG473" s="48"/>
      <c r="AH473" s="48"/>
      <c r="AI473" s="48"/>
    </row>
    <row r="474" spans="1:35" ht="12.5" hidden="1">
      <c r="A474" s="37" t="s">
        <v>1084</v>
      </c>
      <c r="B474" s="38" t="str">
        <f>IFERROR(VLOOKUP(J474,catalogo!$B$1:$C$100,2,0),"-")</f>
        <v>#75</v>
      </c>
      <c r="C474" s="39">
        <v>46065.417361111111</v>
      </c>
      <c r="D474" s="17"/>
      <c r="E474" s="17"/>
      <c r="F474" s="17"/>
      <c r="G474" s="42">
        <v>1359.3</v>
      </c>
      <c r="H474" s="42">
        <v>75</v>
      </c>
      <c r="I474" s="43" t="s">
        <v>172</v>
      </c>
      <c r="J474" s="43" t="s">
        <v>343</v>
      </c>
      <c r="K474" s="43" t="s">
        <v>1085</v>
      </c>
      <c r="L474" s="44" t="s">
        <v>1086</v>
      </c>
      <c r="M474" s="45" t="s">
        <v>433</v>
      </c>
      <c r="N474" s="44" t="s">
        <v>144</v>
      </c>
      <c r="O474" s="17"/>
      <c r="P474" s="17"/>
      <c r="Q474" s="17"/>
      <c r="R474" s="17"/>
      <c r="S474" s="17"/>
      <c r="T474" s="17"/>
      <c r="U474" s="17"/>
      <c r="V474" s="17"/>
      <c r="W474" s="17"/>
      <c r="X474" s="17"/>
      <c r="Y474" s="46" t="str">
        <f ca="1">IFERROR(VLOOKUP(A474,catalogo!$E:$G,2,0),"-")</f>
        <v>-</v>
      </c>
      <c r="Z474" s="47" t="str">
        <f ca="1">IFERROR(VLOOKUP(A474,catalogo!$E:$G,3,0),"-")</f>
        <v>-</v>
      </c>
      <c r="AA474" s="48"/>
      <c r="AB474" s="48"/>
      <c r="AC474" s="48" t="str">
        <f ca="1">IFERROR(VLOOKUP(A474,catalogo!$E:$H,4,0),"-")</f>
        <v>-</v>
      </c>
      <c r="AD474" s="48"/>
      <c r="AE474" s="48"/>
      <c r="AF474" s="48"/>
      <c r="AG474" s="48"/>
      <c r="AH474" s="48"/>
      <c r="AI474" s="48"/>
    </row>
    <row r="475" spans="1:35" ht="12.5" hidden="1">
      <c r="A475" s="37" t="s">
        <v>1087</v>
      </c>
      <c r="B475" s="38" t="str">
        <f>IFERROR(VLOOKUP(J475,catalogo!$B$1:$C$75,2,0),"-")</f>
        <v>#3</v>
      </c>
      <c r="C475" s="39">
        <v>46065.417361111111</v>
      </c>
      <c r="D475" s="40"/>
      <c r="E475" s="41"/>
      <c r="F475" s="41"/>
      <c r="G475" s="42">
        <v>574</v>
      </c>
      <c r="H475" s="42">
        <v>574</v>
      </c>
      <c r="I475" s="43" t="s">
        <v>156</v>
      </c>
      <c r="J475" s="43" t="s">
        <v>84</v>
      </c>
      <c r="K475" s="43" t="s">
        <v>717</v>
      </c>
      <c r="L475" s="44" t="s">
        <v>718</v>
      </c>
      <c r="M475" s="44">
        <v>8657</v>
      </c>
      <c r="N475" s="44" t="s">
        <v>167</v>
      </c>
      <c r="O475" s="41"/>
      <c r="P475" s="41"/>
      <c r="Q475" s="41"/>
      <c r="R475" s="41"/>
      <c r="S475" s="41"/>
      <c r="T475" s="41"/>
      <c r="U475" s="41"/>
      <c r="V475" s="41"/>
      <c r="W475" s="41"/>
      <c r="X475" s="41"/>
      <c r="Y475" s="46" t="str">
        <f ca="1">IFERROR(VLOOKUP(A475,catalogo!$E:$H,2,0),"-")</f>
        <v>Sales</v>
      </c>
      <c r="Z475" s="47" t="str">
        <f ca="1">IFERROR(VLOOKUP(A475,catalogo!$E:$G,3,0),"-")</f>
        <v>Gasolina visita equipo Elvic PO1129</v>
      </c>
      <c r="AA475" s="48"/>
      <c r="AB475" s="48"/>
      <c r="AC475" s="48" t="str">
        <f ca="1">IFERROR(VLOOKUP(A475,catalogo!$E:$H,4,0),"-")</f>
        <v>TICKET</v>
      </c>
      <c r="AD475" s="48"/>
      <c r="AE475" s="48"/>
      <c r="AF475" s="48"/>
      <c r="AG475" s="48"/>
      <c r="AH475" s="48"/>
      <c r="AI475" s="48"/>
    </row>
    <row r="476" spans="1:35" ht="15.5" hidden="1">
      <c r="A476" s="37" t="s">
        <v>1088</v>
      </c>
      <c r="B476" s="38" t="str">
        <f>IFERROR(VLOOKUP(J476,catalogo!$B$1:$C$75,2,0),"-")</f>
        <v>-</v>
      </c>
      <c r="C476" s="39">
        <v>46065.417361111111</v>
      </c>
      <c r="D476" s="17"/>
      <c r="E476" s="17"/>
      <c r="F476" s="17"/>
      <c r="G476" s="42">
        <v>25</v>
      </c>
      <c r="H476" s="42">
        <v>25</v>
      </c>
      <c r="I476" s="43" t="s">
        <v>156</v>
      </c>
      <c r="J476" s="43" t="s">
        <v>321</v>
      </c>
      <c r="K476" s="43" t="s">
        <v>841</v>
      </c>
      <c r="L476" s="44" t="s">
        <v>842</v>
      </c>
      <c r="M476" s="45">
        <v>3340</v>
      </c>
      <c r="N476" s="44" t="s">
        <v>167</v>
      </c>
      <c r="O476" s="49" t="s">
        <v>847</v>
      </c>
      <c r="P476" s="17"/>
      <c r="Q476" s="17"/>
      <c r="R476" s="17"/>
      <c r="S476" s="17"/>
      <c r="T476" s="17"/>
      <c r="U476" s="17"/>
      <c r="V476" s="17"/>
      <c r="W476" s="17"/>
      <c r="X476" s="17"/>
      <c r="Y476" s="46" t="str">
        <f ca="1">IFERROR(VLOOKUP(A476,catalogo!$E:$H,2,0),"-")</f>
        <v>-</v>
      </c>
      <c r="Z476" s="47" t="str">
        <f ca="1">IFERROR(VLOOKUP(A476,catalogo!$E:$G,3,0),"-")</f>
        <v>-</v>
      </c>
      <c r="AA476" s="48"/>
      <c r="AB476" s="48"/>
      <c r="AC476" s="48" t="str">
        <f ca="1">IFERROR(VLOOKUP(A476,catalogo!$E:$H,4,0),"-")</f>
        <v>-</v>
      </c>
      <c r="AD476" s="48"/>
      <c r="AE476" s="48"/>
      <c r="AF476" s="48"/>
      <c r="AG476" s="48"/>
      <c r="AH476" s="48"/>
      <c r="AI476" s="48"/>
    </row>
    <row r="477" spans="1:35" ht="12.5" hidden="1">
      <c r="A477" s="37" t="s">
        <v>1089</v>
      </c>
      <c r="B477" s="38" t="str">
        <f>IFERROR(VLOOKUP(J477,catalogo!$B$1:$C$75,2,0),"-")</f>
        <v>#5</v>
      </c>
      <c r="C477" s="39">
        <v>46065.417361111111</v>
      </c>
      <c r="D477" s="17"/>
      <c r="E477" s="17"/>
      <c r="F477" s="17"/>
      <c r="G477" s="42">
        <v>1690.58</v>
      </c>
      <c r="H477" s="42">
        <v>1690.58</v>
      </c>
      <c r="I477" s="43" t="s">
        <v>156</v>
      </c>
      <c r="J477" s="43" t="s">
        <v>104</v>
      </c>
      <c r="K477" s="43" t="s">
        <v>399</v>
      </c>
      <c r="L477" s="44" t="s">
        <v>400</v>
      </c>
      <c r="M477" s="45">
        <v>3283</v>
      </c>
      <c r="N477" s="44" t="s">
        <v>167</v>
      </c>
      <c r="O477" s="17"/>
      <c r="P477" s="17"/>
      <c r="Q477" s="17"/>
      <c r="R477" s="17"/>
      <c r="S477" s="17"/>
      <c r="T477" s="17"/>
      <c r="U477" s="17"/>
      <c r="V477" s="17"/>
      <c r="W477" s="17"/>
      <c r="X477" s="17"/>
      <c r="Y477" s="46" t="str">
        <f ca="1">IFERROR(VLOOKUP(A477,catalogo!$E:$H,2,0),"-")</f>
        <v>Office expenses</v>
      </c>
      <c r="Z477" s="47" t="str">
        <f ca="1">IFERROR(VLOOKUP(A477,catalogo!$E:$G,3,0),"-")</f>
        <v>Snacks para la oficina</v>
      </c>
      <c r="AA477" s="48"/>
      <c r="AB477" s="48"/>
      <c r="AC477" s="48" t="str">
        <f ca="1">IFERROR(VLOOKUP(A477,catalogo!$E:$H,4,0),"-")</f>
        <v>.</v>
      </c>
      <c r="AD477" s="48"/>
      <c r="AE477" s="48"/>
      <c r="AF477" s="48"/>
      <c r="AG477" s="48"/>
      <c r="AH477" s="48"/>
      <c r="AI477" s="48"/>
    </row>
    <row r="478" spans="1:35" ht="12.5" hidden="1">
      <c r="A478" s="37" t="s">
        <v>1090</v>
      </c>
      <c r="B478" s="38" t="str">
        <f>IFERROR(VLOOKUP(J478,catalogo!$B$1:$C$85,2,0),"-")</f>
        <v>#69</v>
      </c>
      <c r="C478" s="39">
        <v>46065.417361111111</v>
      </c>
      <c r="D478" s="40"/>
      <c r="E478" s="41"/>
      <c r="F478" s="41"/>
      <c r="G478" s="42">
        <v>81</v>
      </c>
      <c r="H478" s="42">
        <v>81</v>
      </c>
      <c r="I478" s="43" t="s">
        <v>156</v>
      </c>
      <c r="J478" s="50" t="s">
        <v>110</v>
      </c>
      <c r="K478" s="43" t="s">
        <v>1091</v>
      </c>
      <c r="L478" s="44" t="s">
        <v>1092</v>
      </c>
      <c r="M478" s="45">
        <v>8231</v>
      </c>
      <c r="N478" s="44" t="s">
        <v>167</v>
      </c>
      <c r="O478" s="41"/>
      <c r="P478" s="41"/>
      <c r="Q478" s="41"/>
      <c r="R478" s="41"/>
      <c r="S478" s="41"/>
      <c r="T478" s="41"/>
      <c r="U478" s="41"/>
      <c r="V478" s="41"/>
      <c r="W478" s="41"/>
      <c r="X478" s="41"/>
      <c r="Y478" s="46" t="str">
        <f ca="1">IFERROR(VLOOKUP(A478,catalogo!$E:$H,2,0),"-")</f>
        <v>-</v>
      </c>
      <c r="Z478" s="47" t="str">
        <f ca="1">IFERROR(VLOOKUP(A478,catalogo!$E:$G,3,0),"-")</f>
        <v>-</v>
      </c>
      <c r="AA478" s="48"/>
      <c r="AB478" s="48"/>
      <c r="AC478" s="48" t="str">
        <f ca="1">IFERROR(VLOOKUP(A478,catalogo!$E:$H,4,0),"-")</f>
        <v>-</v>
      </c>
      <c r="AD478" s="48"/>
      <c r="AE478" s="48"/>
      <c r="AF478" s="48"/>
      <c r="AG478" s="48"/>
      <c r="AH478" s="48"/>
      <c r="AI478" s="48"/>
    </row>
    <row r="479" spans="1:35" ht="12.5" hidden="1">
      <c r="A479" s="37" t="s">
        <v>1093</v>
      </c>
      <c r="B479" s="38" t="str">
        <f>IFERROR(VLOOKUP(J479,catalogo!$B$1:$C$75,2,0),"-")</f>
        <v>#19</v>
      </c>
      <c r="C479" s="39">
        <v>46065.417361111111</v>
      </c>
      <c r="D479" s="40"/>
      <c r="E479" s="41"/>
      <c r="F479" s="41"/>
      <c r="G479" s="42">
        <v>85</v>
      </c>
      <c r="H479" s="42">
        <v>85</v>
      </c>
      <c r="I479" s="43" t="s">
        <v>156</v>
      </c>
      <c r="J479" s="43" t="s">
        <v>105</v>
      </c>
      <c r="K479" s="43" t="s">
        <v>1094</v>
      </c>
      <c r="L479" s="44" t="s">
        <v>1095</v>
      </c>
      <c r="M479" s="44">
        <v>5778</v>
      </c>
      <c r="N479" s="44" t="s">
        <v>167</v>
      </c>
      <c r="O479" s="41"/>
      <c r="P479" s="41"/>
      <c r="Q479" s="41"/>
      <c r="R479" s="41"/>
      <c r="S479" s="41"/>
      <c r="T479" s="41"/>
      <c r="U479" s="41"/>
      <c r="V479" s="41"/>
      <c r="W479" s="41"/>
      <c r="X479" s="41"/>
      <c r="Y479" s="46" t="str">
        <f ca="1">IFERROR(VLOOKUP(A479,catalogo!$E:$H,2,0),"-")</f>
        <v>Transaction cost</v>
      </c>
      <c r="Z479" s="47" t="str">
        <f ca="1">IFERROR(VLOOKUP(A479,catalogo!$E:$G,3,0),"-")</f>
        <v>PO1953  ARTEVALLEDEBRAVO</v>
      </c>
      <c r="AA479" s="48"/>
      <c r="AB479" s="48"/>
      <c r="AC479" s="48" t="str">
        <f ca="1">IFERROR(VLOOKUP(A479,catalogo!$E:$H,4,0),"-")</f>
        <v>-</v>
      </c>
      <c r="AD479" s="48"/>
      <c r="AE479" s="48"/>
      <c r="AF479" s="48"/>
      <c r="AG479" s="48"/>
      <c r="AH479" s="48"/>
      <c r="AI479" s="48"/>
    </row>
    <row r="480" spans="1:35" ht="12.5" hidden="1">
      <c r="A480" s="37" t="s">
        <v>1096</v>
      </c>
      <c r="B480" s="38" t="str">
        <f>IFERROR(VLOOKUP(J480,catalogo!$B$1:$C$70,2,0),"-")</f>
        <v>#8</v>
      </c>
      <c r="C480" s="39">
        <v>46065.417361111111</v>
      </c>
      <c r="D480" s="17"/>
      <c r="E480" s="17"/>
      <c r="F480" s="17"/>
      <c r="G480" s="42">
        <v>114</v>
      </c>
      <c r="H480" s="42">
        <v>114</v>
      </c>
      <c r="I480" s="43" t="s">
        <v>156</v>
      </c>
      <c r="J480" s="43" t="s">
        <v>128</v>
      </c>
      <c r="K480" s="43" t="s">
        <v>419</v>
      </c>
      <c r="L480" s="44" t="s">
        <v>420</v>
      </c>
      <c r="M480" s="45">
        <v>16</v>
      </c>
      <c r="N480" s="44" t="s">
        <v>167</v>
      </c>
      <c r="O480" s="17"/>
      <c r="P480" s="17"/>
      <c r="Q480" s="17"/>
      <c r="R480" s="17"/>
      <c r="S480" s="17"/>
      <c r="T480" s="17"/>
      <c r="U480" s="17"/>
      <c r="V480" s="17"/>
      <c r="W480" s="17"/>
      <c r="X480" s="17"/>
      <c r="Y480" s="46" t="str">
        <f ca="1">IFERROR(VLOOKUP(A480,catalogo!$E:$G,2,0),"-")</f>
        <v>Transaction cost</v>
      </c>
      <c r="Z480" s="47" t="str">
        <f ca="1">IFERROR(VLOOKUP(A480,catalogo!$E:$G,3,0),"-")</f>
        <v>COMIDA   PO2165 - ENSAMBLE UF/CEB MECANICO</v>
      </c>
      <c r="AA480" s="48"/>
      <c r="AB480" s="48"/>
      <c r="AC480" s="48" t="str">
        <f ca="1">IFERROR(VLOOKUP(A480,catalogo!$E:$H,4,0),"-")</f>
        <v>.</v>
      </c>
      <c r="AD480" s="48"/>
      <c r="AE480" s="48"/>
      <c r="AF480" s="48"/>
      <c r="AG480" s="48"/>
      <c r="AH480" s="48"/>
      <c r="AI480" s="48"/>
    </row>
    <row r="481" spans="1:35" ht="12.5" hidden="1">
      <c r="A481" s="37" t="s">
        <v>1097</v>
      </c>
      <c r="B481" s="38" t="str">
        <f>IFERROR(VLOOKUP(J481,catalogo!$B$1:$C$75,2,0),"-")</f>
        <v>#3</v>
      </c>
      <c r="C481" s="39">
        <v>46065.417361111111</v>
      </c>
      <c r="D481" s="17"/>
      <c r="E481" s="17"/>
      <c r="F481" s="17"/>
      <c r="G481" s="42">
        <v>767</v>
      </c>
      <c r="H481" s="42">
        <v>767</v>
      </c>
      <c r="I481" s="43" t="s">
        <v>156</v>
      </c>
      <c r="J481" s="43" t="s">
        <v>84</v>
      </c>
      <c r="K481" s="43" t="s">
        <v>1098</v>
      </c>
      <c r="L481" s="44" t="s">
        <v>1099</v>
      </c>
      <c r="M481" s="45">
        <v>8657</v>
      </c>
      <c r="N481" s="44" t="s">
        <v>167</v>
      </c>
      <c r="O481" s="17"/>
      <c r="P481" s="17"/>
      <c r="Q481" s="17"/>
      <c r="R481" s="17"/>
      <c r="S481" s="17"/>
      <c r="T481" s="17"/>
      <c r="U481" s="17"/>
      <c r="V481" s="17"/>
      <c r="W481" s="17"/>
      <c r="X481" s="17"/>
      <c r="Y481" s="46" t="str">
        <f ca="1">IFERROR(VLOOKUP(A481,catalogo!$E:$H,2,0),"-")</f>
        <v>Sales</v>
      </c>
      <c r="Z481" s="47" t="str">
        <f ca="1">IFERROR(VLOOKUP(A481,catalogo!$E:$G,3,0),"-")</f>
        <v>Comida equipo Elvic  PO 1129</v>
      </c>
      <c r="AA481" s="48"/>
      <c r="AB481" s="48"/>
      <c r="AC481" s="48" t="str">
        <f ca="1">IFERROR(VLOOKUP(A481,catalogo!$E:$H,4,0),"-")</f>
        <v>TICKET</v>
      </c>
      <c r="AD481" s="48"/>
      <c r="AE481" s="48"/>
      <c r="AF481" s="48"/>
      <c r="AG481" s="48"/>
      <c r="AH481" s="48"/>
      <c r="AI481" s="48"/>
    </row>
    <row r="482" spans="1:35" ht="12.5" hidden="1">
      <c r="A482" s="37" t="s">
        <v>1100</v>
      </c>
      <c r="B482" s="38" t="str">
        <f>IFERROR(VLOOKUP(J482,catalogo!$B$1:$C$75,2,0),"-")</f>
        <v>#42</v>
      </c>
      <c r="C482" s="39">
        <v>46065.417361111111</v>
      </c>
      <c r="D482" s="17"/>
      <c r="E482" s="17"/>
      <c r="F482" s="17"/>
      <c r="G482" s="42">
        <v>337.7</v>
      </c>
      <c r="H482" s="42">
        <v>337.7</v>
      </c>
      <c r="I482" s="43" t="s">
        <v>156</v>
      </c>
      <c r="J482" s="43" t="s">
        <v>78</v>
      </c>
      <c r="K482" s="43" t="s">
        <v>1101</v>
      </c>
      <c r="L482" s="44" t="s">
        <v>1102</v>
      </c>
      <c r="M482" s="45">
        <v>4431</v>
      </c>
      <c r="N482" s="44" t="s">
        <v>167</v>
      </c>
      <c r="O482" s="17"/>
      <c r="P482" s="17"/>
      <c r="Q482" s="17"/>
      <c r="R482" s="17"/>
      <c r="S482" s="17"/>
      <c r="T482" s="17"/>
      <c r="U482" s="17"/>
      <c r="V482" s="17"/>
      <c r="W482" s="17"/>
      <c r="X482" s="17"/>
      <c r="Y482" s="46" t="str">
        <f ca="1">IFERROR(VLOOKUP(A482,catalogo!$E:$H,2,0),"-")</f>
        <v>-</v>
      </c>
      <c r="Z482" s="47" t="str">
        <f ca="1">IFERROR(VLOOKUP(A482,catalogo!$E:$G,3,0),"-")</f>
        <v>-</v>
      </c>
      <c r="AA482" s="48"/>
      <c r="AB482" s="48"/>
      <c r="AC482" s="48" t="str">
        <f ca="1">IFERROR(VLOOKUP(A482,catalogo!$E:$H,4,0),"-")</f>
        <v>-</v>
      </c>
      <c r="AD482" s="48"/>
      <c r="AE482" s="48"/>
      <c r="AF482" s="48"/>
      <c r="AG482" s="48"/>
      <c r="AH482" s="48"/>
      <c r="AI482" s="48"/>
    </row>
    <row r="483" spans="1:35" ht="12.5" hidden="1">
      <c r="A483" s="37" t="s">
        <v>1103</v>
      </c>
      <c r="B483" s="38" t="str">
        <f>IFERROR(VLOOKUP(J483,catalogo!$B$1:$C$75,2,0),"-")</f>
        <v>-</v>
      </c>
      <c r="C483" s="39">
        <v>46065.417361111111</v>
      </c>
      <c r="D483" s="17"/>
      <c r="E483" s="17"/>
      <c r="F483" s="17"/>
      <c r="G483" s="42">
        <v>143</v>
      </c>
      <c r="H483" s="42">
        <v>143</v>
      </c>
      <c r="I483" s="43" t="s">
        <v>156</v>
      </c>
      <c r="J483" s="43" t="s">
        <v>269</v>
      </c>
      <c r="K483" s="43" t="s">
        <v>973</v>
      </c>
      <c r="L483" s="44" t="s">
        <v>974</v>
      </c>
      <c r="M483" s="45">
        <v>6130</v>
      </c>
      <c r="N483" s="44" t="s">
        <v>167</v>
      </c>
      <c r="O483" s="17"/>
      <c r="P483" s="17"/>
      <c r="Q483" s="17"/>
      <c r="R483" s="17"/>
      <c r="S483" s="17"/>
      <c r="T483" s="17"/>
      <c r="U483" s="17"/>
      <c r="V483" s="17"/>
      <c r="W483" s="17"/>
      <c r="X483" s="17"/>
      <c r="Y483" s="46" t="str">
        <f ca="1">IFERROR(VLOOKUP(A483,catalogo!$E:$H,2,0),"-")</f>
        <v>-</v>
      </c>
      <c r="Z483" s="47" t="str">
        <f ca="1">IFERROR(VLOOKUP(A483,catalogo!$E:$G,3,0),"-")</f>
        <v>-</v>
      </c>
      <c r="AA483" s="48"/>
      <c r="AB483" s="48"/>
      <c r="AC483" s="48" t="str">
        <f ca="1">IFERROR(VLOOKUP(A483,catalogo!$E:$H,4,0),"-")</f>
        <v>-</v>
      </c>
      <c r="AD483" s="48"/>
      <c r="AE483" s="48"/>
      <c r="AF483" s="48"/>
      <c r="AG483" s="48"/>
      <c r="AH483" s="48"/>
      <c r="AI483" s="48"/>
    </row>
    <row r="484" spans="1:35" ht="12.5" hidden="1">
      <c r="A484" s="37" t="s">
        <v>1104</v>
      </c>
      <c r="B484" s="38" t="str">
        <f>IFERROR(VLOOKUP(J484,catalogo!$B$1:$C$75,2,0),"-")</f>
        <v>-</v>
      </c>
      <c r="C484" s="39">
        <v>46065.417361111111</v>
      </c>
      <c r="D484" s="17"/>
      <c r="E484" s="17"/>
      <c r="F484" s="17"/>
      <c r="G484" s="42">
        <v>25</v>
      </c>
      <c r="H484" s="42">
        <v>25</v>
      </c>
      <c r="I484" s="43" t="s">
        <v>156</v>
      </c>
      <c r="J484" s="43" t="s">
        <v>321</v>
      </c>
      <c r="K484" s="43" t="s">
        <v>841</v>
      </c>
      <c r="L484" s="44" t="s">
        <v>842</v>
      </c>
      <c r="M484" s="45">
        <v>3340</v>
      </c>
      <c r="N484" s="44" t="s">
        <v>167</v>
      </c>
      <c r="O484" s="17"/>
      <c r="P484" s="17"/>
      <c r="Q484" s="17"/>
      <c r="R484" s="17"/>
      <c r="S484" s="17"/>
      <c r="T484" s="17"/>
      <c r="U484" s="17"/>
      <c r="V484" s="17"/>
      <c r="W484" s="17"/>
      <c r="X484" s="17"/>
      <c r="Y484" s="46" t="str">
        <f ca="1">IFERROR(VLOOKUP(A484,catalogo!$E:$H,2,0),"-")</f>
        <v>-</v>
      </c>
      <c r="Z484" s="47" t="str">
        <f ca="1">IFERROR(VLOOKUP(A484,catalogo!$E:$G,3,0),"-")</f>
        <v>-</v>
      </c>
      <c r="AA484" s="48"/>
      <c r="AB484" s="48"/>
      <c r="AC484" s="48" t="str">
        <f ca="1">IFERROR(VLOOKUP(A484,catalogo!$E:$H,4,0),"-")</f>
        <v>-</v>
      </c>
      <c r="AD484" s="48"/>
      <c r="AE484" s="48"/>
      <c r="AF484" s="48"/>
      <c r="AG484" s="48"/>
      <c r="AH484" s="48"/>
      <c r="AI484" s="48"/>
    </row>
    <row r="485" spans="1:35" ht="15.5" hidden="1">
      <c r="A485" s="37" t="s">
        <v>1105</v>
      </c>
      <c r="B485" s="38" t="str">
        <f>IFERROR(VLOOKUP(J485,catalogo!$B$1:$C$100,2,0),"-")</f>
        <v>#49</v>
      </c>
      <c r="C485" s="39">
        <v>46065.417361111111</v>
      </c>
      <c r="D485" s="17"/>
      <c r="E485" s="17"/>
      <c r="F485" s="17"/>
      <c r="G485" s="42">
        <v>378</v>
      </c>
      <c r="H485" s="42">
        <v>378</v>
      </c>
      <c r="I485" s="43" t="s">
        <v>156</v>
      </c>
      <c r="J485" s="43" t="s">
        <v>124</v>
      </c>
      <c r="K485" s="43" t="s">
        <v>1106</v>
      </c>
      <c r="L485" s="44" t="s">
        <v>1107</v>
      </c>
      <c r="M485" s="45">
        <v>4488</v>
      </c>
      <c r="N485" s="44" t="s">
        <v>167</v>
      </c>
      <c r="O485" s="49"/>
      <c r="P485" s="17"/>
      <c r="Q485" s="17"/>
      <c r="R485" s="17"/>
      <c r="S485" s="17"/>
      <c r="T485" s="17"/>
      <c r="U485" s="17"/>
      <c r="V485" s="17"/>
      <c r="W485" s="17"/>
      <c r="X485" s="17"/>
      <c r="Y485" s="46" t="str">
        <f ca="1">IFERROR(VLOOKUP(A485,catalogo!$E:$H,2,0),"-")</f>
        <v>-</v>
      </c>
      <c r="Z485" s="47" t="str">
        <f ca="1">IFERROR(VLOOKUP(A485,catalogo!$E:$G,3,0),"-")</f>
        <v>-</v>
      </c>
      <c r="AA485" s="48"/>
      <c r="AB485" s="48"/>
      <c r="AC485" s="48" t="str">
        <f ca="1">IFERROR(VLOOKUP(A485,catalogo!$E:$H,4,0),"-")</f>
        <v>-</v>
      </c>
      <c r="AD485" s="48"/>
      <c r="AE485" s="48"/>
      <c r="AF485" s="48"/>
      <c r="AG485" s="48"/>
      <c r="AH485" s="48"/>
      <c r="AI485" s="48"/>
    </row>
    <row r="486" spans="1:35" ht="12.5" hidden="1">
      <c r="A486" s="37" t="s">
        <v>312</v>
      </c>
      <c r="B486" s="38" t="str">
        <f>IFERROR(VLOOKUP(J486,catalogo!$B$1:$C$100,2,0),"-")</f>
        <v>#64</v>
      </c>
      <c r="C486" s="39">
        <v>46065.417361111111</v>
      </c>
      <c r="D486" s="17"/>
      <c r="E486" s="17"/>
      <c r="F486" s="17"/>
      <c r="G486" s="42">
        <v>819</v>
      </c>
      <c r="H486" s="42">
        <v>819</v>
      </c>
      <c r="I486" s="43" t="s">
        <v>156</v>
      </c>
      <c r="J486" s="43" t="s">
        <v>139</v>
      </c>
      <c r="K486" s="43" t="s">
        <v>1108</v>
      </c>
      <c r="L486" s="44" t="s">
        <v>1109</v>
      </c>
      <c r="M486" s="45">
        <v>7142</v>
      </c>
      <c r="N486" s="44" t="s">
        <v>167</v>
      </c>
      <c r="O486" s="17"/>
      <c r="P486" s="17"/>
      <c r="Q486" s="17"/>
      <c r="R486" s="17"/>
      <c r="S486" s="17"/>
      <c r="T486" s="17"/>
      <c r="U486" s="17"/>
      <c r="V486" s="17"/>
      <c r="W486" s="17"/>
      <c r="X486" s="17"/>
      <c r="Y486" s="46" t="str">
        <f ca="1">IFERROR(VLOOKUP(A486,catalogo!$E:$H,2,0),"-")</f>
        <v>Sales</v>
      </c>
      <c r="Z486" s="47" t="str">
        <f ca="1">IFERROR(VLOOKUP(A486,catalogo!$E:$G,3,0),"-")</f>
        <v>Compra de Pulidora y discos para obra Grajales Robles PO1129</v>
      </c>
      <c r="AA486" s="48"/>
      <c r="AB486" s="48"/>
      <c r="AC486" s="48" t="str">
        <f ca="1">IFERROR(VLOOKUP(A486,catalogo!$E:$H,4,0),"-")</f>
        <v>TICKET</v>
      </c>
      <c r="AD486" s="48"/>
      <c r="AE486" s="48"/>
      <c r="AF486" s="48"/>
      <c r="AG486" s="48"/>
      <c r="AH486" s="48"/>
      <c r="AI486" s="48"/>
    </row>
    <row r="487" spans="1:35" ht="12.5">
      <c r="A487" s="37" t="s">
        <v>486</v>
      </c>
      <c r="B487" s="38" t="str">
        <f>IFERROR(VLOOKUP(J487,catalogo!$B$1:$C$100,2,0),"-")</f>
        <v>#35</v>
      </c>
      <c r="C487" s="39">
        <v>46065.417361111111</v>
      </c>
      <c r="D487" s="52"/>
      <c r="E487" s="17"/>
      <c r="F487" s="17"/>
      <c r="G487" s="42">
        <v>362.48</v>
      </c>
      <c r="H487" s="42">
        <v>20</v>
      </c>
      <c r="I487" s="43" t="s">
        <v>172</v>
      </c>
      <c r="J487" s="50" t="s">
        <v>123</v>
      </c>
      <c r="K487" s="43" t="s">
        <v>173</v>
      </c>
      <c r="L487" s="44" t="s">
        <v>174</v>
      </c>
      <c r="M487" s="45">
        <v>1771</v>
      </c>
      <c r="N487" s="44" t="s">
        <v>167</v>
      </c>
      <c r="O487" s="17"/>
      <c r="P487" s="17"/>
      <c r="Q487" s="17"/>
      <c r="R487" s="17"/>
      <c r="S487" s="17"/>
      <c r="T487" s="17"/>
      <c r="U487" s="17"/>
      <c r="V487" s="17"/>
      <c r="W487" s="17"/>
      <c r="X487" s="17"/>
      <c r="Y487" s="46" t="str">
        <f ca="1">IFERROR(VLOOKUP(A487,catalogo!$E:$H,2,0),"-")</f>
        <v>-</v>
      </c>
      <c r="Z487" s="47" t="str">
        <f ca="1">IFERROR(VLOOKUP(A487,catalogo!$E:$G,3,0),"-")</f>
        <v>-</v>
      </c>
      <c r="AA487" s="48"/>
      <c r="AB487" s="48"/>
      <c r="AC487" s="48" t="str">
        <f ca="1">IFERROR(VLOOKUP(A487,catalogo!$E:$H,4,0),"-")</f>
        <v>-</v>
      </c>
      <c r="AD487" s="48"/>
      <c r="AE487" s="48"/>
      <c r="AF487" s="48"/>
      <c r="AG487" s="48"/>
      <c r="AH487" s="48"/>
      <c r="AI487" s="48"/>
    </row>
    <row r="488" spans="1:35" ht="12.5" hidden="1">
      <c r="A488" s="37" t="s">
        <v>1110</v>
      </c>
      <c r="B488" s="38" t="str">
        <f>IFERROR(VLOOKUP(J488,catalogo!$B$1:$C$75,2,0),"-")</f>
        <v>-</v>
      </c>
      <c r="C488" s="39">
        <v>46066.416666666664</v>
      </c>
      <c r="D488" s="40"/>
      <c r="E488" s="41"/>
      <c r="F488" s="41"/>
      <c r="G488" s="42">
        <v>59.2</v>
      </c>
      <c r="H488" s="42">
        <v>59.2</v>
      </c>
      <c r="I488" s="43" t="s">
        <v>156</v>
      </c>
      <c r="J488" s="43" t="s">
        <v>187</v>
      </c>
      <c r="K488" s="43" t="s">
        <v>232</v>
      </c>
      <c r="L488" s="44" t="s">
        <v>233</v>
      </c>
      <c r="M488" s="44" t="s">
        <v>477</v>
      </c>
      <c r="N488" s="44" t="s">
        <v>144</v>
      </c>
      <c r="O488" s="41"/>
      <c r="P488" s="41"/>
      <c r="Q488" s="41"/>
      <c r="R488" s="41"/>
      <c r="S488" s="41"/>
      <c r="T488" s="41"/>
      <c r="U488" s="41"/>
      <c r="V488" s="41"/>
      <c r="W488" s="41"/>
      <c r="X488" s="41"/>
      <c r="Y488" s="46" t="str">
        <f ca="1">IFERROR(VLOOKUP(A488,catalogo!$E:$H,2,0),"-")</f>
        <v>-</v>
      </c>
      <c r="Z488" s="47" t="str">
        <f ca="1">IFERROR(VLOOKUP(A488,catalogo!$E:$G,3,0),"-")</f>
        <v>-</v>
      </c>
      <c r="AA488" s="48"/>
      <c r="AB488" s="48"/>
      <c r="AC488" s="48" t="str">
        <f ca="1">IFERROR(VLOOKUP(A488,catalogo!$E:$H,4,0),"-")</f>
        <v>-</v>
      </c>
      <c r="AD488" s="48"/>
      <c r="AE488" s="48"/>
      <c r="AF488" s="48"/>
      <c r="AG488" s="48"/>
      <c r="AH488" s="48"/>
      <c r="AI488" s="48"/>
    </row>
    <row r="489" spans="1:35" ht="12.5" hidden="1">
      <c r="A489" s="37" t="s">
        <v>1111</v>
      </c>
      <c r="B489" s="38" t="str">
        <f>IFERROR(VLOOKUP(J489,catalogo!$B$1:$C$100,2,0),"-")</f>
        <v>#42</v>
      </c>
      <c r="C489" s="39">
        <v>46066.416666666664</v>
      </c>
      <c r="D489" s="40"/>
      <c r="E489" s="41"/>
      <c r="F489" s="41"/>
      <c r="G489" s="42">
        <v>70</v>
      </c>
      <c r="H489" s="42">
        <v>70</v>
      </c>
      <c r="I489" s="43" t="s">
        <v>156</v>
      </c>
      <c r="J489" s="43" t="s">
        <v>78</v>
      </c>
      <c r="K489" s="43" t="s">
        <v>232</v>
      </c>
      <c r="L489" s="44" t="s">
        <v>233</v>
      </c>
      <c r="M489" s="45" t="s">
        <v>1112</v>
      </c>
      <c r="N489" s="44" t="s">
        <v>144</v>
      </c>
      <c r="O489" s="41"/>
      <c r="P489" s="41"/>
      <c r="Q489" s="41"/>
      <c r="R489" s="41"/>
      <c r="S489" s="41"/>
      <c r="T489" s="41"/>
      <c r="U489" s="41"/>
      <c r="V489" s="41"/>
      <c r="W489" s="41"/>
      <c r="X489" s="41"/>
      <c r="Y489" s="46" t="str">
        <f ca="1">IFERROR(VLOOKUP(A489,catalogo!$E:$H,2,0),"-")</f>
        <v>-</v>
      </c>
      <c r="Z489" s="47" t="str">
        <f ca="1">IFERROR(VLOOKUP(A489,catalogo!$E:$G,3,0),"-")</f>
        <v>-</v>
      </c>
      <c r="AA489" s="48"/>
      <c r="AB489" s="48"/>
      <c r="AC489" s="48" t="str">
        <f ca="1">IFERROR(VLOOKUP(A489,catalogo!$E:$H,4,0),"-")</f>
        <v>-</v>
      </c>
      <c r="AD489" s="48"/>
      <c r="AE489" s="48"/>
      <c r="AF489" s="48"/>
      <c r="AG489" s="48"/>
      <c r="AH489" s="48"/>
      <c r="AI489" s="48"/>
    </row>
    <row r="490" spans="1:35" ht="12.5" hidden="1">
      <c r="A490" s="37" t="s">
        <v>1113</v>
      </c>
      <c r="B490" s="38" t="str">
        <f>IFERROR(VLOOKUP(J490,catalogo!$B$1:$C$100,2,0),"-")</f>
        <v>-</v>
      </c>
      <c r="C490" s="39">
        <v>46066.416666666664</v>
      </c>
      <c r="D490" s="17"/>
      <c r="E490" s="17"/>
      <c r="F490" s="17"/>
      <c r="G490" s="42">
        <v>47.52</v>
      </c>
      <c r="H490" s="42">
        <v>47.52</v>
      </c>
      <c r="I490" s="43" t="s">
        <v>156</v>
      </c>
      <c r="J490" s="43" t="s">
        <v>187</v>
      </c>
      <c r="K490" s="43" t="s">
        <v>232</v>
      </c>
      <c r="L490" s="44" t="s">
        <v>233</v>
      </c>
      <c r="M490" s="45" t="s">
        <v>477</v>
      </c>
      <c r="N490" s="44" t="s">
        <v>144</v>
      </c>
      <c r="O490" s="17"/>
      <c r="P490" s="17"/>
      <c r="Q490" s="17"/>
      <c r="R490" s="17"/>
      <c r="S490" s="17"/>
      <c r="T490" s="17"/>
      <c r="U490" s="17"/>
      <c r="V490" s="17"/>
      <c r="W490" s="17"/>
      <c r="X490" s="17"/>
      <c r="Y490" s="46" t="str">
        <f ca="1">IFERROR(VLOOKUP(A490,catalogo!$E:$G,2,0),"-")</f>
        <v>-</v>
      </c>
      <c r="Z490" s="47" t="str">
        <f ca="1">IFERROR(VLOOKUP(A490,catalogo!$E:$G,3,0),"-")</f>
        <v>-</v>
      </c>
      <c r="AA490" s="48"/>
      <c r="AB490" s="48"/>
      <c r="AC490" s="48" t="str">
        <f ca="1">IFERROR(VLOOKUP(A490,catalogo!$E:$H,4,0),"-")</f>
        <v>-</v>
      </c>
      <c r="AD490" s="48"/>
      <c r="AE490" s="48"/>
      <c r="AF490" s="48"/>
      <c r="AG490" s="48"/>
      <c r="AH490" s="48"/>
      <c r="AI490" s="48"/>
    </row>
    <row r="491" spans="1:35" ht="12.5" hidden="1">
      <c r="A491" s="37" t="s">
        <v>1114</v>
      </c>
      <c r="B491" s="38" t="str">
        <f>IFERROR(VLOOKUP(J491,catalogo!$B$1:$C$100,2,0),"-")</f>
        <v>#74</v>
      </c>
      <c r="C491" s="39">
        <v>46066.416666666664</v>
      </c>
      <c r="D491" s="17"/>
      <c r="E491" s="17"/>
      <c r="F491" s="17"/>
      <c r="G491" s="42">
        <v>568.86</v>
      </c>
      <c r="H491" s="42">
        <v>568.86</v>
      </c>
      <c r="I491" s="43" t="s">
        <v>156</v>
      </c>
      <c r="J491" s="43" t="s">
        <v>286</v>
      </c>
      <c r="K491" s="43" t="s">
        <v>284</v>
      </c>
      <c r="L491" s="44" t="s">
        <v>233</v>
      </c>
      <c r="M491" s="45">
        <v>5481</v>
      </c>
      <c r="N491" s="44" t="s">
        <v>167</v>
      </c>
      <c r="O491" s="17"/>
      <c r="P491" s="17"/>
      <c r="Q491" s="17"/>
      <c r="R491" s="17"/>
      <c r="S491" s="17"/>
      <c r="T491" s="17"/>
      <c r="U491" s="17"/>
      <c r="V491" s="17"/>
      <c r="W491" s="17"/>
      <c r="X491" s="17"/>
      <c r="Y491" s="46" t="str">
        <f ca="1">IFERROR(VLOOKUP(A491,catalogo!$E:$G,2,0),"-")</f>
        <v>-</v>
      </c>
      <c r="Z491" s="47" t="str">
        <f ca="1">IFERROR(VLOOKUP(A491,catalogo!$E:$G,3,0),"-")</f>
        <v>-</v>
      </c>
      <c r="AA491" s="48"/>
      <c r="AB491" s="48"/>
      <c r="AC491" s="48" t="str">
        <f ca="1">IFERROR(VLOOKUP(A491,catalogo!$E:$H,4,0),"-")</f>
        <v>-</v>
      </c>
      <c r="AD491" s="48"/>
      <c r="AE491" s="48"/>
      <c r="AF491" s="48"/>
      <c r="AG491" s="48"/>
      <c r="AH491" s="48"/>
      <c r="AI491" s="48"/>
    </row>
    <row r="492" spans="1:35" ht="15.5" hidden="1">
      <c r="A492" s="37" t="s">
        <v>1115</v>
      </c>
      <c r="B492" s="38" t="str">
        <f>IFERROR(VLOOKUP(J492,catalogo!$B$1:$C$75,2,0),"-")</f>
        <v>-</v>
      </c>
      <c r="C492" s="39">
        <v>46066.416666666664</v>
      </c>
      <c r="D492" s="17"/>
      <c r="E492" s="17"/>
      <c r="F492" s="17"/>
      <c r="G492" s="42">
        <v>429.98</v>
      </c>
      <c r="H492" s="42">
        <v>429.98</v>
      </c>
      <c r="I492" s="43" t="s">
        <v>156</v>
      </c>
      <c r="J492" s="43" t="s">
        <v>343</v>
      </c>
      <c r="K492" s="43" t="s">
        <v>232</v>
      </c>
      <c r="L492" s="44" t="s">
        <v>233</v>
      </c>
      <c r="M492" s="45" t="s">
        <v>433</v>
      </c>
      <c r="N492" s="44" t="s">
        <v>144</v>
      </c>
      <c r="O492" s="49"/>
      <c r="P492" s="17"/>
      <c r="Q492" s="17"/>
      <c r="R492" s="17"/>
      <c r="S492" s="17"/>
      <c r="T492" s="17"/>
      <c r="U492" s="17"/>
      <c r="V492" s="17"/>
      <c r="W492" s="17"/>
      <c r="X492" s="17"/>
      <c r="Y492" s="46" t="str">
        <f ca="1">IFERROR(VLOOKUP(A492,catalogo!$E:$H,2,0),"-")</f>
        <v>-</v>
      </c>
      <c r="Z492" s="47" t="str">
        <f ca="1">IFERROR(VLOOKUP(A492,catalogo!$E:$G,3,0),"-")</f>
        <v>-</v>
      </c>
      <c r="AA492" s="48"/>
      <c r="AB492" s="48"/>
      <c r="AC492" s="48" t="str">
        <f ca="1">IFERROR(VLOOKUP(A492,catalogo!$E:$H,4,0),"-")</f>
        <v>-</v>
      </c>
      <c r="AD492" s="48"/>
      <c r="AE492" s="48"/>
      <c r="AF492" s="48"/>
      <c r="AG492" s="48"/>
      <c r="AH492" s="48"/>
      <c r="AI492" s="48"/>
    </row>
    <row r="493" spans="1:35" ht="12.5" hidden="1">
      <c r="A493" s="37" t="s">
        <v>1116</v>
      </c>
      <c r="B493" s="38" t="str">
        <f>IFERROR(VLOOKUP(J493,catalogo!$B$1:$C$70,2,0),"-")</f>
        <v>-</v>
      </c>
      <c r="C493" s="39">
        <v>46066.416666666664</v>
      </c>
      <c r="D493" s="17"/>
      <c r="E493" s="17"/>
      <c r="F493" s="17"/>
      <c r="G493" s="42">
        <v>301.14999999999998</v>
      </c>
      <c r="H493" s="42">
        <v>301.14999999999998</v>
      </c>
      <c r="I493" s="43" t="s">
        <v>156</v>
      </c>
      <c r="J493" s="43" t="s">
        <v>119</v>
      </c>
      <c r="K493" s="43" t="s">
        <v>232</v>
      </c>
      <c r="L493" s="44" t="s">
        <v>233</v>
      </c>
      <c r="M493" s="45">
        <v>3241</v>
      </c>
      <c r="N493" s="44" t="s">
        <v>167</v>
      </c>
      <c r="O493" s="17"/>
      <c r="P493" s="17"/>
      <c r="Q493" s="17"/>
      <c r="R493" s="17"/>
      <c r="S493" s="17"/>
      <c r="T493" s="17"/>
      <c r="U493" s="17"/>
      <c r="V493" s="17"/>
      <c r="W493" s="17"/>
      <c r="X493" s="17"/>
      <c r="Y493" s="46" t="str">
        <f ca="1">IFERROR(VLOOKUP(A493,catalogo!$E:$G,2,0),"-")</f>
        <v>-</v>
      </c>
      <c r="Z493" s="47" t="str">
        <f ca="1">IFERROR(VLOOKUP(A493,catalogo!$E:$G,3,0),"-")</f>
        <v>-</v>
      </c>
      <c r="AA493" s="48"/>
      <c r="AB493" s="48"/>
      <c r="AC493" s="48" t="str">
        <f ca="1">IFERROR(VLOOKUP(A493,catalogo!$E:$H,4,0),"-")</f>
        <v>-</v>
      </c>
      <c r="AD493" s="48"/>
      <c r="AE493" s="48"/>
      <c r="AF493" s="48"/>
      <c r="AG493" s="48"/>
      <c r="AH493" s="48"/>
      <c r="AI493" s="48"/>
    </row>
    <row r="494" spans="1:35" ht="12.5" hidden="1">
      <c r="A494" s="37" t="s">
        <v>1117</v>
      </c>
      <c r="B494" s="38" t="str">
        <f>IFERROR(VLOOKUP(J494,catalogo!$B$1:$C$75,2,0),"-")</f>
        <v>#52</v>
      </c>
      <c r="C494" s="39">
        <v>46066.416666666664</v>
      </c>
      <c r="D494" s="52"/>
      <c r="E494" s="17"/>
      <c r="F494" s="17"/>
      <c r="G494" s="42">
        <v>64.930000000000007</v>
      </c>
      <c r="H494" s="42">
        <v>64.930000000000007</v>
      </c>
      <c r="I494" s="43" t="s">
        <v>156</v>
      </c>
      <c r="J494" s="43" t="s">
        <v>253</v>
      </c>
      <c r="K494" s="43" t="s">
        <v>284</v>
      </c>
      <c r="L494" s="44" t="s">
        <v>233</v>
      </c>
      <c r="M494" s="45">
        <v>6137</v>
      </c>
      <c r="N494" s="44" t="s">
        <v>167</v>
      </c>
      <c r="O494" s="17"/>
      <c r="P494" s="17"/>
      <c r="Q494" s="17"/>
      <c r="R494" s="17"/>
      <c r="S494" s="17"/>
      <c r="T494" s="17"/>
      <c r="U494" s="17"/>
      <c r="V494" s="17"/>
      <c r="W494" s="17"/>
      <c r="X494" s="17"/>
      <c r="Y494" s="46" t="str">
        <f ca="1">IFERROR(VLOOKUP(A494,catalogo!$E:$H,2,0),"-")</f>
        <v>Tech&amp;Product</v>
      </c>
      <c r="Z494" s="47">
        <f ca="1">IFERROR(VLOOKUP(A494,catalogo!$E:$G,3,0),"-")</f>
        <v>0</v>
      </c>
      <c r="AA494" s="48"/>
      <c r="AB494" s="48"/>
      <c r="AC494" s="48" t="str">
        <f ca="1">IFERROR(VLOOKUP(A494,catalogo!$E:$H,4,0),"-")</f>
        <v>.</v>
      </c>
      <c r="AD494" s="48"/>
      <c r="AE494" s="48"/>
      <c r="AF494" s="48"/>
      <c r="AG494" s="48"/>
      <c r="AH494" s="48"/>
      <c r="AI494" s="48"/>
    </row>
    <row r="495" spans="1:35" ht="12.5" hidden="1">
      <c r="A495" s="37" t="s">
        <v>1118</v>
      </c>
      <c r="B495" s="38" t="str">
        <f>IFERROR(VLOOKUP(J495,catalogo!$B$1:$C$70,2,0),"-")</f>
        <v>#55</v>
      </c>
      <c r="C495" s="39">
        <v>46066.416666666664</v>
      </c>
      <c r="D495" s="17"/>
      <c r="E495" s="17"/>
      <c r="F495" s="17"/>
      <c r="G495" s="42">
        <v>170.51</v>
      </c>
      <c r="H495" s="42">
        <v>170.51</v>
      </c>
      <c r="I495" s="43" t="s">
        <v>156</v>
      </c>
      <c r="J495" s="50" t="s">
        <v>89</v>
      </c>
      <c r="K495" s="43" t="s">
        <v>284</v>
      </c>
      <c r="L495" s="44" t="s">
        <v>233</v>
      </c>
      <c r="M495" s="45">
        <v>3013</v>
      </c>
      <c r="N495" s="44" t="s">
        <v>167</v>
      </c>
      <c r="O495" s="17"/>
      <c r="P495" s="17"/>
      <c r="Q495" s="17"/>
      <c r="R495" s="17"/>
      <c r="S495" s="17"/>
      <c r="T495" s="17"/>
      <c r="U495" s="17"/>
      <c r="V495" s="17"/>
      <c r="W495" s="17"/>
      <c r="X495" s="17"/>
      <c r="Y495" s="46" t="str">
        <f ca="1">IFERROR(VLOOKUP(A495,catalogo!$E:$G,2,0),"-")</f>
        <v>-</v>
      </c>
      <c r="Z495" s="47" t="str">
        <f ca="1">IFERROR(VLOOKUP(A495,catalogo!$E:$G,3,0),"-")</f>
        <v>-</v>
      </c>
      <c r="AA495" s="48"/>
      <c r="AB495" s="48"/>
      <c r="AC495" s="48" t="str">
        <f ca="1">IFERROR(VLOOKUP(A495,catalogo!$E:$H,4,0),"-")</f>
        <v>-</v>
      </c>
      <c r="AD495" s="48"/>
      <c r="AE495" s="48"/>
      <c r="AF495" s="48"/>
      <c r="AG495" s="48"/>
      <c r="AH495" s="48"/>
      <c r="AI495" s="48"/>
    </row>
    <row r="496" spans="1:35" ht="12.5" hidden="1">
      <c r="A496" s="37" t="s">
        <v>1119</v>
      </c>
      <c r="B496" s="38" t="str">
        <f>IFERROR(VLOOKUP(J496,catalogo!$B$1:$C$85,2,0),"-")</f>
        <v>-</v>
      </c>
      <c r="C496" s="39">
        <v>46066.416666666664</v>
      </c>
      <c r="D496" s="17"/>
      <c r="E496" s="17"/>
      <c r="F496" s="17"/>
      <c r="G496" s="42">
        <v>54.13</v>
      </c>
      <c r="H496" s="42">
        <v>54.13</v>
      </c>
      <c r="I496" s="43" t="s">
        <v>156</v>
      </c>
      <c r="J496" s="43" t="s">
        <v>187</v>
      </c>
      <c r="K496" s="43" t="s">
        <v>232</v>
      </c>
      <c r="L496" s="44" t="s">
        <v>233</v>
      </c>
      <c r="M496" s="45" t="s">
        <v>477</v>
      </c>
      <c r="N496" s="44" t="s">
        <v>144</v>
      </c>
      <c r="O496" s="17"/>
      <c r="P496" s="17"/>
      <c r="Q496" s="17"/>
      <c r="R496" s="17"/>
      <c r="S496" s="17"/>
      <c r="T496" s="17"/>
      <c r="U496" s="17"/>
      <c r="V496" s="17"/>
      <c r="W496" s="17"/>
      <c r="X496" s="17"/>
      <c r="Y496" s="46" t="str">
        <f ca="1">IFERROR(VLOOKUP(A496,catalogo!$E:$H,2,0),"-")</f>
        <v>-</v>
      </c>
      <c r="Z496" s="47" t="str">
        <f ca="1">IFERROR(VLOOKUP(A496,catalogo!$E:$G,3,0),"-")</f>
        <v>-</v>
      </c>
      <c r="AA496" s="48"/>
      <c r="AB496" s="48"/>
      <c r="AC496" s="48" t="str">
        <f ca="1">IFERROR(VLOOKUP(A496,catalogo!$E:$H,4,0),"-")</f>
        <v>-</v>
      </c>
      <c r="AD496" s="48"/>
      <c r="AE496" s="48"/>
      <c r="AF496" s="48"/>
      <c r="AG496" s="48"/>
      <c r="AH496" s="48"/>
      <c r="AI496" s="48"/>
    </row>
    <row r="497" spans="1:35" ht="12.5" hidden="1">
      <c r="A497" s="37" t="s">
        <v>1120</v>
      </c>
      <c r="B497" s="38" t="str">
        <f>IFERROR(VLOOKUP(J497,catalogo!$B$1:$C$70,2,0),"-")</f>
        <v>-</v>
      </c>
      <c r="C497" s="39">
        <v>46066.416666666664</v>
      </c>
      <c r="D497" s="17"/>
      <c r="E497" s="17"/>
      <c r="F497" s="17"/>
      <c r="G497" s="42">
        <v>205.77</v>
      </c>
      <c r="H497" s="42">
        <v>205.77</v>
      </c>
      <c r="I497" s="43" t="s">
        <v>156</v>
      </c>
      <c r="J497" s="43" t="s">
        <v>119</v>
      </c>
      <c r="K497" s="43" t="s">
        <v>284</v>
      </c>
      <c r="L497" s="44" t="s">
        <v>233</v>
      </c>
      <c r="M497" s="44">
        <v>3241</v>
      </c>
      <c r="N497" s="44" t="s">
        <v>167</v>
      </c>
      <c r="O497" s="17"/>
      <c r="P497" s="17"/>
      <c r="Q497" s="17"/>
      <c r="R497" s="17"/>
      <c r="S497" s="17"/>
      <c r="T497" s="17"/>
      <c r="U497" s="17"/>
      <c r="V497" s="17"/>
      <c r="W497" s="17"/>
      <c r="X497" s="17"/>
      <c r="Y497" s="46" t="str">
        <f ca="1">IFERROR(VLOOKUP(A497,catalogo!$E:$G,2,0),"-")</f>
        <v>-</v>
      </c>
      <c r="Z497" s="47" t="str">
        <f ca="1">IFERROR(VLOOKUP(A497,catalogo!$E:$G,3,0),"-")</f>
        <v>-</v>
      </c>
      <c r="AA497" s="48"/>
      <c r="AB497" s="48"/>
      <c r="AC497" s="48" t="str">
        <f ca="1">IFERROR(VLOOKUP(A497,catalogo!$E:$H,4,0),"-")</f>
        <v>-</v>
      </c>
      <c r="AD497" s="48"/>
      <c r="AE497" s="48"/>
      <c r="AF497" s="48"/>
      <c r="AG497" s="48"/>
      <c r="AH497" s="48"/>
      <c r="AI497" s="48"/>
    </row>
    <row r="498" spans="1:35" ht="15.5" hidden="1">
      <c r="A498" s="37" t="s">
        <v>1121</v>
      </c>
      <c r="B498" s="38" t="str">
        <f>IFERROR(VLOOKUP(J498,catalogo!$B$1:$C$100,2,0),"-")</f>
        <v>#75</v>
      </c>
      <c r="C498" s="39">
        <v>46066.416666666664</v>
      </c>
      <c r="D498" s="17"/>
      <c r="E498" s="17"/>
      <c r="F498" s="17"/>
      <c r="G498" s="42">
        <v>119.98</v>
      </c>
      <c r="H498" s="42">
        <v>119.98</v>
      </c>
      <c r="I498" s="43" t="s">
        <v>156</v>
      </c>
      <c r="J498" s="43" t="s">
        <v>343</v>
      </c>
      <c r="K498" s="43" t="s">
        <v>232</v>
      </c>
      <c r="L498" s="44" t="s">
        <v>233</v>
      </c>
      <c r="M498" s="45" t="s">
        <v>433</v>
      </c>
      <c r="N498" s="44" t="s">
        <v>144</v>
      </c>
      <c r="O498" s="49"/>
      <c r="P498" s="17"/>
      <c r="Q498" s="17"/>
      <c r="R498" s="17"/>
      <c r="S498" s="17"/>
      <c r="T498" s="17"/>
      <c r="U498" s="17"/>
      <c r="V498" s="17"/>
      <c r="W498" s="17"/>
      <c r="X498" s="17"/>
      <c r="Y498" s="46" t="str">
        <f ca="1">IFERROR(VLOOKUP(A498,catalogo!$E:$H,2,0),"-")</f>
        <v>-</v>
      </c>
      <c r="Z498" s="47" t="str">
        <f ca="1">IFERROR(VLOOKUP(A498,catalogo!$E:$G,3,0),"-")</f>
        <v>-</v>
      </c>
      <c r="AA498" s="48"/>
      <c r="AB498" s="48"/>
      <c r="AC498" s="48" t="str">
        <f ca="1">IFERROR(VLOOKUP(A498,catalogo!$E:$H,4,0),"-")</f>
        <v>-</v>
      </c>
      <c r="AD498" s="48"/>
      <c r="AE498" s="48"/>
      <c r="AF498" s="48"/>
      <c r="AG498" s="48"/>
      <c r="AH498" s="48"/>
      <c r="AI498" s="48"/>
    </row>
    <row r="499" spans="1:35" ht="12.5" hidden="1">
      <c r="A499" s="37" t="s">
        <v>1122</v>
      </c>
      <c r="B499" s="38" t="str">
        <f>IFERROR(VLOOKUP(J499,catalogo!$B$1:$C$70,2,0),"-")</f>
        <v>#26</v>
      </c>
      <c r="C499" s="39">
        <v>46066.416666666664</v>
      </c>
      <c r="D499" s="17"/>
      <c r="E499" s="17"/>
      <c r="F499" s="17"/>
      <c r="G499" s="42">
        <v>171.28</v>
      </c>
      <c r="H499" s="42">
        <v>171.28</v>
      </c>
      <c r="I499" s="43" t="s">
        <v>156</v>
      </c>
      <c r="J499" s="43" t="s">
        <v>67</v>
      </c>
      <c r="K499" s="43" t="s">
        <v>180</v>
      </c>
      <c r="L499" s="44" t="s">
        <v>181</v>
      </c>
      <c r="M499" s="45">
        <v>8061</v>
      </c>
      <c r="N499" s="44" t="s">
        <v>167</v>
      </c>
      <c r="O499" s="17"/>
      <c r="P499" s="17"/>
      <c r="Q499" s="17"/>
      <c r="R499" s="17"/>
      <c r="S499" s="17"/>
      <c r="T499" s="17"/>
      <c r="U499" s="17"/>
      <c r="V499" s="17"/>
      <c r="W499" s="17"/>
      <c r="X499" s="17"/>
      <c r="Y499" s="46" t="str">
        <f ca="1">IFERROR(VLOOKUP(A499,catalogo!$E:$G,2,0),"-")</f>
        <v>-</v>
      </c>
      <c r="Z499" s="47" t="str">
        <f ca="1">IFERROR(VLOOKUP(A499,catalogo!$E:$G,3,0),"-")</f>
        <v>-</v>
      </c>
      <c r="AA499" s="48"/>
      <c r="AB499" s="48"/>
      <c r="AC499" s="48" t="str">
        <f ca="1">IFERROR(VLOOKUP(A499,catalogo!$E:$H,4,0),"-")</f>
        <v>-</v>
      </c>
      <c r="AD499" s="48"/>
      <c r="AE499" s="48"/>
      <c r="AF499" s="48"/>
      <c r="AG499" s="48"/>
      <c r="AH499" s="48"/>
      <c r="AI499" s="48"/>
    </row>
    <row r="500" spans="1:35" ht="15.5" hidden="1">
      <c r="A500" s="37" t="s">
        <v>1123</v>
      </c>
      <c r="B500" s="38" t="str">
        <f>IFERROR(VLOOKUP(J500,catalogo!$B$1:$C$75,2,0),"-")</f>
        <v>-</v>
      </c>
      <c r="C500" s="39">
        <v>46066.416666666664</v>
      </c>
      <c r="D500" s="17"/>
      <c r="E500" s="17"/>
      <c r="F500" s="17"/>
      <c r="G500" s="42">
        <v>20</v>
      </c>
      <c r="H500" s="42">
        <v>20</v>
      </c>
      <c r="I500" s="43" t="s">
        <v>156</v>
      </c>
      <c r="J500" s="43" t="s">
        <v>343</v>
      </c>
      <c r="K500" s="43" t="s">
        <v>284</v>
      </c>
      <c r="L500" s="44" t="s">
        <v>233</v>
      </c>
      <c r="M500" s="45" t="s">
        <v>433</v>
      </c>
      <c r="N500" s="44" t="s">
        <v>144</v>
      </c>
      <c r="O500" s="49"/>
      <c r="P500" s="17"/>
      <c r="Q500" s="17"/>
      <c r="R500" s="17"/>
      <c r="S500" s="17"/>
      <c r="T500" s="17"/>
      <c r="U500" s="17"/>
      <c r="V500" s="17"/>
      <c r="W500" s="17"/>
      <c r="X500" s="17"/>
      <c r="Y500" s="46" t="str">
        <f ca="1">IFERROR(VLOOKUP(A500,catalogo!$E:$H,2,0),"-")</f>
        <v>-</v>
      </c>
      <c r="Z500" s="47" t="str">
        <f ca="1">IFERROR(VLOOKUP(A500,catalogo!$E:$G,3,0),"-")</f>
        <v>-</v>
      </c>
      <c r="AA500" s="48"/>
      <c r="AB500" s="48"/>
      <c r="AC500" s="48" t="str">
        <f ca="1">IFERROR(VLOOKUP(A500,catalogo!$E:$H,4,0),"-")</f>
        <v>-</v>
      </c>
      <c r="AD500" s="48"/>
      <c r="AE500" s="48"/>
      <c r="AF500" s="48"/>
      <c r="AG500" s="48"/>
      <c r="AH500" s="48"/>
      <c r="AI500" s="48"/>
    </row>
    <row r="501" spans="1:35" ht="12.5" hidden="1">
      <c r="A501" s="37" t="s">
        <v>1124</v>
      </c>
      <c r="B501" s="38" t="str">
        <f>IFERROR(VLOOKUP(J501,catalogo!$B$1:$C$85,2,0),"-")</f>
        <v>-</v>
      </c>
      <c r="C501" s="39">
        <v>46066.416666666664</v>
      </c>
      <c r="D501" s="17"/>
      <c r="E501" s="17"/>
      <c r="F501" s="17"/>
      <c r="G501" s="42">
        <v>755.7</v>
      </c>
      <c r="H501" s="42">
        <v>755.7</v>
      </c>
      <c r="I501" s="43" t="s">
        <v>156</v>
      </c>
      <c r="J501" s="43" t="s">
        <v>321</v>
      </c>
      <c r="K501" s="43" t="s">
        <v>322</v>
      </c>
      <c r="L501" s="44" t="s">
        <v>323</v>
      </c>
      <c r="M501" s="45">
        <v>3340</v>
      </c>
      <c r="N501" s="44" t="s">
        <v>167</v>
      </c>
      <c r="O501" s="17"/>
      <c r="P501" s="17"/>
      <c r="Q501" s="17"/>
      <c r="R501" s="17"/>
      <c r="S501" s="17"/>
      <c r="T501" s="17"/>
      <c r="U501" s="17"/>
      <c r="V501" s="17"/>
      <c r="W501" s="17"/>
      <c r="X501" s="17"/>
      <c r="Y501" s="46" t="str">
        <f ca="1">IFERROR(VLOOKUP(A501,catalogo!$E:$G,2,0),"-")</f>
        <v>-</v>
      </c>
      <c r="Z501" s="47" t="str">
        <f ca="1">IFERROR(VLOOKUP(A501,catalogo!$E:$G,3,0),"-")</f>
        <v>-</v>
      </c>
      <c r="AA501" s="48"/>
      <c r="AB501" s="48"/>
      <c r="AC501" s="48" t="str">
        <f ca="1">IFERROR(VLOOKUP(A501,catalogo!$E:$H,4,0),"-")</f>
        <v>-</v>
      </c>
      <c r="AD501" s="48"/>
      <c r="AE501" s="48"/>
      <c r="AF501" s="48"/>
      <c r="AG501" s="48"/>
      <c r="AH501" s="48"/>
      <c r="AI501" s="48"/>
    </row>
    <row r="502" spans="1:35" ht="15.5" hidden="1">
      <c r="A502" s="37" t="s">
        <v>1125</v>
      </c>
      <c r="B502" s="38" t="str">
        <f>IFERROR(VLOOKUP(J502,catalogo!$B$1:$C$75,2,0),"-")</f>
        <v>#2</v>
      </c>
      <c r="C502" s="39">
        <v>46066.416666666664</v>
      </c>
      <c r="D502" s="17"/>
      <c r="E502" s="17"/>
      <c r="F502" s="17"/>
      <c r="G502" s="42">
        <v>5964.72</v>
      </c>
      <c r="H502" s="42">
        <v>5964.72</v>
      </c>
      <c r="I502" s="43" t="s">
        <v>156</v>
      </c>
      <c r="J502" s="43" t="s">
        <v>75</v>
      </c>
      <c r="K502" s="43" t="s">
        <v>1126</v>
      </c>
      <c r="L502" s="44" t="s">
        <v>1127</v>
      </c>
      <c r="M502" s="45" t="s">
        <v>199</v>
      </c>
      <c r="N502" s="44" t="s">
        <v>144</v>
      </c>
      <c r="O502" s="49"/>
      <c r="P502" s="17"/>
      <c r="Q502" s="17"/>
      <c r="R502" s="17"/>
      <c r="S502" s="17"/>
      <c r="T502" s="17"/>
      <c r="U502" s="17"/>
      <c r="V502" s="17"/>
      <c r="W502" s="17"/>
      <c r="X502" s="17"/>
      <c r="Y502" s="46" t="str">
        <f ca="1">IFERROR(VLOOKUP(A502,catalogo!$E:$H,2,0),"-")</f>
        <v>Tech&amp;Product</v>
      </c>
      <c r="Z502" s="47">
        <f ca="1">IFERROR(VLOOKUP(A502,catalogo!$E:$G,3,0),"-")</f>
        <v>0</v>
      </c>
      <c r="AA502" s="48"/>
      <c r="AB502" s="48"/>
      <c r="AC502" s="48" t="str">
        <f ca="1">IFERROR(VLOOKUP(A502,catalogo!$E:$H,4,0),"-")</f>
        <v>.</v>
      </c>
      <c r="AD502" s="48"/>
      <c r="AE502" s="48"/>
      <c r="AF502" s="48"/>
      <c r="AG502" s="48"/>
      <c r="AH502" s="48"/>
      <c r="AI502" s="48"/>
    </row>
    <row r="503" spans="1:35" ht="12.5" hidden="1">
      <c r="A503" s="37" t="s">
        <v>503</v>
      </c>
      <c r="B503" s="38" t="str">
        <f>IFERROR(VLOOKUP(J503,catalogo!$B$1:$C$75,2,0),"-")</f>
        <v>#26</v>
      </c>
      <c r="C503" s="39">
        <v>46066.416666666664</v>
      </c>
      <c r="D503" s="52"/>
      <c r="E503" s="17"/>
      <c r="F503" s="17"/>
      <c r="G503" s="42">
        <v>112</v>
      </c>
      <c r="H503" s="42">
        <v>112</v>
      </c>
      <c r="I503" s="43" t="s">
        <v>156</v>
      </c>
      <c r="J503" s="43" t="s">
        <v>67</v>
      </c>
      <c r="K503" s="43" t="s">
        <v>1035</v>
      </c>
      <c r="L503" s="44" t="s">
        <v>1036</v>
      </c>
      <c r="M503" s="45">
        <v>8061</v>
      </c>
      <c r="N503" s="44" t="s">
        <v>167</v>
      </c>
      <c r="O503" s="17"/>
      <c r="P503" s="17"/>
      <c r="Q503" s="17"/>
      <c r="R503" s="17"/>
      <c r="S503" s="17"/>
      <c r="T503" s="17"/>
      <c r="U503" s="17"/>
      <c r="V503" s="17"/>
      <c r="W503" s="17"/>
      <c r="X503" s="17"/>
      <c r="Y503" s="46" t="str">
        <f ca="1">IFERROR(VLOOKUP(A503,catalogo!$E:$H,2,0),"-")</f>
        <v>-</v>
      </c>
      <c r="Z503" s="47" t="str">
        <f ca="1">IFERROR(VLOOKUP(A503,catalogo!$E:$G,3,0),"-")</f>
        <v>-</v>
      </c>
      <c r="AA503" s="48"/>
      <c r="AB503" s="48"/>
      <c r="AC503" s="48" t="str">
        <f ca="1">IFERROR(VLOOKUP(A503,catalogo!$E:$H,4,0),"-")</f>
        <v>-</v>
      </c>
      <c r="AD503" s="48"/>
      <c r="AE503" s="48"/>
      <c r="AF503" s="48"/>
      <c r="AG503" s="48"/>
      <c r="AH503" s="48"/>
      <c r="AI503" s="48"/>
    </row>
    <row r="504" spans="1:35" ht="12.5" hidden="1">
      <c r="A504" s="37" t="s">
        <v>1128</v>
      </c>
      <c r="B504" s="38" t="str">
        <f>IFERROR(VLOOKUP(J504,catalogo!$B$1:$C$75,2,0),"-")</f>
        <v>-</v>
      </c>
      <c r="C504" s="39">
        <v>46066.416666666664</v>
      </c>
      <c r="D504" s="17"/>
      <c r="E504" s="17"/>
      <c r="F504" s="17"/>
      <c r="G504" s="42">
        <v>1377.87</v>
      </c>
      <c r="H504" s="42">
        <v>1377.87</v>
      </c>
      <c r="I504" s="43" t="s">
        <v>156</v>
      </c>
      <c r="J504" s="43" t="s">
        <v>269</v>
      </c>
      <c r="K504" s="43" t="s">
        <v>338</v>
      </c>
      <c r="L504" s="44" t="s">
        <v>317</v>
      </c>
      <c r="M504" s="45" t="s">
        <v>270</v>
      </c>
      <c r="N504" s="44" t="s">
        <v>144</v>
      </c>
      <c r="O504" s="17"/>
      <c r="P504" s="17"/>
      <c r="Q504" s="17"/>
      <c r="R504" s="17"/>
      <c r="S504" s="17"/>
      <c r="T504" s="17"/>
      <c r="U504" s="17"/>
      <c r="V504" s="17"/>
      <c r="W504" s="17"/>
      <c r="X504" s="17"/>
      <c r="Y504" s="46" t="str">
        <f ca="1">IFERROR(VLOOKUP(A504,catalogo!$E:$H,2,0),"-")</f>
        <v>-</v>
      </c>
      <c r="Z504" s="47" t="str">
        <f ca="1">IFERROR(VLOOKUP(A504,catalogo!$E:$G,3,0),"-")</f>
        <v>-</v>
      </c>
      <c r="AA504" s="48"/>
      <c r="AB504" s="48"/>
      <c r="AC504" s="48" t="str">
        <f ca="1">IFERROR(VLOOKUP(A504,catalogo!$E:$H,4,0),"-")</f>
        <v>-</v>
      </c>
      <c r="AD504" s="48"/>
      <c r="AE504" s="48"/>
      <c r="AF504" s="48"/>
      <c r="AG504" s="48"/>
      <c r="AH504" s="48"/>
      <c r="AI504" s="48"/>
    </row>
    <row r="505" spans="1:35" ht="12.5" hidden="1">
      <c r="A505" s="37" t="s">
        <v>1129</v>
      </c>
      <c r="B505" s="38" t="str">
        <f>IFERROR(VLOOKUP(J505,catalogo!$B$1:$C$75,2,0),"-")</f>
        <v>#26</v>
      </c>
      <c r="C505" s="39">
        <v>46066.416666666664</v>
      </c>
      <c r="D505" s="17"/>
      <c r="E505" s="17"/>
      <c r="F505" s="17"/>
      <c r="G505" s="42">
        <v>310</v>
      </c>
      <c r="H505" s="42">
        <v>310</v>
      </c>
      <c r="I505" s="43" t="s">
        <v>156</v>
      </c>
      <c r="J505" s="43" t="s">
        <v>67</v>
      </c>
      <c r="K505" s="43" t="s">
        <v>1040</v>
      </c>
      <c r="L505" s="44" t="s">
        <v>1041</v>
      </c>
      <c r="M505" s="45">
        <v>8061</v>
      </c>
      <c r="N505" s="44" t="s">
        <v>167</v>
      </c>
      <c r="O505" s="17"/>
      <c r="P505" s="17"/>
      <c r="Q505" s="17"/>
      <c r="R505" s="17"/>
      <c r="S505" s="17"/>
      <c r="T505" s="17"/>
      <c r="U505" s="17"/>
      <c r="V505" s="17"/>
      <c r="W505" s="17"/>
      <c r="X505" s="17"/>
      <c r="Y505" s="46" t="str">
        <f ca="1">IFERROR(VLOOKUP(A505,catalogo!$E:$H,2,0),"-")</f>
        <v>-</v>
      </c>
      <c r="Z505" s="47" t="str">
        <f ca="1">IFERROR(VLOOKUP(A505,catalogo!$E:$G,3,0),"-")</f>
        <v>-</v>
      </c>
      <c r="AA505" s="48"/>
      <c r="AB505" s="48"/>
      <c r="AC505" s="48" t="str">
        <f ca="1">IFERROR(VLOOKUP(A505,catalogo!$E:$H,4,0),"-")</f>
        <v>-</v>
      </c>
      <c r="AD505" s="48"/>
      <c r="AE505" s="48"/>
      <c r="AF505" s="48"/>
      <c r="AG505" s="48"/>
      <c r="AH505" s="48"/>
      <c r="AI505" s="48"/>
    </row>
    <row r="506" spans="1:35" ht="12.5" hidden="1">
      <c r="A506" s="37" t="s">
        <v>1130</v>
      </c>
      <c r="B506" s="38" t="str">
        <f>IFERROR(VLOOKUP(J506,catalogo!$B$1:$C$70,2,0),"-")</f>
        <v>#68</v>
      </c>
      <c r="C506" s="39">
        <v>46066.416666666664</v>
      </c>
      <c r="D506" s="17"/>
      <c r="E506" s="17"/>
      <c r="F506" s="17"/>
      <c r="G506" s="42">
        <v>63.85</v>
      </c>
      <c r="H506" s="42">
        <v>63.85</v>
      </c>
      <c r="I506" s="43" t="s">
        <v>156</v>
      </c>
      <c r="J506" s="43" t="s">
        <v>384</v>
      </c>
      <c r="K506" s="43" t="s">
        <v>1131</v>
      </c>
      <c r="L506" s="44" t="s">
        <v>1132</v>
      </c>
      <c r="M506" s="45">
        <v>2937</v>
      </c>
      <c r="N506" s="44" t="s">
        <v>167</v>
      </c>
      <c r="O506" s="17"/>
      <c r="P506" s="17"/>
      <c r="Q506" s="17"/>
      <c r="R506" s="17"/>
      <c r="S506" s="17"/>
      <c r="T506" s="17"/>
      <c r="U506" s="17"/>
      <c r="V506" s="17"/>
      <c r="W506" s="17"/>
      <c r="X506" s="17"/>
      <c r="Y506" s="46" t="str">
        <f ca="1">IFERROR(VLOOKUP(A506,catalogo!$E:$H,2,0),"-")</f>
        <v>-</v>
      </c>
      <c r="Z506" s="47" t="str">
        <f ca="1">IFERROR(VLOOKUP(A506,catalogo!$E:$G,3,0),"-")</f>
        <v>-</v>
      </c>
      <c r="AA506" s="48"/>
      <c r="AB506" s="48"/>
      <c r="AC506" s="48" t="str">
        <f ca="1">IFERROR(VLOOKUP(A506,catalogo!$E:$H,4,0),"-")</f>
        <v>-</v>
      </c>
      <c r="AD506" s="48"/>
      <c r="AE506" s="48"/>
      <c r="AF506" s="48"/>
      <c r="AG506" s="48"/>
      <c r="AH506" s="48"/>
      <c r="AI506" s="48"/>
    </row>
    <row r="507" spans="1:35" ht="12.5" hidden="1">
      <c r="A507" s="37" t="s">
        <v>1133</v>
      </c>
      <c r="B507" s="38" t="str">
        <f>IFERROR(VLOOKUP(J507,catalogo!$B$1:$C$75,2,0),"-")</f>
        <v>-</v>
      </c>
      <c r="C507" s="39">
        <v>46066.416666666664</v>
      </c>
      <c r="D507" s="17"/>
      <c r="E507" s="17"/>
      <c r="F507" s="17"/>
      <c r="G507" s="42">
        <v>810</v>
      </c>
      <c r="H507" s="42">
        <v>810</v>
      </c>
      <c r="I507" s="43" t="s">
        <v>156</v>
      </c>
      <c r="J507" s="43" t="s">
        <v>321</v>
      </c>
      <c r="K507" s="43" t="s">
        <v>319</v>
      </c>
      <c r="L507" s="44" t="s">
        <v>317</v>
      </c>
      <c r="M507" s="45">
        <v>3340</v>
      </c>
      <c r="N507" s="44" t="s">
        <v>167</v>
      </c>
      <c r="O507" s="17"/>
      <c r="P507" s="17"/>
      <c r="Q507" s="17"/>
      <c r="R507" s="17"/>
      <c r="S507" s="17"/>
      <c r="T507" s="17"/>
      <c r="U507" s="17"/>
      <c r="V507" s="17"/>
      <c r="W507" s="17"/>
      <c r="X507" s="17"/>
      <c r="Y507" s="46" t="str">
        <f ca="1">IFERROR(VLOOKUP(A507,catalogo!$E:$H,2,0),"-")</f>
        <v>-</v>
      </c>
      <c r="Z507" s="47" t="str">
        <f ca="1">IFERROR(VLOOKUP(A507,catalogo!$E:$G,3,0),"-")</f>
        <v>-</v>
      </c>
      <c r="AA507" s="48"/>
      <c r="AB507" s="48"/>
      <c r="AC507" s="48" t="str">
        <f ca="1">IFERROR(VLOOKUP(A507,catalogo!$E:$H,4,0),"-")</f>
        <v>-</v>
      </c>
      <c r="AD507" s="48"/>
      <c r="AE507" s="48"/>
      <c r="AF507" s="48"/>
      <c r="AG507" s="48"/>
      <c r="AH507" s="48"/>
      <c r="AI507" s="48"/>
    </row>
    <row r="508" spans="1:35" ht="15.5" hidden="1">
      <c r="A508" s="37" t="s">
        <v>1134</v>
      </c>
      <c r="B508" s="38" t="str">
        <f>IFERROR(VLOOKUP(J508,catalogo!$B$1:$C$75,2,0),"-")</f>
        <v>#26</v>
      </c>
      <c r="C508" s="39">
        <v>46066.416666666664</v>
      </c>
      <c r="D508" s="17"/>
      <c r="E508" s="17"/>
      <c r="F508" s="17"/>
      <c r="G508" s="42">
        <v>150</v>
      </c>
      <c r="H508" s="42">
        <v>150</v>
      </c>
      <c r="I508" s="43" t="s">
        <v>156</v>
      </c>
      <c r="J508" s="43" t="s">
        <v>67</v>
      </c>
      <c r="K508" s="43" t="s">
        <v>335</v>
      </c>
      <c r="L508" s="44" t="s">
        <v>336</v>
      </c>
      <c r="M508" s="45" t="s">
        <v>159</v>
      </c>
      <c r="N508" s="44" t="s">
        <v>144</v>
      </c>
      <c r="O508" s="49"/>
      <c r="P508" s="17"/>
      <c r="Q508" s="17"/>
      <c r="R508" s="17"/>
      <c r="S508" s="17"/>
      <c r="T508" s="17"/>
      <c r="U508" s="17"/>
      <c r="V508" s="17"/>
      <c r="W508" s="17"/>
      <c r="X508" s="17"/>
      <c r="Y508" s="46" t="str">
        <f ca="1">IFERROR(VLOOKUP(A508,catalogo!$E:$H,2,0),"-")</f>
        <v>-</v>
      </c>
      <c r="Z508" s="47" t="str">
        <f ca="1">IFERROR(VLOOKUP(A508,catalogo!$E:$G,3,0),"-")</f>
        <v>-</v>
      </c>
      <c r="AA508" s="48"/>
      <c r="AB508" s="48"/>
      <c r="AC508" s="48" t="str">
        <f ca="1">IFERROR(VLOOKUP(A508,catalogo!$E:$H,4,0),"-")</f>
        <v>-</v>
      </c>
      <c r="AD508" s="48"/>
      <c r="AE508" s="48"/>
      <c r="AF508" s="48"/>
      <c r="AG508" s="48"/>
      <c r="AH508" s="48"/>
      <c r="AI508" s="48"/>
    </row>
    <row r="509" spans="1:35" ht="12.5" hidden="1">
      <c r="A509" s="37" t="s">
        <v>1135</v>
      </c>
      <c r="B509" s="38" t="str">
        <f>IFERROR(VLOOKUP(J509,catalogo!$B$1:$C$70,2,0),"-")</f>
        <v>#30</v>
      </c>
      <c r="C509" s="39">
        <v>46066.416666666664</v>
      </c>
      <c r="D509" s="17"/>
      <c r="E509" s="17"/>
      <c r="F509" s="17"/>
      <c r="G509" s="42">
        <v>165.6</v>
      </c>
      <c r="H509" s="42">
        <v>165.6</v>
      </c>
      <c r="I509" s="43" t="s">
        <v>156</v>
      </c>
      <c r="J509" s="43" t="s">
        <v>97</v>
      </c>
      <c r="K509" s="43" t="s">
        <v>1136</v>
      </c>
      <c r="L509" s="44" t="s">
        <v>820</v>
      </c>
      <c r="M509" s="45">
        <v>9904</v>
      </c>
      <c r="N509" s="44" t="s">
        <v>167</v>
      </c>
      <c r="O509" s="17"/>
      <c r="P509" s="17"/>
      <c r="Q509" s="17"/>
      <c r="R509" s="17"/>
      <c r="S509" s="17"/>
      <c r="T509" s="17"/>
      <c r="U509" s="17"/>
      <c r="V509" s="17"/>
      <c r="W509" s="17"/>
      <c r="X509" s="17"/>
      <c r="Y509" s="46" t="str">
        <f ca="1">IFERROR(VLOOKUP(A509,catalogo!$E:$G,2,0),"-")</f>
        <v>-</v>
      </c>
      <c r="Z509" s="47" t="str">
        <f ca="1">IFERROR(VLOOKUP(A509,catalogo!$E:$G,3,0),"-")</f>
        <v>-</v>
      </c>
      <c r="AA509" s="48"/>
      <c r="AB509" s="48"/>
      <c r="AC509" s="48" t="str">
        <f ca="1">IFERROR(VLOOKUP(A509,catalogo!$E:$H,4,0),"-")</f>
        <v>-</v>
      </c>
      <c r="AD509" s="48"/>
      <c r="AE509" s="48"/>
      <c r="AF509" s="48"/>
      <c r="AG509" s="48"/>
      <c r="AH509" s="48"/>
      <c r="AI509" s="48"/>
    </row>
    <row r="510" spans="1:35" ht="15.5" hidden="1">
      <c r="A510" s="37" t="s">
        <v>1137</v>
      </c>
      <c r="B510" s="38" t="str">
        <f>IFERROR(VLOOKUP(J510,catalogo!$B$1:$C$75,2,0),"-")</f>
        <v>#44</v>
      </c>
      <c r="C510" s="39">
        <v>46066.416666666664</v>
      </c>
      <c r="D510" s="17"/>
      <c r="E510" s="17"/>
      <c r="F510" s="17"/>
      <c r="G510" s="42">
        <v>1570.01</v>
      </c>
      <c r="H510" s="42">
        <v>1570.01</v>
      </c>
      <c r="I510" s="43" t="s">
        <v>156</v>
      </c>
      <c r="J510" s="43" t="s">
        <v>98</v>
      </c>
      <c r="K510" s="43" t="s">
        <v>1138</v>
      </c>
      <c r="L510" s="44" t="s">
        <v>1139</v>
      </c>
      <c r="M510" s="45">
        <v>4492</v>
      </c>
      <c r="N510" s="44" t="s">
        <v>167</v>
      </c>
      <c r="O510" s="49"/>
      <c r="P510" s="17"/>
      <c r="Q510" s="17"/>
      <c r="R510" s="17"/>
      <c r="S510" s="17"/>
      <c r="T510" s="17"/>
      <c r="U510" s="17"/>
      <c r="V510" s="17"/>
      <c r="W510" s="17"/>
      <c r="X510" s="17"/>
      <c r="Y510" s="46" t="str">
        <f ca="1">IFERROR(VLOOKUP(A510,catalogo!$E:$H,2,0),"-")</f>
        <v>-</v>
      </c>
      <c r="Z510" s="47" t="str">
        <f ca="1">IFERROR(VLOOKUP(A510,catalogo!$E:$G,3,0),"-")</f>
        <v>-</v>
      </c>
      <c r="AA510" s="48"/>
      <c r="AB510" s="48"/>
      <c r="AC510" s="48" t="str">
        <f ca="1">IFERROR(VLOOKUP(A510,catalogo!$E:$H,4,0),"-")</f>
        <v>-</v>
      </c>
      <c r="AD510" s="48"/>
      <c r="AE510" s="48"/>
      <c r="AF510" s="48"/>
      <c r="AG510" s="48"/>
      <c r="AH510" s="48"/>
      <c r="AI510" s="48"/>
    </row>
    <row r="511" spans="1:35" ht="12.5" hidden="1">
      <c r="A511" s="37" t="s">
        <v>1140</v>
      </c>
      <c r="B511" s="38" t="str">
        <f>IFERROR(VLOOKUP(J511,catalogo!$B$1:$C$75,2,0),"-")</f>
        <v>#66</v>
      </c>
      <c r="C511" s="39">
        <v>46066.417361111111</v>
      </c>
      <c r="D511" s="17"/>
      <c r="E511" s="17"/>
      <c r="F511" s="17"/>
      <c r="G511" s="42">
        <v>139.69999999999999</v>
      </c>
      <c r="H511" s="42">
        <v>139.69999999999999</v>
      </c>
      <c r="I511" s="43" t="s">
        <v>156</v>
      </c>
      <c r="J511" s="43" t="s">
        <v>80</v>
      </c>
      <c r="K511" s="43" t="s">
        <v>1141</v>
      </c>
      <c r="L511" s="44" t="s">
        <v>1142</v>
      </c>
      <c r="M511" s="45">
        <v>2406</v>
      </c>
      <c r="N511" s="44" t="s">
        <v>167</v>
      </c>
      <c r="O511" s="17"/>
      <c r="P511" s="17"/>
      <c r="Q511" s="17"/>
      <c r="R511" s="17"/>
      <c r="S511" s="17"/>
      <c r="T511" s="17"/>
      <c r="U511" s="17"/>
      <c r="V511" s="17"/>
      <c r="W511" s="17"/>
      <c r="X511" s="17"/>
      <c r="Y511" s="46" t="str">
        <f ca="1">IFERROR(VLOOKUP(A511,catalogo!$E:$H,2,0),"-")</f>
        <v>-</v>
      </c>
      <c r="Z511" s="47" t="str">
        <f ca="1">IFERROR(VLOOKUP(A511,catalogo!$E:$G,3,0),"-")</f>
        <v>-</v>
      </c>
      <c r="AA511" s="48"/>
      <c r="AB511" s="48"/>
      <c r="AC511" s="48" t="str">
        <f ca="1">IFERROR(VLOOKUP(A511,catalogo!$E:$H,4,0),"-")</f>
        <v>-</v>
      </c>
      <c r="AD511" s="48"/>
      <c r="AE511" s="48"/>
      <c r="AF511" s="48"/>
      <c r="AG511" s="48"/>
      <c r="AH511" s="48"/>
      <c r="AI511" s="48"/>
    </row>
    <row r="512" spans="1:35" ht="12.5" hidden="1">
      <c r="A512" s="37" t="s">
        <v>1143</v>
      </c>
      <c r="B512" s="38" t="str">
        <f>IFERROR(VLOOKUP(J512,catalogo!$B$1:$C$80,2,0),"-")</f>
        <v>-</v>
      </c>
      <c r="C512" s="39">
        <v>46066.417361111111</v>
      </c>
      <c r="D512" s="17"/>
      <c r="E512" s="17"/>
      <c r="F512" s="17"/>
      <c r="G512" s="42">
        <v>25</v>
      </c>
      <c r="H512" s="42">
        <v>25</v>
      </c>
      <c r="I512" s="43" t="s">
        <v>156</v>
      </c>
      <c r="J512" s="43" t="s">
        <v>321</v>
      </c>
      <c r="K512" s="43" t="s">
        <v>841</v>
      </c>
      <c r="L512" s="44" t="s">
        <v>842</v>
      </c>
      <c r="M512" s="45">
        <v>3340</v>
      </c>
      <c r="N512" s="44" t="s">
        <v>167</v>
      </c>
      <c r="O512" s="17"/>
      <c r="P512" s="17"/>
      <c r="Q512" s="17"/>
      <c r="R512" s="17"/>
      <c r="S512" s="17"/>
      <c r="T512" s="17"/>
      <c r="U512" s="17"/>
      <c r="V512" s="17"/>
      <c r="W512" s="17"/>
      <c r="X512" s="17"/>
      <c r="Y512" s="46" t="str">
        <f ca="1">IFERROR(VLOOKUP(A512,catalogo!$E:$H,2,0),"-")</f>
        <v>-</v>
      </c>
      <c r="Z512" s="47" t="str">
        <f ca="1">IFERROR(VLOOKUP(A512,catalogo!$E:$G,3,0),"-")</f>
        <v>-</v>
      </c>
      <c r="AA512" s="48"/>
      <c r="AB512" s="48"/>
      <c r="AC512" s="48" t="str">
        <f ca="1">IFERROR(VLOOKUP(A512,catalogo!$E:$H,4,0),"-")</f>
        <v>-</v>
      </c>
      <c r="AD512" s="48"/>
      <c r="AE512" s="48"/>
      <c r="AF512" s="48"/>
      <c r="AG512" s="48"/>
      <c r="AH512" s="48"/>
      <c r="AI512" s="48"/>
    </row>
    <row r="513" spans="1:35" ht="12.5" hidden="1">
      <c r="A513" s="37" t="s">
        <v>243</v>
      </c>
      <c r="B513" s="38" t="str">
        <f>IFERROR(VLOOKUP(J513,catalogo!$B$1:$C$75,2,0),"-")</f>
        <v>-</v>
      </c>
      <c r="C513" s="39">
        <v>46066.417361111111</v>
      </c>
      <c r="D513" s="17"/>
      <c r="E513" s="17"/>
      <c r="F513" s="17"/>
      <c r="G513" s="42">
        <v>373</v>
      </c>
      <c r="H513" s="42">
        <v>373</v>
      </c>
      <c r="I513" s="43" t="s">
        <v>156</v>
      </c>
      <c r="J513" s="43" t="s">
        <v>269</v>
      </c>
      <c r="K513" s="43" t="s">
        <v>1144</v>
      </c>
      <c r="L513" s="44" t="s">
        <v>637</v>
      </c>
      <c r="M513" s="45">
        <v>6130</v>
      </c>
      <c r="N513" s="44" t="s">
        <v>167</v>
      </c>
      <c r="O513" s="17"/>
      <c r="P513" s="17"/>
      <c r="Q513" s="17"/>
      <c r="R513" s="17"/>
      <c r="S513" s="17"/>
      <c r="T513" s="17"/>
      <c r="U513" s="17"/>
      <c r="V513" s="17"/>
      <c r="W513" s="17"/>
      <c r="X513" s="17"/>
      <c r="Y513" s="46" t="str">
        <f ca="1">IFERROR(VLOOKUP(A513,catalogo!$E:$H,2,0),"-")</f>
        <v>-</v>
      </c>
      <c r="Z513" s="47" t="str">
        <f ca="1">IFERROR(VLOOKUP(A513,catalogo!$E:$G,3,0),"-")</f>
        <v>-</v>
      </c>
      <c r="AA513" s="48"/>
      <c r="AB513" s="48"/>
      <c r="AC513" s="48" t="str">
        <f ca="1">IFERROR(VLOOKUP(A513,catalogo!$E:$H,4,0),"-")</f>
        <v>-</v>
      </c>
      <c r="AD513" s="48"/>
      <c r="AE513" s="48"/>
      <c r="AF513" s="48"/>
      <c r="AG513" s="48"/>
      <c r="AH513" s="48"/>
      <c r="AI513" s="48"/>
    </row>
    <row r="514" spans="1:35" ht="12.5" hidden="1">
      <c r="A514" s="37" t="s">
        <v>240</v>
      </c>
      <c r="B514" s="38" t="str">
        <f>IFERROR(VLOOKUP(J514,catalogo!$B$1:$C$75,2,0),"-")</f>
        <v>-</v>
      </c>
      <c r="C514" s="39">
        <v>46066.417361111111</v>
      </c>
      <c r="D514" s="17"/>
      <c r="E514" s="17"/>
      <c r="F514" s="17"/>
      <c r="G514" s="42">
        <v>25</v>
      </c>
      <c r="H514" s="42">
        <v>25</v>
      </c>
      <c r="I514" s="43" t="s">
        <v>156</v>
      </c>
      <c r="J514" s="43" t="s">
        <v>321</v>
      </c>
      <c r="K514" s="43" t="s">
        <v>841</v>
      </c>
      <c r="L514" s="44" t="s">
        <v>842</v>
      </c>
      <c r="M514" s="45">
        <v>3340</v>
      </c>
      <c r="N514" s="44" t="s">
        <v>167</v>
      </c>
      <c r="O514" s="17"/>
      <c r="P514" s="17"/>
      <c r="Q514" s="17"/>
      <c r="R514" s="17"/>
      <c r="S514" s="17"/>
      <c r="T514" s="17"/>
      <c r="U514" s="17"/>
      <c r="V514" s="17"/>
      <c r="W514" s="17"/>
      <c r="X514" s="17"/>
      <c r="Y514" s="46" t="str">
        <f ca="1">IFERROR(VLOOKUP(A514,catalogo!$E:$H,2,0),"-")</f>
        <v>Sales</v>
      </c>
      <c r="Z514" s="47">
        <f ca="1">IFERROR(VLOOKUP(A514,catalogo!$E:$G,3,0),"-")</f>
        <v>0</v>
      </c>
      <c r="AA514" s="48"/>
      <c r="AB514" s="48"/>
      <c r="AC514" s="48" t="str">
        <f ca="1">IFERROR(VLOOKUP(A514,catalogo!$E:$H,4,0),"-")</f>
        <v>.</v>
      </c>
      <c r="AD514" s="48"/>
      <c r="AE514" s="48"/>
      <c r="AF514" s="48"/>
      <c r="AG514" s="48"/>
      <c r="AH514" s="48"/>
      <c r="AI514" s="48"/>
    </row>
    <row r="515" spans="1:35" ht="12.5" hidden="1">
      <c r="A515" s="37" t="s">
        <v>394</v>
      </c>
      <c r="B515" s="38" t="str">
        <f>IFERROR(VLOOKUP(J515,catalogo!$B$1:$C$75,2,0),"-")</f>
        <v>#74</v>
      </c>
      <c r="C515" s="39">
        <v>46066.417361111111</v>
      </c>
      <c r="D515" s="52"/>
      <c r="E515" s="17"/>
      <c r="F515" s="17"/>
      <c r="G515" s="42">
        <v>183</v>
      </c>
      <c r="H515" s="42">
        <v>183</v>
      </c>
      <c r="I515" s="43" t="s">
        <v>156</v>
      </c>
      <c r="J515" s="50" t="s">
        <v>286</v>
      </c>
      <c r="K515" s="43" t="s">
        <v>724</v>
      </c>
      <c r="L515" s="44" t="s">
        <v>725</v>
      </c>
      <c r="M515" s="45">
        <v>5481</v>
      </c>
      <c r="N515" s="44" t="s">
        <v>167</v>
      </c>
      <c r="O515" s="17"/>
      <c r="P515" s="17"/>
      <c r="Q515" s="17"/>
      <c r="R515" s="17"/>
      <c r="S515" s="17"/>
      <c r="T515" s="17"/>
      <c r="U515" s="17"/>
      <c r="V515" s="17"/>
      <c r="W515" s="17"/>
      <c r="X515" s="17"/>
      <c r="Y515" s="46" t="str">
        <f ca="1">IFERROR(VLOOKUP(A515,catalogo!$E:$H,2,0),"-")</f>
        <v>-</v>
      </c>
      <c r="Z515" s="47" t="str">
        <f ca="1">IFERROR(VLOOKUP(A515,catalogo!$E:$G,3,0),"-")</f>
        <v>-</v>
      </c>
      <c r="AA515" s="48"/>
      <c r="AB515" s="48"/>
      <c r="AC515" s="48" t="str">
        <f ca="1">IFERROR(VLOOKUP(A515,catalogo!$E:$H,4,0),"-")</f>
        <v>-</v>
      </c>
      <c r="AD515" s="48"/>
      <c r="AE515" s="48"/>
      <c r="AF515" s="48"/>
      <c r="AG515" s="48"/>
      <c r="AH515" s="48"/>
      <c r="AI515" s="48"/>
    </row>
    <row r="516" spans="1:35" ht="15.5" hidden="1">
      <c r="A516" s="37" t="s">
        <v>1145</v>
      </c>
      <c r="B516" s="38" t="str">
        <f>IFERROR(VLOOKUP(J516,catalogo!$B$1:$C$75,2,0),"-")</f>
        <v>-</v>
      </c>
      <c r="C516" s="39">
        <v>46066.417361111111</v>
      </c>
      <c r="D516" s="17"/>
      <c r="E516" s="17"/>
      <c r="F516" s="17"/>
      <c r="G516" s="42">
        <v>65</v>
      </c>
      <c r="H516" s="42">
        <v>65</v>
      </c>
      <c r="I516" s="43" t="s">
        <v>156</v>
      </c>
      <c r="J516" s="43" t="s">
        <v>187</v>
      </c>
      <c r="K516" s="43" t="s">
        <v>1146</v>
      </c>
      <c r="L516" s="44" t="s">
        <v>1147</v>
      </c>
      <c r="M516" s="45" t="s">
        <v>190</v>
      </c>
      <c r="N516" s="44" t="s">
        <v>167</v>
      </c>
      <c r="O516" s="49"/>
      <c r="P516" s="17"/>
      <c r="Q516" s="17"/>
      <c r="R516" s="17"/>
      <c r="S516" s="17"/>
      <c r="T516" s="17"/>
      <c r="U516" s="17"/>
      <c r="V516" s="17"/>
      <c r="W516" s="17"/>
      <c r="X516" s="17"/>
      <c r="Y516" s="46" t="str">
        <f ca="1">IFERROR(VLOOKUP(A516,catalogo!$E:$H,2,0),"-")</f>
        <v>-</v>
      </c>
      <c r="Z516" s="47" t="str">
        <f ca="1">IFERROR(VLOOKUP(A516,catalogo!$E:$G,3,0),"-")</f>
        <v>-</v>
      </c>
      <c r="AA516" s="48"/>
      <c r="AB516" s="48"/>
      <c r="AC516" s="48" t="str">
        <f ca="1">IFERROR(VLOOKUP(A516,catalogo!$E:$H,4,0),"-")</f>
        <v>-</v>
      </c>
      <c r="AD516" s="48"/>
      <c r="AE516" s="48"/>
      <c r="AF516" s="48"/>
      <c r="AG516" s="48"/>
      <c r="AH516" s="48"/>
      <c r="AI516" s="48"/>
    </row>
    <row r="517" spans="1:35" ht="12.5" hidden="1">
      <c r="A517" s="37" t="s">
        <v>1148</v>
      </c>
      <c r="B517" s="38" t="str">
        <f>IFERROR(VLOOKUP(J517,catalogo!$B$1:$C$70,2,0),"-")</f>
        <v>-</v>
      </c>
      <c r="C517" s="39">
        <v>46066.417361111111</v>
      </c>
      <c r="D517" s="17"/>
      <c r="E517" s="17"/>
      <c r="F517" s="17"/>
      <c r="G517" s="42">
        <v>25</v>
      </c>
      <c r="H517" s="42">
        <v>25</v>
      </c>
      <c r="I517" s="43" t="s">
        <v>156</v>
      </c>
      <c r="J517" s="43" t="s">
        <v>321</v>
      </c>
      <c r="K517" s="43" t="s">
        <v>841</v>
      </c>
      <c r="L517" s="44" t="s">
        <v>842</v>
      </c>
      <c r="M517" s="44">
        <v>3340</v>
      </c>
      <c r="N517" s="44" t="s">
        <v>167</v>
      </c>
      <c r="O517" s="17"/>
      <c r="P517" s="17"/>
      <c r="Q517" s="17"/>
      <c r="R517" s="17"/>
      <c r="S517" s="17"/>
      <c r="T517" s="17"/>
      <c r="U517" s="17"/>
      <c r="V517" s="17"/>
      <c r="W517" s="17"/>
      <c r="X517" s="17"/>
      <c r="Y517" s="46" t="str">
        <f ca="1">IFERROR(VLOOKUP(A517,catalogo!$E:$G,2,0),"-")</f>
        <v>-</v>
      </c>
      <c r="Z517" s="47" t="str">
        <f ca="1">IFERROR(VLOOKUP(A517,catalogo!$E:$G,3,0),"-")</f>
        <v>-</v>
      </c>
      <c r="AA517" s="48"/>
      <c r="AB517" s="48"/>
      <c r="AC517" s="48" t="str">
        <f ca="1">IFERROR(VLOOKUP(A517,catalogo!$E:$H,4,0),"-")</f>
        <v>-</v>
      </c>
      <c r="AD517" s="48"/>
      <c r="AE517" s="48"/>
      <c r="AF517" s="48"/>
      <c r="AG517" s="48"/>
      <c r="AH517" s="48"/>
      <c r="AI517" s="48"/>
    </row>
    <row r="518" spans="1:35" ht="12.5" hidden="1">
      <c r="A518" s="37" t="s">
        <v>1149</v>
      </c>
      <c r="B518" s="38" t="str">
        <f>IFERROR(VLOOKUP(J518,catalogo!$B$1:$C$70,2,0),"-")</f>
        <v>-</v>
      </c>
      <c r="C518" s="39">
        <v>46066.417361111111</v>
      </c>
      <c r="D518" s="17"/>
      <c r="E518" s="17"/>
      <c r="F518" s="17"/>
      <c r="G518" s="42">
        <v>385</v>
      </c>
      <c r="H518" s="42">
        <v>385</v>
      </c>
      <c r="I518" s="43" t="s">
        <v>156</v>
      </c>
      <c r="J518" s="43" t="s">
        <v>187</v>
      </c>
      <c r="K518" s="43" t="s">
        <v>1150</v>
      </c>
      <c r="L518" s="44" t="s">
        <v>1151</v>
      </c>
      <c r="M518" s="45" t="s">
        <v>190</v>
      </c>
      <c r="N518" s="44" t="s">
        <v>167</v>
      </c>
      <c r="O518" s="17"/>
      <c r="P518" s="17"/>
      <c r="Q518" s="17"/>
      <c r="R518" s="17"/>
      <c r="S518" s="17"/>
      <c r="T518" s="17"/>
      <c r="U518" s="17"/>
      <c r="V518" s="17"/>
      <c r="W518" s="17"/>
      <c r="X518" s="17"/>
      <c r="Y518" s="46" t="str">
        <f ca="1">IFERROR(VLOOKUP(A518,catalogo!$E:$G,2,0),"-")</f>
        <v>-</v>
      </c>
      <c r="Z518" s="47" t="str">
        <f ca="1">IFERROR(VLOOKUP(A518,catalogo!$E:$G,3,0),"-")</f>
        <v>-</v>
      </c>
      <c r="AA518" s="48"/>
      <c r="AB518" s="48"/>
      <c r="AC518" s="48" t="str">
        <f ca="1">IFERROR(VLOOKUP(A518,catalogo!$E:$H,4,0),"-")</f>
        <v>-</v>
      </c>
      <c r="AD518" s="48"/>
      <c r="AE518" s="48"/>
      <c r="AF518" s="48"/>
      <c r="AG518" s="48"/>
      <c r="AH518" s="48"/>
      <c r="AI518" s="48"/>
    </row>
    <row r="519" spans="1:35" ht="12.5" hidden="1">
      <c r="A519" s="37" t="s">
        <v>1152</v>
      </c>
      <c r="B519" s="38" t="str">
        <f>IFERROR(VLOOKUP(J519,catalogo!$B$1:$C$75,2,0),"-")</f>
        <v>#56</v>
      </c>
      <c r="C519" s="39">
        <v>46066.417361111111</v>
      </c>
      <c r="D519" s="40"/>
      <c r="E519" s="41"/>
      <c r="F519" s="41"/>
      <c r="G519" s="42">
        <v>3599</v>
      </c>
      <c r="H519" s="42">
        <v>3599</v>
      </c>
      <c r="I519" s="43" t="s">
        <v>156</v>
      </c>
      <c r="J519" s="43" t="s">
        <v>99</v>
      </c>
      <c r="K519" s="43" t="s">
        <v>1153</v>
      </c>
      <c r="L519" s="44" t="s">
        <v>500</v>
      </c>
      <c r="M519" s="45">
        <v>8949</v>
      </c>
      <c r="N519" s="44" t="s">
        <v>167</v>
      </c>
      <c r="O519" s="41"/>
      <c r="P519" s="41"/>
      <c r="Q519" s="41"/>
      <c r="R519" s="41"/>
      <c r="S519" s="41"/>
      <c r="T519" s="41"/>
      <c r="U519" s="41"/>
      <c r="V519" s="41"/>
      <c r="W519" s="41"/>
      <c r="X519" s="41"/>
      <c r="Y519" s="46" t="str">
        <f ca="1">IFERROR(VLOOKUP(A519,catalogo!$E:$H,2,0),"-")</f>
        <v>-</v>
      </c>
      <c r="Z519" s="47" t="str">
        <f ca="1">IFERROR(VLOOKUP(A519,catalogo!$E:$G,3,0),"-")</f>
        <v>-</v>
      </c>
      <c r="AA519" s="48"/>
      <c r="AB519" s="48"/>
      <c r="AC519" s="48" t="str">
        <f ca="1">IFERROR(VLOOKUP(A519,catalogo!$E:$H,4,0),"-")</f>
        <v>-</v>
      </c>
      <c r="AD519" s="48"/>
      <c r="AE519" s="48"/>
      <c r="AF519" s="48"/>
      <c r="AG519" s="48"/>
      <c r="AH519" s="48"/>
      <c r="AI519" s="48"/>
    </row>
    <row r="520" spans="1:35" ht="15.5" hidden="1">
      <c r="A520" s="37" t="s">
        <v>1154</v>
      </c>
      <c r="B520" s="38" t="str">
        <f>IFERROR(VLOOKUP(J520,catalogo!$B$1:$C$75,2,0),"-")</f>
        <v>-</v>
      </c>
      <c r="C520" s="39">
        <v>46066.417361111111</v>
      </c>
      <c r="D520" s="17"/>
      <c r="E520" s="17"/>
      <c r="F520" s="17"/>
      <c r="G520" s="42">
        <v>303.60000000000002</v>
      </c>
      <c r="H520" s="42">
        <v>303.60000000000002</v>
      </c>
      <c r="I520" s="43" t="s">
        <v>156</v>
      </c>
      <c r="J520" s="43" t="s">
        <v>343</v>
      </c>
      <c r="K520" s="43" t="s">
        <v>1155</v>
      </c>
      <c r="L520" s="44" t="s">
        <v>1156</v>
      </c>
      <c r="M520" s="45">
        <v>6747</v>
      </c>
      <c r="N520" s="44" t="s">
        <v>167</v>
      </c>
      <c r="O520" s="49"/>
      <c r="P520" s="17"/>
      <c r="Q520" s="17"/>
      <c r="R520" s="17"/>
      <c r="S520" s="17"/>
      <c r="T520" s="17"/>
      <c r="U520" s="17"/>
      <c r="V520" s="17"/>
      <c r="W520" s="17"/>
      <c r="X520" s="17"/>
      <c r="Y520" s="46" t="str">
        <f ca="1">IFERROR(VLOOKUP(A520,catalogo!$E:$H,2,0),"-")</f>
        <v>-</v>
      </c>
      <c r="Z520" s="47" t="str">
        <f ca="1">IFERROR(VLOOKUP(A520,catalogo!$E:$G,3,0),"-")</f>
        <v>-</v>
      </c>
      <c r="AA520" s="48"/>
      <c r="AB520" s="48"/>
      <c r="AC520" s="48" t="str">
        <f ca="1">IFERROR(VLOOKUP(A520,catalogo!$E:$H,4,0),"-")</f>
        <v>-</v>
      </c>
      <c r="AD520" s="48"/>
      <c r="AE520" s="48"/>
      <c r="AF520" s="48"/>
      <c r="AG520" s="48"/>
      <c r="AH520" s="48"/>
      <c r="AI520" s="48"/>
    </row>
    <row r="521" spans="1:35" ht="12.5" hidden="1">
      <c r="A521" s="37" t="s">
        <v>1157</v>
      </c>
      <c r="B521" s="38" t="str">
        <f>IFERROR(VLOOKUP(J521,catalogo!$B$1:$C$70,2,0),"-")</f>
        <v>#40</v>
      </c>
      <c r="C521" s="39">
        <v>46066.417361111111</v>
      </c>
      <c r="D521" s="17"/>
      <c r="E521" s="17"/>
      <c r="F521" s="17"/>
      <c r="G521" s="42">
        <v>2139</v>
      </c>
      <c r="H521" s="42">
        <v>2139</v>
      </c>
      <c r="I521" s="43" t="s">
        <v>156</v>
      </c>
      <c r="J521" s="43" t="s">
        <v>136</v>
      </c>
      <c r="K521" s="43" t="s">
        <v>1158</v>
      </c>
      <c r="L521" s="44" t="s">
        <v>1159</v>
      </c>
      <c r="M521" s="44">
        <v>7740</v>
      </c>
      <c r="N521" s="44" t="s">
        <v>167</v>
      </c>
      <c r="O521" s="17"/>
      <c r="P521" s="17"/>
      <c r="Q521" s="17"/>
      <c r="R521" s="17"/>
      <c r="S521" s="17"/>
      <c r="T521" s="17"/>
      <c r="U521" s="17"/>
      <c r="V521" s="17"/>
      <c r="W521" s="17"/>
      <c r="X521" s="17"/>
      <c r="Y521" s="46" t="str">
        <f ca="1">IFERROR(VLOOKUP(A521,catalogo!$E:$G,2,0),"-")</f>
        <v>-</v>
      </c>
      <c r="Z521" s="47" t="str">
        <f ca="1">IFERROR(VLOOKUP(A521,catalogo!$E:$G,3,0),"-")</f>
        <v>-</v>
      </c>
      <c r="AA521" s="48"/>
      <c r="AB521" s="48"/>
      <c r="AC521" s="48" t="str">
        <f ca="1">IFERROR(VLOOKUP(A521,catalogo!$E:$H,4,0),"-")</f>
        <v>-</v>
      </c>
      <c r="AD521" s="48"/>
      <c r="AE521" s="48"/>
      <c r="AF521" s="48"/>
      <c r="AG521" s="48"/>
      <c r="AH521" s="48"/>
      <c r="AI521" s="48"/>
    </row>
    <row r="522" spans="1:35" ht="12.5" hidden="1">
      <c r="A522" s="37" t="s">
        <v>379</v>
      </c>
      <c r="B522" s="38" t="str">
        <f>IFERROR(VLOOKUP(J522,catalogo!$B$1:$C$75,2,0),"-")</f>
        <v>#26</v>
      </c>
      <c r="C522" s="39">
        <v>46066.417361111111</v>
      </c>
      <c r="D522" s="52"/>
      <c r="E522" s="17"/>
      <c r="F522" s="17"/>
      <c r="G522" s="42">
        <v>210</v>
      </c>
      <c r="H522" s="42">
        <v>210</v>
      </c>
      <c r="I522" s="43" t="s">
        <v>156</v>
      </c>
      <c r="J522" s="43" t="s">
        <v>67</v>
      </c>
      <c r="K522" s="43" t="s">
        <v>1160</v>
      </c>
      <c r="L522" s="44" t="s">
        <v>1161</v>
      </c>
      <c r="M522" s="45">
        <v>8061</v>
      </c>
      <c r="N522" s="44" t="s">
        <v>167</v>
      </c>
      <c r="O522" s="17"/>
      <c r="P522" s="17"/>
      <c r="Q522" s="17"/>
      <c r="R522" s="17"/>
      <c r="S522" s="17"/>
      <c r="T522" s="17"/>
      <c r="U522" s="17"/>
      <c r="V522" s="17"/>
      <c r="W522" s="17"/>
      <c r="X522" s="17"/>
      <c r="Y522" s="46" t="str">
        <f ca="1">IFERROR(VLOOKUP(A522,catalogo!$E:$H,2,0),"-")</f>
        <v>-</v>
      </c>
      <c r="Z522" s="47" t="str">
        <f ca="1">IFERROR(VLOOKUP(A522,catalogo!$E:$G,3,0),"-")</f>
        <v>-</v>
      </c>
      <c r="AA522" s="48"/>
      <c r="AB522" s="48"/>
      <c r="AC522" s="48" t="str">
        <f ca="1">IFERROR(VLOOKUP(A522,catalogo!$E:$H,4,0),"-")</f>
        <v>-</v>
      </c>
      <c r="AD522" s="48"/>
      <c r="AE522" s="48"/>
      <c r="AF522" s="48"/>
      <c r="AG522" s="48"/>
      <c r="AH522" s="48"/>
      <c r="AI522" s="48"/>
    </row>
    <row r="523" spans="1:35" ht="12.5" hidden="1">
      <c r="A523" s="37" t="s">
        <v>1162</v>
      </c>
      <c r="B523" s="38" t="str">
        <f>IFERROR(VLOOKUP(J523,catalogo!$B$1:$C$75,2,0),"-")</f>
        <v>-</v>
      </c>
      <c r="C523" s="39">
        <v>46066.417361111111</v>
      </c>
      <c r="D523" s="17"/>
      <c r="E523" s="17"/>
      <c r="F523" s="17"/>
      <c r="G523" s="42">
        <v>1219.1500000000001</v>
      </c>
      <c r="H523" s="42">
        <v>67.69</v>
      </c>
      <c r="I523" s="43" t="s">
        <v>172</v>
      </c>
      <c r="J523" s="43" t="s">
        <v>343</v>
      </c>
      <c r="K523" s="43" t="s">
        <v>537</v>
      </c>
      <c r="L523" s="44" t="s">
        <v>233</v>
      </c>
      <c r="M523" s="45" t="s">
        <v>433</v>
      </c>
      <c r="N523" s="44" t="s">
        <v>144</v>
      </c>
      <c r="O523" s="17"/>
      <c r="P523" s="17"/>
      <c r="Q523" s="17"/>
      <c r="R523" s="17"/>
      <c r="S523" s="17"/>
      <c r="T523" s="17"/>
      <c r="U523" s="17"/>
      <c r="V523" s="17"/>
      <c r="W523" s="17"/>
      <c r="X523" s="17"/>
      <c r="Y523" s="46" t="str">
        <f ca="1">IFERROR(VLOOKUP(A523,catalogo!$E:$H,2,0),"-")</f>
        <v>-</v>
      </c>
      <c r="Z523" s="47" t="str">
        <f ca="1">IFERROR(VLOOKUP(A523,catalogo!$E:$G,3,0),"-")</f>
        <v>-</v>
      </c>
      <c r="AA523" s="48"/>
      <c r="AB523" s="48"/>
      <c r="AC523" s="48" t="str">
        <f ca="1">IFERROR(VLOOKUP(A523,catalogo!$E:$H,4,0),"-")</f>
        <v>-</v>
      </c>
      <c r="AD523" s="48"/>
      <c r="AE523" s="48"/>
      <c r="AF523" s="48"/>
      <c r="AG523" s="48"/>
      <c r="AH523" s="48"/>
      <c r="AI523" s="48"/>
    </row>
    <row r="524" spans="1:35" ht="12.5" hidden="1">
      <c r="A524" s="37" t="s">
        <v>300</v>
      </c>
      <c r="B524" s="38" t="str">
        <f>IFERROR(VLOOKUP(J524,catalogo!$B$1:$C$75,2,0),"-")</f>
        <v>#2</v>
      </c>
      <c r="C524" s="39">
        <v>46066.417361111111</v>
      </c>
      <c r="D524" s="17"/>
      <c r="E524" s="17"/>
      <c r="F524" s="17"/>
      <c r="G524" s="42">
        <v>1083.21</v>
      </c>
      <c r="H524" s="42">
        <v>60</v>
      </c>
      <c r="I524" s="43" t="s">
        <v>172</v>
      </c>
      <c r="J524" s="43" t="s">
        <v>75</v>
      </c>
      <c r="K524" s="43" t="s">
        <v>1163</v>
      </c>
      <c r="L524" s="44" t="s">
        <v>1164</v>
      </c>
      <c r="M524" s="44" t="s">
        <v>199</v>
      </c>
      <c r="N524" s="44" t="s">
        <v>144</v>
      </c>
      <c r="O524" s="17"/>
      <c r="P524" s="17"/>
      <c r="Q524" s="17"/>
      <c r="R524" s="17"/>
      <c r="S524" s="17"/>
      <c r="T524" s="17"/>
      <c r="U524" s="17"/>
      <c r="V524" s="17"/>
      <c r="W524" s="17"/>
      <c r="X524" s="17"/>
      <c r="Y524" s="46" t="str">
        <f ca="1">IFERROR(VLOOKUP(A524,catalogo!$E:$H,2,0),"-")</f>
        <v>Tech&amp;Product</v>
      </c>
      <c r="Z524" s="47">
        <f ca="1">IFERROR(VLOOKUP(A524,catalogo!$E:$G,3,0),"-")</f>
        <v>0</v>
      </c>
      <c r="AA524" s="48"/>
      <c r="AB524" s="48"/>
      <c r="AC524" s="48" t="str">
        <f ca="1">IFERROR(VLOOKUP(A524,catalogo!$E:$H,4,0),"-")</f>
        <v>.</v>
      </c>
      <c r="AD524" s="48"/>
      <c r="AE524" s="48"/>
      <c r="AF524" s="48"/>
      <c r="AG524" s="48"/>
      <c r="AH524" s="48"/>
      <c r="AI524" s="48"/>
    </row>
    <row r="525" spans="1:35" ht="15.5" hidden="1">
      <c r="A525" s="37" t="s">
        <v>1165</v>
      </c>
      <c r="B525" s="38" t="str">
        <f>IFERROR(VLOOKUP(J525,catalogo!$B$1:$C$75,2,0),"-")</f>
        <v>#66</v>
      </c>
      <c r="C525" s="39">
        <v>46066.417361111111</v>
      </c>
      <c r="D525" s="17"/>
      <c r="E525" s="17"/>
      <c r="F525" s="17"/>
      <c r="G525" s="42">
        <v>407.98</v>
      </c>
      <c r="H525" s="42">
        <v>407.98</v>
      </c>
      <c r="I525" s="43" t="s">
        <v>156</v>
      </c>
      <c r="J525" s="43" t="s">
        <v>80</v>
      </c>
      <c r="K525" s="43" t="s">
        <v>1166</v>
      </c>
      <c r="L525" s="44" t="s">
        <v>1167</v>
      </c>
      <c r="M525" s="44">
        <v>2406</v>
      </c>
      <c r="N525" s="44" t="s">
        <v>167</v>
      </c>
      <c r="O525" s="49"/>
      <c r="P525" s="17"/>
      <c r="Q525" s="17"/>
      <c r="R525" s="17"/>
      <c r="S525" s="17"/>
      <c r="T525" s="17"/>
      <c r="U525" s="17"/>
      <c r="V525" s="17"/>
      <c r="W525" s="17"/>
      <c r="X525" s="17"/>
      <c r="Y525" s="46" t="str">
        <f ca="1">IFERROR(VLOOKUP(A525,catalogo!$E:$H,2,0),"-")</f>
        <v>-</v>
      </c>
      <c r="Z525" s="47" t="str">
        <f ca="1">IFERROR(VLOOKUP(A525,catalogo!$E:$G,3,0),"-")</f>
        <v>-</v>
      </c>
      <c r="AA525" s="48"/>
      <c r="AB525" s="48"/>
      <c r="AC525" s="48" t="str">
        <f ca="1">IFERROR(VLOOKUP(A525,catalogo!$E:$H,4,0),"-")</f>
        <v>-</v>
      </c>
      <c r="AD525" s="48"/>
      <c r="AE525" s="48"/>
      <c r="AF525" s="48"/>
      <c r="AG525" s="48"/>
      <c r="AH525" s="48"/>
      <c r="AI525" s="48"/>
    </row>
    <row r="526" spans="1:35" ht="12.5" hidden="1">
      <c r="A526" s="37" t="s">
        <v>1168</v>
      </c>
      <c r="B526" s="38" t="str">
        <f>IFERROR(VLOOKUP(J526,catalogo!$B$1:$C$70,2,0),"-")</f>
        <v>-</v>
      </c>
      <c r="C526" s="39">
        <v>46066.417361111111</v>
      </c>
      <c r="D526" s="17"/>
      <c r="E526" s="17"/>
      <c r="F526" s="17"/>
      <c r="G526" s="42">
        <v>328</v>
      </c>
      <c r="H526" s="42">
        <v>328</v>
      </c>
      <c r="I526" s="43" t="s">
        <v>156</v>
      </c>
      <c r="J526" s="43" t="s">
        <v>325</v>
      </c>
      <c r="K526" s="43" t="s">
        <v>1169</v>
      </c>
      <c r="L526" s="44" t="s">
        <v>1170</v>
      </c>
      <c r="M526" s="45">
        <v>7984</v>
      </c>
      <c r="N526" s="44" t="s">
        <v>167</v>
      </c>
      <c r="O526" s="17"/>
      <c r="P526" s="17"/>
      <c r="Q526" s="17"/>
      <c r="R526" s="17"/>
      <c r="S526" s="17"/>
      <c r="T526" s="17"/>
      <c r="U526" s="17"/>
      <c r="V526" s="17"/>
      <c r="W526" s="17"/>
      <c r="X526" s="17"/>
      <c r="Y526" s="46" t="str">
        <f ca="1">IFERROR(VLOOKUP(A526,catalogo!$E:$G,2,0),"-")</f>
        <v>-</v>
      </c>
      <c r="Z526" s="47" t="str">
        <f ca="1">IFERROR(VLOOKUP(A526,catalogo!$E:$G,3,0),"-")</f>
        <v>-</v>
      </c>
      <c r="AA526" s="48"/>
      <c r="AB526" s="48"/>
      <c r="AC526" s="48" t="str">
        <f ca="1">IFERROR(VLOOKUP(A526,catalogo!$E:$H,4,0),"-")</f>
        <v>-</v>
      </c>
      <c r="AD526" s="48"/>
      <c r="AE526" s="48"/>
      <c r="AF526" s="48"/>
      <c r="AG526" s="48"/>
      <c r="AH526" s="48"/>
      <c r="AI526" s="48"/>
    </row>
    <row r="527" spans="1:35" ht="12.5" hidden="1">
      <c r="A527" s="37" t="s">
        <v>1171</v>
      </c>
      <c r="B527" s="38" t="str">
        <f>IFERROR(VLOOKUP(J527,catalogo!$B$1:$C$100,2,0),"-")</f>
        <v>#64</v>
      </c>
      <c r="C527" s="39">
        <v>46066.417361111111</v>
      </c>
      <c r="D527" s="17"/>
      <c r="E527" s="17"/>
      <c r="F527" s="17"/>
      <c r="G527" s="42">
        <v>460</v>
      </c>
      <c r="H527" s="42">
        <v>460</v>
      </c>
      <c r="I527" s="43" t="s">
        <v>156</v>
      </c>
      <c r="J527" s="43" t="s">
        <v>139</v>
      </c>
      <c r="K527" s="43" t="s">
        <v>184</v>
      </c>
      <c r="L527" s="44" t="s">
        <v>185</v>
      </c>
      <c r="M527" s="45">
        <v>7142</v>
      </c>
      <c r="N527" s="44" t="s">
        <v>167</v>
      </c>
      <c r="O527" s="17"/>
      <c r="P527" s="17"/>
      <c r="Q527" s="17"/>
      <c r="R527" s="17"/>
      <c r="S527" s="17"/>
      <c r="T527" s="17"/>
      <c r="U527" s="17"/>
      <c r="V527" s="17"/>
      <c r="W527" s="17"/>
      <c r="X527" s="17"/>
      <c r="Y527" s="46" t="str">
        <f ca="1">IFERROR(VLOOKUP(A527,catalogo!$E:$G,2,0),"-")</f>
        <v>-</v>
      </c>
      <c r="Z527" s="47" t="str">
        <f ca="1">IFERROR(VLOOKUP(A527,catalogo!$E:$G,3,0),"-")</f>
        <v>-</v>
      </c>
      <c r="AA527" s="48"/>
      <c r="AB527" s="48"/>
      <c r="AC527" s="48" t="str">
        <f ca="1">IFERROR(VLOOKUP(A527,catalogo!$E:$H,4,0),"-")</f>
        <v>-</v>
      </c>
      <c r="AD527" s="48"/>
      <c r="AE527" s="48"/>
      <c r="AF527" s="48"/>
      <c r="AG527" s="48"/>
      <c r="AH527" s="48"/>
      <c r="AI527" s="48"/>
    </row>
    <row r="528" spans="1:35" ht="15.5" hidden="1">
      <c r="A528" s="37" t="s">
        <v>1172</v>
      </c>
      <c r="B528" s="38" t="str">
        <f>IFERROR(VLOOKUP(J528,catalogo!$B$1:$C$75,2,0),"-")</f>
        <v>-</v>
      </c>
      <c r="C528" s="39">
        <v>46066.417361111111</v>
      </c>
      <c r="D528" s="17"/>
      <c r="E528" s="17"/>
      <c r="F528" s="17"/>
      <c r="G528" s="42">
        <v>400</v>
      </c>
      <c r="H528" s="42">
        <v>400</v>
      </c>
      <c r="I528" s="43" t="s">
        <v>156</v>
      </c>
      <c r="J528" s="43" t="s">
        <v>325</v>
      </c>
      <c r="K528" s="43" t="s">
        <v>1173</v>
      </c>
      <c r="L528" s="44" t="s">
        <v>1174</v>
      </c>
      <c r="M528" s="45">
        <v>7984</v>
      </c>
      <c r="N528" s="44" t="s">
        <v>167</v>
      </c>
      <c r="O528" s="49"/>
      <c r="P528" s="17"/>
      <c r="Q528" s="17"/>
      <c r="R528" s="17"/>
      <c r="S528" s="17"/>
      <c r="T528" s="17"/>
      <c r="U528" s="17"/>
      <c r="V528" s="17"/>
      <c r="W528" s="17"/>
      <c r="X528" s="17"/>
      <c r="Y528" s="46" t="str">
        <f ca="1">IFERROR(VLOOKUP(A528,catalogo!$E:$H,2,0),"-")</f>
        <v>-</v>
      </c>
      <c r="Z528" s="47" t="str">
        <f ca="1">IFERROR(VLOOKUP(A528,catalogo!$E:$G,3,0),"-")</f>
        <v>-</v>
      </c>
      <c r="AA528" s="48"/>
      <c r="AB528" s="48"/>
      <c r="AC528" s="48" t="str">
        <f ca="1">IFERROR(VLOOKUP(A528,catalogo!$E:$H,4,0),"-")</f>
        <v>-</v>
      </c>
      <c r="AD528" s="48"/>
      <c r="AE528" s="48"/>
      <c r="AF528" s="48"/>
      <c r="AG528" s="48"/>
      <c r="AH528" s="48"/>
      <c r="AI528" s="48"/>
    </row>
    <row r="529" spans="1:35" ht="12.5" hidden="1">
      <c r="A529" s="37" t="s">
        <v>183</v>
      </c>
      <c r="B529" s="38" t="str">
        <f>IFERROR(VLOOKUP(J529,catalogo!$B$1:$C$75,2,0),"-")</f>
        <v>#13</v>
      </c>
      <c r="C529" s="39">
        <v>46066.417361111111</v>
      </c>
      <c r="D529" s="17"/>
      <c r="E529" s="17"/>
      <c r="F529" s="17"/>
      <c r="G529" s="42">
        <v>1298.3499999999999</v>
      </c>
      <c r="H529" s="42">
        <v>1298.3499999999999</v>
      </c>
      <c r="I529" s="43" t="s">
        <v>156</v>
      </c>
      <c r="J529" s="43" t="s">
        <v>66</v>
      </c>
      <c r="K529" s="43" t="s">
        <v>1175</v>
      </c>
      <c r="L529" s="44" t="s">
        <v>1176</v>
      </c>
      <c r="M529" s="45">
        <v>8732</v>
      </c>
      <c r="N529" s="44" t="s">
        <v>167</v>
      </c>
      <c r="O529" s="17"/>
      <c r="P529" s="17"/>
      <c r="Q529" s="17"/>
      <c r="R529" s="17"/>
      <c r="S529" s="17"/>
      <c r="T529" s="17"/>
      <c r="U529" s="17"/>
      <c r="V529" s="17"/>
      <c r="W529" s="17"/>
      <c r="X529" s="17"/>
      <c r="Y529" s="46" t="str">
        <f ca="1">IFERROR(VLOOKUP(A529,catalogo!$E:$H,2,0),"-")</f>
        <v>Sales</v>
      </c>
      <c r="Z529" s="47" t="str">
        <f ca="1">IFERROR(VLOOKUP(A529,catalogo!$E:$G,3,0),"-")</f>
        <v>Comida Cliente. Asistentes:
- Mariela Martínez (Gaya)
- Kenia Durán (Gaya)
- Miguel de Lascurain (Prima)
- Alfonso Bello (Prima)</v>
      </c>
      <c r="AA529" s="48"/>
      <c r="AB529" s="48"/>
      <c r="AC529" s="48" t="str">
        <f ca="1">IFERROR(VLOOKUP(A529,catalogo!$E:$H,4,0),"-")</f>
        <v>8787B2CF-A15D-4633-8ACA-5D36673EEA82103181561770853649271</v>
      </c>
      <c r="AD529" s="48"/>
      <c r="AE529" s="48"/>
      <c r="AF529" s="48"/>
      <c r="AG529" s="48"/>
      <c r="AH529" s="48"/>
      <c r="AI529" s="48"/>
    </row>
    <row r="530" spans="1:35" ht="12.5" hidden="1">
      <c r="A530" s="37" t="s">
        <v>1177</v>
      </c>
      <c r="B530" s="38" t="str">
        <f>IFERROR(VLOOKUP(J530,catalogo!$B$1:$C$80,2,0),"-")</f>
        <v>#26</v>
      </c>
      <c r="C530" s="39">
        <v>46066.417361111111</v>
      </c>
      <c r="D530" s="17"/>
      <c r="E530" s="17"/>
      <c r="F530" s="17"/>
      <c r="G530" s="42">
        <v>572</v>
      </c>
      <c r="H530" s="42">
        <v>572</v>
      </c>
      <c r="I530" s="43" t="s">
        <v>156</v>
      </c>
      <c r="J530" s="43" t="s">
        <v>67</v>
      </c>
      <c r="K530" s="43" t="s">
        <v>1178</v>
      </c>
      <c r="L530" s="44" t="s">
        <v>1179</v>
      </c>
      <c r="M530" s="45">
        <v>8061</v>
      </c>
      <c r="N530" s="44" t="s">
        <v>167</v>
      </c>
      <c r="O530" s="17"/>
      <c r="P530" s="17"/>
      <c r="Q530" s="17"/>
      <c r="R530" s="17"/>
      <c r="S530" s="17"/>
      <c r="T530" s="17"/>
      <c r="U530" s="17"/>
      <c r="V530" s="17"/>
      <c r="W530" s="17"/>
      <c r="X530" s="17"/>
      <c r="Y530" s="46" t="str">
        <f ca="1">IFERROR(VLOOKUP(A530,catalogo!$E:$G,2,0),"-")</f>
        <v>-</v>
      </c>
      <c r="Z530" s="47" t="str">
        <f ca="1">IFERROR(VLOOKUP(A530,catalogo!$E:$G,3,0),"-")</f>
        <v>-</v>
      </c>
      <c r="AA530" s="48"/>
      <c r="AB530" s="48"/>
      <c r="AC530" s="48" t="str">
        <f ca="1">IFERROR(VLOOKUP(A530,catalogo!$E:$H,4,0),"-")</f>
        <v>-</v>
      </c>
      <c r="AD530" s="48"/>
      <c r="AE530" s="48"/>
      <c r="AF530" s="48"/>
      <c r="AG530" s="48"/>
      <c r="AH530" s="48"/>
      <c r="AI530" s="48"/>
    </row>
    <row r="531" spans="1:35" ht="12.5" hidden="1">
      <c r="A531" s="37" t="s">
        <v>1180</v>
      </c>
      <c r="B531" s="38" t="str">
        <f>IFERROR(VLOOKUP(J531,catalogo!$B$1:$C$75,2,0),"-")</f>
        <v>-</v>
      </c>
      <c r="C531" s="39">
        <v>46066.417361111111</v>
      </c>
      <c r="D531" s="17"/>
      <c r="E531" s="17"/>
      <c r="F531" s="17"/>
      <c r="G531" s="42">
        <v>295.55</v>
      </c>
      <c r="H531" s="42">
        <v>295.55</v>
      </c>
      <c r="I531" s="43" t="s">
        <v>156</v>
      </c>
      <c r="J531" s="50" t="s">
        <v>187</v>
      </c>
      <c r="K531" s="43" t="s">
        <v>1181</v>
      </c>
      <c r="L531" s="44" t="s">
        <v>1182</v>
      </c>
      <c r="M531" s="44" t="s">
        <v>190</v>
      </c>
      <c r="N531" s="44" t="s">
        <v>167</v>
      </c>
      <c r="O531" s="17"/>
      <c r="P531" s="17"/>
      <c r="Q531" s="17"/>
      <c r="R531" s="17"/>
      <c r="S531" s="17"/>
      <c r="T531" s="17"/>
      <c r="U531" s="17"/>
      <c r="V531" s="17"/>
      <c r="W531" s="17"/>
      <c r="X531" s="17"/>
      <c r="Y531" s="46" t="str">
        <f ca="1">IFERROR(VLOOKUP(A531,catalogo!$E:$H,2,0),"-")</f>
        <v>-</v>
      </c>
      <c r="Z531" s="47" t="str">
        <f ca="1">IFERROR(VLOOKUP(A531,catalogo!$E:$G,3,0),"-")</f>
        <v>-</v>
      </c>
      <c r="AA531" s="48"/>
      <c r="AB531" s="48"/>
      <c r="AC531" s="48" t="str">
        <f ca="1">IFERROR(VLOOKUP(A531,catalogo!$E:$H,4,0),"-")</f>
        <v>-</v>
      </c>
      <c r="AD531" s="48"/>
      <c r="AE531" s="48"/>
      <c r="AF531" s="48"/>
      <c r="AG531" s="48"/>
      <c r="AH531" s="48"/>
      <c r="AI531" s="48"/>
    </row>
    <row r="532" spans="1:35" ht="12.5" hidden="1">
      <c r="A532" s="37" t="s">
        <v>1183</v>
      </c>
      <c r="B532" s="38" t="str">
        <f>IFERROR(VLOOKUP(J532,catalogo!$B$1:$C$75,2,0),"-")</f>
        <v>#64</v>
      </c>
      <c r="C532" s="39">
        <v>46066.417361111111</v>
      </c>
      <c r="D532" s="17"/>
      <c r="E532" s="17"/>
      <c r="F532" s="17"/>
      <c r="G532" s="42">
        <v>92.9</v>
      </c>
      <c r="H532" s="42">
        <v>92.9</v>
      </c>
      <c r="I532" s="43" t="s">
        <v>156</v>
      </c>
      <c r="J532" s="43" t="s">
        <v>139</v>
      </c>
      <c r="K532" s="43" t="s">
        <v>169</v>
      </c>
      <c r="L532" s="44" t="s">
        <v>170</v>
      </c>
      <c r="M532" s="45">
        <v>7142</v>
      </c>
      <c r="N532" s="44" t="s">
        <v>167</v>
      </c>
      <c r="O532" s="17"/>
      <c r="P532" s="17"/>
      <c r="Q532" s="17"/>
      <c r="R532" s="17"/>
      <c r="S532" s="17"/>
      <c r="T532" s="17"/>
      <c r="U532" s="17"/>
      <c r="V532" s="17"/>
      <c r="W532" s="17"/>
      <c r="X532" s="17"/>
      <c r="Y532" s="46" t="str">
        <f ca="1">IFERROR(VLOOKUP(A532,catalogo!$E:$H,2,0),"-")</f>
        <v>-</v>
      </c>
      <c r="Z532" s="47" t="str">
        <f ca="1">IFERROR(VLOOKUP(A532,catalogo!$E:$G,3,0),"-")</f>
        <v>-</v>
      </c>
      <c r="AA532" s="48"/>
      <c r="AB532" s="48"/>
      <c r="AC532" s="48" t="str">
        <f ca="1">IFERROR(VLOOKUP(A532,catalogo!$E:$H,4,0),"-")</f>
        <v>-</v>
      </c>
      <c r="AD532" s="48"/>
      <c r="AE532" s="48"/>
      <c r="AF532" s="48"/>
      <c r="AG532" s="48"/>
      <c r="AH532" s="48"/>
      <c r="AI532" s="48"/>
    </row>
    <row r="533" spans="1:35" ht="12.5" hidden="1">
      <c r="A533" s="37" t="s">
        <v>1184</v>
      </c>
      <c r="B533" s="38" t="str">
        <f>IFERROR(VLOOKUP(J533,catalogo!$B$1:$C$75,2,0),"-")</f>
        <v>#56</v>
      </c>
      <c r="C533" s="39">
        <v>46066.417361111111</v>
      </c>
      <c r="D533" s="17"/>
      <c r="E533" s="17"/>
      <c r="F533" s="17"/>
      <c r="G533" s="42">
        <v>362.83</v>
      </c>
      <c r="H533" s="42">
        <v>362.83</v>
      </c>
      <c r="I533" s="43" t="s">
        <v>156</v>
      </c>
      <c r="J533" s="43" t="s">
        <v>99</v>
      </c>
      <c r="K533" s="43" t="s">
        <v>1185</v>
      </c>
      <c r="L533" s="44" t="s">
        <v>1186</v>
      </c>
      <c r="M533" s="45">
        <v>8949</v>
      </c>
      <c r="N533" s="44" t="s">
        <v>167</v>
      </c>
      <c r="O533" s="17"/>
      <c r="P533" s="17"/>
      <c r="Q533" s="17"/>
      <c r="R533" s="17"/>
      <c r="S533" s="17"/>
      <c r="T533" s="17"/>
      <c r="U533" s="17"/>
      <c r="V533" s="17"/>
      <c r="W533" s="17"/>
      <c r="X533" s="17"/>
      <c r="Y533" s="46" t="str">
        <f ca="1">IFERROR(VLOOKUP(A533,catalogo!$E:$H,2,0),"-")</f>
        <v>-</v>
      </c>
      <c r="Z533" s="47" t="str">
        <f ca="1">IFERROR(VLOOKUP(A533,catalogo!$E:$G,3,0),"-")</f>
        <v>-</v>
      </c>
      <c r="AA533" s="48"/>
      <c r="AB533" s="48"/>
      <c r="AC533" s="48" t="str">
        <f ca="1">IFERROR(VLOOKUP(A533,catalogo!$E:$H,4,0),"-")</f>
        <v>-</v>
      </c>
      <c r="AD533" s="48"/>
      <c r="AE533" s="48"/>
      <c r="AF533" s="48"/>
      <c r="AG533" s="48"/>
      <c r="AH533" s="48"/>
      <c r="AI533" s="48"/>
    </row>
    <row r="534" spans="1:35" ht="12.5" hidden="1">
      <c r="A534" s="37" t="s">
        <v>1187</v>
      </c>
      <c r="B534" s="38" t="str">
        <f>IFERROR(VLOOKUP(J534,catalogo!$B$1:$C$75,2,0),"-")</f>
        <v>#49</v>
      </c>
      <c r="C534" s="39">
        <v>46066.417361111111</v>
      </c>
      <c r="D534" s="17"/>
      <c r="E534" s="17"/>
      <c r="F534" s="17"/>
      <c r="G534" s="42">
        <v>2055</v>
      </c>
      <c r="H534" s="42">
        <v>2055</v>
      </c>
      <c r="I534" s="43" t="s">
        <v>156</v>
      </c>
      <c r="J534" s="43" t="s">
        <v>124</v>
      </c>
      <c r="K534" s="43" t="s">
        <v>1188</v>
      </c>
      <c r="L534" s="44" t="s">
        <v>1189</v>
      </c>
      <c r="M534" s="45">
        <v>4488</v>
      </c>
      <c r="N534" s="44" t="s">
        <v>167</v>
      </c>
      <c r="O534" s="17"/>
      <c r="P534" s="17"/>
      <c r="Q534" s="17"/>
      <c r="R534" s="17"/>
      <c r="S534" s="17"/>
      <c r="T534" s="17"/>
      <c r="U534" s="17"/>
      <c r="V534" s="17"/>
      <c r="W534" s="17"/>
      <c r="X534" s="17"/>
      <c r="Y534" s="46" t="str">
        <f ca="1">IFERROR(VLOOKUP(A534,catalogo!$E:$H,2,0),"-")</f>
        <v>-</v>
      </c>
      <c r="Z534" s="47" t="str">
        <f ca="1">IFERROR(VLOOKUP(A534,catalogo!$E:$G,3,0),"-")</f>
        <v>-</v>
      </c>
      <c r="AA534" s="48"/>
      <c r="AB534" s="48"/>
      <c r="AC534" s="48" t="str">
        <f ca="1">IFERROR(VLOOKUP(A534,catalogo!$E:$H,4,0),"-")</f>
        <v>-</v>
      </c>
      <c r="AD534" s="48"/>
      <c r="AE534" s="48"/>
      <c r="AF534" s="48"/>
      <c r="AG534" s="48"/>
      <c r="AH534" s="48"/>
      <c r="AI534" s="48"/>
    </row>
    <row r="535" spans="1:35" ht="15.5" hidden="1">
      <c r="A535" s="37" t="s">
        <v>1190</v>
      </c>
      <c r="B535" s="38" t="str">
        <f>IFERROR(VLOOKUP(J535,catalogo!$B$1:$C$75,2,0),"-")</f>
        <v>-</v>
      </c>
      <c r="C535" s="39">
        <v>46067.416666666664</v>
      </c>
      <c r="D535" s="17"/>
      <c r="E535" s="17"/>
      <c r="F535" s="17"/>
      <c r="G535" s="42">
        <v>49.23</v>
      </c>
      <c r="H535" s="42">
        <v>49.23</v>
      </c>
      <c r="I535" s="43" t="s">
        <v>156</v>
      </c>
      <c r="J535" s="43" t="s">
        <v>187</v>
      </c>
      <c r="K535" s="43" t="s">
        <v>232</v>
      </c>
      <c r="L535" s="44" t="s">
        <v>233</v>
      </c>
      <c r="M535" s="45" t="s">
        <v>477</v>
      </c>
      <c r="N535" s="44" t="s">
        <v>144</v>
      </c>
      <c r="O535" s="49"/>
      <c r="P535" s="17"/>
      <c r="Q535" s="17"/>
      <c r="R535" s="17"/>
      <c r="S535" s="17"/>
      <c r="T535" s="17"/>
      <c r="U535" s="17"/>
      <c r="V535" s="17"/>
      <c r="W535" s="17"/>
      <c r="X535" s="17"/>
      <c r="Y535" s="46" t="str">
        <f ca="1">IFERROR(VLOOKUP(A535,catalogo!$E:$H,2,0),"-")</f>
        <v>-</v>
      </c>
      <c r="Z535" s="47" t="str">
        <f ca="1">IFERROR(VLOOKUP(A535,catalogo!$E:$G,3,0),"-")</f>
        <v>-</v>
      </c>
      <c r="AA535" s="48"/>
      <c r="AB535" s="48"/>
      <c r="AC535" s="48" t="str">
        <f ca="1">IFERROR(VLOOKUP(A535,catalogo!$E:$H,4,0),"-")</f>
        <v>-</v>
      </c>
      <c r="AD535" s="48"/>
      <c r="AE535" s="48"/>
      <c r="AF535" s="48"/>
      <c r="AG535" s="48"/>
      <c r="AH535" s="48"/>
      <c r="AI535" s="48"/>
    </row>
    <row r="536" spans="1:35" ht="12.5" hidden="1">
      <c r="A536" s="37" t="s">
        <v>1191</v>
      </c>
      <c r="B536" s="38" t="str">
        <f>IFERROR(VLOOKUP(J536,catalogo!$B$1:$C$75,2,0),"-")</f>
        <v>-</v>
      </c>
      <c r="C536" s="39">
        <v>46067.416666666664</v>
      </c>
      <c r="D536" s="17"/>
      <c r="E536" s="17"/>
      <c r="F536" s="17"/>
      <c r="G536" s="42">
        <v>46.74</v>
      </c>
      <c r="H536" s="42">
        <v>46.74</v>
      </c>
      <c r="I536" s="43" t="s">
        <v>156</v>
      </c>
      <c r="J536" s="43" t="s">
        <v>187</v>
      </c>
      <c r="K536" s="43" t="s">
        <v>232</v>
      </c>
      <c r="L536" s="44" t="s">
        <v>233</v>
      </c>
      <c r="M536" s="45" t="s">
        <v>477</v>
      </c>
      <c r="N536" s="44" t="s">
        <v>144</v>
      </c>
      <c r="O536" s="17"/>
      <c r="P536" s="17"/>
      <c r="Q536" s="17"/>
      <c r="R536" s="17"/>
      <c r="S536" s="17"/>
      <c r="T536" s="17"/>
      <c r="U536" s="17"/>
      <c r="V536" s="17"/>
      <c r="W536" s="17"/>
      <c r="X536" s="17"/>
      <c r="Y536" s="46" t="str">
        <f ca="1">IFERROR(VLOOKUP(A536,catalogo!$E:$H,2,0),"-")</f>
        <v>-</v>
      </c>
      <c r="Z536" s="47" t="str">
        <f ca="1">IFERROR(VLOOKUP(A536,catalogo!$E:$G,3,0),"-")</f>
        <v>-</v>
      </c>
      <c r="AA536" s="48"/>
      <c r="AB536" s="48"/>
      <c r="AC536" s="48" t="str">
        <f ca="1">IFERROR(VLOOKUP(A536,catalogo!$E:$H,4,0),"-")</f>
        <v>-</v>
      </c>
      <c r="AD536" s="48"/>
      <c r="AE536" s="48"/>
      <c r="AF536" s="48"/>
      <c r="AG536" s="48"/>
      <c r="AH536" s="48"/>
      <c r="AI536" s="48"/>
    </row>
    <row r="537" spans="1:35" ht="12.5" hidden="1">
      <c r="A537" s="37" t="s">
        <v>1192</v>
      </c>
      <c r="B537" s="38" t="str">
        <f>IFERROR(VLOOKUP(J537,catalogo!$B$1:$C$70,2,0),"-")</f>
        <v>#56</v>
      </c>
      <c r="C537" s="39">
        <v>46067.416666666664</v>
      </c>
      <c r="D537" s="17"/>
      <c r="E537" s="17"/>
      <c r="F537" s="17"/>
      <c r="G537" s="42">
        <v>349.99</v>
      </c>
      <c r="H537" s="42">
        <v>349.99</v>
      </c>
      <c r="I537" s="43" t="s">
        <v>156</v>
      </c>
      <c r="J537" s="43" t="s">
        <v>99</v>
      </c>
      <c r="K537" s="43" t="s">
        <v>232</v>
      </c>
      <c r="L537" s="44" t="s">
        <v>233</v>
      </c>
      <c r="M537" s="45">
        <v>8949</v>
      </c>
      <c r="N537" s="44" t="s">
        <v>167</v>
      </c>
      <c r="O537" s="17"/>
      <c r="P537" s="17"/>
      <c r="Q537" s="17"/>
      <c r="R537" s="17"/>
      <c r="S537" s="17"/>
      <c r="T537" s="17"/>
      <c r="U537" s="17"/>
      <c r="V537" s="17"/>
      <c r="W537" s="17"/>
      <c r="X537" s="17"/>
      <c r="Y537" s="46" t="str">
        <f ca="1">IFERROR(VLOOKUP(A537,catalogo!$E:$G,2,0),"-")</f>
        <v>-</v>
      </c>
      <c r="Z537" s="47" t="str">
        <f ca="1">IFERROR(VLOOKUP(A537,catalogo!$E:$G,3,0),"-")</f>
        <v>-</v>
      </c>
      <c r="AA537" s="48"/>
      <c r="AB537" s="48"/>
      <c r="AC537" s="48" t="str">
        <f ca="1">IFERROR(VLOOKUP(A537,catalogo!$E:$H,4,0),"-")</f>
        <v>-</v>
      </c>
      <c r="AD537" s="48"/>
      <c r="AE537" s="48"/>
      <c r="AF537" s="48"/>
      <c r="AG537" s="48"/>
      <c r="AH537" s="48"/>
      <c r="AI537" s="48"/>
    </row>
    <row r="538" spans="1:35" ht="15.5" hidden="1">
      <c r="A538" s="37" t="s">
        <v>1193</v>
      </c>
      <c r="B538" s="38" t="str">
        <f>IFERROR(VLOOKUP(J538,catalogo!$B$1:$C$75,2,0),"-")</f>
        <v>#74</v>
      </c>
      <c r="C538" s="39">
        <v>46067.416666666664</v>
      </c>
      <c r="D538" s="17"/>
      <c r="E538" s="17"/>
      <c r="F538" s="17"/>
      <c r="G538" s="42">
        <v>186.76</v>
      </c>
      <c r="H538" s="42">
        <v>186.76</v>
      </c>
      <c r="I538" s="43" t="s">
        <v>156</v>
      </c>
      <c r="J538" s="43" t="s">
        <v>286</v>
      </c>
      <c r="K538" s="43" t="s">
        <v>284</v>
      </c>
      <c r="L538" s="44" t="s">
        <v>233</v>
      </c>
      <c r="M538" s="45">
        <v>5481</v>
      </c>
      <c r="N538" s="44" t="s">
        <v>167</v>
      </c>
      <c r="O538" s="49"/>
      <c r="P538" s="17"/>
      <c r="Q538" s="17"/>
      <c r="R538" s="17"/>
      <c r="S538" s="17"/>
      <c r="T538" s="17"/>
      <c r="U538" s="17"/>
      <c r="V538" s="17"/>
      <c r="W538" s="17"/>
      <c r="X538" s="17"/>
      <c r="Y538" s="46" t="str">
        <f ca="1">IFERROR(VLOOKUP(A538,catalogo!$E:$H,2,0),"-")</f>
        <v>-</v>
      </c>
      <c r="Z538" s="47" t="str">
        <f ca="1">IFERROR(VLOOKUP(A538,catalogo!$E:$G,3,0),"-")</f>
        <v>-</v>
      </c>
      <c r="AA538" s="48"/>
      <c r="AB538" s="48"/>
      <c r="AC538" s="48" t="str">
        <f ca="1">IFERROR(VLOOKUP(A538,catalogo!$E:$H,4,0),"-")</f>
        <v>-</v>
      </c>
      <c r="AD538" s="48"/>
      <c r="AE538" s="48"/>
      <c r="AF538" s="48"/>
      <c r="AG538" s="48"/>
      <c r="AH538" s="48"/>
      <c r="AI538" s="48"/>
    </row>
    <row r="539" spans="1:35" ht="12.5" hidden="1">
      <c r="A539" s="37" t="s">
        <v>1194</v>
      </c>
      <c r="B539" s="38" t="str">
        <f>IFERROR(VLOOKUP(J539,catalogo!$B$1:$C$85,2,0),"-")</f>
        <v>#74</v>
      </c>
      <c r="C539" s="39">
        <v>46067.416666666664</v>
      </c>
      <c r="D539" s="17"/>
      <c r="E539" s="17"/>
      <c r="F539" s="17"/>
      <c r="G539" s="42">
        <v>46.39</v>
      </c>
      <c r="H539" s="42">
        <v>46.39</v>
      </c>
      <c r="I539" s="43" t="s">
        <v>156</v>
      </c>
      <c r="J539" s="43" t="s">
        <v>286</v>
      </c>
      <c r="K539" s="43" t="s">
        <v>284</v>
      </c>
      <c r="L539" s="44" t="s">
        <v>233</v>
      </c>
      <c r="M539" s="45">
        <v>5481</v>
      </c>
      <c r="N539" s="44" t="s">
        <v>167</v>
      </c>
      <c r="O539" s="17"/>
      <c r="P539" s="17"/>
      <c r="Q539" s="17"/>
      <c r="R539" s="17"/>
      <c r="S539" s="17"/>
      <c r="T539" s="17"/>
      <c r="U539" s="17"/>
      <c r="V539" s="17"/>
      <c r="W539" s="17"/>
      <c r="X539" s="17"/>
      <c r="Y539" s="46" t="str">
        <f ca="1">IFERROR(VLOOKUP(A539,catalogo!$E:$G,2,0),"-")</f>
        <v>-</v>
      </c>
      <c r="Z539" s="47" t="str">
        <f ca="1">IFERROR(VLOOKUP(A539,catalogo!$E:$G,3,0),"-")</f>
        <v>-</v>
      </c>
      <c r="AA539" s="48"/>
      <c r="AB539" s="48"/>
      <c r="AC539" s="48" t="str">
        <f ca="1">IFERROR(VLOOKUP(A539,catalogo!$E:$H,4,0),"-")</f>
        <v>-</v>
      </c>
      <c r="AD539" s="48"/>
      <c r="AE539" s="48"/>
      <c r="AF539" s="48"/>
      <c r="AG539" s="48"/>
      <c r="AH539" s="48"/>
      <c r="AI539" s="48"/>
    </row>
    <row r="540" spans="1:35" ht="12.5" hidden="1">
      <c r="A540" s="37" t="s">
        <v>1195</v>
      </c>
      <c r="B540" s="38" t="str">
        <f>IFERROR(VLOOKUP(J540,catalogo!$B$1:$C$70,2,0),"-")</f>
        <v>-</v>
      </c>
      <c r="C540" s="39">
        <v>46067.416666666664</v>
      </c>
      <c r="D540" s="17"/>
      <c r="E540" s="17"/>
      <c r="F540" s="17"/>
      <c r="G540" s="42">
        <v>119.72</v>
      </c>
      <c r="H540" s="42">
        <v>119.72</v>
      </c>
      <c r="I540" s="43" t="s">
        <v>156</v>
      </c>
      <c r="J540" s="43" t="s">
        <v>269</v>
      </c>
      <c r="K540" s="43" t="s">
        <v>284</v>
      </c>
      <c r="L540" s="44" t="s">
        <v>233</v>
      </c>
      <c r="M540" s="45" t="s">
        <v>270</v>
      </c>
      <c r="N540" s="44" t="s">
        <v>144</v>
      </c>
      <c r="O540" s="17"/>
      <c r="P540" s="17"/>
      <c r="Q540" s="17"/>
      <c r="R540" s="17"/>
      <c r="S540" s="17"/>
      <c r="T540" s="17"/>
      <c r="U540" s="17"/>
      <c r="V540" s="17"/>
      <c r="W540" s="17"/>
      <c r="X540" s="17"/>
      <c r="Y540" s="46" t="str">
        <f ca="1">IFERROR(VLOOKUP(A540,catalogo!$E:$G,2,0),"-")</f>
        <v>-</v>
      </c>
      <c r="Z540" s="47" t="str">
        <f ca="1">IFERROR(VLOOKUP(A540,catalogo!$E:$G,3,0),"-")</f>
        <v>-</v>
      </c>
      <c r="AA540" s="48"/>
      <c r="AB540" s="48"/>
      <c r="AC540" s="48" t="str">
        <f ca="1">IFERROR(VLOOKUP(A540,catalogo!$E:$H,4,0),"-")</f>
        <v>-</v>
      </c>
      <c r="AD540" s="48"/>
      <c r="AE540" s="48"/>
      <c r="AF540" s="48"/>
      <c r="AG540" s="48"/>
      <c r="AH540" s="48"/>
      <c r="AI540" s="48"/>
    </row>
    <row r="541" spans="1:35" ht="12.5" hidden="1">
      <c r="A541" s="37" t="s">
        <v>1196</v>
      </c>
      <c r="B541" s="38" t="str">
        <f>IFERROR(VLOOKUP(J541,catalogo!$B$1:$C$70,2,0),"-")</f>
        <v>#5</v>
      </c>
      <c r="C541" s="39">
        <v>46067.416666666664</v>
      </c>
      <c r="D541" s="17"/>
      <c r="E541" s="17"/>
      <c r="F541" s="17"/>
      <c r="G541" s="42">
        <v>317.52</v>
      </c>
      <c r="H541" s="42">
        <v>317.52</v>
      </c>
      <c r="I541" s="43" t="s">
        <v>156</v>
      </c>
      <c r="J541" s="43" t="s">
        <v>104</v>
      </c>
      <c r="K541" s="43" t="s">
        <v>180</v>
      </c>
      <c r="L541" s="44" t="s">
        <v>181</v>
      </c>
      <c r="M541" s="45">
        <v>3283</v>
      </c>
      <c r="N541" s="44" t="s">
        <v>167</v>
      </c>
      <c r="O541" s="17"/>
      <c r="P541" s="17"/>
      <c r="Q541" s="17"/>
      <c r="R541" s="17"/>
      <c r="S541" s="17"/>
      <c r="T541" s="17"/>
      <c r="U541" s="17"/>
      <c r="V541" s="17"/>
      <c r="W541" s="17"/>
      <c r="X541" s="17"/>
      <c r="Y541" s="46" t="str">
        <f ca="1">IFERROR(VLOOKUP(A541,catalogo!$E:$G,2,0),"-")</f>
        <v>Office expenses</v>
      </c>
      <c r="Z541" s="47" t="str">
        <f ca="1">IFERROR(VLOOKUP(A541,catalogo!$E:$G,3,0),"-")</f>
        <v>Snacks para la oficina</v>
      </c>
      <c r="AA541" s="48"/>
      <c r="AB541" s="48"/>
      <c r="AC541" s="48" t="str">
        <f ca="1">IFERROR(VLOOKUP(A541,catalogo!$E:$H,4,0),"-")</f>
        <v>.</v>
      </c>
      <c r="AD541" s="48"/>
      <c r="AE541" s="48"/>
      <c r="AF541" s="48"/>
      <c r="AG541" s="48"/>
      <c r="AH541" s="48"/>
      <c r="AI541" s="48"/>
    </row>
    <row r="542" spans="1:35" ht="15.5" hidden="1">
      <c r="A542" s="37" t="s">
        <v>1197</v>
      </c>
      <c r="B542" s="38" t="str">
        <f>IFERROR(VLOOKUP(J542,catalogo!$B$1:$C$75,2,0),"-")</f>
        <v>#26</v>
      </c>
      <c r="C542" s="39">
        <v>46067.416666666664</v>
      </c>
      <c r="D542" s="17"/>
      <c r="E542" s="17"/>
      <c r="F542" s="17"/>
      <c r="G542" s="42">
        <v>1.8</v>
      </c>
      <c r="H542" s="42">
        <v>1.8</v>
      </c>
      <c r="I542" s="43" t="s">
        <v>156</v>
      </c>
      <c r="J542" s="43" t="s">
        <v>67</v>
      </c>
      <c r="K542" s="43" t="s">
        <v>266</v>
      </c>
      <c r="L542" s="44" t="s">
        <v>267</v>
      </c>
      <c r="M542" s="45" t="s">
        <v>159</v>
      </c>
      <c r="N542" s="44" t="s">
        <v>144</v>
      </c>
      <c r="O542" s="49"/>
      <c r="P542" s="17"/>
      <c r="Q542" s="17"/>
      <c r="R542" s="17"/>
      <c r="S542" s="17"/>
      <c r="T542" s="17"/>
      <c r="U542" s="17"/>
      <c r="V542" s="17"/>
      <c r="W542" s="17"/>
      <c r="X542" s="17"/>
      <c r="Y542" s="46" t="str">
        <f ca="1">IFERROR(VLOOKUP(A542,catalogo!$E:$H,2,0),"-")</f>
        <v>-</v>
      </c>
      <c r="Z542" s="47" t="str">
        <f ca="1">IFERROR(VLOOKUP(A542,catalogo!$E:$G,3,0),"-")</f>
        <v>-</v>
      </c>
      <c r="AA542" s="48"/>
      <c r="AB542" s="48"/>
      <c r="AC542" s="48" t="str">
        <f ca="1">IFERROR(VLOOKUP(A542,catalogo!$E:$H,4,0),"-")</f>
        <v>-</v>
      </c>
      <c r="AD542" s="48"/>
      <c r="AE542" s="48"/>
      <c r="AF542" s="48"/>
      <c r="AG542" s="48"/>
      <c r="AH542" s="48"/>
      <c r="AI542" s="48"/>
    </row>
    <row r="543" spans="1:35" ht="12.5" hidden="1">
      <c r="A543" s="37" t="s">
        <v>290</v>
      </c>
      <c r="B543" s="38" t="str">
        <f>IFERROR(VLOOKUP(J543,catalogo!$B$1:$C$75,2,0),"-")</f>
        <v>#5</v>
      </c>
      <c r="C543" s="39">
        <v>46067.416666666664</v>
      </c>
      <c r="D543" s="17"/>
      <c r="E543" s="17"/>
      <c r="F543" s="17"/>
      <c r="G543" s="42">
        <v>939.38</v>
      </c>
      <c r="H543" s="42">
        <v>939.38</v>
      </c>
      <c r="I543" s="43" t="s">
        <v>156</v>
      </c>
      <c r="J543" s="43" t="s">
        <v>104</v>
      </c>
      <c r="K543" s="43" t="s">
        <v>180</v>
      </c>
      <c r="L543" s="44" t="s">
        <v>181</v>
      </c>
      <c r="M543" s="45">
        <v>3283</v>
      </c>
      <c r="N543" s="44" t="s">
        <v>167</v>
      </c>
      <c r="O543" s="17"/>
      <c r="P543" s="17"/>
      <c r="Q543" s="17"/>
      <c r="R543" s="17"/>
      <c r="S543" s="17"/>
      <c r="T543" s="17"/>
      <c r="U543" s="17"/>
      <c r="V543" s="17"/>
      <c r="W543" s="17"/>
      <c r="X543" s="17"/>
      <c r="Y543" s="46" t="str">
        <f ca="1">IFERROR(VLOOKUP(A543,catalogo!$E:$H,2,0),"-")</f>
        <v>Office expenses</v>
      </c>
      <c r="Z543" s="47" t="str">
        <f ca="1">IFERROR(VLOOKUP(A543,catalogo!$E:$G,3,0),"-")</f>
        <v xml:space="preserve">Botiquin </v>
      </c>
      <c r="AA543" s="48"/>
      <c r="AB543" s="48"/>
      <c r="AC543" s="48" t="str">
        <f ca="1">IFERROR(VLOOKUP(A543,catalogo!$E:$H,4,0),"-")</f>
        <v>.</v>
      </c>
      <c r="AD543" s="48"/>
      <c r="AE543" s="48"/>
      <c r="AF543" s="48"/>
      <c r="AG543" s="48"/>
      <c r="AH543" s="48"/>
      <c r="AI543" s="48"/>
    </row>
    <row r="544" spans="1:35" ht="12.5" hidden="1">
      <c r="A544" s="37" t="s">
        <v>1198</v>
      </c>
      <c r="B544" s="38" t="str">
        <f>IFERROR(VLOOKUP(J544,catalogo!$B$1:$C$100,2,0),"-")</f>
        <v>#26</v>
      </c>
      <c r="C544" s="39">
        <v>46067.416666666664</v>
      </c>
      <c r="D544" s="17"/>
      <c r="E544" s="17"/>
      <c r="F544" s="17"/>
      <c r="G544" s="42">
        <v>129.88</v>
      </c>
      <c r="H544" s="42">
        <v>129.88</v>
      </c>
      <c r="I544" s="43" t="s">
        <v>156</v>
      </c>
      <c r="J544" s="43" t="s">
        <v>67</v>
      </c>
      <c r="K544" s="43" t="s">
        <v>284</v>
      </c>
      <c r="L544" s="44" t="s">
        <v>233</v>
      </c>
      <c r="M544" s="44" t="s">
        <v>159</v>
      </c>
      <c r="N544" s="44" t="s">
        <v>144</v>
      </c>
      <c r="O544" s="17"/>
      <c r="P544" s="17"/>
      <c r="Q544" s="17"/>
      <c r="R544" s="17"/>
      <c r="S544" s="17"/>
      <c r="T544" s="17"/>
      <c r="U544" s="17"/>
      <c r="V544" s="17"/>
      <c r="W544" s="17"/>
      <c r="X544" s="17"/>
      <c r="Y544" s="46" t="str">
        <f ca="1">IFERROR(VLOOKUP(A544,catalogo!$E:$G,2,0),"-")</f>
        <v>-</v>
      </c>
      <c r="Z544" s="47" t="str">
        <f ca="1">IFERROR(VLOOKUP(A544,catalogo!$E:$G,3,0),"-")</f>
        <v>-</v>
      </c>
      <c r="AA544" s="48"/>
      <c r="AB544" s="48"/>
      <c r="AC544" s="48" t="str">
        <f ca="1">IFERROR(VLOOKUP(A544,catalogo!$E:$H,4,0),"-")</f>
        <v>-</v>
      </c>
      <c r="AD544" s="48"/>
      <c r="AE544" s="48"/>
      <c r="AF544" s="48"/>
      <c r="AG544" s="48"/>
      <c r="AH544" s="48"/>
      <c r="AI544" s="48"/>
    </row>
    <row r="545" spans="1:35" ht="12.5" hidden="1">
      <c r="A545" s="37" t="s">
        <v>1199</v>
      </c>
      <c r="B545" s="38" t="str">
        <f>IFERROR(VLOOKUP(J545,catalogo!$B$1:$C$75,2,0),"-")</f>
        <v>#5</v>
      </c>
      <c r="C545" s="39">
        <v>46067.416666666664</v>
      </c>
      <c r="D545" s="17"/>
      <c r="E545" s="17"/>
      <c r="F545" s="17"/>
      <c r="G545" s="42">
        <v>20</v>
      </c>
      <c r="H545" s="42">
        <v>20</v>
      </c>
      <c r="I545" s="43" t="s">
        <v>156</v>
      </c>
      <c r="J545" s="43" t="s">
        <v>104</v>
      </c>
      <c r="K545" s="43" t="s">
        <v>1200</v>
      </c>
      <c r="L545" s="44" t="s">
        <v>181</v>
      </c>
      <c r="M545" s="45">
        <v>3283</v>
      </c>
      <c r="N545" s="44" t="s">
        <v>167</v>
      </c>
      <c r="O545" s="17"/>
      <c r="P545" s="17"/>
      <c r="Q545" s="17"/>
      <c r="R545" s="17"/>
      <c r="S545" s="17"/>
      <c r="T545" s="17"/>
      <c r="U545" s="17"/>
      <c r="V545" s="17"/>
      <c r="W545" s="17"/>
      <c r="X545" s="17"/>
      <c r="Y545" s="46" t="str">
        <f ca="1">IFERROR(VLOOKUP(A545,catalogo!$E:$H,2,0),"-")</f>
        <v>Office expenses</v>
      </c>
      <c r="Z545" s="47" t="str">
        <f ca="1">IFERROR(VLOOKUP(A545,catalogo!$E:$G,3,0),"-")</f>
        <v>Refill de botiquin</v>
      </c>
      <c r="AA545" s="48"/>
      <c r="AB545" s="48"/>
      <c r="AC545" s="48" t="str">
        <f ca="1">IFERROR(VLOOKUP(A545,catalogo!$E:$H,4,0),"-")</f>
        <v>.</v>
      </c>
      <c r="AD545" s="48"/>
      <c r="AE545" s="48"/>
      <c r="AF545" s="48"/>
      <c r="AG545" s="48"/>
      <c r="AH545" s="48"/>
      <c r="AI545" s="48"/>
    </row>
    <row r="546" spans="1:35" ht="12.5" hidden="1">
      <c r="A546" s="37" t="s">
        <v>1201</v>
      </c>
      <c r="B546" s="38" t="str">
        <f>IFERROR(VLOOKUP(J546,catalogo!$B$1:$C$85,2,0),"-")</f>
        <v>#41</v>
      </c>
      <c r="C546" s="39">
        <v>46067.416666666664</v>
      </c>
      <c r="D546" s="40"/>
      <c r="E546" s="41"/>
      <c r="F546" s="41"/>
      <c r="G546" s="42">
        <v>300.56</v>
      </c>
      <c r="H546" s="42">
        <v>300.56</v>
      </c>
      <c r="I546" s="43" t="s">
        <v>156</v>
      </c>
      <c r="J546" s="43" t="s">
        <v>68</v>
      </c>
      <c r="K546" s="43" t="s">
        <v>284</v>
      </c>
      <c r="L546" s="44" t="s">
        <v>233</v>
      </c>
      <c r="M546" s="44" t="s">
        <v>1038</v>
      </c>
      <c r="N546" s="44" t="s">
        <v>144</v>
      </c>
      <c r="O546" s="41"/>
      <c r="P546" s="41"/>
      <c r="Q546" s="41"/>
      <c r="R546" s="41"/>
      <c r="S546" s="41"/>
      <c r="T546" s="41"/>
      <c r="U546" s="41"/>
      <c r="V546" s="41"/>
      <c r="W546" s="41"/>
      <c r="X546" s="41"/>
      <c r="Y546" s="46" t="str">
        <f ca="1">IFERROR(VLOOKUP(A546,catalogo!$E:$H,2,0),"-")</f>
        <v>-</v>
      </c>
      <c r="Z546" s="47" t="str">
        <f ca="1">IFERROR(VLOOKUP(A546,catalogo!$E:$G,3,0),"-")</f>
        <v>-</v>
      </c>
      <c r="AA546" s="48"/>
      <c r="AB546" s="48"/>
      <c r="AC546" s="48" t="str">
        <f ca="1">IFERROR(VLOOKUP(A546,catalogo!$E:$H,4,0),"-")</f>
        <v>-</v>
      </c>
      <c r="AD546" s="48"/>
      <c r="AE546" s="48"/>
      <c r="AF546" s="48"/>
      <c r="AG546" s="48"/>
      <c r="AH546" s="48"/>
      <c r="AI546" s="48"/>
    </row>
    <row r="547" spans="1:35" ht="12.5" hidden="1">
      <c r="A547" s="37" t="s">
        <v>203</v>
      </c>
      <c r="B547" s="38" t="str">
        <f>IFERROR(VLOOKUP(J547,catalogo!$B$1:$C$75,2,0),"-")</f>
        <v>#58</v>
      </c>
      <c r="C547" s="39">
        <v>46067.416666666664</v>
      </c>
      <c r="D547" s="17"/>
      <c r="E547" s="17"/>
      <c r="F547" s="17"/>
      <c r="G547" s="42">
        <v>402</v>
      </c>
      <c r="H547" s="42">
        <v>402</v>
      </c>
      <c r="I547" s="43" t="s">
        <v>156</v>
      </c>
      <c r="J547" s="43" t="s">
        <v>118</v>
      </c>
      <c r="K547" s="43" t="s">
        <v>1202</v>
      </c>
      <c r="L547" s="44" t="s">
        <v>294</v>
      </c>
      <c r="M547" s="44">
        <v>5576</v>
      </c>
      <c r="N547" s="44" t="s">
        <v>167</v>
      </c>
      <c r="O547" s="17"/>
      <c r="P547" s="17"/>
      <c r="Q547" s="17"/>
      <c r="R547" s="17"/>
      <c r="S547" s="17"/>
      <c r="T547" s="17"/>
      <c r="U547" s="17"/>
      <c r="V547" s="17"/>
      <c r="W547" s="17"/>
      <c r="X547" s="17"/>
      <c r="Y547" s="46" t="str">
        <f ca="1">IFERROR(VLOOKUP(A547,catalogo!$E:$H,2,0),"-")</f>
        <v>-</v>
      </c>
      <c r="Z547" s="47" t="str">
        <f ca="1">IFERROR(VLOOKUP(A547,catalogo!$E:$G,3,0),"-")</f>
        <v>-</v>
      </c>
      <c r="AA547" s="48"/>
      <c r="AB547" s="48"/>
      <c r="AC547" s="48" t="str">
        <f ca="1">IFERROR(VLOOKUP(A547,catalogo!$E:$H,4,0),"-")</f>
        <v>-</v>
      </c>
      <c r="AD547" s="48"/>
      <c r="AE547" s="48"/>
      <c r="AF547" s="48"/>
      <c r="AG547" s="48"/>
      <c r="AH547" s="48"/>
      <c r="AI547" s="48"/>
    </row>
    <row r="548" spans="1:35" ht="12.5" hidden="1">
      <c r="A548" s="37" t="s">
        <v>339</v>
      </c>
      <c r="B548" s="38" t="str">
        <f>IFERROR(VLOOKUP(J548,catalogo!$B$1:$C$75,2,0),"-")</f>
        <v>-</v>
      </c>
      <c r="C548" s="39">
        <v>46067.416666666664</v>
      </c>
      <c r="D548" s="17"/>
      <c r="E548" s="17"/>
      <c r="F548" s="17"/>
      <c r="G548" s="42">
        <v>79.959999999999994</v>
      </c>
      <c r="H548" s="42">
        <v>79.959999999999994</v>
      </c>
      <c r="I548" s="43" t="s">
        <v>156</v>
      </c>
      <c r="J548" s="43" t="s">
        <v>102</v>
      </c>
      <c r="K548" s="43" t="s">
        <v>232</v>
      </c>
      <c r="L548" s="44" t="s">
        <v>233</v>
      </c>
      <c r="M548" s="45" t="s">
        <v>279</v>
      </c>
      <c r="N548" s="44" t="s">
        <v>144</v>
      </c>
      <c r="O548" s="17"/>
      <c r="P548" s="17"/>
      <c r="Q548" s="17"/>
      <c r="R548" s="17"/>
      <c r="S548" s="17"/>
      <c r="T548" s="17"/>
      <c r="U548" s="17"/>
      <c r="V548" s="17"/>
      <c r="W548" s="17"/>
      <c r="X548" s="17"/>
      <c r="Y548" s="46" t="str">
        <f ca="1">IFERROR(VLOOKUP(A548,catalogo!$E:$H,2,0),"-")</f>
        <v>-</v>
      </c>
      <c r="Z548" s="47" t="str">
        <f ca="1">IFERROR(VLOOKUP(A548,catalogo!$E:$G,3,0),"-")</f>
        <v>-</v>
      </c>
      <c r="AA548" s="48"/>
      <c r="AB548" s="48"/>
      <c r="AC548" s="48" t="str">
        <f ca="1">IFERROR(VLOOKUP(A548,catalogo!$E:$H,4,0),"-")</f>
        <v>-</v>
      </c>
      <c r="AD548" s="48"/>
      <c r="AE548" s="48"/>
      <c r="AF548" s="48"/>
      <c r="AG548" s="48"/>
      <c r="AH548" s="48"/>
      <c r="AI548" s="48"/>
    </row>
    <row r="549" spans="1:35" ht="15.5" hidden="1">
      <c r="A549" s="37" t="s">
        <v>1203</v>
      </c>
      <c r="B549" s="38" t="str">
        <f>IFERROR(VLOOKUP(J549,catalogo!$B$1:$C$75,2,0),"-")</f>
        <v>#56</v>
      </c>
      <c r="C549" s="39">
        <v>46067.416666666664</v>
      </c>
      <c r="D549" s="17"/>
      <c r="E549" s="17"/>
      <c r="F549" s="17"/>
      <c r="G549" s="42">
        <v>189.99</v>
      </c>
      <c r="H549" s="42">
        <v>189.99</v>
      </c>
      <c r="I549" s="43" t="s">
        <v>156</v>
      </c>
      <c r="J549" s="43" t="s">
        <v>99</v>
      </c>
      <c r="K549" s="43" t="s">
        <v>232</v>
      </c>
      <c r="L549" s="44" t="s">
        <v>233</v>
      </c>
      <c r="M549" s="45">
        <v>8949</v>
      </c>
      <c r="N549" s="44" t="s">
        <v>167</v>
      </c>
      <c r="O549" s="49"/>
      <c r="P549" s="17"/>
      <c r="Q549" s="17"/>
      <c r="R549" s="17"/>
      <c r="S549" s="17"/>
      <c r="T549" s="17"/>
      <c r="U549" s="17"/>
      <c r="V549" s="17"/>
      <c r="W549" s="17"/>
      <c r="X549" s="17"/>
      <c r="Y549" s="46" t="str">
        <f ca="1">IFERROR(VLOOKUP(A549,catalogo!$E:$H,2,0),"-")</f>
        <v>-</v>
      </c>
      <c r="Z549" s="47" t="str">
        <f ca="1">IFERROR(VLOOKUP(A549,catalogo!$E:$G,3,0),"-")</f>
        <v>-</v>
      </c>
      <c r="AA549" s="48"/>
      <c r="AB549" s="48"/>
      <c r="AC549" s="48" t="str">
        <f ca="1">IFERROR(VLOOKUP(A549,catalogo!$E:$H,4,0),"-")</f>
        <v>-</v>
      </c>
      <c r="AD549" s="48"/>
      <c r="AE549" s="48"/>
      <c r="AF549" s="48"/>
      <c r="AG549" s="48"/>
      <c r="AH549" s="48"/>
      <c r="AI549" s="48"/>
    </row>
    <row r="550" spans="1:35" ht="12.5" hidden="1">
      <c r="A550" s="37" t="s">
        <v>470</v>
      </c>
      <c r="B550" s="38" t="str">
        <f>IFERROR(VLOOKUP(J550,catalogo!$B$1:$C$75,2,0),"-")</f>
        <v>#74</v>
      </c>
      <c r="C550" s="39">
        <v>46067.416666666664</v>
      </c>
      <c r="D550" s="52"/>
      <c r="E550" s="17"/>
      <c r="F550" s="17"/>
      <c r="G550" s="42">
        <v>43.12</v>
      </c>
      <c r="H550" s="42">
        <v>43.12</v>
      </c>
      <c r="I550" s="43" t="s">
        <v>156</v>
      </c>
      <c r="J550" s="43" t="s">
        <v>286</v>
      </c>
      <c r="K550" s="43" t="s">
        <v>232</v>
      </c>
      <c r="L550" s="44" t="s">
        <v>233</v>
      </c>
      <c r="M550" s="45">
        <v>5481</v>
      </c>
      <c r="N550" s="44" t="s">
        <v>167</v>
      </c>
      <c r="O550" s="17"/>
      <c r="P550" s="17"/>
      <c r="Q550" s="17"/>
      <c r="R550" s="17"/>
      <c r="S550" s="17"/>
      <c r="T550" s="17"/>
      <c r="U550" s="17"/>
      <c r="V550" s="17"/>
      <c r="W550" s="17"/>
      <c r="X550" s="17"/>
      <c r="Y550" s="46" t="str">
        <f ca="1">IFERROR(VLOOKUP(A550,catalogo!$E:$H,2,0),"-")</f>
        <v>Office expenses</v>
      </c>
      <c r="Z550" s="47">
        <f ca="1">IFERROR(VLOOKUP(A550,catalogo!$E:$G,3,0),"-")</f>
        <v>0</v>
      </c>
      <c r="AA550" s="48"/>
      <c r="AB550" s="48"/>
      <c r="AC550" s="48">
        <f ca="1">IFERROR(VLOOKUP(A550,catalogo!$E:$H,4,0),"-")</f>
        <v>0</v>
      </c>
      <c r="AD550" s="48"/>
      <c r="AE550" s="48"/>
      <c r="AF550" s="48"/>
      <c r="AG550" s="48"/>
      <c r="AH550" s="48"/>
      <c r="AI550" s="48"/>
    </row>
    <row r="551" spans="1:35" ht="12.5" hidden="1">
      <c r="A551" s="37" t="s">
        <v>1204</v>
      </c>
      <c r="B551" s="38" t="str">
        <f>IFERROR(VLOOKUP(J551,catalogo!$B$1:$C$80,2,0),"-")</f>
        <v>#5</v>
      </c>
      <c r="C551" s="39">
        <v>46067.416666666664</v>
      </c>
      <c r="D551" s="17"/>
      <c r="E551" s="17"/>
      <c r="F551" s="17"/>
      <c r="G551" s="42">
        <v>3142.4</v>
      </c>
      <c r="H551" s="42">
        <v>3142.4</v>
      </c>
      <c r="I551" s="43" t="s">
        <v>156</v>
      </c>
      <c r="J551" s="43" t="s">
        <v>104</v>
      </c>
      <c r="K551" s="43" t="s">
        <v>180</v>
      </c>
      <c r="L551" s="44" t="s">
        <v>181</v>
      </c>
      <c r="M551" s="45">
        <v>3283</v>
      </c>
      <c r="N551" s="44" t="s">
        <v>167</v>
      </c>
      <c r="O551" s="17"/>
      <c r="P551" s="17"/>
      <c r="Q551" s="17"/>
      <c r="R551" s="17"/>
      <c r="S551" s="17"/>
      <c r="T551" s="17"/>
      <c r="U551" s="17"/>
      <c r="V551" s="17"/>
      <c r="W551" s="17"/>
      <c r="X551" s="17"/>
      <c r="Y551" s="46">
        <f ca="1">IFERROR(VLOOKUP(A551,catalogo!$E:$G,2,0),"-")</f>
        <v>0</v>
      </c>
      <c r="Z551" s="47">
        <f ca="1">IFERROR(VLOOKUP(A551,catalogo!$E:$G,3,0),"-")</f>
        <v>0</v>
      </c>
      <c r="AA551" s="48"/>
      <c r="AB551" s="48"/>
      <c r="AC551" s="48" t="str">
        <f ca="1">IFERROR(VLOOKUP(A551,catalogo!$E:$H,4,0),"-")</f>
        <v>.</v>
      </c>
      <c r="AD551" s="48"/>
      <c r="AE551" s="48"/>
      <c r="AF551" s="48"/>
      <c r="AG551" s="48"/>
      <c r="AH551" s="48"/>
      <c r="AI551" s="48"/>
    </row>
    <row r="552" spans="1:35" ht="12.5" hidden="1">
      <c r="A552" s="37" t="s">
        <v>1205</v>
      </c>
      <c r="B552" s="38" t="str">
        <f>IFERROR(VLOOKUP(J552,catalogo!$B$1:$C$80,2,0),"-")</f>
        <v>#74</v>
      </c>
      <c r="C552" s="39">
        <v>46067.416666666664</v>
      </c>
      <c r="D552" s="17"/>
      <c r="E552" s="17"/>
      <c r="F552" s="17"/>
      <c r="G552" s="42">
        <v>248.74</v>
      </c>
      <c r="H552" s="42">
        <v>248.74</v>
      </c>
      <c r="I552" s="43" t="s">
        <v>156</v>
      </c>
      <c r="J552" s="43" t="s">
        <v>286</v>
      </c>
      <c r="K552" s="43" t="s">
        <v>284</v>
      </c>
      <c r="L552" s="44" t="s">
        <v>233</v>
      </c>
      <c r="M552" s="45">
        <v>5481</v>
      </c>
      <c r="N552" s="44" t="s">
        <v>167</v>
      </c>
      <c r="O552" s="17"/>
      <c r="P552" s="17"/>
      <c r="Q552" s="17"/>
      <c r="R552" s="17"/>
      <c r="S552" s="17"/>
      <c r="T552" s="17"/>
      <c r="U552" s="17"/>
      <c r="V552" s="17"/>
      <c r="W552" s="17"/>
      <c r="X552" s="17"/>
      <c r="Y552" s="46" t="str">
        <f ca="1">IFERROR(VLOOKUP(A552,catalogo!$E:$G,2,0),"-")</f>
        <v>-</v>
      </c>
      <c r="Z552" s="47" t="str">
        <f ca="1">IFERROR(VLOOKUP(A552,catalogo!$E:$G,3,0),"-")</f>
        <v>-</v>
      </c>
      <c r="AA552" s="48"/>
      <c r="AB552" s="48"/>
      <c r="AC552" s="48" t="str">
        <f ca="1">IFERROR(VLOOKUP(A552,catalogo!$E:$H,4,0),"-")</f>
        <v>-</v>
      </c>
      <c r="AD552" s="48"/>
      <c r="AE552" s="48"/>
      <c r="AF552" s="48"/>
      <c r="AG552" s="48"/>
      <c r="AH552" s="48"/>
      <c r="AI552" s="48"/>
    </row>
    <row r="553" spans="1:35" ht="12.5" hidden="1">
      <c r="A553" s="37" t="s">
        <v>1206</v>
      </c>
      <c r="B553" s="38" t="str">
        <f>IFERROR(VLOOKUP(J553,catalogo!$B$1:$C$80,2,0),"-")</f>
        <v>#75</v>
      </c>
      <c r="C553" s="39">
        <v>46067.416666666664</v>
      </c>
      <c r="D553" s="17"/>
      <c r="E553" s="17"/>
      <c r="F553" s="17"/>
      <c r="G553" s="42">
        <v>61.5</v>
      </c>
      <c r="H553" s="42">
        <v>61.5</v>
      </c>
      <c r="I553" s="43" t="s">
        <v>156</v>
      </c>
      <c r="J553" s="43" t="s">
        <v>343</v>
      </c>
      <c r="K553" s="43" t="s">
        <v>284</v>
      </c>
      <c r="L553" s="44" t="s">
        <v>233</v>
      </c>
      <c r="M553" s="45" t="s">
        <v>433</v>
      </c>
      <c r="N553" s="44" t="s">
        <v>144</v>
      </c>
      <c r="O553" s="17"/>
      <c r="P553" s="17"/>
      <c r="Q553" s="17"/>
      <c r="R553" s="17"/>
      <c r="S553" s="17"/>
      <c r="T553" s="17"/>
      <c r="U553" s="17"/>
      <c r="V553" s="17"/>
      <c r="W553" s="17"/>
      <c r="X553" s="17"/>
      <c r="Y553" s="46" t="str">
        <f ca="1">IFERROR(VLOOKUP(A553,catalogo!$E:$G,2,0),"-")</f>
        <v>-</v>
      </c>
      <c r="Z553" s="47" t="str">
        <f ca="1">IFERROR(VLOOKUP(A553,catalogo!$E:$G,3,0),"-")</f>
        <v>-</v>
      </c>
      <c r="AA553" s="48"/>
      <c r="AB553" s="48"/>
      <c r="AC553" s="48" t="str">
        <f ca="1">IFERROR(VLOOKUP(A553,catalogo!$E:$H,4,0),"-")</f>
        <v>-</v>
      </c>
      <c r="AD553" s="48"/>
      <c r="AE553" s="48"/>
      <c r="AF553" s="48"/>
      <c r="AG553" s="48"/>
      <c r="AH553" s="48"/>
      <c r="AI553" s="48"/>
    </row>
    <row r="554" spans="1:35" ht="12.5" hidden="1">
      <c r="A554" s="37" t="s">
        <v>1207</v>
      </c>
      <c r="B554" s="38" t="str">
        <f>IFERROR(VLOOKUP(J554,catalogo!$B$1:$C$80,2,0),"-")</f>
        <v>#75</v>
      </c>
      <c r="C554" s="39">
        <v>46067.416666666664</v>
      </c>
      <c r="D554" s="17"/>
      <c r="E554" s="17"/>
      <c r="F554" s="17"/>
      <c r="G554" s="42">
        <v>20</v>
      </c>
      <c r="H554" s="42">
        <v>20</v>
      </c>
      <c r="I554" s="43" t="s">
        <v>156</v>
      </c>
      <c r="J554" s="43" t="s">
        <v>343</v>
      </c>
      <c r="K554" s="43" t="s">
        <v>284</v>
      </c>
      <c r="L554" s="44" t="s">
        <v>233</v>
      </c>
      <c r="M554" s="45" t="s">
        <v>433</v>
      </c>
      <c r="N554" s="44" t="s">
        <v>144</v>
      </c>
      <c r="O554" s="17"/>
      <c r="P554" s="17"/>
      <c r="Q554" s="17"/>
      <c r="R554" s="17"/>
      <c r="S554" s="17"/>
      <c r="T554" s="17"/>
      <c r="U554" s="17"/>
      <c r="V554" s="17"/>
      <c r="W554" s="17"/>
      <c r="X554" s="17"/>
      <c r="Y554" s="46" t="str">
        <f ca="1">IFERROR(VLOOKUP(A554,catalogo!$E:$G,2,0),"-")</f>
        <v>-</v>
      </c>
      <c r="Z554" s="47" t="str">
        <f ca="1">IFERROR(VLOOKUP(A554,catalogo!$E:$G,3,0),"-")</f>
        <v>-</v>
      </c>
      <c r="AA554" s="48"/>
      <c r="AB554" s="48"/>
      <c r="AC554" s="48" t="str">
        <f ca="1">IFERROR(VLOOKUP(A554,catalogo!$E:$H,4,0),"-")</f>
        <v>-</v>
      </c>
      <c r="AD554" s="48"/>
      <c r="AE554" s="48"/>
      <c r="AF554" s="48"/>
      <c r="AG554" s="48"/>
      <c r="AH554" s="48"/>
      <c r="AI554" s="48"/>
    </row>
    <row r="555" spans="1:35" ht="12.5" hidden="1">
      <c r="A555" s="37" t="s">
        <v>1208</v>
      </c>
      <c r="B555" s="38" t="str">
        <f>IFERROR(VLOOKUP(J555,catalogo!$B$1:$C$70,2,0),"-")</f>
        <v>#55</v>
      </c>
      <c r="C555" s="39">
        <v>46067.416666666664</v>
      </c>
      <c r="D555" s="17"/>
      <c r="E555" s="17"/>
      <c r="F555" s="17"/>
      <c r="G555" s="42">
        <v>256.25</v>
      </c>
      <c r="H555" s="42">
        <v>256.25</v>
      </c>
      <c r="I555" s="43" t="s">
        <v>156</v>
      </c>
      <c r="J555" s="43" t="s">
        <v>89</v>
      </c>
      <c r="K555" s="43" t="s">
        <v>284</v>
      </c>
      <c r="L555" s="44" t="s">
        <v>233</v>
      </c>
      <c r="M555" s="45">
        <v>3013</v>
      </c>
      <c r="N555" s="44" t="s">
        <v>167</v>
      </c>
      <c r="O555" s="17"/>
      <c r="P555" s="17"/>
      <c r="Q555" s="17"/>
      <c r="R555" s="17"/>
      <c r="S555" s="17"/>
      <c r="T555" s="17"/>
      <c r="U555" s="17"/>
      <c r="V555" s="17"/>
      <c r="W555" s="17"/>
      <c r="X555" s="17"/>
      <c r="Y555" s="46" t="str">
        <f ca="1">IFERROR(VLOOKUP(A555,catalogo!$E:$G,2,0),"-")</f>
        <v>-</v>
      </c>
      <c r="Z555" s="47" t="str">
        <f ca="1">IFERROR(VLOOKUP(A555,catalogo!$E:$G,3,0),"-")</f>
        <v>-</v>
      </c>
      <c r="AA555" s="48"/>
      <c r="AB555" s="48"/>
      <c r="AC555" s="48" t="str">
        <f ca="1">IFERROR(VLOOKUP(A555,catalogo!$E:$H,4,0),"-")</f>
        <v>-</v>
      </c>
      <c r="AD555" s="48"/>
      <c r="AE555" s="48"/>
      <c r="AF555" s="48"/>
      <c r="AG555" s="48"/>
      <c r="AH555" s="48"/>
      <c r="AI555" s="48"/>
    </row>
    <row r="556" spans="1:35" ht="12.5" hidden="1">
      <c r="A556" s="37" t="s">
        <v>393</v>
      </c>
      <c r="B556" s="38" t="str">
        <f>IFERROR(VLOOKUP(J556,catalogo!$B$1:$C$75,2,0),"-")</f>
        <v>#26</v>
      </c>
      <c r="C556" s="39">
        <v>46067.416666666664</v>
      </c>
      <c r="D556" s="52"/>
      <c r="E556" s="17"/>
      <c r="F556" s="17"/>
      <c r="G556" s="42">
        <v>484.43</v>
      </c>
      <c r="H556" s="42">
        <v>484.43</v>
      </c>
      <c r="I556" s="43" t="s">
        <v>156</v>
      </c>
      <c r="J556" s="43" t="s">
        <v>67</v>
      </c>
      <c r="K556" s="43" t="s">
        <v>232</v>
      </c>
      <c r="L556" s="44" t="s">
        <v>233</v>
      </c>
      <c r="M556" s="45">
        <v>8061</v>
      </c>
      <c r="N556" s="44" t="s">
        <v>167</v>
      </c>
      <c r="O556" s="17"/>
      <c r="P556" s="17"/>
      <c r="Q556" s="17"/>
      <c r="R556" s="17"/>
      <c r="S556" s="17"/>
      <c r="T556" s="17"/>
      <c r="U556" s="17"/>
      <c r="V556" s="17"/>
      <c r="W556" s="17"/>
      <c r="X556" s="17"/>
      <c r="Y556" s="46" t="str">
        <f ca="1">IFERROR(VLOOKUP(A556,catalogo!$E:$H,2,0),"-")</f>
        <v>-</v>
      </c>
      <c r="Z556" s="47" t="str">
        <f ca="1">IFERROR(VLOOKUP(A556,catalogo!$E:$G,3,0),"-")</f>
        <v>-</v>
      </c>
      <c r="AA556" s="48"/>
      <c r="AB556" s="48"/>
      <c r="AC556" s="48" t="str">
        <f ca="1">IFERROR(VLOOKUP(A556,catalogo!$E:$H,4,0),"-")</f>
        <v>-</v>
      </c>
      <c r="AD556" s="48"/>
      <c r="AE556" s="48"/>
      <c r="AF556" s="48"/>
      <c r="AG556" s="48"/>
      <c r="AH556" s="48"/>
      <c r="AI556" s="48"/>
    </row>
    <row r="557" spans="1:35" ht="15.5" hidden="1">
      <c r="A557" s="37" t="s">
        <v>1209</v>
      </c>
      <c r="B557" s="38" t="str">
        <f>IFERROR(VLOOKUP(J557,catalogo!$B$1:$C$75,2,0),"-")</f>
        <v>#74</v>
      </c>
      <c r="C557" s="39">
        <v>46067.416666666664</v>
      </c>
      <c r="D557" s="17"/>
      <c r="E557" s="17"/>
      <c r="F557" s="17"/>
      <c r="G557" s="42">
        <v>49.99</v>
      </c>
      <c r="H557" s="42">
        <v>49.99</v>
      </c>
      <c r="I557" s="43" t="s">
        <v>156</v>
      </c>
      <c r="J557" s="43" t="s">
        <v>286</v>
      </c>
      <c r="K557" s="43" t="s">
        <v>232</v>
      </c>
      <c r="L557" s="44" t="s">
        <v>233</v>
      </c>
      <c r="M557" s="45">
        <v>5481</v>
      </c>
      <c r="N557" s="44" t="s">
        <v>167</v>
      </c>
      <c r="O557" s="49"/>
      <c r="P557" s="17"/>
      <c r="Q557" s="17"/>
      <c r="R557" s="17"/>
      <c r="S557" s="17"/>
      <c r="T557" s="17"/>
      <c r="U557" s="17"/>
      <c r="V557" s="17"/>
      <c r="W557" s="17"/>
      <c r="X557" s="17"/>
      <c r="Y557" s="46" t="str">
        <f ca="1">IFERROR(VLOOKUP(A557,catalogo!$E:$H,2,0),"-")</f>
        <v>-</v>
      </c>
      <c r="Z557" s="47"/>
      <c r="AA557" s="48"/>
      <c r="AB557" s="48"/>
      <c r="AC557" s="48"/>
      <c r="AD557" s="48"/>
      <c r="AE557" s="48"/>
      <c r="AF557" s="48"/>
      <c r="AG557" s="48"/>
      <c r="AH557" s="48"/>
      <c r="AI557" s="48"/>
    </row>
    <row r="558" spans="1:35" ht="12.5" hidden="1">
      <c r="A558" s="37" t="s">
        <v>1210</v>
      </c>
      <c r="B558" s="38" t="str">
        <f>IFERROR(VLOOKUP(J558,catalogo!$B$1:$C$70,2,0),"-")</f>
        <v>#5</v>
      </c>
      <c r="C558" s="39">
        <v>46067.416666666664</v>
      </c>
      <c r="D558" s="17"/>
      <c r="E558" s="17"/>
      <c r="F558" s="17"/>
      <c r="G558" s="42">
        <v>40</v>
      </c>
      <c r="H558" s="42">
        <v>40</v>
      </c>
      <c r="I558" s="43" t="s">
        <v>156</v>
      </c>
      <c r="J558" s="43" t="s">
        <v>104</v>
      </c>
      <c r="K558" s="43" t="s">
        <v>1200</v>
      </c>
      <c r="L558" s="44" t="s">
        <v>181</v>
      </c>
      <c r="M558" s="45">
        <v>3283</v>
      </c>
      <c r="N558" s="44" t="s">
        <v>167</v>
      </c>
      <c r="O558" s="17"/>
      <c r="P558" s="17"/>
      <c r="Q558" s="17"/>
      <c r="R558" s="17"/>
      <c r="S558" s="17"/>
      <c r="T558" s="17"/>
      <c r="U558" s="17"/>
      <c r="V558" s="17"/>
      <c r="W558" s="17"/>
      <c r="X558" s="17"/>
      <c r="Y558" s="46">
        <f ca="1">IFERROR(VLOOKUP(A558,catalogo!$E:$G,2,0),"-")</f>
        <v>0</v>
      </c>
      <c r="Z558" s="47">
        <f ca="1">IFERROR(VLOOKUP(A558,catalogo!$E:$G,3,0),"-")</f>
        <v>0</v>
      </c>
      <c r="AA558" s="48"/>
      <c r="AB558" s="48"/>
      <c r="AC558" s="48" t="str">
        <f ca="1">IFERROR(VLOOKUP(A558,catalogo!$E:$H,4,0),"-")</f>
        <v>.</v>
      </c>
      <c r="AD558" s="48"/>
      <c r="AE558" s="48"/>
      <c r="AF558" s="48"/>
      <c r="AG558" s="48"/>
      <c r="AH558" s="48"/>
      <c r="AI558" s="48"/>
    </row>
    <row r="559" spans="1:35" ht="15.5" hidden="1">
      <c r="A559" s="37" t="s">
        <v>1211</v>
      </c>
      <c r="B559" s="38" t="str">
        <f>IFERROR(VLOOKUP(J559,catalogo!$B$1:$C$75,2,0),"-")</f>
        <v>#74</v>
      </c>
      <c r="C559" s="39">
        <v>46067.416666666664</v>
      </c>
      <c r="D559" s="17"/>
      <c r="E559" s="17"/>
      <c r="F559" s="17"/>
      <c r="G559" s="42">
        <v>152.94</v>
      </c>
      <c r="H559" s="42">
        <v>152.94</v>
      </c>
      <c r="I559" s="43" t="s">
        <v>156</v>
      </c>
      <c r="J559" s="43" t="s">
        <v>286</v>
      </c>
      <c r="K559" s="43" t="s">
        <v>232</v>
      </c>
      <c r="L559" s="44" t="s">
        <v>233</v>
      </c>
      <c r="M559" s="45">
        <v>5481</v>
      </c>
      <c r="N559" s="44" t="s">
        <v>167</v>
      </c>
      <c r="O559" s="49"/>
      <c r="P559" s="17"/>
      <c r="Q559" s="17"/>
      <c r="R559" s="17"/>
      <c r="S559" s="17"/>
      <c r="T559" s="17"/>
      <c r="U559" s="17"/>
      <c r="V559" s="17"/>
      <c r="W559" s="17"/>
      <c r="X559" s="17"/>
      <c r="Y559" s="46" t="str">
        <f ca="1">IFERROR(VLOOKUP(A559,catalogo!$E:$H,2,0),"-")</f>
        <v>-</v>
      </c>
      <c r="Z559" s="47" t="str">
        <f ca="1">IFERROR(VLOOKUP(A559,catalogo!$E:$G,3,0),"-")</f>
        <v>-</v>
      </c>
      <c r="AA559" s="48"/>
      <c r="AB559" s="48"/>
      <c r="AC559" s="48" t="str">
        <f ca="1">IFERROR(VLOOKUP(A559,catalogo!$E:$H,4,0),"-")</f>
        <v>-</v>
      </c>
      <c r="AD559" s="48"/>
      <c r="AE559" s="48"/>
      <c r="AF559" s="48"/>
      <c r="AG559" s="48"/>
      <c r="AH559" s="48"/>
      <c r="AI559" s="48"/>
    </row>
    <row r="560" spans="1:35" ht="12.5" hidden="1">
      <c r="A560" s="37" t="s">
        <v>1212</v>
      </c>
      <c r="B560" s="38" t="str">
        <f>IFERROR(VLOOKUP(J560,catalogo!$B$1:$C$75,2,0),"-")</f>
        <v>#55</v>
      </c>
      <c r="C560" s="39">
        <v>46067.416666666664</v>
      </c>
      <c r="D560" s="17"/>
      <c r="E560" s="17"/>
      <c r="F560" s="17"/>
      <c r="G560" s="42">
        <v>43.95</v>
      </c>
      <c r="H560" s="42">
        <v>43.95</v>
      </c>
      <c r="I560" s="43" t="s">
        <v>156</v>
      </c>
      <c r="J560" s="43" t="s">
        <v>89</v>
      </c>
      <c r="K560" s="43" t="s">
        <v>232</v>
      </c>
      <c r="L560" s="44" t="s">
        <v>233</v>
      </c>
      <c r="M560" s="45">
        <v>3013</v>
      </c>
      <c r="N560" s="44" t="s">
        <v>167</v>
      </c>
      <c r="O560" s="17"/>
      <c r="P560" s="17"/>
      <c r="Q560" s="17"/>
      <c r="R560" s="17"/>
      <c r="S560" s="17"/>
      <c r="T560" s="17"/>
      <c r="U560" s="17"/>
      <c r="V560" s="17"/>
      <c r="W560" s="17"/>
      <c r="X560" s="17"/>
      <c r="Y560" s="46" t="str">
        <f ca="1">IFERROR(VLOOKUP(A560,catalogo!$E:$H,2,0),"-")</f>
        <v>-</v>
      </c>
      <c r="Z560" s="47" t="str">
        <f ca="1">IFERROR(VLOOKUP(A560,catalogo!$E:$G,3,0),"-")</f>
        <v>-</v>
      </c>
      <c r="AA560" s="48"/>
      <c r="AB560" s="48"/>
      <c r="AC560" s="48" t="str">
        <f ca="1">IFERROR(VLOOKUP(A560,catalogo!$E:$H,4,0),"-")</f>
        <v>-</v>
      </c>
      <c r="AD560" s="48"/>
      <c r="AE560" s="48"/>
      <c r="AF560" s="48"/>
      <c r="AG560" s="48"/>
      <c r="AH560" s="48"/>
      <c r="AI560" s="48"/>
    </row>
    <row r="561" spans="1:35" ht="12.5" hidden="1">
      <c r="A561" s="37" t="s">
        <v>1213</v>
      </c>
      <c r="B561" s="38" t="str">
        <f>IFERROR(VLOOKUP(J561,catalogo!$B$1:$C$80,2,0),"-")</f>
        <v>#64</v>
      </c>
      <c r="C561" s="39">
        <v>46067.416666666664</v>
      </c>
      <c r="D561" s="17"/>
      <c r="E561" s="17"/>
      <c r="F561" s="17"/>
      <c r="G561" s="42">
        <v>621.87</v>
      </c>
      <c r="H561" s="42">
        <v>621.87</v>
      </c>
      <c r="I561" s="43" t="s">
        <v>156</v>
      </c>
      <c r="J561" s="43" t="s">
        <v>139</v>
      </c>
      <c r="K561" s="43" t="s">
        <v>180</v>
      </c>
      <c r="L561" s="44" t="s">
        <v>181</v>
      </c>
      <c r="M561" s="45">
        <v>7142</v>
      </c>
      <c r="N561" s="44" t="s">
        <v>167</v>
      </c>
      <c r="O561" s="17"/>
      <c r="P561" s="17"/>
      <c r="Q561" s="17"/>
      <c r="R561" s="17"/>
      <c r="S561" s="17"/>
      <c r="T561" s="17"/>
      <c r="U561" s="17"/>
      <c r="V561" s="17"/>
      <c r="W561" s="17"/>
      <c r="X561" s="17"/>
      <c r="Y561" s="46" t="str">
        <f ca="1">IFERROR(VLOOKUP(A561,catalogo!$E:$G,2,0),"-")</f>
        <v>-</v>
      </c>
      <c r="Z561" s="47" t="str">
        <f ca="1">IFERROR(VLOOKUP(A561,catalogo!$E:$G,3,0),"-")</f>
        <v>-</v>
      </c>
      <c r="AA561" s="48"/>
      <c r="AB561" s="48"/>
      <c r="AC561" s="48" t="str">
        <f ca="1">IFERROR(VLOOKUP(A561,catalogo!$E:$H,4,0),"-")</f>
        <v>-</v>
      </c>
      <c r="AD561" s="48"/>
      <c r="AE561" s="48"/>
      <c r="AF561" s="48"/>
      <c r="AG561" s="48"/>
      <c r="AH561" s="48"/>
      <c r="AI561" s="48"/>
    </row>
    <row r="562" spans="1:35" ht="12.5" hidden="1">
      <c r="A562" s="37" t="s">
        <v>1214</v>
      </c>
      <c r="B562" s="38" t="str">
        <f>IFERROR(VLOOKUP(J562,catalogo!$B$1:$C$75,2,0),"-")</f>
        <v>#69</v>
      </c>
      <c r="C562" s="39">
        <v>46067.416666666664</v>
      </c>
      <c r="D562" s="17"/>
      <c r="E562" s="17"/>
      <c r="F562" s="17"/>
      <c r="G562" s="42">
        <v>793.5</v>
      </c>
      <c r="H562" s="42">
        <v>793.5</v>
      </c>
      <c r="I562" s="43" t="s">
        <v>156</v>
      </c>
      <c r="J562" s="43" t="s">
        <v>110</v>
      </c>
      <c r="K562" s="43" t="s">
        <v>1215</v>
      </c>
      <c r="L562" s="44" t="s">
        <v>1216</v>
      </c>
      <c r="M562" s="44">
        <v>8231</v>
      </c>
      <c r="N562" s="44" t="s">
        <v>167</v>
      </c>
      <c r="O562" s="17"/>
      <c r="P562" s="17"/>
      <c r="Q562" s="17"/>
      <c r="R562" s="17"/>
      <c r="S562" s="17"/>
      <c r="T562" s="17"/>
      <c r="U562" s="17"/>
      <c r="V562" s="17"/>
      <c r="W562" s="17"/>
      <c r="X562" s="17"/>
      <c r="Y562" s="46" t="str">
        <f ca="1">IFERROR(VLOOKUP(A562,catalogo!$E:$H,2,0),"-")</f>
        <v>-</v>
      </c>
      <c r="Z562" s="47" t="str">
        <f ca="1">IFERROR(VLOOKUP(A562,catalogo!$E:$G,3,0),"-")</f>
        <v>-</v>
      </c>
      <c r="AA562" s="48"/>
      <c r="AB562" s="48"/>
      <c r="AC562" s="48" t="str">
        <f ca="1">IFERROR(VLOOKUP(A562,catalogo!$E:$H,4,0),"-")</f>
        <v>-</v>
      </c>
      <c r="AD562" s="48"/>
      <c r="AE562" s="48"/>
      <c r="AF562" s="48"/>
      <c r="AG562" s="48"/>
      <c r="AH562" s="48"/>
      <c r="AI562" s="48"/>
    </row>
    <row r="563" spans="1:35" ht="12.5" hidden="1">
      <c r="A563" s="37" t="s">
        <v>1217</v>
      </c>
      <c r="B563" s="38" t="str">
        <f>IFERROR(VLOOKUP(J563,catalogo!$B$1:$C$75,2,0),"-")</f>
        <v>#26</v>
      </c>
      <c r="C563" s="39">
        <v>46067.416666666664</v>
      </c>
      <c r="D563" s="40"/>
      <c r="E563" s="41"/>
      <c r="F563" s="41"/>
      <c r="G563" s="42">
        <v>161.19999999999999</v>
      </c>
      <c r="H563" s="42">
        <v>161.19999999999999</v>
      </c>
      <c r="I563" s="43" t="s">
        <v>156</v>
      </c>
      <c r="J563" s="43" t="s">
        <v>67</v>
      </c>
      <c r="K563" s="43" t="s">
        <v>180</v>
      </c>
      <c r="L563" s="44" t="s">
        <v>181</v>
      </c>
      <c r="M563" s="44">
        <v>8061</v>
      </c>
      <c r="N563" s="44" t="s">
        <v>167</v>
      </c>
      <c r="O563" s="41"/>
      <c r="P563" s="41"/>
      <c r="Q563" s="41"/>
      <c r="R563" s="41"/>
      <c r="S563" s="41"/>
      <c r="T563" s="41"/>
      <c r="U563" s="41"/>
      <c r="V563" s="41"/>
      <c r="W563" s="41"/>
      <c r="X563" s="41"/>
      <c r="Y563" s="46" t="str">
        <f ca="1">IFERROR(VLOOKUP(A563,catalogo!$E:$H,2,0),"-")</f>
        <v>-</v>
      </c>
      <c r="Z563" s="47" t="str">
        <f ca="1">IFERROR(VLOOKUP(A563,catalogo!$E:$G,3,0),"-")</f>
        <v>-</v>
      </c>
      <c r="AA563" s="48"/>
      <c r="AB563" s="48"/>
      <c r="AC563" s="48" t="str">
        <f ca="1">IFERROR(VLOOKUP(A563,catalogo!$E:$H,4,0),"-")</f>
        <v>-</v>
      </c>
      <c r="AD563" s="48"/>
      <c r="AE563" s="48"/>
      <c r="AF563" s="48"/>
      <c r="AG563" s="48"/>
      <c r="AH563" s="48"/>
      <c r="AI563" s="48"/>
    </row>
    <row r="564" spans="1:35" ht="15.5" hidden="1">
      <c r="A564" s="37" t="s">
        <v>1218</v>
      </c>
      <c r="B564" s="38" t="str">
        <f>IFERROR(VLOOKUP(J564,catalogo!$B$1:$C$100,2,0),"-")</f>
        <v>#64</v>
      </c>
      <c r="C564" s="39">
        <v>46067.416666666664</v>
      </c>
      <c r="D564" s="17"/>
      <c r="E564" s="17"/>
      <c r="F564" s="17"/>
      <c r="G564" s="42">
        <v>199.95</v>
      </c>
      <c r="H564" s="42">
        <v>199.95</v>
      </c>
      <c r="I564" s="43" t="s">
        <v>156</v>
      </c>
      <c r="J564" s="43" t="s">
        <v>139</v>
      </c>
      <c r="K564" s="43" t="s">
        <v>232</v>
      </c>
      <c r="L564" s="44" t="s">
        <v>233</v>
      </c>
      <c r="M564" s="45">
        <v>7142</v>
      </c>
      <c r="N564" s="44" t="s">
        <v>167</v>
      </c>
      <c r="O564" s="49"/>
      <c r="P564" s="17"/>
      <c r="Q564" s="17"/>
      <c r="R564" s="17"/>
      <c r="S564" s="17"/>
      <c r="T564" s="17"/>
      <c r="U564" s="17"/>
      <c r="V564" s="17"/>
      <c r="W564" s="17"/>
      <c r="X564" s="17"/>
      <c r="Y564" s="46" t="str">
        <f ca="1">IFERROR(VLOOKUP(A564,catalogo!$E:$H,2,0),"-")</f>
        <v>-</v>
      </c>
      <c r="Z564" s="47" t="str">
        <f ca="1">IFERROR(VLOOKUP(A564,catalogo!$E:$G,3,0),"-")</f>
        <v>-</v>
      </c>
      <c r="AA564" s="48"/>
      <c r="AB564" s="48"/>
      <c r="AC564" s="48" t="str">
        <f ca="1">IFERROR(VLOOKUP(A564,catalogo!$E:$H,4,0),"-")</f>
        <v>-</v>
      </c>
      <c r="AD564" s="48"/>
      <c r="AE564" s="48"/>
      <c r="AF564" s="48"/>
      <c r="AG564" s="48"/>
      <c r="AH564" s="48"/>
      <c r="AI564" s="48"/>
    </row>
    <row r="565" spans="1:35" ht="12.5" hidden="1">
      <c r="A565" s="37" t="s">
        <v>1219</v>
      </c>
      <c r="B565" s="38" t="str">
        <f>IFERROR(VLOOKUP(J565,catalogo!$B$1:$C$75,2,0),"-")</f>
        <v>-</v>
      </c>
      <c r="C565" s="39">
        <v>46067.416666666664</v>
      </c>
      <c r="D565" s="40"/>
      <c r="E565" s="41"/>
      <c r="F565" s="41"/>
      <c r="G565" s="42">
        <v>1000</v>
      </c>
      <c r="H565" s="42">
        <v>1000</v>
      </c>
      <c r="I565" s="43" t="s">
        <v>156</v>
      </c>
      <c r="J565" s="43" t="s">
        <v>269</v>
      </c>
      <c r="K565" s="43" t="s">
        <v>1220</v>
      </c>
      <c r="L565" s="44" t="s">
        <v>317</v>
      </c>
      <c r="M565" s="44" t="s">
        <v>270</v>
      </c>
      <c r="N565" s="44" t="s">
        <v>144</v>
      </c>
      <c r="O565" s="41"/>
      <c r="P565" s="41"/>
      <c r="Q565" s="41"/>
      <c r="R565" s="41"/>
      <c r="S565" s="41"/>
      <c r="T565" s="41"/>
      <c r="U565" s="41"/>
      <c r="V565" s="41"/>
      <c r="W565" s="41"/>
      <c r="X565" s="41"/>
      <c r="Y565" s="46" t="str">
        <f ca="1">IFERROR(VLOOKUP(A565,catalogo!$E:$H,2,0),"-")</f>
        <v>-</v>
      </c>
      <c r="Z565" s="47" t="str">
        <f ca="1">IFERROR(VLOOKUP(A565,catalogo!$E:$G,3,0),"-")</f>
        <v>-</v>
      </c>
      <c r="AA565" s="48"/>
      <c r="AB565" s="48"/>
      <c r="AC565" s="48" t="str">
        <f ca="1">IFERROR(VLOOKUP(A565,catalogo!$E:$H,4,0),"-")</f>
        <v>-</v>
      </c>
      <c r="AD565" s="48"/>
      <c r="AE565" s="48"/>
      <c r="AF565" s="48"/>
      <c r="AG565" s="48"/>
      <c r="AH565" s="48"/>
      <c r="AI565" s="48"/>
    </row>
    <row r="566" spans="1:35" ht="12.5" hidden="1">
      <c r="A566" s="37" t="s">
        <v>1221</v>
      </c>
      <c r="B566" s="38" t="str">
        <f>IFERROR(VLOOKUP(J566,catalogo!$B$1:$C$75,2,0),"-")</f>
        <v>#58</v>
      </c>
      <c r="C566" s="39">
        <v>46067.416666666664</v>
      </c>
      <c r="D566" s="40"/>
      <c r="E566" s="41"/>
      <c r="F566" s="41"/>
      <c r="G566" s="42">
        <v>1200</v>
      </c>
      <c r="H566" s="42">
        <v>1200</v>
      </c>
      <c r="I566" s="43" t="s">
        <v>156</v>
      </c>
      <c r="J566" s="43" t="s">
        <v>118</v>
      </c>
      <c r="K566" s="43" t="s">
        <v>622</v>
      </c>
      <c r="L566" s="44" t="s">
        <v>623</v>
      </c>
      <c r="M566" s="45" t="s">
        <v>163</v>
      </c>
      <c r="N566" s="44" t="s">
        <v>144</v>
      </c>
      <c r="O566" s="41"/>
      <c r="P566" s="41"/>
      <c r="Q566" s="41"/>
      <c r="R566" s="41"/>
      <c r="S566" s="41"/>
      <c r="T566" s="41"/>
      <c r="U566" s="41"/>
      <c r="V566" s="41"/>
      <c r="W566" s="41"/>
      <c r="X566" s="41"/>
      <c r="Y566" s="46" t="str">
        <f ca="1">IFERROR(VLOOKUP(A566,catalogo!$E:$H,2,0),"-")</f>
        <v>-</v>
      </c>
      <c r="Z566" s="47" t="str">
        <f ca="1">IFERROR(VLOOKUP(A566,catalogo!$E:$G,3,0),"-")</f>
        <v>-</v>
      </c>
      <c r="AA566" s="48"/>
      <c r="AB566" s="48"/>
      <c r="AC566" s="48" t="str">
        <f ca="1">IFERROR(VLOOKUP(A566,catalogo!$E:$H,4,0),"-")</f>
        <v>-</v>
      </c>
      <c r="AD566" s="48"/>
      <c r="AE566" s="48"/>
      <c r="AF566" s="48"/>
      <c r="AG566" s="48"/>
      <c r="AH566" s="48"/>
      <c r="AI566" s="48"/>
    </row>
    <row r="567" spans="1:35" ht="12.5" hidden="1">
      <c r="A567" s="37" t="s">
        <v>1222</v>
      </c>
      <c r="B567" s="38" t="str">
        <f>IFERROR(VLOOKUP(J567,catalogo!$B$1:$C$75,2,0),"-")</f>
        <v>#4</v>
      </c>
      <c r="C567" s="39">
        <v>46067.416666666664</v>
      </c>
      <c r="D567" s="17"/>
      <c r="E567" s="17"/>
      <c r="F567" s="17"/>
      <c r="G567" s="42">
        <v>5662.6</v>
      </c>
      <c r="H567" s="42">
        <v>5662.6</v>
      </c>
      <c r="I567" s="43" t="s">
        <v>156</v>
      </c>
      <c r="J567" s="43" t="s">
        <v>95</v>
      </c>
      <c r="K567" s="43" t="s">
        <v>1215</v>
      </c>
      <c r="L567" s="44" t="s">
        <v>1216</v>
      </c>
      <c r="M567" s="45">
        <v>975</v>
      </c>
      <c r="N567" s="44" t="s">
        <v>167</v>
      </c>
      <c r="O567" s="17"/>
      <c r="P567" s="17"/>
      <c r="Q567" s="17"/>
      <c r="R567" s="17"/>
      <c r="S567" s="17"/>
      <c r="T567" s="17"/>
      <c r="U567" s="17"/>
      <c r="V567" s="17"/>
      <c r="W567" s="17"/>
      <c r="X567" s="17"/>
      <c r="Y567" s="46">
        <f ca="1">IFERROR(VLOOKUP(A567,catalogo!$E:$H,2,0),"-")</f>
        <v>0</v>
      </c>
      <c r="Z567" s="47">
        <f ca="1">IFERROR(VLOOKUP(A567,catalogo!$E:$G,3,0),"-")</f>
        <v>0</v>
      </c>
      <c r="AA567" s="48"/>
      <c r="AB567" s="48"/>
      <c r="AC567" s="48" t="str">
        <f ca="1">IFERROR(VLOOKUP(A567,catalogo!$E:$H,4,0),"-")</f>
        <v>.</v>
      </c>
      <c r="AD567" s="48"/>
      <c r="AE567" s="48"/>
      <c r="AF567" s="48"/>
      <c r="AG567" s="48"/>
      <c r="AH567" s="48"/>
      <c r="AI567" s="48"/>
    </row>
    <row r="568" spans="1:35" ht="12.5" hidden="1">
      <c r="A568" s="37" t="s">
        <v>1223</v>
      </c>
      <c r="B568" s="38" t="str">
        <f>IFERROR(VLOOKUP(J568,catalogo!$B$1:$C$100,2,0),"-")</f>
        <v>#68</v>
      </c>
      <c r="C568" s="39">
        <v>46067.416666666664</v>
      </c>
      <c r="D568" s="17"/>
      <c r="E568" s="17"/>
      <c r="F568" s="17"/>
      <c r="G568" s="53">
        <v>296.7</v>
      </c>
      <c r="H568" s="53">
        <v>296.7</v>
      </c>
      <c r="I568" s="43" t="s">
        <v>156</v>
      </c>
      <c r="J568" s="43" t="s">
        <v>384</v>
      </c>
      <c r="K568" s="43" t="s">
        <v>938</v>
      </c>
      <c r="L568" s="44" t="s">
        <v>317</v>
      </c>
      <c r="M568" s="45">
        <v>2937</v>
      </c>
      <c r="N568" s="44" t="s">
        <v>167</v>
      </c>
      <c r="O568" s="17"/>
      <c r="P568" s="17"/>
      <c r="Q568" s="17"/>
      <c r="R568" s="17"/>
      <c r="S568" s="17"/>
      <c r="T568" s="17"/>
      <c r="U568" s="17"/>
      <c r="V568" s="17"/>
      <c r="W568" s="17"/>
      <c r="X568" s="17"/>
      <c r="Y568" s="46"/>
      <c r="Z568" s="47"/>
      <c r="AA568" s="48"/>
      <c r="AB568" s="48"/>
      <c r="AC568" s="48"/>
      <c r="AD568" s="48"/>
      <c r="AE568" s="48"/>
      <c r="AF568" s="48"/>
      <c r="AG568" s="48"/>
      <c r="AH568" s="48"/>
      <c r="AI568" s="48"/>
    </row>
    <row r="569" spans="1:35" ht="12.5" hidden="1">
      <c r="A569" s="37" t="s">
        <v>1224</v>
      </c>
      <c r="B569" s="38" t="str">
        <f>IFERROR(VLOOKUP(J569,catalogo!$B$1:$C$80,2,0),"-")</f>
        <v>#8</v>
      </c>
      <c r="C569" s="39">
        <v>46067.416666666664</v>
      </c>
      <c r="D569" s="17"/>
      <c r="E569" s="17"/>
      <c r="F569" s="17"/>
      <c r="G569" s="42">
        <v>2010</v>
      </c>
      <c r="H569" s="42">
        <v>2010</v>
      </c>
      <c r="I569" s="43" t="s">
        <v>156</v>
      </c>
      <c r="J569" s="43" t="s">
        <v>128</v>
      </c>
      <c r="K569" s="43" t="s">
        <v>1225</v>
      </c>
      <c r="L569" s="44" t="s">
        <v>317</v>
      </c>
      <c r="M569" s="44">
        <v>16</v>
      </c>
      <c r="N569" s="44" t="s">
        <v>167</v>
      </c>
      <c r="O569" s="17"/>
      <c r="P569" s="17"/>
      <c r="Q569" s="17"/>
      <c r="R569" s="17"/>
      <c r="S569" s="17"/>
      <c r="T569" s="17"/>
      <c r="U569" s="17"/>
      <c r="V569" s="17"/>
      <c r="W569" s="17"/>
      <c r="X569" s="17"/>
      <c r="Y569" s="46" t="str">
        <f ca="1">IFERROR(VLOOKUP(A569,catalogo!$E:$G,2,0),"-")</f>
        <v>Transaction cost</v>
      </c>
      <c r="Z569" s="47" t="str">
        <f ca="1">IFERROR(VLOOKUP(A569,catalogo!$E:$G,3,0),"-")</f>
        <v>CASETAS VISITA VISITA A ESCATO PO2165 - ENSAMBLE UF/CEB MECANICO</v>
      </c>
      <c r="AA569" s="48"/>
      <c r="AB569" s="48"/>
      <c r="AC569" s="48" t="str">
        <f ca="1">IFERROR(VLOOKUP(A569,catalogo!$E:$H,4,0),"-")</f>
        <v>.</v>
      </c>
      <c r="AD569" s="48"/>
      <c r="AE569" s="48"/>
      <c r="AF569" s="48"/>
      <c r="AG569" s="48"/>
      <c r="AH569" s="48"/>
      <c r="AI569" s="48"/>
    </row>
    <row r="570" spans="1:35" ht="12.5" hidden="1">
      <c r="A570" s="37" t="s">
        <v>1226</v>
      </c>
      <c r="B570" s="38" t="str">
        <f>IFERROR(VLOOKUP(J570,catalogo!$B$1:$C$70,2,0),"-")</f>
        <v>#26</v>
      </c>
      <c r="C570" s="39">
        <v>46067.416666666664</v>
      </c>
      <c r="D570" s="17"/>
      <c r="E570" s="17"/>
      <c r="F570" s="17"/>
      <c r="G570" s="42">
        <v>510</v>
      </c>
      <c r="H570" s="42">
        <v>510</v>
      </c>
      <c r="I570" s="43" t="s">
        <v>156</v>
      </c>
      <c r="J570" s="43" t="s">
        <v>67</v>
      </c>
      <c r="K570" s="43" t="s">
        <v>319</v>
      </c>
      <c r="L570" s="44" t="s">
        <v>317</v>
      </c>
      <c r="M570" s="45" t="s">
        <v>159</v>
      </c>
      <c r="N570" s="44" t="s">
        <v>144</v>
      </c>
      <c r="O570" s="17"/>
      <c r="P570" s="17"/>
      <c r="Q570" s="17"/>
      <c r="R570" s="17"/>
      <c r="S570" s="17"/>
      <c r="T570" s="17"/>
      <c r="U570" s="17"/>
      <c r="V570" s="17"/>
      <c r="W570" s="17"/>
      <c r="X570" s="17"/>
      <c r="Y570" s="46" t="str">
        <f ca="1">IFERROR(VLOOKUP(A570,catalogo!$E:$G,2,0),"-")</f>
        <v>-</v>
      </c>
      <c r="Z570" s="47" t="str">
        <f ca="1">IFERROR(VLOOKUP(A570,catalogo!$E:$G,3,0),"-")</f>
        <v>-</v>
      </c>
      <c r="AA570" s="48"/>
      <c r="AB570" s="48"/>
      <c r="AC570" s="48" t="str">
        <f ca="1">IFERROR(VLOOKUP(A570,catalogo!$E:$H,4,0),"-")</f>
        <v>-</v>
      </c>
      <c r="AD570" s="48"/>
      <c r="AE570" s="48"/>
      <c r="AF570" s="48"/>
      <c r="AG570" s="48"/>
      <c r="AH570" s="48"/>
      <c r="AI570" s="48"/>
    </row>
    <row r="571" spans="1:35" ht="12.5" hidden="1">
      <c r="A571" s="37" t="s">
        <v>1227</v>
      </c>
      <c r="B571" s="38" t="str">
        <f>IFERROR(VLOOKUP(J571,catalogo!$B$1:$C$70,2,0),"-")</f>
        <v>-</v>
      </c>
      <c r="C571" s="39">
        <v>46067.416666666664</v>
      </c>
      <c r="D571" s="17"/>
      <c r="E571" s="17"/>
      <c r="F571" s="17"/>
      <c r="G571" s="42">
        <v>230</v>
      </c>
      <c r="H571" s="42">
        <v>230</v>
      </c>
      <c r="I571" s="43" t="s">
        <v>156</v>
      </c>
      <c r="J571" s="43" t="s">
        <v>343</v>
      </c>
      <c r="K571" s="43" t="s">
        <v>1228</v>
      </c>
      <c r="L571" s="44" t="s">
        <v>317</v>
      </c>
      <c r="M571" s="44">
        <v>6747</v>
      </c>
      <c r="N571" s="44" t="s">
        <v>167</v>
      </c>
      <c r="O571" s="17"/>
      <c r="P571" s="17"/>
      <c r="Q571" s="17"/>
      <c r="R571" s="17"/>
      <c r="S571" s="17"/>
      <c r="T571" s="17"/>
      <c r="U571" s="17"/>
      <c r="V571" s="17"/>
      <c r="W571" s="17"/>
      <c r="X571" s="17"/>
      <c r="Y571" s="46" t="str">
        <f ca="1">IFERROR(VLOOKUP(A571,catalogo!$E:$G,2,0),"-")</f>
        <v>-</v>
      </c>
      <c r="Z571" s="47" t="str">
        <f ca="1">IFERROR(VLOOKUP(A571,catalogo!$E:$G,3,0),"-")</f>
        <v>-</v>
      </c>
      <c r="AA571" s="48"/>
      <c r="AB571" s="48"/>
      <c r="AC571" s="48" t="str">
        <f ca="1">IFERROR(VLOOKUP(A571,catalogo!$E:$H,4,0),"-")</f>
        <v>-</v>
      </c>
      <c r="AD571" s="48"/>
      <c r="AE571" s="48"/>
      <c r="AF571" s="48"/>
      <c r="AG571" s="48"/>
      <c r="AH571" s="48"/>
      <c r="AI571" s="48"/>
    </row>
    <row r="572" spans="1:35" ht="12.5" hidden="1">
      <c r="A572" s="37" t="s">
        <v>1229</v>
      </c>
      <c r="B572" s="38" t="str">
        <f>IFERROR(VLOOKUP(J572,catalogo!$B$1:$C$75,2,0),"-")</f>
        <v>#40</v>
      </c>
      <c r="C572" s="39">
        <v>46067.416666666664</v>
      </c>
      <c r="D572" s="17"/>
      <c r="E572" s="17"/>
      <c r="F572" s="17"/>
      <c r="G572" s="42">
        <v>680.8</v>
      </c>
      <c r="H572" s="42">
        <v>680.8</v>
      </c>
      <c r="I572" s="43" t="s">
        <v>156</v>
      </c>
      <c r="J572" s="43" t="s">
        <v>136</v>
      </c>
      <c r="K572" s="43" t="s">
        <v>1230</v>
      </c>
      <c r="L572" s="44" t="s">
        <v>1231</v>
      </c>
      <c r="M572" s="45">
        <v>7740</v>
      </c>
      <c r="N572" s="44" t="s">
        <v>167</v>
      </c>
      <c r="O572" s="17"/>
      <c r="P572" s="17"/>
      <c r="Q572" s="17"/>
      <c r="R572" s="17"/>
      <c r="S572" s="17"/>
      <c r="T572" s="17"/>
      <c r="U572" s="17"/>
      <c r="V572" s="17"/>
      <c r="W572" s="17"/>
      <c r="X572" s="17"/>
      <c r="Y572" s="46" t="str">
        <f ca="1">IFERROR(VLOOKUP(A572,catalogo!$E:$H,2,0),"-")</f>
        <v>-</v>
      </c>
      <c r="Z572" s="47" t="str">
        <f ca="1">IFERROR(VLOOKUP(A572,catalogo!$E:$G,3,0),"-")</f>
        <v>-</v>
      </c>
      <c r="AA572" s="48"/>
      <c r="AB572" s="48"/>
      <c r="AC572" s="48" t="str">
        <f ca="1">IFERROR(VLOOKUP(A572,catalogo!$E:$H,4,0),"-")</f>
        <v>-</v>
      </c>
      <c r="AD572" s="48"/>
      <c r="AE572" s="48"/>
      <c r="AF572" s="48"/>
      <c r="AG572" s="48"/>
      <c r="AH572" s="48"/>
      <c r="AI572" s="48"/>
    </row>
    <row r="573" spans="1:35" ht="12.5" hidden="1">
      <c r="A573" s="37" t="s">
        <v>469</v>
      </c>
      <c r="B573" s="38" t="str">
        <f>IFERROR(VLOOKUP(J573,catalogo!$B$1:$C$75,2,0),"-")</f>
        <v>#26</v>
      </c>
      <c r="C573" s="39">
        <v>46067.416666666664</v>
      </c>
      <c r="D573" s="52"/>
      <c r="E573" s="17"/>
      <c r="F573" s="17"/>
      <c r="G573" s="42">
        <v>36</v>
      </c>
      <c r="H573" s="42">
        <v>36</v>
      </c>
      <c r="I573" s="43" t="s">
        <v>156</v>
      </c>
      <c r="J573" s="43" t="s">
        <v>67</v>
      </c>
      <c r="K573" s="43" t="s">
        <v>757</v>
      </c>
      <c r="L573" s="44" t="s">
        <v>336</v>
      </c>
      <c r="M573" s="45" t="s">
        <v>159</v>
      </c>
      <c r="N573" s="44" t="s">
        <v>144</v>
      </c>
      <c r="O573" s="17"/>
      <c r="P573" s="17"/>
      <c r="Q573" s="17"/>
      <c r="R573" s="17"/>
      <c r="S573" s="17"/>
      <c r="T573" s="17"/>
      <c r="U573" s="17"/>
      <c r="V573" s="17"/>
      <c r="W573" s="17"/>
      <c r="X573" s="17"/>
      <c r="Y573" s="46" t="str">
        <f ca="1">IFERROR(VLOOKUP(A573,catalogo!$E:$H,2,0),"-")</f>
        <v>-</v>
      </c>
      <c r="Z573" s="47" t="str">
        <f ca="1">IFERROR(VLOOKUP(A573,catalogo!$E:$G,3,0),"-")</f>
        <v>-</v>
      </c>
      <c r="AA573" s="48"/>
      <c r="AB573" s="48"/>
      <c r="AC573" s="48" t="str">
        <f ca="1">IFERROR(VLOOKUP(A573,catalogo!$E:$H,4,0),"-")</f>
        <v>-</v>
      </c>
      <c r="AD573" s="48"/>
      <c r="AE573" s="48"/>
      <c r="AF573" s="48"/>
      <c r="AG573" s="48"/>
      <c r="AH573" s="48"/>
      <c r="AI573" s="48"/>
    </row>
    <row r="574" spans="1:35" ht="12.5" hidden="1">
      <c r="A574" s="37" t="s">
        <v>1232</v>
      </c>
      <c r="B574" s="38" t="str">
        <f>IFERROR(VLOOKUP(J574,catalogo!$B$1:$C$100,2,0),"-")</f>
        <v>#26</v>
      </c>
      <c r="C574" s="39">
        <v>46067.416666666664</v>
      </c>
      <c r="D574" s="17"/>
      <c r="E574" s="17"/>
      <c r="F574" s="17"/>
      <c r="G574" s="42">
        <v>15</v>
      </c>
      <c r="H574" s="42">
        <v>15</v>
      </c>
      <c r="I574" s="43" t="s">
        <v>156</v>
      </c>
      <c r="J574" s="43" t="s">
        <v>67</v>
      </c>
      <c r="K574" s="43" t="s">
        <v>757</v>
      </c>
      <c r="L574" s="44" t="s">
        <v>336</v>
      </c>
      <c r="M574" s="45" t="s">
        <v>159</v>
      </c>
      <c r="N574" s="44" t="s">
        <v>144</v>
      </c>
      <c r="O574" s="17"/>
      <c r="P574" s="17"/>
      <c r="Q574" s="17"/>
      <c r="R574" s="17"/>
      <c r="S574" s="17"/>
      <c r="T574" s="17"/>
      <c r="U574" s="17"/>
      <c r="V574" s="17"/>
      <c r="W574" s="17"/>
      <c r="X574" s="17"/>
      <c r="Y574" s="46" t="str">
        <f ca="1">IFERROR(VLOOKUP(A574,catalogo!$E:$H,2,0),"-")</f>
        <v>-</v>
      </c>
      <c r="Z574" s="47" t="str">
        <f ca="1">IFERROR(VLOOKUP(A574,catalogo!$E:$G,3,0),"-")</f>
        <v>-</v>
      </c>
      <c r="AA574" s="48"/>
      <c r="AB574" s="48"/>
      <c r="AC574" s="48" t="str">
        <f ca="1">IFERROR(VLOOKUP(A574,catalogo!$E:$H,4,0),"-")</f>
        <v>-</v>
      </c>
      <c r="AD574" s="48"/>
      <c r="AE574" s="48"/>
      <c r="AF574" s="48"/>
      <c r="AG574" s="48"/>
      <c r="AH574" s="48"/>
      <c r="AI574" s="48"/>
    </row>
    <row r="575" spans="1:35" ht="12.5" hidden="1">
      <c r="A575" s="37" t="s">
        <v>1233</v>
      </c>
      <c r="B575" s="38" t="str">
        <f>IFERROR(VLOOKUP(J575,catalogo!$B$1:$C$70,2,0),"-")</f>
        <v>-</v>
      </c>
      <c r="C575" s="39">
        <v>46067.416666666664</v>
      </c>
      <c r="D575" s="17"/>
      <c r="E575" s="17"/>
      <c r="F575" s="17"/>
      <c r="G575" s="42">
        <v>2511.2399999999998</v>
      </c>
      <c r="H575" s="42">
        <v>2511.2399999999998</v>
      </c>
      <c r="I575" s="43" t="s">
        <v>156</v>
      </c>
      <c r="J575" s="43" t="s">
        <v>187</v>
      </c>
      <c r="K575" s="43" t="s">
        <v>1234</v>
      </c>
      <c r="L575" s="44" t="s">
        <v>366</v>
      </c>
      <c r="M575" s="45" t="s">
        <v>477</v>
      </c>
      <c r="N575" s="44" t="s">
        <v>144</v>
      </c>
      <c r="O575" s="17"/>
      <c r="P575" s="17"/>
      <c r="Q575" s="17"/>
      <c r="R575" s="17"/>
      <c r="S575" s="17"/>
      <c r="T575" s="17"/>
      <c r="U575" s="17"/>
      <c r="V575" s="17"/>
      <c r="W575" s="17"/>
      <c r="X575" s="17"/>
      <c r="Y575" s="46" t="str">
        <f ca="1">IFERROR(VLOOKUP(A575,catalogo!$E:$G,2,0),"-")</f>
        <v>-</v>
      </c>
      <c r="Z575" s="47" t="str">
        <f ca="1">IFERROR(VLOOKUP(A575,catalogo!$E:$G,3,0),"-")</f>
        <v>-</v>
      </c>
      <c r="AA575" s="48"/>
      <c r="AB575" s="48"/>
      <c r="AC575" s="48" t="str">
        <f ca="1">IFERROR(VLOOKUP(A575,catalogo!$E:$H,4,0),"-")</f>
        <v>-</v>
      </c>
      <c r="AD575" s="48"/>
      <c r="AE575" s="48"/>
      <c r="AF575" s="48"/>
      <c r="AG575" s="48"/>
      <c r="AH575" s="48"/>
      <c r="AI575" s="48"/>
    </row>
    <row r="576" spans="1:35" ht="12.5" hidden="1">
      <c r="A576" s="37" t="s">
        <v>1235</v>
      </c>
      <c r="B576" s="38" t="str">
        <f>IFERROR(VLOOKUP(J576,catalogo!$B$1:$C$100,2,0),"-")</f>
        <v>#26</v>
      </c>
      <c r="C576" s="39">
        <v>46067.416666666664</v>
      </c>
      <c r="D576" s="17"/>
      <c r="E576" s="17"/>
      <c r="F576" s="17"/>
      <c r="G576" s="42">
        <v>27.2</v>
      </c>
      <c r="H576" s="42">
        <v>27.2</v>
      </c>
      <c r="I576" s="43" t="s">
        <v>156</v>
      </c>
      <c r="J576" s="43" t="s">
        <v>67</v>
      </c>
      <c r="K576" s="43" t="s">
        <v>757</v>
      </c>
      <c r="L576" s="44" t="s">
        <v>336</v>
      </c>
      <c r="M576" s="44" t="s">
        <v>159</v>
      </c>
      <c r="N576" s="44" t="s">
        <v>144</v>
      </c>
      <c r="O576" s="17"/>
      <c r="P576" s="17"/>
      <c r="Q576" s="17"/>
      <c r="R576" s="17"/>
      <c r="S576" s="17"/>
      <c r="T576" s="17"/>
      <c r="U576" s="17"/>
      <c r="V576" s="17"/>
      <c r="W576" s="17"/>
      <c r="X576" s="17"/>
      <c r="Y576" s="46" t="str">
        <f ca="1">IFERROR(VLOOKUP(A576,catalogo!$E:$G,2,0),"-")</f>
        <v>-</v>
      </c>
      <c r="Z576" s="47" t="str">
        <f ca="1">IFERROR(VLOOKUP(A576,catalogo!$E:$G,3,0),"-")</f>
        <v>-</v>
      </c>
      <c r="AA576" s="48"/>
      <c r="AB576" s="48"/>
      <c r="AC576" s="48" t="str">
        <f ca="1">IFERROR(VLOOKUP(A576,catalogo!$E:$H,4,0),"-")</f>
        <v>-</v>
      </c>
      <c r="AD576" s="48"/>
      <c r="AE576" s="48"/>
      <c r="AF576" s="48"/>
      <c r="AG576" s="48"/>
      <c r="AH576" s="48"/>
      <c r="AI576" s="48"/>
    </row>
    <row r="577" spans="1:35" ht="15.5" hidden="1">
      <c r="A577" s="37" t="s">
        <v>1236</v>
      </c>
      <c r="B577" s="38" t="str">
        <f>IFERROR(VLOOKUP(J577,catalogo!$B$1:$C$75,2,0),"-")</f>
        <v>-</v>
      </c>
      <c r="C577" s="39">
        <v>46067.416666666664</v>
      </c>
      <c r="D577" s="17"/>
      <c r="E577" s="17"/>
      <c r="F577" s="17"/>
      <c r="G577" s="42">
        <v>810</v>
      </c>
      <c r="H577" s="42">
        <v>810</v>
      </c>
      <c r="I577" s="43" t="s">
        <v>156</v>
      </c>
      <c r="J577" s="43" t="s">
        <v>321</v>
      </c>
      <c r="K577" s="43" t="s">
        <v>319</v>
      </c>
      <c r="L577" s="44" t="s">
        <v>317</v>
      </c>
      <c r="M577" s="45">
        <v>3340</v>
      </c>
      <c r="N577" s="44" t="s">
        <v>167</v>
      </c>
      <c r="O577" s="49"/>
      <c r="P577" s="17"/>
      <c r="Q577" s="17"/>
      <c r="R577" s="17"/>
      <c r="S577" s="17"/>
      <c r="T577" s="17"/>
      <c r="U577" s="17"/>
      <c r="V577" s="17"/>
      <c r="W577" s="17"/>
      <c r="X577" s="17"/>
      <c r="Y577" s="46" t="str">
        <f ca="1">IFERROR(VLOOKUP(A577,catalogo!$E:$H,2,0),"-")</f>
        <v>-</v>
      </c>
      <c r="Z577" s="47" t="str">
        <f ca="1">IFERROR(VLOOKUP(A577,catalogo!$E:$G,3,0),"-")</f>
        <v>-</v>
      </c>
      <c r="AA577" s="48"/>
      <c r="AB577" s="48"/>
      <c r="AC577" s="48" t="str">
        <f ca="1">IFERROR(VLOOKUP(A577,catalogo!$E:$H,4,0),"-")</f>
        <v>-</v>
      </c>
      <c r="AD577" s="48"/>
      <c r="AE577" s="48"/>
      <c r="AF577" s="48"/>
      <c r="AG577" s="48"/>
      <c r="AH577" s="48"/>
      <c r="AI577" s="48"/>
    </row>
    <row r="578" spans="1:35" ht="12.5" hidden="1">
      <c r="A578" s="37" t="s">
        <v>1237</v>
      </c>
      <c r="B578" s="38" t="str">
        <f>IFERROR(VLOOKUP(J578,catalogo!$B$1:$C$70,2,0),"-")</f>
        <v>#68</v>
      </c>
      <c r="C578" s="39">
        <v>46067.416666666664</v>
      </c>
      <c r="D578" s="17"/>
      <c r="E578" s="17"/>
      <c r="F578" s="17"/>
      <c r="G578" s="42">
        <v>600</v>
      </c>
      <c r="H578" s="42">
        <v>600</v>
      </c>
      <c r="I578" s="43" t="s">
        <v>156</v>
      </c>
      <c r="J578" s="43" t="s">
        <v>384</v>
      </c>
      <c r="K578" s="43" t="s">
        <v>622</v>
      </c>
      <c r="L578" s="44" t="s">
        <v>623</v>
      </c>
      <c r="M578" s="45">
        <v>2937</v>
      </c>
      <c r="N578" s="44" t="s">
        <v>167</v>
      </c>
      <c r="O578" s="17"/>
      <c r="P578" s="17"/>
      <c r="Q578" s="17"/>
      <c r="R578" s="17"/>
      <c r="S578" s="17"/>
      <c r="T578" s="17"/>
      <c r="U578" s="17"/>
      <c r="V578" s="17"/>
      <c r="W578" s="17"/>
      <c r="X578" s="17"/>
      <c r="Y578" s="46" t="str">
        <f ca="1">IFERROR(VLOOKUP(A578,catalogo!$E:$H,2,0),"-")</f>
        <v>-</v>
      </c>
      <c r="Z578" s="47" t="str">
        <f ca="1">IFERROR(VLOOKUP(A578,catalogo!$E:$G,3,0),"-")</f>
        <v>-</v>
      </c>
      <c r="AA578" s="48"/>
      <c r="AB578" s="48"/>
      <c r="AC578" s="48" t="str">
        <f ca="1">IFERROR(VLOOKUP(A578,catalogo!$E:$H,4,0),"-")</f>
        <v>-</v>
      </c>
      <c r="AD578" s="48"/>
      <c r="AE578" s="48"/>
      <c r="AF578" s="48"/>
      <c r="AG578" s="48"/>
      <c r="AH578" s="48"/>
      <c r="AI578" s="48"/>
    </row>
    <row r="579" spans="1:35" ht="12.5" hidden="1">
      <c r="A579" s="37" t="s">
        <v>358</v>
      </c>
      <c r="B579" s="38" t="str">
        <f>IFERROR(VLOOKUP(J579,catalogo!$B$1:$C$75,2,0),"-")</f>
        <v>-</v>
      </c>
      <c r="C579" s="39">
        <v>46067.416666666664</v>
      </c>
      <c r="D579" s="52"/>
      <c r="E579" s="17"/>
      <c r="F579" s="17"/>
      <c r="G579" s="42">
        <v>755.7</v>
      </c>
      <c r="H579" s="42">
        <v>755.7</v>
      </c>
      <c r="I579" s="43" t="s">
        <v>156</v>
      </c>
      <c r="J579" s="43" t="s">
        <v>321</v>
      </c>
      <c r="K579" s="43" t="s">
        <v>322</v>
      </c>
      <c r="L579" s="44" t="s">
        <v>323</v>
      </c>
      <c r="M579" s="45">
        <v>3340</v>
      </c>
      <c r="N579" s="44" t="s">
        <v>167</v>
      </c>
      <c r="O579" s="17"/>
      <c r="P579" s="17"/>
      <c r="Q579" s="17"/>
      <c r="R579" s="17"/>
      <c r="S579" s="17"/>
      <c r="T579" s="17"/>
      <c r="U579" s="17"/>
      <c r="V579" s="17"/>
      <c r="W579" s="17"/>
      <c r="X579" s="17"/>
      <c r="Y579" s="46" t="str">
        <f ca="1">IFERROR(VLOOKUP(A579,catalogo!$E:$H,2,0),"-")</f>
        <v>-</v>
      </c>
      <c r="Z579" s="47" t="str">
        <f ca="1">IFERROR(VLOOKUP(A579,catalogo!$E:$G,3,0),"-")</f>
        <v>-</v>
      </c>
      <c r="AA579" s="48"/>
      <c r="AB579" s="48"/>
      <c r="AC579" s="48" t="str">
        <f ca="1">IFERROR(VLOOKUP(A579,catalogo!$E:$H,4,0),"-")</f>
        <v>-</v>
      </c>
      <c r="AD579" s="48"/>
      <c r="AE579" s="48"/>
      <c r="AF579" s="48"/>
      <c r="AG579" s="48"/>
      <c r="AH579" s="48"/>
      <c r="AI579" s="48"/>
    </row>
    <row r="580" spans="1:35" ht="12.5" hidden="1">
      <c r="A580" s="37" t="s">
        <v>1238</v>
      </c>
      <c r="B580" s="38" t="str">
        <f>IFERROR(VLOOKUP(J580,catalogo!$B$1:$C$70,2,0),"-")</f>
        <v>#69</v>
      </c>
      <c r="C580" s="39">
        <v>46067.416666666664</v>
      </c>
      <c r="D580" s="17"/>
      <c r="E580" s="17"/>
      <c r="F580" s="17"/>
      <c r="G580" s="42">
        <v>3433.9</v>
      </c>
      <c r="H580" s="42">
        <v>3433.9</v>
      </c>
      <c r="I580" s="43" t="s">
        <v>156</v>
      </c>
      <c r="J580" s="43" t="s">
        <v>110</v>
      </c>
      <c r="K580" s="43" t="s">
        <v>1239</v>
      </c>
      <c r="L580" s="44" t="s">
        <v>1240</v>
      </c>
      <c r="M580" s="45">
        <v>8231</v>
      </c>
      <c r="N580" s="44" t="s">
        <v>167</v>
      </c>
      <c r="O580" s="17"/>
      <c r="P580" s="17"/>
      <c r="Q580" s="17"/>
      <c r="R580" s="17"/>
      <c r="S580" s="17"/>
      <c r="T580" s="17"/>
      <c r="U580" s="17"/>
      <c r="V580" s="17"/>
      <c r="W580" s="17"/>
      <c r="X580" s="17"/>
      <c r="Y580" s="46" t="str">
        <f ca="1">IFERROR(VLOOKUP(A580,catalogo!$E:$H,2,0),"-")</f>
        <v>-</v>
      </c>
      <c r="Z580" s="47" t="str">
        <f ca="1">IFERROR(VLOOKUP(A580,catalogo!$E:$G,3,0),"-")</f>
        <v>-</v>
      </c>
      <c r="AA580" s="48"/>
      <c r="AB580" s="48"/>
      <c r="AC580" s="48" t="str">
        <f ca="1">IFERROR(VLOOKUP(A580,catalogo!$E:$H,4,0),"-")</f>
        <v>-</v>
      </c>
      <c r="AD580" s="48"/>
      <c r="AE580" s="48"/>
      <c r="AF580" s="48"/>
      <c r="AG580" s="48"/>
      <c r="AH580" s="48"/>
      <c r="AI580" s="48"/>
    </row>
    <row r="581" spans="1:35" ht="12.5" hidden="1">
      <c r="A581" s="37" t="s">
        <v>171</v>
      </c>
      <c r="B581" s="38" t="str">
        <f>IFERROR(VLOOKUP(J581,catalogo!$B$1:$C$100,2,0),"-")</f>
        <v>#66</v>
      </c>
      <c r="C581" s="39">
        <v>46067.416666666664</v>
      </c>
      <c r="D581" s="17"/>
      <c r="E581" s="17"/>
      <c r="F581" s="17"/>
      <c r="G581" s="42">
        <v>1480.2</v>
      </c>
      <c r="H581" s="42">
        <v>1480.2</v>
      </c>
      <c r="I581" s="43" t="s">
        <v>156</v>
      </c>
      <c r="J581" s="43" t="s">
        <v>80</v>
      </c>
      <c r="K581" s="43" t="s">
        <v>1241</v>
      </c>
      <c r="L581" s="44" t="s">
        <v>1242</v>
      </c>
      <c r="M581" s="45">
        <v>2406</v>
      </c>
      <c r="N581" s="44" t="s">
        <v>167</v>
      </c>
      <c r="O581" s="17" t="s">
        <v>1243</v>
      </c>
      <c r="P581" s="17"/>
      <c r="Q581" s="17"/>
      <c r="R581" s="17"/>
      <c r="S581" s="17"/>
      <c r="T581" s="17"/>
      <c r="U581" s="17"/>
      <c r="V581" s="17"/>
      <c r="W581" s="17"/>
      <c r="X581" s="17"/>
      <c r="Y581" s="46" t="str">
        <f ca="1">IFERROR(VLOOKUP(A581,catalogo!$E:$H,2,0),"-")</f>
        <v>Tech&amp;Product</v>
      </c>
      <c r="Z581" s="47">
        <f ca="1">IFERROR(VLOOKUP(A581,catalogo!$E:$G,3,0),"-")</f>
        <v>0</v>
      </c>
      <c r="AA581" s="48"/>
      <c r="AB581" s="48"/>
      <c r="AC581" s="48">
        <f ca="1">IFERROR(VLOOKUP(A581,catalogo!$E:$H,4,0),"-")</f>
        <v>0</v>
      </c>
      <c r="AD581" s="48"/>
      <c r="AE581" s="48"/>
      <c r="AF581" s="48"/>
      <c r="AG581" s="48"/>
      <c r="AH581" s="48"/>
      <c r="AI581" s="48"/>
    </row>
    <row r="582" spans="1:35" ht="12.5" hidden="1">
      <c r="A582" s="37" t="s">
        <v>1244</v>
      </c>
      <c r="B582" s="38" t="str">
        <f>IFERROR(VLOOKUP(J582,catalogo!$B$1:$C$70,2,0),"-")</f>
        <v>#41</v>
      </c>
      <c r="C582" s="39">
        <v>46067.416666666664</v>
      </c>
      <c r="D582" s="17"/>
      <c r="E582" s="17"/>
      <c r="F582" s="17"/>
      <c r="G582" s="42">
        <v>179.97</v>
      </c>
      <c r="H582" s="42">
        <v>179.97</v>
      </c>
      <c r="I582" s="43" t="s">
        <v>156</v>
      </c>
      <c r="J582" s="43" t="s">
        <v>68</v>
      </c>
      <c r="K582" s="43" t="s">
        <v>485</v>
      </c>
      <c r="L582" s="44" t="s">
        <v>233</v>
      </c>
      <c r="M582" s="45" t="s">
        <v>1038</v>
      </c>
      <c r="N582" s="44" t="s">
        <v>144</v>
      </c>
      <c r="O582" s="17"/>
      <c r="P582" s="17"/>
      <c r="Q582" s="17"/>
      <c r="R582" s="17"/>
      <c r="S582" s="17"/>
      <c r="T582" s="17"/>
      <c r="U582" s="17"/>
      <c r="V582" s="17"/>
      <c r="W582" s="17"/>
      <c r="X582" s="17"/>
      <c r="Y582" s="46" t="str">
        <f ca="1">IFERROR(VLOOKUP(A582,catalogo!$E:$G,2,0),"-")</f>
        <v>-</v>
      </c>
      <c r="Z582" s="47" t="str">
        <f ca="1">IFERROR(VLOOKUP(A582,catalogo!$E:$G,3,0),"-")</f>
        <v>-</v>
      </c>
      <c r="AA582" s="48"/>
      <c r="AB582" s="48"/>
      <c r="AC582" s="48" t="str">
        <f ca="1">IFERROR(VLOOKUP(A582,catalogo!$E:$H,4,0),"-")</f>
        <v>-</v>
      </c>
      <c r="AD582" s="48"/>
      <c r="AE582" s="48"/>
      <c r="AF582" s="48"/>
      <c r="AG582" s="48"/>
      <c r="AH582" s="48"/>
      <c r="AI582" s="48"/>
    </row>
    <row r="583" spans="1:35" ht="12.5" hidden="1">
      <c r="A583" s="37" t="s">
        <v>1245</v>
      </c>
      <c r="B583" s="38" t="str">
        <f>IFERROR(VLOOKUP(J583,catalogo!$B$1:$C$70,2,0),"-")</f>
        <v>#26</v>
      </c>
      <c r="C583" s="39">
        <v>46067.416666666664</v>
      </c>
      <c r="D583" s="17"/>
      <c r="E583" s="17"/>
      <c r="F583" s="17"/>
      <c r="G583" s="42">
        <v>328</v>
      </c>
      <c r="H583" s="42">
        <v>328</v>
      </c>
      <c r="I583" s="43" t="s">
        <v>156</v>
      </c>
      <c r="J583" s="43" t="s">
        <v>67</v>
      </c>
      <c r="K583" s="43" t="s">
        <v>335</v>
      </c>
      <c r="L583" s="44" t="s">
        <v>336</v>
      </c>
      <c r="M583" s="45" t="s">
        <v>159</v>
      </c>
      <c r="N583" s="44" t="s">
        <v>144</v>
      </c>
      <c r="O583" s="17"/>
      <c r="P583" s="17"/>
      <c r="Q583" s="17"/>
      <c r="R583" s="17"/>
      <c r="S583" s="17"/>
      <c r="T583" s="17"/>
      <c r="U583" s="17"/>
      <c r="V583" s="17"/>
      <c r="W583" s="17"/>
      <c r="X583" s="17"/>
      <c r="Y583" s="46" t="str">
        <f ca="1">IFERROR(VLOOKUP(A583,catalogo!$E:$G,2,0),"-")</f>
        <v>-</v>
      </c>
      <c r="Z583" s="47" t="str">
        <f ca="1">IFERROR(VLOOKUP(A583,catalogo!$E:$G,3,0),"-")</f>
        <v>-</v>
      </c>
      <c r="AA583" s="48"/>
      <c r="AB583" s="48"/>
      <c r="AC583" s="48" t="str">
        <f ca="1">IFERROR(VLOOKUP(A583,catalogo!$E:$H,4,0),"-")</f>
        <v>-</v>
      </c>
      <c r="AD583" s="48"/>
      <c r="AE583" s="48"/>
      <c r="AF583" s="48"/>
      <c r="AG583" s="48"/>
      <c r="AH583" s="48"/>
      <c r="AI583" s="48"/>
    </row>
    <row r="584" spans="1:35" ht="12.5" hidden="1">
      <c r="A584" s="37" t="s">
        <v>1246</v>
      </c>
      <c r="B584" s="38" t="str">
        <f>IFERROR(VLOOKUP(J584,catalogo!$B$1:$C$75,2,0),"-")</f>
        <v>#9</v>
      </c>
      <c r="C584" s="39">
        <v>46067.416666666664</v>
      </c>
      <c r="D584" s="40"/>
      <c r="E584" s="41"/>
      <c r="F584" s="41"/>
      <c r="G584" s="42">
        <v>3777</v>
      </c>
      <c r="H584" s="42">
        <v>3777</v>
      </c>
      <c r="I584" s="43" t="s">
        <v>156</v>
      </c>
      <c r="J584" s="43" t="s">
        <v>134</v>
      </c>
      <c r="K584" s="43" t="s">
        <v>1247</v>
      </c>
      <c r="L584" s="44" t="s">
        <v>1248</v>
      </c>
      <c r="M584" s="45">
        <v>1026</v>
      </c>
      <c r="N584" s="44" t="s">
        <v>167</v>
      </c>
      <c r="O584" s="41"/>
      <c r="P584" s="41"/>
      <c r="Q584" s="41"/>
      <c r="R584" s="41"/>
      <c r="S584" s="41"/>
      <c r="T584" s="41"/>
      <c r="U584" s="41"/>
      <c r="V584" s="41"/>
      <c r="W584" s="41"/>
      <c r="X584" s="41"/>
      <c r="Y584" s="46" t="str">
        <f ca="1">IFERROR(VLOOKUP(A584,catalogo!$E:$H,2,0),"-")</f>
        <v>Sales</v>
      </c>
      <c r="Z584" s="47" t="str">
        <f ca="1">IFERROR(VLOOKUP(A584,catalogo!$E:$G,3,0),"-")</f>
        <v>Desayuno con Fabian de grupo GI</v>
      </c>
      <c r="AA584" s="48"/>
      <c r="AB584" s="48"/>
      <c r="AC584" s="48" t="str">
        <f ca="1">IFERROR(VLOOKUP(A584,catalogo!$E:$H,4,0),"-")</f>
        <v>.</v>
      </c>
      <c r="AD584" s="48"/>
      <c r="AE584" s="48"/>
      <c r="AF584" s="48"/>
      <c r="AG584" s="48"/>
      <c r="AH584" s="48"/>
      <c r="AI584" s="48"/>
    </row>
    <row r="585" spans="1:35" ht="12.5" hidden="1">
      <c r="A585" s="37" t="s">
        <v>1249</v>
      </c>
      <c r="B585" s="38" t="str">
        <f>IFERROR(VLOOKUP(J585,catalogo!$B$1:$C$100,2,0),"-")</f>
        <v>-</v>
      </c>
      <c r="C585" s="39">
        <v>46067.416666666664</v>
      </c>
      <c r="D585" s="17"/>
      <c r="E585" s="17"/>
      <c r="F585" s="17"/>
      <c r="G585" s="42">
        <v>50</v>
      </c>
      <c r="H585" s="42">
        <v>50</v>
      </c>
      <c r="I585" s="43" t="s">
        <v>156</v>
      </c>
      <c r="J585" s="43" t="s">
        <v>659</v>
      </c>
      <c r="K585" s="43" t="s">
        <v>660</v>
      </c>
      <c r="L585" s="44" t="s">
        <v>661</v>
      </c>
      <c r="M585" s="45" t="s">
        <v>662</v>
      </c>
      <c r="N585" s="44" t="s">
        <v>144</v>
      </c>
      <c r="O585" s="17"/>
      <c r="P585" s="17"/>
      <c r="Q585" s="17"/>
      <c r="R585" s="17"/>
      <c r="S585" s="17"/>
      <c r="T585" s="17"/>
      <c r="U585" s="17"/>
      <c r="V585" s="17"/>
      <c r="W585" s="17"/>
      <c r="X585" s="17"/>
      <c r="Y585" s="46" t="str">
        <f ca="1">IFERROR(VLOOKUP(A585,catalogo!$E:$H,2,0),"-")</f>
        <v>-</v>
      </c>
      <c r="Z585" s="47" t="str">
        <f ca="1">IFERROR(VLOOKUP(A585,catalogo!$E:$G,3,0),"-")</f>
        <v>-</v>
      </c>
      <c r="AA585" s="48"/>
      <c r="AB585" s="48"/>
      <c r="AC585" s="48" t="str">
        <f ca="1">IFERROR(VLOOKUP(A585,catalogo!$E:$H,4,0),"-")</f>
        <v>-</v>
      </c>
      <c r="AD585" s="48"/>
      <c r="AE585" s="48"/>
      <c r="AF585" s="48"/>
      <c r="AG585" s="48"/>
      <c r="AH585" s="48"/>
      <c r="AI585" s="48"/>
    </row>
    <row r="586" spans="1:35" ht="12.5" hidden="1">
      <c r="A586" s="37" t="s">
        <v>1250</v>
      </c>
      <c r="B586" s="38" t="str">
        <f>IFERROR(VLOOKUP(J586,catalogo!$B$1:$C$100,2,0),"-")</f>
        <v>#8</v>
      </c>
      <c r="C586" s="39">
        <v>46067.416666666664</v>
      </c>
      <c r="D586" s="17"/>
      <c r="E586" s="17"/>
      <c r="F586" s="17"/>
      <c r="G586" s="42">
        <v>709.41</v>
      </c>
      <c r="H586" s="42">
        <v>709.41</v>
      </c>
      <c r="I586" s="43" t="s">
        <v>156</v>
      </c>
      <c r="J586" s="43" t="s">
        <v>128</v>
      </c>
      <c r="K586" s="43" t="s">
        <v>1251</v>
      </c>
      <c r="L586" s="44" t="s">
        <v>1252</v>
      </c>
      <c r="M586" s="45">
        <v>16</v>
      </c>
      <c r="N586" s="44" t="s">
        <v>167</v>
      </c>
      <c r="O586" s="17"/>
      <c r="P586" s="17"/>
      <c r="Q586" s="17"/>
      <c r="R586" s="17"/>
      <c r="S586" s="17"/>
      <c r="T586" s="17"/>
      <c r="U586" s="17"/>
      <c r="V586" s="17"/>
      <c r="W586" s="17"/>
      <c r="X586" s="17"/>
      <c r="Y586" s="46" t="str">
        <f ca="1">IFERROR(VLOOKUP(A586,catalogo!$E:$G,2,0),"-")</f>
        <v>Transaction cost</v>
      </c>
      <c r="Z586" s="47" t="str">
        <f ca="1">IFERROR(VLOOKUP(A586,catalogo!$E:$G,3,0),"-")</f>
        <v>GASOLINA VISITA A CAMI PO2165 - ENSAMBLE UF/CEB MECANICO</v>
      </c>
      <c r="AA586" s="48"/>
      <c r="AB586" s="48"/>
      <c r="AC586" s="48" t="str">
        <f ca="1">IFERROR(VLOOKUP(A586,catalogo!$E:$H,4,0),"-")</f>
        <v>.</v>
      </c>
      <c r="AD586" s="48"/>
      <c r="AE586" s="48"/>
      <c r="AF586" s="48"/>
      <c r="AG586" s="48"/>
      <c r="AH586" s="48"/>
      <c r="AI586" s="48"/>
    </row>
    <row r="587" spans="1:35" ht="21.75" hidden="1" customHeight="1">
      <c r="A587" s="37" t="s">
        <v>1253</v>
      </c>
      <c r="B587" s="38" t="str">
        <f>IFERROR(VLOOKUP(J587,catalogo!$B$1:$C$100,2,0),"-")</f>
        <v>#75</v>
      </c>
      <c r="C587" s="39">
        <v>46067.417361111111</v>
      </c>
      <c r="D587" s="17"/>
      <c r="E587" s="17"/>
      <c r="F587" s="17"/>
      <c r="G587" s="42">
        <v>678.5</v>
      </c>
      <c r="H587" s="42">
        <v>678.5</v>
      </c>
      <c r="I587" s="43" t="s">
        <v>156</v>
      </c>
      <c r="J587" s="50" t="s">
        <v>343</v>
      </c>
      <c r="K587" s="43" t="s">
        <v>1254</v>
      </c>
      <c r="L587" s="44" t="s">
        <v>1255</v>
      </c>
      <c r="M587" s="45">
        <v>6747</v>
      </c>
      <c r="N587" s="44" t="s">
        <v>167</v>
      </c>
      <c r="O587" s="17"/>
      <c r="P587" s="17"/>
      <c r="Q587" s="17"/>
      <c r="R587" s="17"/>
      <c r="S587" s="17"/>
      <c r="T587" s="17"/>
      <c r="U587" s="17"/>
      <c r="V587" s="17"/>
      <c r="W587" s="17"/>
      <c r="X587" s="17"/>
      <c r="Y587" s="46" t="str">
        <f ca="1">IFERROR(VLOOKUP(A587,catalogo!$E:$G,2,0),"-")</f>
        <v>-</v>
      </c>
      <c r="Z587" s="47" t="str">
        <f ca="1">IFERROR(VLOOKUP(A587,catalogo!$E:$G,3,0),"-")</f>
        <v>-</v>
      </c>
      <c r="AA587" s="48"/>
      <c r="AB587" s="48"/>
      <c r="AC587" s="48" t="str">
        <f ca="1">IFERROR(VLOOKUP(A587,catalogo!$E:$H,4,0),"-")</f>
        <v>-</v>
      </c>
      <c r="AD587" s="48"/>
      <c r="AE587" s="48"/>
      <c r="AF587" s="48"/>
      <c r="AG587" s="48"/>
      <c r="AH587" s="48"/>
      <c r="AI587" s="48"/>
    </row>
    <row r="588" spans="1:35" ht="12.5" hidden="1">
      <c r="A588" s="37" t="s">
        <v>1256</v>
      </c>
      <c r="B588" s="38" t="str">
        <f>IFERROR(VLOOKUP(J588,catalogo!$B$1:$C$100,2,0),"-")</f>
        <v>-</v>
      </c>
      <c r="C588" s="39">
        <v>46067.417361111111</v>
      </c>
      <c r="D588" s="17"/>
      <c r="E588" s="17"/>
      <c r="F588" s="17"/>
      <c r="G588" s="53">
        <v>50</v>
      </c>
      <c r="H588" s="53">
        <v>50</v>
      </c>
      <c r="I588" s="43" t="s">
        <v>156</v>
      </c>
      <c r="J588" s="43" t="s">
        <v>659</v>
      </c>
      <c r="K588" s="43" t="s">
        <v>660</v>
      </c>
      <c r="L588" s="44" t="s">
        <v>661</v>
      </c>
      <c r="M588" s="45" t="s">
        <v>662</v>
      </c>
      <c r="N588" s="44" t="s">
        <v>144</v>
      </c>
      <c r="O588" s="17"/>
      <c r="P588" s="17"/>
      <c r="Q588" s="17"/>
      <c r="R588" s="17"/>
      <c r="S588" s="17"/>
      <c r="T588" s="17"/>
      <c r="U588" s="17"/>
      <c r="V588" s="17"/>
      <c r="W588" s="17"/>
      <c r="X588" s="17"/>
      <c r="Y588" s="46"/>
      <c r="Z588" s="47"/>
      <c r="AA588" s="48"/>
      <c r="AB588" s="48"/>
      <c r="AC588" s="48"/>
      <c r="AD588" s="48"/>
      <c r="AE588" s="48"/>
      <c r="AF588" s="48"/>
      <c r="AG588" s="48"/>
      <c r="AH588" s="48"/>
      <c r="AI588" s="48"/>
    </row>
    <row r="589" spans="1:35" ht="12.5" hidden="1">
      <c r="A589" s="37" t="s">
        <v>1257</v>
      </c>
      <c r="B589" s="38" t="str">
        <f>IFERROR(VLOOKUP(J589,catalogo!$B$1:$C$70,2,0),"-")</f>
        <v>-</v>
      </c>
      <c r="C589" s="39">
        <v>46067.417361111111</v>
      </c>
      <c r="D589" s="17"/>
      <c r="E589" s="17"/>
      <c r="F589" s="17"/>
      <c r="G589" s="42">
        <v>500</v>
      </c>
      <c r="H589" s="42">
        <v>500</v>
      </c>
      <c r="I589" s="43" t="s">
        <v>156</v>
      </c>
      <c r="J589" s="43" t="s">
        <v>269</v>
      </c>
      <c r="K589" s="43" t="s">
        <v>660</v>
      </c>
      <c r="L589" s="44" t="s">
        <v>661</v>
      </c>
      <c r="M589" s="45" t="s">
        <v>270</v>
      </c>
      <c r="N589" s="44" t="s">
        <v>144</v>
      </c>
      <c r="O589" s="17"/>
      <c r="P589" s="17"/>
      <c r="Q589" s="17"/>
      <c r="R589" s="17"/>
      <c r="S589" s="17"/>
      <c r="T589" s="17"/>
      <c r="U589" s="17"/>
      <c r="V589" s="17"/>
      <c r="W589" s="17"/>
      <c r="X589" s="17"/>
      <c r="Y589" s="46" t="str">
        <f ca="1">IFERROR(VLOOKUP(A589,catalogo!$E:$G,2,0),"-")</f>
        <v>-</v>
      </c>
      <c r="Z589" s="47" t="str">
        <f ca="1">IFERROR(VLOOKUP(A589,catalogo!$E:$G,3,0),"-")</f>
        <v>-</v>
      </c>
      <c r="AA589" s="48"/>
      <c r="AB589" s="48"/>
      <c r="AC589" s="48" t="str">
        <f ca="1">IFERROR(VLOOKUP(A589,catalogo!$E:$H,4,0),"-")</f>
        <v>-</v>
      </c>
      <c r="AD589" s="48"/>
      <c r="AE589" s="48"/>
      <c r="AF589" s="48"/>
      <c r="AG589" s="48"/>
      <c r="AH589" s="48"/>
      <c r="AI589" s="48"/>
    </row>
    <row r="590" spans="1:35" ht="12.5" hidden="1">
      <c r="A590" s="37" t="s">
        <v>1258</v>
      </c>
      <c r="B590" s="38" t="str">
        <f>IFERROR(VLOOKUP(J590,catalogo!$B$1:$C$75,2,0),"-")</f>
        <v>#26</v>
      </c>
      <c r="C590" s="39">
        <v>46067.417361111111</v>
      </c>
      <c r="D590" s="17"/>
      <c r="E590" s="17"/>
      <c r="F590" s="17"/>
      <c r="G590" s="42">
        <v>118</v>
      </c>
      <c r="H590" s="42">
        <v>118</v>
      </c>
      <c r="I590" s="43" t="s">
        <v>156</v>
      </c>
      <c r="J590" s="43" t="s">
        <v>67</v>
      </c>
      <c r="K590" s="43" t="s">
        <v>335</v>
      </c>
      <c r="L590" s="44" t="s">
        <v>336</v>
      </c>
      <c r="M590" s="45" t="s">
        <v>159</v>
      </c>
      <c r="N590" s="44" t="s">
        <v>144</v>
      </c>
      <c r="O590" s="17"/>
      <c r="P590" s="17"/>
      <c r="Q590" s="17"/>
      <c r="R590" s="17"/>
      <c r="S590" s="17"/>
      <c r="T590" s="17"/>
      <c r="U590" s="17"/>
      <c r="V590" s="17"/>
      <c r="W590" s="17"/>
      <c r="X590" s="17"/>
      <c r="Y590" s="46" t="str">
        <f ca="1">IFERROR(VLOOKUP(A590,catalogo!$E:$H,2,0),"-")</f>
        <v>-</v>
      </c>
      <c r="Z590" s="47" t="str">
        <f ca="1">IFERROR(VLOOKUP(A590,catalogo!$E:$G,3,0),"-")</f>
        <v>-</v>
      </c>
      <c r="AA590" s="48"/>
      <c r="AB590" s="48"/>
      <c r="AC590" s="48" t="str">
        <f ca="1">IFERROR(VLOOKUP(A590,catalogo!$E:$H,4,0),"-")</f>
        <v>-</v>
      </c>
      <c r="AD590" s="48"/>
      <c r="AE590" s="48"/>
      <c r="AF590" s="48"/>
      <c r="AG590" s="48"/>
      <c r="AH590" s="48"/>
      <c r="AI590" s="48"/>
    </row>
    <row r="591" spans="1:35" ht="15.5" hidden="1">
      <c r="A591" s="37" t="s">
        <v>1259</v>
      </c>
      <c r="B591" s="38" t="str">
        <f>IFERROR(VLOOKUP(J591,catalogo!$B$1:$C$75,2,0),"-")</f>
        <v>-</v>
      </c>
      <c r="C591" s="39">
        <v>46067.417361111111</v>
      </c>
      <c r="D591" s="17"/>
      <c r="E591" s="17"/>
      <c r="F591" s="17"/>
      <c r="G591" s="42">
        <v>50</v>
      </c>
      <c r="H591" s="42">
        <v>50</v>
      </c>
      <c r="I591" s="43" t="s">
        <v>156</v>
      </c>
      <c r="J591" s="43" t="s">
        <v>659</v>
      </c>
      <c r="K591" s="43" t="s">
        <v>660</v>
      </c>
      <c r="L591" s="44" t="s">
        <v>661</v>
      </c>
      <c r="M591" s="45" t="s">
        <v>662</v>
      </c>
      <c r="N591" s="44" t="s">
        <v>144</v>
      </c>
      <c r="O591" s="49"/>
      <c r="P591" s="17"/>
      <c r="Q591" s="17"/>
      <c r="R591" s="17"/>
      <c r="S591" s="17"/>
      <c r="T591" s="17"/>
      <c r="U591" s="17"/>
      <c r="V591" s="17"/>
      <c r="W591" s="17"/>
      <c r="X591" s="17"/>
      <c r="Y591" s="46" t="str">
        <f ca="1">IFERROR(VLOOKUP(A591,catalogo!$E:$H,2,0),"-")</f>
        <v>-</v>
      </c>
      <c r="Z591" s="47" t="str">
        <f ca="1">IFERROR(VLOOKUP(A591,catalogo!$E:$G,3,0),"-")</f>
        <v>-</v>
      </c>
      <c r="AA591" s="48"/>
      <c r="AB591" s="48"/>
      <c r="AC591" s="48" t="str">
        <f ca="1">IFERROR(VLOOKUP(A591,catalogo!$E:$H,4,0),"-")</f>
        <v>-</v>
      </c>
      <c r="AD591" s="48"/>
      <c r="AE591" s="48"/>
      <c r="AF591" s="48"/>
      <c r="AG591" s="48"/>
      <c r="AH591" s="48"/>
      <c r="AI591" s="48"/>
    </row>
    <row r="592" spans="1:35" ht="12.5" hidden="1">
      <c r="A592" s="37" t="s">
        <v>1260</v>
      </c>
      <c r="B592" s="38" t="str">
        <f>IFERROR(VLOOKUP(J592,catalogo!$B$1:$C$75,2,0),"-")</f>
        <v>#26</v>
      </c>
      <c r="C592" s="39">
        <v>46067.417361111111</v>
      </c>
      <c r="D592" s="40"/>
      <c r="E592" s="41"/>
      <c r="F592" s="41"/>
      <c r="G592" s="42">
        <v>328</v>
      </c>
      <c r="H592" s="42">
        <v>328</v>
      </c>
      <c r="I592" s="43" t="s">
        <v>156</v>
      </c>
      <c r="J592" s="43" t="s">
        <v>67</v>
      </c>
      <c r="K592" s="43" t="s">
        <v>1261</v>
      </c>
      <c r="L592" s="44" t="s">
        <v>336</v>
      </c>
      <c r="M592" s="45" t="s">
        <v>159</v>
      </c>
      <c r="N592" s="44" t="s">
        <v>144</v>
      </c>
      <c r="O592" s="41" t="s">
        <v>1262</v>
      </c>
      <c r="P592" s="41"/>
      <c r="Q592" s="41"/>
      <c r="R592" s="41"/>
      <c r="S592" s="41"/>
      <c r="T592" s="41"/>
      <c r="U592" s="41"/>
      <c r="V592" s="41"/>
      <c r="W592" s="41"/>
      <c r="X592" s="41"/>
      <c r="Y592" s="46" t="str">
        <f ca="1">IFERROR(VLOOKUP(A592,catalogo!$E:$H,2,0),"-")</f>
        <v>-</v>
      </c>
      <c r="Z592" s="47" t="str">
        <f ca="1">IFERROR(VLOOKUP(A592,catalogo!$E:$G,3,0),"-")</f>
        <v>-</v>
      </c>
      <c r="AA592" s="48"/>
      <c r="AB592" s="48"/>
      <c r="AC592" s="48" t="str">
        <f ca="1">IFERROR(VLOOKUP(A592,catalogo!$E:$H,4,0),"-")</f>
        <v>-</v>
      </c>
      <c r="AD592" s="48"/>
      <c r="AE592" s="48"/>
      <c r="AF592" s="48"/>
      <c r="AG592" s="48"/>
      <c r="AH592" s="48"/>
      <c r="AI592" s="48"/>
    </row>
    <row r="593" spans="1:35" ht="12.5" hidden="1">
      <c r="A593" s="37" t="s">
        <v>1263</v>
      </c>
      <c r="B593" s="38" t="str">
        <f>IFERROR(VLOOKUP(J593,catalogo!$B$1:$C$100,2,0),"-")</f>
        <v>-</v>
      </c>
      <c r="C593" s="39">
        <v>46067.417361111111</v>
      </c>
      <c r="D593" s="17"/>
      <c r="E593" s="17"/>
      <c r="F593" s="17"/>
      <c r="G593" s="42">
        <v>25</v>
      </c>
      <c r="H593" s="42">
        <v>25</v>
      </c>
      <c r="I593" s="43" t="s">
        <v>156</v>
      </c>
      <c r="J593" s="43" t="s">
        <v>321</v>
      </c>
      <c r="K593" s="43" t="s">
        <v>841</v>
      </c>
      <c r="L593" s="44" t="s">
        <v>842</v>
      </c>
      <c r="M593" s="45">
        <v>3340</v>
      </c>
      <c r="N593" s="44" t="s">
        <v>167</v>
      </c>
      <c r="O593" s="17"/>
      <c r="P593" s="17"/>
      <c r="Q593" s="17"/>
      <c r="R593" s="17"/>
      <c r="S593" s="17"/>
      <c r="T593" s="17"/>
      <c r="U593" s="17"/>
      <c r="V593" s="17"/>
      <c r="W593" s="17"/>
      <c r="X593" s="17"/>
      <c r="Y593" s="46" t="str">
        <f ca="1">IFERROR(VLOOKUP(A593,catalogo!$E:$G,2,0),"-")</f>
        <v>-</v>
      </c>
      <c r="Z593" s="47" t="str">
        <f ca="1">IFERROR(VLOOKUP(A593,catalogo!$E:$G,3,0),"-")</f>
        <v>-</v>
      </c>
      <c r="AA593" s="48"/>
      <c r="AB593" s="48"/>
      <c r="AC593" s="48" t="str">
        <f ca="1">IFERROR(VLOOKUP(A593,catalogo!$E:$H,4,0),"-")</f>
        <v>-</v>
      </c>
      <c r="AD593" s="48"/>
      <c r="AE593" s="48"/>
      <c r="AF593" s="48"/>
      <c r="AG593" s="48"/>
      <c r="AH593" s="48"/>
      <c r="AI593" s="48"/>
    </row>
    <row r="594" spans="1:35" ht="12.5" hidden="1">
      <c r="A594" s="37" t="s">
        <v>1264</v>
      </c>
      <c r="B594" s="38" t="str">
        <f>IFERROR(VLOOKUP(J594,catalogo!$B$1:$C$100,2,0),"-")</f>
        <v>-</v>
      </c>
      <c r="C594" s="39">
        <v>46067.417361111111</v>
      </c>
      <c r="D594" s="17"/>
      <c r="E594" s="17"/>
      <c r="F594" s="17"/>
      <c r="G594" s="42">
        <v>25</v>
      </c>
      <c r="H594" s="42">
        <v>25</v>
      </c>
      <c r="I594" s="43" t="s">
        <v>156</v>
      </c>
      <c r="J594" s="43" t="s">
        <v>321</v>
      </c>
      <c r="K594" s="43" t="s">
        <v>841</v>
      </c>
      <c r="L594" s="44" t="s">
        <v>842</v>
      </c>
      <c r="M594" s="45">
        <v>3340</v>
      </c>
      <c r="N594" s="44" t="s">
        <v>167</v>
      </c>
      <c r="O594" s="17"/>
      <c r="P594" s="17"/>
      <c r="Q594" s="17"/>
      <c r="R594" s="17"/>
      <c r="S594" s="17"/>
      <c r="T594" s="17"/>
      <c r="U594" s="17"/>
      <c r="V594" s="17"/>
      <c r="W594" s="17"/>
      <c r="X594" s="17"/>
      <c r="Y594" s="46" t="str">
        <f ca="1">IFERROR(VLOOKUP(A594,catalogo!$E:$G,2,0),"-")</f>
        <v>-</v>
      </c>
      <c r="Z594" s="47" t="str">
        <f ca="1">IFERROR(VLOOKUP(A594,catalogo!$E:$G,3,0),"-")</f>
        <v>-</v>
      </c>
      <c r="AA594" s="48"/>
      <c r="AB594" s="48"/>
      <c r="AC594" s="48" t="str">
        <f ca="1">IFERROR(VLOOKUP(A594,catalogo!$E:$H,4,0),"-")</f>
        <v>-</v>
      </c>
      <c r="AD594" s="48"/>
      <c r="AE594" s="48"/>
      <c r="AF594" s="48"/>
      <c r="AG594" s="48"/>
      <c r="AH594" s="48"/>
      <c r="AI594" s="48"/>
    </row>
    <row r="595" spans="1:35" ht="12.5" hidden="1">
      <c r="A595" s="37" t="s">
        <v>1265</v>
      </c>
      <c r="B595" s="38" t="str">
        <f>IFERROR(VLOOKUP(J595,catalogo!$B$1:$C$70,2,0),"-")</f>
        <v>-</v>
      </c>
      <c r="C595" s="39">
        <v>46067.417361111111</v>
      </c>
      <c r="D595" s="17"/>
      <c r="E595" s="17"/>
      <c r="F595" s="17"/>
      <c r="G595" s="42">
        <v>1724.8</v>
      </c>
      <c r="H595" s="42">
        <v>1724.8</v>
      </c>
      <c r="I595" s="43" t="s">
        <v>156</v>
      </c>
      <c r="J595" s="43" t="s">
        <v>286</v>
      </c>
      <c r="K595" s="43" t="s">
        <v>1266</v>
      </c>
      <c r="L595" s="44" t="s">
        <v>1267</v>
      </c>
      <c r="M595" s="45">
        <v>5481</v>
      </c>
      <c r="N595" s="44" t="s">
        <v>167</v>
      </c>
      <c r="O595" s="17"/>
      <c r="P595" s="17"/>
      <c r="Q595" s="17"/>
      <c r="R595" s="17"/>
      <c r="S595" s="17"/>
      <c r="T595" s="17"/>
      <c r="U595" s="17"/>
      <c r="V595" s="17"/>
      <c r="W595" s="17"/>
      <c r="X595" s="17"/>
      <c r="Y595" s="46" t="str">
        <f ca="1">IFERROR(VLOOKUP(A595,catalogo!$E:$G,2,0),"-")</f>
        <v>-</v>
      </c>
      <c r="Z595" s="47" t="str">
        <f ca="1">IFERROR(VLOOKUP(A595,catalogo!$E:$G,3,0),"-")</f>
        <v>-</v>
      </c>
      <c r="AA595" s="48"/>
      <c r="AB595" s="48"/>
      <c r="AC595" s="48" t="str">
        <f ca="1">IFERROR(VLOOKUP(A595,catalogo!$E:$H,4,0),"-")</f>
        <v>-</v>
      </c>
      <c r="AD595" s="48"/>
      <c r="AE595" s="48"/>
      <c r="AF595" s="48"/>
      <c r="AG595" s="48"/>
      <c r="AH595" s="48"/>
      <c r="AI595" s="48"/>
    </row>
    <row r="596" spans="1:35" ht="12.5" hidden="1">
      <c r="A596" s="37" t="s">
        <v>445</v>
      </c>
      <c r="B596" s="38" t="str">
        <f>IFERROR(VLOOKUP(J596,catalogo!$B$1:$C$75,2,0),"-")</f>
        <v>#13</v>
      </c>
      <c r="C596" s="39">
        <v>46067.417361111111</v>
      </c>
      <c r="D596" s="52"/>
      <c r="E596" s="17"/>
      <c r="F596" s="17"/>
      <c r="G596" s="42">
        <v>1834.25</v>
      </c>
      <c r="H596" s="42">
        <v>1834.25</v>
      </c>
      <c r="I596" s="43" t="s">
        <v>156</v>
      </c>
      <c r="J596" s="43" t="s">
        <v>66</v>
      </c>
      <c r="K596" s="43" t="s">
        <v>1268</v>
      </c>
      <c r="L596" s="44" t="s">
        <v>1269</v>
      </c>
      <c r="M596" s="45">
        <v>8732</v>
      </c>
      <c r="N596" s="44" t="s">
        <v>167</v>
      </c>
      <c r="O596" s="17"/>
      <c r="P596" s="17"/>
      <c r="Q596" s="17"/>
      <c r="R596" s="17"/>
      <c r="S596" s="17"/>
      <c r="T596" s="17"/>
      <c r="U596" s="17"/>
      <c r="V596" s="17"/>
      <c r="W596" s="17"/>
      <c r="X596" s="17"/>
      <c r="Y596" s="46" t="str">
        <f ca="1">IFERROR(VLOOKUP(A596,catalogo!$E:$H,2,0),"-")</f>
        <v>Sales</v>
      </c>
      <c r="Z596" s="47" t="str">
        <f ca="1">IFERROR(VLOOKUP(A596,catalogo!$E:$G,3,0),"-")</f>
        <v>Comida Cliente. Asistentes:
- Mariano García (Plexo)
- Miguel de Lascurain (Prima)</v>
      </c>
      <c r="AA596" s="48"/>
      <c r="AB596" s="48"/>
      <c r="AC596" s="48" t="str">
        <f ca="1">IFERROR(VLOOKUP(A596,catalogo!$E:$H,4,0),"-")</f>
        <v>18D35FF7-B120-4B07-8A58-A31600016077103297401771006817878</v>
      </c>
      <c r="AD596" s="48"/>
      <c r="AE596" s="48"/>
      <c r="AF596" s="48"/>
      <c r="AG596" s="48"/>
      <c r="AH596" s="48"/>
      <c r="AI596" s="48"/>
    </row>
    <row r="597" spans="1:35" ht="12.5" hidden="1">
      <c r="A597" s="37" t="s">
        <v>320</v>
      </c>
      <c r="B597" s="38" t="str">
        <f>IFERROR(VLOOKUP(J597,catalogo!$B$1:$C$75,2,0),"-")</f>
        <v>#64</v>
      </c>
      <c r="C597" s="39">
        <v>46067.417361111111</v>
      </c>
      <c r="D597" s="17"/>
      <c r="E597" s="17"/>
      <c r="F597" s="17"/>
      <c r="G597" s="42">
        <v>590.70000000000005</v>
      </c>
      <c r="H597" s="42">
        <v>590.70000000000005</v>
      </c>
      <c r="I597" s="43" t="s">
        <v>156</v>
      </c>
      <c r="J597" s="43" t="s">
        <v>139</v>
      </c>
      <c r="K597" s="43" t="s">
        <v>1270</v>
      </c>
      <c r="L597" s="44" t="s">
        <v>1271</v>
      </c>
      <c r="M597" s="45">
        <v>7142</v>
      </c>
      <c r="N597" s="44" t="s">
        <v>167</v>
      </c>
      <c r="O597" s="17"/>
      <c r="P597" s="17"/>
      <c r="Q597" s="17"/>
      <c r="R597" s="17"/>
      <c r="S597" s="17"/>
      <c r="T597" s="17"/>
      <c r="U597" s="17"/>
      <c r="V597" s="17"/>
      <c r="W597" s="17"/>
      <c r="X597" s="17"/>
      <c r="Y597" s="46" t="str">
        <f ca="1">IFERROR(VLOOKUP(A597,catalogo!$E:$H,2,0),"-")</f>
        <v>-</v>
      </c>
      <c r="Z597" s="47" t="str">
        <f ca="1">IFERROR(VLOOKUP(A597,catalogo!$E:$G,3,0),"-")</f>
        <v>-</v>
      </c>
      <c r="AA597" s="48"/>
      <c r="AB597" s="48"/>
      <c r="AC597" s="48" t="str">
        <f ca="1">IFERROR(VLOOKUP(A597,catalogo!$E:$H,4,0),"-")</f>
        <v>-</v>
      </c>
      <c r="AD597" s="48"/>
      <c r="AE597" s="48"/>
      <c r="AF597" s="48"/>
      <c r="AG597" s="48"/>
      <c r="AH597" s="48"/>
      <c r="AI597" s="48"/>
    </row>
    <row r="598" spans="1:35" ht="15.5" hidden="1">
      <c r="A598" s="37" t="s">
        <v>1272</v>
      </c>
      <c r="B598" s="38" t="str">
        <f>IFERROR(VLOOKUP(J598,catalogo!$B$1:$C$75,2,0),"-")</f>
        <v>-</v>
      </c>
      <c r="C598" s="39">
        <v>46067.417361111111</v>
      </c>
      <c r="D598" s="17"/>
      <c r="E598" s="17"/>
      <c r="F598" s="17"/>
      <c r="G598" s="42">
        <v>15</v>
      </c>
      <c r="H598" s="42">
        <v>15</v>
      </c>
      <c r="I598" s="43" t="s">
        <v>156</v>
      </c>
      <c r="J598" s="43" t="s">
        <v>321</v>
      </c>
      <c r="K598" s="43" t="s">
        <v>841</v>
      </c>
      <c r="L598" s="44" t="s">
        <v>842</v>
      </c>
      <c r="M598" s="45">
        <v>3340</v>
      </c>
      <c r="N598" s="44" t="s">
        <v>167</v>
      </c>
      <c r="O598" s="49"/>
      <c r="P598" s="17"/>
      <c r="Q598" s="17"/>
      <c r="R598" s="17"/>
      <c r="S598" s="17"/>
      <c r="T598" s="17"/>
      <c r="U598" s="17"/>
      <c r="V598" s="17"/>
      <c r="W598" s="17"/>
      <c r="X598" s="17"/>
      <c r="Y598" s="46" t="str">
        <f ca="1">IFERROR(VLOOKUP(A598,catalogo!$E:$H,2,0),"-")</f>
        <v>-</v>
      </c>
      <c r="Z598" s="47" t="str">
        <f ca="1">IFERROR(VLOOKUP(A598,catalogo!$E:$G,3,0),"-")</f>
        <v>-</v>
      </c>
      <c r="AA598" s="48"/>
      <c r="AB598" s="48"/>
      <c r="AC598" s="48" t="str">
        <f ca="1">IFERROR(VLOOKUP(A598,catalogo!$E:$H,4,0),"-")</f>
        <v>-</v>
      </c>
      <c r="AD598" s="48"/>
      <c r="AE598" s="48"/>
      <c r="AF598" s="48"/>
      <c r="AG598" s="48"/>
      <c r="AH598" s="48"/>
      <c r="AI598" s="48"/>
    </row>
    <row r="599" spans="1:35" ht="12.5" hidden="1">
      <c r="A599" s="37" t="s">
        <v>237</v>
      </c>
      <c r="B599" s="38" t="str">
        <f>IFERROR(VLOOKUP(J599,catalogo!$B$1:$C$75,2,0),"-")</f>
        <v>#68</v>
      </c>
      <c r="C599" s="39">
        <v>46067.417361111111</v>
      </c>
      <c r="D599" s="17"/>
      <c r="E599" s="17"/>
      <c r="F599" s="17"/>
      <c r="G599" s="42">
        <v>255</v>
      </c>
      <c r="H599" s="42">
        <v>255</v>
      </c>
      <c r="I599" s="43" t="s">
        <v>156</v>
      </c>
      <c r="J599" s="43" t="s">
        <v>384</v>
      </c>
      <c r="K599" s="43" t="s">
        <v>555</v>
      </c>
      <c r="L599" s="44" t="s">
        <v>556</v>
      </c>
      <c r="M599" s="45">
        <v>2937</v>
      </c>
      <c r="N599" s="44" t="s">
        <v>167</v>
      </c>
      <c r="O599" s="17"/>
      <c r="P599" s="17"/>
      <c r="Q599" s="17"/>
      <c r="R599" s="17"/>
      <c r="S599" s="17"/>
      <c r="T599" s="17"/>
      <c r="U599" s="17"/>
      <c r="V599" s="17"/>
      <c r="W599" s="17"/>
      <c r="X599" s="17"/>
      <c r="Y599" s="46" t="str">
        <f ca="1">IFERROR(VLOOKUP(A599,catalogo!$E:$H,2,0),"-")</f>
        <v>Sales</v>
      </c>
      <c r="Z599" s="47">
        <f ca="1">IFERROR(VLOOKUP(A599,catalogo!$E:$G,3,0),"-")</f>
        <v>0</v>
      </c>
      <c r="AA599" s="48"/>
      <c r="AB599" s="48"/>
      <c r="AC599" s="48" t="str">
        <f ca="1">IFERROR(VLOOKUP(A599,catalogo!$E:$H,4,0),"-")</f>
        <v>.</v>
      </c>
      <c r="AD599" s="48"/>
      <c r="AE599" s="48"/>
      <c r="AF599" s="48"/>
      <c r="AG599" s="48"/>
      <c r="AH599" s="48"/>
      <c r="AI599" s="48"/>
    </row>
    <row r="600" spans="1:35" ht="12.5" hidden="1">
      <c r="A600" s="37" t="s">
        <v>1273</v>
      </c>
      <c r="B600" s="38" t="str">
        <f>IFERROR(VLOOKUP(J600,catalogo!$B$1:$C$100,2,0),"-")</f>
        <v>#64</v>
      </c>
      <c r="C600" s="39">
        <v>46067.417361111111</v>
      </c>
      <c r="D600" s="17"/>
      <c r="E600" s="17"/>
      <c r="F600" s="17"/>
      <c r="G600" s="53">
        <v>301.27</v>
      </c>
      <c r="H600" s="53">
        <v>301.27</v>
      </c>
      <c r="I600" s="43" t="s">
        <v>156</v>
      </c>
      <c r="J600" s="43" t="s">
        <v>139</v>
      </c>
      <c r="K600" s="43" t="s">
        <v>169</v>
      </c>
      <c r="L600" s="44" t="s">
        <v>170</v>
      </c>
      <c r="M600" s="45">
        <v>7142</v>
      </c>
      <c r="N600" s="44" t="s">
        <v>167</v>
      </c>
      <c r="O600" s="17"/>
      <c r="P600" s="17"/>
      <c r="Q600" s="17"/>
      <c r="R600" s="17"/>
      <c r="S600" s="17"/>
      <c r="T600" s="17"/>
      <c r="U600" s="17"/>
      <c r="V600" s="17"/>
      <c r="W600" s="17"/>
      <c r="X600" s="17"/>
      <c r="Y600" s="46"/>
      <c r="Z600" s="47"/>
      <c r="AA600" s="48"/>
      <c r="AB600" s="48"/>
      <c r="AC600" s="48"/>
      <c r="AD600" s="48"/>
      <c r="AE600" s="48"/>
      <c r="AF600" s="48"/>
      <c r="AG600" s="48"/>
      <c r="AH600" s="48"/>
      <c r="AI600" s="48"/>
    </row>
    <row r="601" spans="1:35" ht="12.5" hidden="1">
      <c r="A601" s="37" t="s">
        <v>1274</v>
      </c>
      <c r="B601" s="38" t="str">
        <f>IFERROR(VLOOKUP(J601,catalogo!$B$1:$C$85,2,0),"-")</f>
        <v>#68</v>
      </c>
      <c r="C601" s="39">
        <v>46067.417361111111</v>
      </c>
      <c r="D601" s="40"/>
      <c r="E601" s="41"/>
      <c r="F601" s="41"/>
      <c r="G601" s="42">
        <v>200</v>
      </c>
      <c r="H601" s="42">
        <v>200</v>
      </c>
      <c r="I601" s="43" t="s">
        <v>156</v>
      </c>
      <c r="J601" s="43" t="s">
        <v>384</v>
      </c>
      <c r="K601" s="43" t="s">
        <v>1275</v>
      </c>
      <c r="L601" s="44" t="s">
        <v>1276</v>
      </c>
      <c r="M601" s="45">
        <v>2937</v>
      </c>
      <c r="N601" s="44" t="s">
        <v>167</v>
      </c>
      <c r="O601" s="41" t="s">
        <v>1277</v>
      </c>
      <c r="P601" s="41"/>
      <c r="Q601" s="41"/>
      <c r="R601" s="41"/>
      <c r="S601" s="41"/>
      <c r="T601" s="41"/>
      <c r="U601" s="41"/>
      <c r="V601" s="41"/>
      <c r="W601" s="41"/>
      <c r="X601" s="41"/>
      <c r="Y601" s="46" t="str">
        <f ca="1">IFERROR(VLOOKUP(A601,catalogo!$E:$H,2,0),"-")</f>
        <v>-</v>
      </c>
      <c r="Z601" s="47" t="str">
        <f ca="1">IFERROR(VLOOKUP(A601,catalogo!$E:$G,3,0),"-")</f>
        <v>-</v>
      </c>
      <c r="AA601" s="48"/>
      <c r="AB601" s="48"/>
      <c r="AC601" s="48" t="str">
        <f ca="1">IFERROR(VLOOKUP(A601,catalogo!$E:$H,4,0),"-")</f>
        <v>-</v>
      </c>
      <c r="AD601" s="48"/>
      <c r="AE601" s="48"/>
      <c r="AF601" s="48"/>
      <c r="AG601" s="48"/>
      <c r="AH601" s="48"/>
      <c r="AI601" s="48"/>
    </row>
    <row r="602" spans="1:35" ht="12.5" hidden="1">
      <c r="A602" s="37" t="s">
        <v>1278</v>
      </c>
      <c r="B602" s="38" t="str">
        <f>IFERROR(VLOOKUP(J602,catalogo!$B$1:$C$75,2,0),"-")</f>
        <v>#42</v>
      </c>
      <c r="C602" s="39">
        <v>46067.417361111111</v>
      </c>
      <c r="D602" s="40"/>
      <c r="E602" s="41"/>
      <c r="F602" s="41"/>
      <c r="G602" s="42">
        <v>477.25</v>
      </c>
      <c r="H602" s="42">
        <v>477.25</v>
      </c>
      <c r="I602" s="43" t="s">
        <v>156</v>
      </c>
      <c r="J602" s="50" t="s">
        <v>78</v>
      </c>
      <c r="K602" s="43" t="s">
        <v>1279</v>
      </c>
      <c r="L602" s="44" t="s">
        <v>1280</v>
      </c>
      <c r="M602" s="45">
        <v>4431</v>
      </c>
      <c r="N602" s="44" t="s">
        <v>167</v>
      </c>
      <c r="O602" s="41"/>
      <c r="P602" s="41"/>
      <c r="Q602" s="41"/>
      <c r="R602" s="41"/>
      <c r="S602" s="41"/>
      <c r="T602" s="41"/>
      <c r="U602" s="41"/>
      <c r="V602" s="41"/>
      <c r="W602" s="41"/>
      <c r="X602" s="41"/>
      <c r="Y602" s="46" t="str">
        <f ca="1">IFERROR(VLOOKUP(A602,catalogo!$E:$H,2,0),"-")</f>
        <v>-</v>
      </c>
      <c r="Z602" s="47" t="str">
        <f ca="1">IFERROR(VLOOKUP(A602,catalogo!$E:$G,3,0),"-")</f>
        <v>-</v>
      </c>
      <c r="AA602" s="48"/>
      <c r="AB602" s="48"/>
      <c r="AC602" s="48" t="str">
        <f ca="1">IFERROR(VLOOKUP(A602,catalogo!$E:$H,4,0),"-")</f>
        <v>-</v>
      </c>
      <c r="AD602" s="48"/>
      <c r="AE602" s="48"/>
      <c r="AF602" s="48"/>
      <c r="AG602" s="48"/>
      <c r="AH602" s="48"/>
      <c r="AI602" s="48"/>
    </row>
    <row r="603" spans="1:35" ht="12.5" hidden="1">
      <c r="A603" s="37" t="s">
        <v>1281</v>
      </c>
      <c r="B603" s="38" t="str">
        <f>IFERROR(VLOOKUP(J603,catalogo!$B$1:$C$75,2,0),"-")</f>
        <v>#74</v>
      </c>
      <c r="C603" s="39">
        <v>46067.417361111111</v>
      </c>
      <c r="D603" s="40"/>
      <c r="E603" s="41"/>
      <c r="F603" s="41"/>
      <c r="G603" s="42">
        <v>880</v>
      </c>
      <c r="H603" s="42">
        <v>880</v>
      </c>
      <c r="I603" s="43" t="s">
        <v>156</v>
      </c>
      <c r="J603" s="43" t="s">
        <v>286</v>
      </c>
      <c r="K603" s="43" t="s">
        <v>1282</v>
      </c>
      <c r="L603" s="44" t="s">
        <v>1283</v>
      </c>
      <c r="M603" s="45">
        <v>5481</v>
      </c>
      <c r="N603" s="44" t="s">
        <v>167</v>
      </c>
      <c r="O603" s="41"/>
      <c r="P603" s="41"/>
      <c r="Q603" s="41"/>
      <c r="R603" s="41"/>
      <c r="S603" s="41"/>
      <c r="T603" s="41"/>
      <c r="U603" s="41"/>
      <c r="V603" s="41"/>
      <c r="W603" s="41"/>
      <c r="X603" s="41"/>
      <c r="Y603" s="46" t="str">
        <f ca="1">IFERROR(VLOOKUP(A603,catalogo!$E:$H,2,0),"-")</f>
        <v>-</v>
      </c>
      <c r="Z603" s="47" t="str">
        <f ca="1">IFERROR(VLOOKUP(A603,catalogo!$E:$G,3,0),"-")</f>
        <v>-</v>
      </c>
      <c r="AA603" s="48"/>
      <c r="AB603" s="48"/>
      <c r="AC603" s="48" t="str">
        <f ca="1">IFERROR(VLOOKUP(A603,catalogo!$E:$H,4,0),"-")</f>
        <v>-</v>
      </c>
      <c r="AD603" s="48"/>
      <c r="AE603" s="48"/>
      <c r="AF603" s="48"/>
      <c r="AG603" s="48"/>
      <c r="AH603" s="48"/>
      <c r="AI603" s="48"/>
    </row>
    <row r="604" spans="1:35" ht="12.5" hidden="1">
      <c r="A604" s="37" t="s">
        <v>1284</v>
      </c>
      <c r="B604" s="38" t="str">
        <f>IFERROR(VLOOKUP(J604,catalogo!$B$1:$C$70,2,0),"-")</f>
        <v>#68</v>
      </c>
      <c r="C604" s="39">
        <v>46067.417361111111</v>
      </c>
      <c r="D604" s="17"/>
      <c r="E604" s="17"/>
      <c r="F604" s="17"/>
      <c r="G604" s="42">
        <v>371</v>
      </c>
      <c r="H604" s="42">
        <v>371</v>
      </c>
      <c r="I604" s="43" t="s">
        <v>156</v>
      </c>
      <c r="J604" s="43" t="s">
        <v>384</v>
      </c>
      <c r="K604" s="43" t="s">
        <v>385</v>
      </c>
      <c r="L604" s="44" t="s">
        <v>386</v>
      </c>
      <c r="M604" s="44">
        <v>2937</v>
      </c>
      <c r="N604" s="44" t="s">
        <v>167</v>
      </c>
      <c r="O604" s="17"/>
      <c r="P604" s="17"/>
      <c r="Q604" s="17"/>
      <c r="R604" s="17"/>
      <c r="S604" s="17"/>
      <c r="T604" s="17"/>
      <c r="U604" s="17"/>
      <c r="V604" s="17"/>
      <c r="W604" s="17"/>
      <c r="X604" s="17"/>
      <c r="Y604" s="46" t="str">
        <f ca="1">IFERROR(VLOOKUP(A604,catalogo!$E:$G,2,0),"-")</f>
        <v>-</v>
      </c>
      <c r="Z604" s="47" t="str">
        <f ca="1">IFERROR(VLOOKUP(A604,catalogo!$E:$G,3,0),"-")</f>
        <v>-</v>
      </c>
      <c r="AA604" s="48"/>
      <c r="AB604" s="48"/>
      <c r="AC604" s="48" t="str">
        <f ca="1">IFERROR(VLOOKUP(A604,catalogo!$E:$H,4,0),"-")</f>
        <v>-</v>
      </c>
      <c r="AD604" s="48"/>
      <c r="AE604" s="48"/>
      <c r="AF604" s="48"/>
      <c r="AG604" s="48"/>
      <c r="AH604" s="48"/>
      <c r="AI604" s="48"/>
    </row>
    <row r="605" spans="1:35" ht="15.5" hidden="1">
      <c r="A605" s="37" t="s">
        <v>1285</v>
      </c>
      <c r="B605" s="38" t="str">
        <f>IFERROR(VLOOKUP(J605,catalogo!$B$1:$C$75,2,0),"-")</f>
        <v>#58</v>
      </c>
      <c r="C605" s="39">
        <v>46067.417361111111</v>
      </c>
      <c r="D605" s="17"/>
      <c r="E605" s="17"/>
      <c r="F605" s="17"/>
      <c r="G605" s="42">
        <v>1130.05</v>
      </c>
      <c r="H605" s="42">
        <v>1130.05</v>
      </c>
      <c r="I605" s="43" t="s">
        <v>156</v>
      </c>
      <c r="J605" s="43" t="s">
        <v>118</v>
      </c>
      <c r="K605" s="43" t="s">
        <v>1286</v>
      </c>
      <c r="L605" s="44" t="s">
        <v>1287</v>
      </c>
      <c r="M605" s="44">
        <v>5576</v>
      </c>
      <c r="N605" s="44" t="s">
        <v>167</v>
      </c>
      <c r="O605" s="49"/>
      <c r="P605" s="17"/>
      <c r="Q605" s="17"/>
      <c r="R605" s="17"/>
      <c r="S605" s="17"/>
      <c r="T605" s="17"/>
      <c r="U605" s="17"/>
      <c r="V605" s="17"/>
      <c r="W605" s="17"/>
      <c r="X605" s="17"/>
      <c r="Y605" s="46" t="str">
        <f ca="1">IFERROR(VLOOKUP(A605,catalogo!$E:$H,2,0),"-")</f>
        <v>-</v>
      </c>
      <c r="Z605" s="47" t="str">
        <f ca="1">IFERROR(VLOOKUP(A605,catalogo!$E:$G,3,0),"-")</f>
        <v>-</v>
      </c>
      <c r="AA605" s="48"/>
      <c r="AB605" s="48"/>
      <c r="AC605" s="48" t="str">
        <f ca="1">IFERROR(VLOOKUP(A605,catalogo!$E:$H,4,0),"-")</f>
        <v>-</v>
      </c>
      <c r="AD605" s="48"/>
      <c r="AE605" s="48"/>
      <c r="AF605" s="48"/>
      <c r="AG605" s="48"/>
      <c r="AH605" s="48"/>
      <c r="AI605" s="48"/>
    </row>
    <row r="606" spans="1:35" ht="12.5" hidden="1">
      <c r="A606" s="37" t="s">
        <v>1288</v>
      </c>
      <c r="B606" s="38" t="str">
        <f>IFERROR(VLOOKUP(J606,catalogo!$B$1:$C$100,2,0),"-")</f>
        <v>-</v>
      </c>
      <c r="C606" s="39">
        <v>46068.416666666664</v>
      </c>
      <c r="D606" s="17"/>
      <c r="E606" s="17"/>
      <c r="F606" s="17"/>
      <c r="G606" s="42">
        <v>103.83</v>
      </c>
      <c r="H606" s="42">
        <v>103.83</v>
      </c>
      <c r="I606" s="43" t="s">
        <v>156</v>
      </c>
      <c r="J606" s="43" t="s">
        <v>187</v>
      </c>
      <c r="K606" s="43" t="s">
        <v>232</v>
      </c>
      <c r="L606" s="44" t="s">
        <v>233</v>
      </c>
      <c r="M606" s="44" t="s">
        <v>477</v>
      </c>
      <c r="N606" s="44" t="s">
        <v>144</v>
      </c>
      <c r="O606" s="17"/>
      <c r="P606" s="17"/>
      <c r="Q606" s="17"/>
      <c r="R606" s="17"/>
      <c r="S606" s="17"/>
      <c r="T606" s="17"/>
      <c r="U606" s="17"/>
      <c r="V606" s="17"/>
      <c r="W606" s="17"/>
      <c r="X606" s="17"/>
      <c r="Y606" s="46" t="str">
        <f ca="1">IFERROR(VLOOKUP(A606,catalogo!$E:$G,2,0),"-")</f>
        <v>-</v>
      </c>
      <c r="Z606" s="47" t="str">
        <f ca="1">IFERROR(VLOOKUP(A606,catalogo!$E:$G,3,0),"-")</f>
        <v>-</v>
      </c>
      <c r="AA606" s="48"/>
      <c r="AB606" s="48"/>
      <c r="AC606" s="48" t="str">
        <f ca="1">IFERROR(VLOOKUP(A606,catalogo!$E:$H,4,0),"-")</f>
        <v>-</v>
      </c>
      <c r="AD606" s="48"/>
      <c r="AE606" s="48"/>
      <c r="AF606" s="48"/>
      <c r="AG606" s="48"/>
      <c r="AH606" s="48"/>
      <c r="AI606" s="48"/>
    </row>
    <row r="607" spans="1:35" ht="12.5" hidden="1">
      <c r="A607" s="37" t="s">
        <v>175</v>
      </c>
      <c r="B607" s="38" t="str">
        <f>IFERROR(VLOOKUP(J607,catalogo!$B$1:$C$75,2,0),"-")</f>
        <v>-</v>
      </c>
      <c r="C607" s="39">
        <v>46068.416666666664</v>
      </c>
      <c r="D607" s="17"/>
      <c r="E607" s="17"/>
      <c r="F607" s="17"/>
      <c r="G607" s="42">
        <v>49.98</v>
      </c>
      <c r="H607" s="42">
        <v>49.98</v>
      </c>
      <c r="I607" s="43" t="s">
        <v>156</v>
      </c>
      <c r="J607" s="43" t="s">
        <v>343</v>
      </c>
      <c r="K607" s="43" t="s">
        <v>232</v>
      </c>
      <c r="L607" s="44" t="s">
        <v>233</v>
      </c>
      <c r="M607" s="45" t="s">
        <v>433</v>
      </c>
      <c r="N607" s="44" t="s">
        <v>144</v>
      </c>
      <c r="O607" s="17"/>
      <c r="P607" s="17"/>
      <c r="Q607" s="17"/>
      <c r="R607" s="17"/>
      <c r="S607" s="17"/>
      <c r="T607" s="17"/>
      <c r="U607" s="17"/>
      <c r="V607" s="17"/>
      <c r="W607" s="17"/>
      <c r="X607" s="17"/>
      <c r="Y607" s="46" t="str">
        <f ca="1">IFERROR(VLOOKUP(A607,catalogo!$E:$H,2,0),"-")</f>
        <v>-</v>
      </c>
      <c r="Z607" s="47" t="str">
        <f ca="1">IFERROR(VLOOKUP(A607,catalogo!$E:$G,3,0),"-")</f>
        <v>-</v>
      </c>
      <c r="AA607" s="48"/>
      <c r="AB607" s="48"/>
      <c r="AC607" s="48" t="str">
        <f ca="1">IFERROR(VLOOKUP(A607,catalogo!$E:$H,4,0),"-")</f>
        <v>-</v>
      </c>
      <c r="AD607" s="48"/>
      <c r="AE607" s="48"/>
      <c r="AF607" s="48"/>
      <c r="AG607" s="48"/>
      <c r="AH607" s="48"/>
      <c r="AI607" s="48"/>
    </row>
    <row r="608" spans="1:35" ht="15.5" hidden="1">
      <c r="A608" s="37" t="s">
        <v>1289</v>
      </c>
      <c r="B608" s="38" t="str">
        <f>IFERROR(VLOOKUP(J608,catalogo!$B$1:$C$100,2,0),"-")</f>
        <v>#75</v>
      </c>
      <c r="C608" s="39">
        <v>46068.416666666664</v>
      </c>
      <c r="D608" s="17"/>
      <c r="E608" s="17"/>
      <c r="F608" s="17"/>
      <c r="G608" s="42">
        <v>20</v>
      </c>
      <c r="H608" s="42">
        <v>20</v>
      </c>
      <c r="I608" s="43" t="s">
        <v>156</v>
      </c>
      <c r="J608" s="43" t="s">
        <v>343</v>
      </c>
      <c r="K608" s="43" t="s">
        <v>284</v>
      </c>
      <c r="L608" s="44" t="s">
        <v>233</v>
      </c>
      <c r="M608" s="45" t="s">
        <v>433</v>
      </c>
      <c r="N608" s="44" t="s">
        <v>144</v>
      </c>
      <c r="O608" s="49"/>
      <c r="P608" s="17"/>
      <c r="Q608" s="17"/>
      <c r="R608" s="17"/>
      <c r="S608" s="17"/>
      <c r="T608" s="17"/>
      <c r="U608" s="17"/>
      <c r="V608" s="17"/>
      <c r="W608" s="17"/>
      <c r="X608" s="17"/>
      <c r="Y608" s="46" t="str">
        <f ca="1">IFERROR(VLOOKUP(A608,catalogo!$E:$H,2,0),"-")</f>
        <v>-</v>
      </c>
      <c r="Z608" s="47" t="str">
        <f ca="1">IFERROR(VLOOKUP(A608,catalogo!$E:$G,3,0),"-")</f>
        <v>-</v>
      </c>
      <c r="AA608" s="48"/>
      <c r="AB608" s="48"/>
      <c r="AC608" s="48" t="str">
        <f ca="1">IFERROR(VLOOKUP(A608,catalogo!$E:$H,4,0),"-")</f>
        <v>-</v>
      </c>
      <c r="AD608" s="48"/>
      <c r="AE608" s="48"/>
      <c r="AF608" s="48"/>
      <c r="AG608" s="48"/>
      <c r="AH608" s="48"/>
      <c r="AI608" s="48"/>
    </row>
    <row r="609" spans="1:35" ht="15.5" hidden="1">
      <c r="A609" s="37" t="s">
        <v>1290</v>
      </c>
      <c r="B609" s="38" t="str">
        <f>IFERROR(VLOOKUP(J609,catalogo!$B$1:$C$75,2,0),"-")</f>
        <v>#8</v>
      </c>
      <c r="C609" s="39">
        <v>46068.416666666664</v>
      </c>
      <c r="D609" s="17"/>
      <c r="E609" s="17"/>
      <c r="F609" s="17"/>
      <c r="G609" s="42">
        <v>20</v>
      </c>
      <c r="H609" s="42">
        <v>20</v>
      </c>
      <c r="I609" s="43" t="s">
        <v>156</v>
      </c>
      <c r="J609" s="43" t="s">
        <v>128</v>
      </c>
      <c r="K609" s="43" t="s">
        <v>284</v>
      </c>
      <c r="L609" s="44" t="s">
        <v>233</v>
      </c>
      <c r="M609" s="45">
        <v>16</v>
      </c>
      <c r="N609" s="44" t="s">
        <v>167</v>
      </c>
      <c r="O609" s="49"/>
      <c r="P609" s="17"/>
      <c r="Q609" s="17"/>
      <c r="R609" s="17"/>
      <c r="S609" s="17"/>
      <c r="T609" s="17"/>
      <c r="U609" s="17"/>
      <c r="V609" s="17"/>
      <c r="W609" s="17"/>
      <c r="X609" s="17"/>
      <c r="Y609" s="46" t="str">
        <f ca="1">IFERROR(VLOOKUP(A609,catalogo!$E:$H,2,0),"-")</f>
        <v>Transaction cost</v>
      </c>
      <c r="Z609" s="47" t="str">
        <f ca="1">IFERROR(VLOOKUP(A609,catalogo!$E:$G,3,0),"-")</f>
        <v xml:space="preserve">UBER PARA DEJAR HERRAMIENTA DE INSTALACION PO2023 - SAFE IN THE BOX </v>
      </c>
      <c r="AA609" s="48"/>
      <c r="AB609" s="48"/>
      <c r="AC609" s="48" t="str">
        <f ca="1">IFERROR(VLOOKUP(A609,catalogo!$E:$H,4,0),"-")</f>
        <v>.</v>
      </c>
      <c r="AD609" s="48"/>
      <c r="AE609" s="48"/>
      <c r="AF609" s="48"/>
      <c r="AG609" s="48"/>
      <c r="AH609" s="48"/>
      <c r="AI609" s="48"/>
    </row>
    <row r="610" spans="1:35" ht="15.5" hidden="1">
      <c r="A610" s="37" t="s">
        <v>1291</v>
      </c>
      <c r="B610" s="38" t="str">
        <f>IFERROR(VLOOKUP(J610,catalogo!$B$1:$C$75,2,0),"-")</f>
        <v>#74</v>
      </c>
      <c r="C610" s="39">
        <v>46068.416666666664</v>
      </c>
      <c r="D610" s="17"/>
      <c r="E610" s="17"/>
      <c r="F610" s="17"/>
      <c r="G610" s="42">
        <v>125.3</v>
      </c>
      <c r="H610" s="42">
        <v>125.3</v>
      </c>
      <c r="I610" s="43" t="s">
        <v>156</v>
      </c>
      <c r="J610" s="43" t="s">
        <v>286</v>
      </c>
      <c r="K610" s="43" t="s">
        <v>284</v>
      </c>
      <c r="L610" s="44" t="s">
        <v>233</v>
      </c>
      <c r="M610" s="45">
        <v>5481</v>
      </c>
      <c r="N610" s="44" t="s">
        <v>167</v>
      </c>
      <c r="O610" s="49"/>
      <c r="P610" s="17"/>
      <c r="Q610" s="17"/>
      <c r="R610" s="17"/>
      <c r="S610" s="17"/>
      <c r="T610" s="17"/>
      <c r="U610" s="17"/>
      <c r="V610" s="17"/>
      <c r="W610" s="17"/>
      <c r="X610" s="17"/>
      <c r="Y610" s="46" t="str">
        <f ca="1">IFERROR(VLOOKUP(A610,catalogo!$E:$H,2,0),"-")</f>
        <v>-</v>
      </c>
      <c r="Z610" s="47" t="str">
        <f ca="1">IFERROR(VLOOKUP(A610,catalogo!$E:$G,3,0),"-")</f>
        <v>-</v>
      </c>
      <c r="AA610" s="48"/>
      <c r="AB610" s="48"/>
      <c r="AC610" s="48" t="str">
        <f ca="1">IFERROR(VLOOKUP(A610,catalogo!$E:$H,4,0),"-")</f>
        <v>-</v>
      </c>
      <c r="AD610" s="48"/>
      <c r="AE610" s="48"/>
      <c r="AF610" s="48"/>
      <c r="AG610" s="48"/>
      <c r="AH610" s="48"/>
      <c r="AI610" s="48"/>
    </row>
    <row r="611" spans="1:35" ht="12.5" hidden="1">
      <c r="A611" s="37" t="s">
        <v>1292</v>
      </c>
      <c r="B611" s="38" t="str">
        <f>IFERROR(VLOOKUP(J611,catalogo!$B$1:$C$100,2,0),"-")</f>
        <v>#8</v>
      </c>
      <c r="C611" s="39">
        <v>46068.416666666664</v>
      </c>
      <c r="D611" s="17"/>
      <c r="E611" s="17"/>
      <c r="F611" s="17"/>
      <c r="G611" s="53">
        <v>499.99</v>
      </c>
      <c r="H611" s="53">
        <v>499.99</v>
      </c>
      <c r="I611" s="43" t="s">
        <v>156</v>
      </c>
      <c r="J611" s="43" t="s">
        <v>128</v>
      </c>
      <c r="K611" s="43" t="s">
        <v>232</v>
      </c>
      <c r="L611" s="44" t="s">
        <v>233</v>
      </c>
      <c r="M611" s="45">
        <v>16</v>
      </c>
      <c r="N611" s="44" t="s">
        <v>167</v>
      </c>
      <c r="O611" s="17"/>
      <c r="P611" s="17"/>
      <c r="Q611" s="17"/>
      <c r="R611" s="17"/>
      <c r="S611" s="17"/>
      <c r="T611" s="17"/>
      <c r="U611" s="17"/>
      <c r="V611" s="17"/>
      <c r="W611" s="17"/>
      <c r="X611" s="17"/>
      <c r="Y611" s="46"/>
      <c r="Z611" s="47"/>
      <c r="AA611" s="48"/>
      <c r="AB611" s="48"/>
      <c r="AC611" s="48"/>
      <c r="AD611" s="48"/>
      <c r="AE611" s="48"/>
      <c r="AF611" s="48"/>
      <c r="AG611" s="48"/>
      <c r="AH611" s="48"/>
      <c r="AI611" s="48"/>
    </row>
    <row r="612" spans="1:35" ht="15.5" hidden="1">
      <c r="A612" s="37" t="s">
        <v>1293</v>
      </c>
      <c r="B612" s="38" t="str">
        <f>IFERROR(VLOOKUP(J612,catalogo!$B$1:$C$75,2,0),"-")</f>
        <v>-</v>
      </c>
      <c r="C612" s="39">
        <v>46068.416666666664</v>
      </c>
      <c r="D612" s="17"/>
      <c r="E612" s="17"/>
      <c r="F612" s="17"/>
      <c r="G612" s="42">
        <v>299.99</v>
      </c>
      <c r="H612" s="42">
        <v>299.99</v>
      </c>
      <c r="I612" s="43" t="s">
        <v>156</v>
      </c>
      <c r="J612" s="43" t="s">
        <v>343</v>
      </c>
      <c r="K612" s="43" t="s">
        <v>232</v>
      </c>
      <c r="L612" s="44" t="s">
        <v>233</v>
      </c>
      <c r="M612" s="45" t="s">
        <v>433</v>
      </c>
      <c r="N612" s="44" t="s">
        <v>144</v>
      </c>
      <c r="O612" s="49"/>
      <c r="P612" s="17"/>
      <c r="Q612" s="17"/>
      <c r="R612" s="17"/>
      <c r="S612" s="17"/>
      <c r="T612" s="17"/>
      <c r="U612" s="17"/>
      <c r="V612" s="17"/>
      <c r="W612" s="17"/>
      <c r="X612" s="17"/>
      <c r="Y612" s="46" t="str">
        <f ca="1">IFERROR(VLOOKUP(A612,catalogo!$E:$H,2,0),"-")</f>
        <v>-</v>
      </c>
      <c r="Z612" s="47" t="str">
        <f ca="1">IFERROR(VLOOKUP(A612,catalogo!$E:$G,3,0),"-")</f>
        <v>-</v>
      </c>
      <c r="AA612" s="48"/>
      <c r="AB612" s="48"/>
      <c r="AC612" s="48" t="str">
        <f ca="1">IFERROR(VLOOKUP(A612,catalogo!$E:$H,4,0),"-")</f>
        <v>-</v>
      </c>
      <c r="AD612" s="48"/>
      <c r="AE612" s="48"/>
      <c r="AF612" s="48"/>
      <c r="AG612" s="48"/>
      <c r="AH612" s="48"/>
      <c r="AI612" s="48"/>
    </row>
    <row r="613" spans="1:35" ht="15.5" hidden="1">
      <c r="A613" s="37" t="s">
        <v>1294</v>
      </c>
      <c r="B613" s="38" t="str">
        <f>IFERROR(VLOOKUP(J613,catalogo!$B$1:$C$100,2,0),"-")</f>
        <v>#75</v>
      </c>
      <c r="C613" s="39">
        <v>46068.416666666664</v>
      </c>
      <c r="D613" s="17"/>
      <c r="E613" s="17"/>
      <c r="F613" s="17"/>
      <c r="G613" s="42">
        <v>20</v>
      </c>
      <c r="H613" s="42">
        <v>20</v>
      </c>
      <c r="I613" s="43" t="s">
        <v>156</v>
      </c>
      <c r="J613" s="43" t="s">
        <v>343</v>
      </c>
      <c r="K613" s="43" t="s">
        <v>284</v>
      </c>
      <c r="L613" s="44" t="s">
        <v>233</v>
      </c>
      <c r="M613" s="45" t="s">
        <v>433</v>
      </c>
      <c r="N613" s="44" t="s">
        <v>144</v>
      </c>
      <c r="O613" s="49"/>
      <c r="P613" s="17"/>
      <c r="Q613" s="17"/>
      <c r="R613" s="17"/>
      <c r="S613" s="17"/>
      <c r="T613" s="17"/>
      <c r="U613" s="17"/>
      <c r="V613" s="17"/>
      <c r="W613" s="17"/>
      <c r="X613" s="17"/>
      <c r="Y613" s="46" t="str">
        <f ca="1">IFERROR(VLOOKUP(A613,catalogo!$E:$H,2,0),"-")</f>
        <v>-</v>
      </c>
      <c r="Z613" s="47" t="str">
        <f ca="1">IFERROR(VLOOKUP(A613,catalogo!$E:$G,3,0),"-")</f>
        <v>-</v>
      </c>
      <c r="AA613" s="48"/>
      <c r="AB613" s="48"/>
      <c r="AC613" s="48" t="str">
        <f ca="1">IFERROR(VLOOKUP(A613,catalogo!$E:$H,4,0),"-")</f>
        <v>-</v>
      </c>
      <c r="AD613" s="48"/>
      <c r="AE613" s="48"/>
      <c r="AF613" s="48"/>
      <c r="AG613" s="48"/>
      <c r="AH613" s="48"/>
      <c r="AI613" s="48"/>
    </row>
    <row r="614" spans="1:35" ht="12.5" hidden="1">
      <c r="A614" s="37" t="s">
        <v>1295</v>
      </c>
      <c r="B614" s="38" t="str">
        <f>IFERROR(VLOOKUP(J614,catalogo!$B$1:$C$85,2,0),"-")</f>
        <v>#8</v>
      </c>
      <c r="C614" s="39">
        <v>46068.416666666664</v>
      </c>
      <c r="D614" s="40"/>
      <c r="E614" s="41"/>
      <c r="F614" s="41"/>
      <c r="G614" s="42">
        <v>309.98</v>
      </c>
      <c r="H614" s="42">
        <v>309.98</v>
      </c>
      <c r="I614" s="43" t="s">
        <v>156</v>
      </c>
      <c r="J614" s="43" t="s">
        <v>128</v>
      </c>
      <c r="K614" s="43" t="s">
        <v>232</v>
      </c>
      <c r="L614" s="44" t="s">
        <v>233</v>
      </c>
      <c r="M614" s="45">
        <v>16</v>
      </c>
      <c r="N614" s="44" t="s">
        <v>167</v>
      </c>
      <c r="O614" s="41" t="s">
        <v>1296</v>
      </c>
      <c r="P614" s="41"/>
      <c r="Q614" s="41"/>
      <c r="R614" s="41"/>
      <c r="S614" s="41"/>
      <c r="T614" s="41"/>
      <c r="U614" s="41"/>
      <c r="V614" s="41"/>
      <c r="W614" s="41"/>
      <c r="X614" s="41"/>
      <c r="Y614" s="46" t="str">
        <f ca="1">IFERROR(VLOOKUP(A614,catalogo!$E:$H,2,0),"-")</f>
        <v>Transaction cost</v>
      </c>
      <c r="Z614" s="47" t="str">
        <f ca="1">IFERROR(VLOOKUP(A614,catalogo!$E:$G,3,0),"-")</f>
        <v>UBER VISITA A PROVEEDOR (NO CIRCULA) PO2165 - ENSAMBLE UF/CEB MECANICO</v>
      </c>
      <c r="AA614" s="48"/>
      <c r="AB614" s="48"/>
      <c r="AC614" s="48" t="str">
        <f ca="1">IFERROR(VLOOKUP(A614,catalogo!$E:$H,4,0),"-")</f>
        <v>.</v>
      </c>
      <c r="AD614" s="48"/>
      <c r="AE614" s="48"/>
      <c r="AF614" s="48"/>
      <c r="AG614" s="48"/>
      <c r="AH614" s="48"/>
      <c r="AI614" s="48"/>
    </row>
    <row r="615" spans="1:35" ht="12.5" hidden="1">
      <c r="A615" s="37" t="s">
        <v>1297</v>
      </c>
      <c r="B615" s="38" t="str">
        <f>IFERROR(VLOOKUP(J615,catalogo!$B$1:$C$80,2,0),"-")</f>
        <v>#64</v>
      </c>
      <c r="C615" s="39">
        <v>46068.416666666664</v>
      </c>
      <c r="D615" s="17"/>
      <c r="E615" s="17"/>
      <c r="F615" s="17"/>
      <c r="G615" s="42">
        <v>266.42</v>
      </c>
      <c r="H615" s="42">
        <v>266.42</v>
      </c>
      <c r="I615" s="43" t="s">
        <v>156</v>
      </c>
      <c r="J615" s="43" t="s">
        <v>139</v>
      </c>
      <c r="K615" s="43" t="s">
        <v>180</v>
      </c>
      <c r="L615" s="44" t="s">
        <v>181</v>
      </c>
      <c r="M615" s="45">
        <v>7142</v>
      </c>
      <c r="N615" s="44" t="s">
        <v>167</v>
      </c>
      <c r="O615" s="17"/>
      <c r="P615" s="17"/>
      <c r="Q615" s="17"/>
      <c r="R615" s="17"/>
      <c r="S615" s="17"/>
      <c r="T615" s="17"/>
      <c r="U615" s="17"/>
      <c r="V615" s="17"/>
      <c r="W615" s="17"/>
      <c r="X615" s="17"/>
      <c r="Y615" s="46" t="str">
        <f ca="1">IFERROR(VLOOKUP(A615,catalogo!$E:$G,2,0),"-")</f>
        <v>-</v>
      </c>
      <c r="Z615" s="47" t="str">
        <f ca="1">IFERROR(VLOOKUP(A615,catalogo!$E:$G,3,0),"-")</f>
        <v>-</v>
      </c>
      <c r="AA615" s="48"/>
      <c r="AB615" s="48"/>
      <c r="AC615" s="48" t="str">
        <f ca="1">IFERROR(VLOOKUP(A615,catalogo!$E:$H,4,0),"-")</f>
        <v>-</v>
      </c>
      <c r="AD615" s="48"/>
      <c r="AE615" s="48"/>
      <c r="AF615" s="48"/>
      <c r="AG615" s="48"/>
      <c r="AH615" s="48"/>
      <c r="AI615" s="48"/>
    </row>
    <row r="616" spans="1:35" ht="12.5" hidden="1">
      <c r="A616" s="37" t="s">
        <v>1298</v>
      </c>
      <c r="B616" s="38" t="str">
        <f>IFERROR(VLOOKUP(J616,catalogo!$B$1:$C$75,2,0),"-")</f>
        <v>-</v>
      </c>
      <c r="C616" s="39">
        <v>46068.416666666664</v>
      </c>
      <c r="D616" s="17"/>
      <c r="E616" s="17"/>
      <c r="F616" s="17"/>
      <c r="G616" s="42">
        <v>154.24</v>
      </c>
      <c r="H616" s="42">
        <v>154.24</v>
      </c>
      <c r="I616" s="43" t="s">
        <v>156</v>
      </c>
      <c r="J616" s="43" t="s">
        <v>187</v>
      </c>
      <c r="K616" s="43" t="s">
        <v>232</v>
      </c>
      <c r="L616" s="44" t="s">
        <v>233</v>
      </c>
      <c r="M616" s="45" t="s">
        <v>477</v>
      </c>
      <c r="N616" s="44" t="s">
        <v>144</v>
      </c>
      <c r="O616" s="17"/>
      <c r="P616" s="17"/>
      <c r="Q616" s="17"/>
      <c r="R616" s="17"/>
      <c r="S616" s="17"/>
      <c r="T616" s="17"/>
      <c r="U616" s="17"/>
      <c r="V616" s="17"/>
      <c r="W616" s="17"/>
      <c r="X616" s="17"/>
      <c r="Y616" s="46" t="str">
        <f ca="1">IFERROR(VLOOKUP(A616,catalogo!$E:$H,2,0),"-")</f>
        <v>-</v>
      </c>
      <c r="Z616" s="47" t="str">
        <f ca="1">IFERROR(VLOOKUP(A616,catalogo!$E:$G,3,0),"-")</f>
        <v>-</v>
      </c>
      <c r="AA616" s="48"/>
      <c r="AB616" s="48"/>
      <c r="AC616" s="48" t="str">
        <f ca="1">IFERROR(VLOOKUP(A616,catalogo!$E:$H,4,0),"-")</f>
        <v>-</v>
      </c>
      <c r="AD616" s="48"/>
      <c r="AE616" s="48"/>
      <c r="AF616" s="48"/>
      <c r="AG616" s="48"/>
      <c r="AH616" s="48"/>
      <c r="AI616" s="48"/>
    </row>
    <row r="617" spans="1:35" ht="12.5" hidden="1">
      <c r="A617" s="37" t="s">
        <v>1299</v>
      </c>
      <c r="B617" s="38" t="str">
        <f>IFERROR(VLOOKUP(J617,catalogo!$B$1:$C$75,2,0),"-")</f>
        <v>#74</v>
      </c>
      <c r="C617" s="39">
        <v>46068.416666666664</v>
      </c>
      <c r="D617" s="17"/>
      <c r="E617" s="17"/>
      <c r="F617" s="17"/>
      <c r="G617" s="42">
        <v>28.54</v>
      </c>
      <c r="H617" s="42">
        <v>28.54</v>
      </c>
      <c r="I617" s="43" t="s">
        <v>156</v>
      </c>
      <c r="J617" s="43" t="s">
        <v>286</v>
      </c>
      <c r="K617" s="43" t="s">
        <v>284</v>
      </c>
      <c r="L617" s="44" t="s">
        <v>233</v>
      </c>
      <c r="M617" s="45">
        <v>5481</v>
      </c>
      <c r="N617" s="44" t="s">
        <v>167</v>
      </c>
      <c r="O617" s="17"/>
      <c r="P617" s="17"/>
      <c r="Q617" s="17"/>
      <c r="R617" s="17"/>
      <c r="S617" s="17"/>
      <c r="T617" s="17"/>
      <c r="U617" s="17"/>
      <c r="V617" s="17"/>
      <c r="W617" s="17"/>
      <c r="X617" s="17"/>
      <c r="Y617" s="46" t="str">
        <f ca="1">IFERROR(VLOOKUP(A617,catalogo!$E:$H,2,0),"-")</f>
        <v>-</v>
      </c>
      <c r="Z617" s="47" t="str">
        <f ca="1">IFERROR(VLOOKUP(A617,catalogo!$E:$G,3,0),"-")</f>
        <v>-</v>
      </c>
      <c r="AA617" s="48"/>
      <c r="AB617" s="48"/>
      <c r="AC617" s="48" t="str">
        <f ca="1">IFERROR(VLOOKUP(A617,catalogo!$E:$H,4,0),"-")</f>
        <v>-</v>
      </c>
      <c r="AD617" s="48"/>
      <c r="AE617" s="48"/>
      <c r="AF617" s="48"/>
      <c r="AG617" s="48"/>
      <c r="AH617" s="48"/>
      <c r="AI617" s="48"/>
    </row>
    <row r="618" spans="1:35" ht="12.5" hidden="1">
      <c r="A618" s="37" t="s">
        <v>1300</v>
      </c>
      <c r="B618" s="38" t="str">
        <f>IFERROR(VLOOKUP(J618,catalogo!$B$1:$C$70,2,0),"-")</f>
        <v>-</v>
      </c>
      <c r="C618" s="39">
        <v>46068.416666666664</v>
      </c>
      <c r="D618" s="17"/>
      <c r="E618" s="17"/>
      <c r="F618" s="17"/>
      <c r="G618" s="42">
        <v>48.11</v>
      </c>
      <c r="H618" s="42">
        <v>48.11</v>
      </c>
      <c r="I618" s="43" t="s">
        <v>156</v>
      </c>
      <c r="J618" s="43" t="s">
        <v>286</v>
      </c>
      <c r="K618" s="43" t="s">
        <v>232</v>
      </c>
      <c r="L618" s="44" t="s">
        <v>233</v>
      </c>
      <c r="M618" s="45">
        <v>5481</v>
      </c>
      <c r="N618" s="44" t="s">
        <v>167</v>
      </c>
      <c r="O618" s="17"/>
      <c r="P618" s="17"/>
      <c r="Q618" s="17"/>
      <c r="R618" s="17"/>
      <c r="S618" s="17"/>
      <c r="T618" s="17"/>
      <c r="U618" s="17"/>
      <c r="V618" s="17"/>
      <c r="W618" s="17"/>
      <c r="X618" s="17"/>
      <c r="Y618" s="46" t="str">
        <f ca="1">IFERROR(VLOOKUP(A618,catalogo!$E:$G,2,0),"-")</f>
        <v>-</v>
      </c>
      <c r="Z618" s="47" t="str">
        <f ca="1">IFERROR(VLOOKUP(A618,catalogo!$E:$G,3,0),"-")</f>
        <v>-</v>
      </c>
      <c r="AA618" s="48"/>
      <c r="AB618" s="48"/>
      <c r="AC618" s="48" t="str">
        <f ca="1">IFERROR(VLOOKUP(A618,catalogo!$E:$H,4,0),"-")</f>
        <v>-</v>
      </c>
      <c r="AD618" s="48"/>
      <c r="AE618" s="48"/>
      <c r="AF618" s="48"/>
      <c r="AG618" s="48"/>
      <c r="AH618" s="48"/>
      <c r="AI618" s="48"/>
    </row>
    <row r="619" spans="1:35" ht="15.5" hidden="1">
      <c r="A619" s="37" t="s">
        <v>1301</v>
      </c>
      <c r="B619" s="38" t="str">
        <f>IFERROR(VLOOKUP(J619,catalogo!$B$1:$C$75,2,0),"-")</f>
        <v>#49</v>
      </c>
      <c r="C619" s="39">
        <v>46068.416666666664</v>
      </c>
      <c r="D619" s="17"/>
      <c r="E619" s="17"/>
      <c r="F619" s="17"/>
      <c r="G619" s="42">
        <v>189</v>
      </c>
      <c r="H619" s="42">
        <v>189</v>
      </c>
      <c r="I619" s="43" t="s">
        <v>156</v>
      </c>
      <c r="J619" s="43" t="s">
        <v>124</v>
      </c>
      <c r="K619" s="43" t="s">
        <v>1302</v>
      </c>
      <c r="L619" s="44" t="s">
        <v>317</v>
      </c>
      <c r="M619" s="45">
        <v>4488</v>
      </c>
      <c r="N619" s="44" t="s">
        <v>167</v>
      </c>
      <c r="O619" s="49"/>
      <c r="P619" s="17"/>
      <c r="Q619" s="17"/>
      <c r="R619" s="17"/>
      <c r="S619" s="17"/>
      <c r="T619" s="17"/>
      <c r="U619" s="17"/>
      <c r="V619" s="17"/>
      <c r="W619" s="17"/>
      <c r="X619" s="17"/>
      <c r="Y619" s="46" t="str">
        <f ca="1">IFERROR(VLOOKUP(A619,catalogo!$E:$H,2,0),"-")</f>
        <v>-</v>
      </c>
      <c r="Z619" s="47" t="str">
        <f ca="1">IFERROR(VLOOKUP(A619,catalogo!$E:$G,3,0),"-")</f>
        <v>-</v>
      </c>
      <c r="AA619" s="48"/>
      <c r="AB619" s="48"/>
      <c r="AC619" s="48" t="str">
        <f ca="1">IFERROR(VLOOKUP(A619,catalogo!$E:$H,4,0),"-")</f>
        <v>-</v>
      </c>
      <c r="AD619" s="48"/>
      <c r="AE619" s="48"/>
      <c r="AF619" s="48"/>
      <c r="AG619" s="48"/>
      <c r="AH619" s="48"/>
      <c r="AI619" s="48"/>
    </row>
    <row r="620" spans="1:35" ht="12.5" hidden="1">
      <c r="A620" s="37" t="s">
        <v>1303</v>
      </c>
      <c r="B620" s="38" t="str">
        <f>IFERROR(VLOOKUP(J620,catalogo!$B$1:$C$75,2,0),"-")</f>
        <v>-</v>
      </c>
      <c r="C620" s="39">
        <v>46068.416666666664</v>
      </c>
      <c r="D620" s="52"/>
      <c r="E620" s="17"/>
      <c r="F620" s="17"/>
      <c r="G620" s="42">
        <v>300</v>
      </c>
      <c r="H620" s="42">
        <v>300</v>
      </c>
      <c r="I620" s="43" t="s">
        <v>156</v>
      </c>
      <c r="J620" s="43" t="s">
        <v>659</v>
      </c>
      <c r="K620" s="43" t="s">
        <v>664</v>
      </c>
      <c r="L620" s="44" t="s">
        <v>665</v>
      </c>
      <c r="M620" s="45" t="s">
        <v>662</v>
      </c>
      <c r="N620" s="44" t="s">
        <v>144</v>
      </c>
      <c r="O620" s="17"/>
      <c r="P620" s="17"/>
      <c r="Q620" s="17"/>
      <c r="R620" s="17"/>
      <c r="S620" s="17"/>
      <c r="T620" s="17"/>
      <c r="U620" s="17"/>
      <c r="V620" s="17"/>
      <c r="W620" s="17"/>
      <c r="X620" s="17"/>
      <c r="Y620" s="46" t="str">
        <f ca="1">IFERROR(VLOOKUP(A620,catalogo!$E:$H,2,0),"-")</f>
        <v>-</v>
      </c>
      <c r="Z620" s="47" t="str">
        <f ca="1">IFERROR(VLOOKUP(A620,catalogo!$E:$G,3,0),"-")</f>
        <v>-</v>
      </c>
      <c r="AA620" s="48"/>
      <c r="AB620" s="48"/>
      <c r="AC620" s="48" t="str">
        <f ca="1">IFERROR(VLOOKUP(A620,catalogo!$E:$H,4,0),"-")</f>
        <v>-</v>
      </c>
      <c r="AD620" s="48"/>
      <c r="AE620" s="48"/>
      <c r="AF620" s="48"/>
      <c r="AG620" s="48"/>
      <c r="AH620" s="48"/>
      <c r="AI620" s="48"/>
    </row>
    <row r="621" spans="1:35" ht="12.5" hidden="1">
      <c r="A621" s="37" t="s">
        <v>1304</v>
      </c>
      <c r="B621" s="38" t="str">
        <f>IFERROR(VLOOKUP(J621,catalogo!$B$1:$C$70,2,0),"-")</f>
        <v>#56</v>
      </c>
      <c r="C621" s="39">
        <v>46068.416666666664</v>
      </c>
      <c r="D621" s="17"/>
      <c r="E621" s="17"/>
      <c r="F621" s="17"/>
      <c r="G621" s="42">
        <v>5076.92</v>
      </c>
      <c r="H621" s="42">
        <v>5076.92</v>
      </c>
      <c r="I621" s="43" t="s">
        <v>156</v>
      </c>
      <c r="J621" s="43" t="s">
        <v>99</v>
      </c>
      <c r="K621" s="43" t="s">
        <v>1305</v>
      </c>
      <c r="L621" s="44" t="s">
        <v>317</v>
      </c>
      <c r="M621" s="44">
        <v>8949</v>
      </c>
      <c r="N621" s="44" t="s">
        <v>167</v>
      </c>
      <c r="O621" s="17"/>
      <c r="P621" s="17"/>
      <c r="Q621" s="17"/>
      <c r="R621" s="17"/>
      <c r="S621" s="17"/>
      <c r="T621" s="17"/>
      <c r="U621" s="17"/>
      <c r="V621" s="17"/>
      <c r="W621" s="17"/>
      <c r="X621" s="17"/>
      <c r="Y621" s="46" t="str">
        <f ca="1">IFERROR(VLOOKUP(A621,catalogo!$E:$G,2,0),"-")</f>
        <v>-</v>
      </c>
      <c r="Z621" s="47" t="str">
        <f ca="1">IFERROR(VLOOKUP(A621,catalogo!$E:$G,3,0),"-")</f>
        <v>-</v>
      </c>
      <c r="AA621" s="48"/>
      <c r="AB621" s="48"/>
      <c r="AC621" s="48" t="str">
        <f ca="1">IFERROR(VLOOKUP(A621,catalogo!$E:$H,4,0),"-")</f>
        <v>-</v>
      </c>
      <c r="AD621" s="48"/>
      <c r="AE621" s="48"/>
      <c r="AF621" s="48"/>
      <c r="AG621" s="48"/>
      <c r="AH621" s="48"/>
      <c r="AI621" s="48"/>
    </row>
    <row r="622" spans="1:35" ht="12.5" hidden="1">
      <c r="A622" s="37" t="s">
        <v>1306</v>
      </c>
      <c r="B622" s="38" t="str">
        <f>IFERROR(VLOOKUP(J622,catalogo!$B$1:$C$75,2,0),"-")</f>
        <v>#64</v>
      </c>
      <c r="C622" s="39">
        <v>46068.416666666664</v>
      </c>
      <c r="D622" s="17"/>
      <c r="E622" s="17"/>
      <c r="F622" s="17"/>
      <c r="G622" s="42">
        <v>836</v>
      </c>
      <c r="H622" s="42">
        <v>836</v>
      </c>
      <c r="I622" s="43" t="s">
        <v>156</v>
      </c>
      <c r="J622" s="43" t="s">
        <v>139</v>
      </c>
      <c r="K622" s="43" t="s">
        <v>1307</v>
      </c>
      <c r="L622" s="44" t="s">
        <v>317</v>
      </c>
      <c r="M622" s="44">
        <v>7142</v>
      </c>
      <c r="N622" s="44" t="s">
        <v>167</v>
      </c>
      <c r="O622" s="17"/>
      <c r="P622" s="17"/>
      <c r="Q622" s="17"/>
      <c r="R622" s="17"/>
      <c r="S622" s="17"/>
      <c r="T622" s="17"/>
      <c r="U622" s="17"/>
      <c r="V622" s="17"/>
      <c r="W622" s="17"/>
      <c r="X622" s="17"/>
      <c r="Y622" s="46" t="str">
        <f ca="1">IFERROR(VLOOKUP(A622,catalogo!$E:$H,2,0),"-")</f>
        <v>-</v>
      </c>
      <c r="Z622" s="47" t="str">
        <f ca="1">IFERROR(VLOOKUP(A622,catalogo!$E:$G,3,0),"-")</f>
        <v>-</v>
      </c>
      <c r="AA622" s="48"/>
      <c r="AB622" s="48"/>
      <c r="AC622" s="48" t="str">
        <f ca="1">IFERROR(VLOOKUP(A622,catalogo!$E:$H,4,0),"-")</f>
        <v>-</v>
      </c>
      <c r="AD622" s="48"/>
      <c r="AE622" s="48"/>
      <c r="AF622" s="48"/>
      <c r="AG622" s="48"/>
      <c r="AH622" s="48"/>
      <c r="AI622" s="48"/>
    </row>
    <row r="623" spans="1:35" ht="12.5" hidden="1">
      <c r="A623" s="37" t="s">
        <v>1308</v>
      </c>
      <c r="B623" s="38" t="str">
        <f>IFERROR(VLOOKUP(J623,catalogo!$B$1:$C$70,2,0),"-")</f>
        <v>-</v>
      </c>
      <c r="C623" s="39">
        <v>46068.416666666664</v>
      </c>
      <c r="D623" s="17"/>
      <c r="E623" s="17"/>
      <c r="F623" s="17"/>
      <c r="G623" s="42">
        <v>382.35</v>
      </c>
      <c r="H623" s="42">
        <v>382.35</v>
      </c>
      <c r="I623" s="43" t="s">
        <v>156</v>
      </c>
      <c r="J623" s="43" t="s">
        <v>321</v>
      </c>
      <c r="K623" s="43" t="s">
        <v>1309</v>
      </c>
      <c r="L623" s="44" t="s">
        <v>1310</v>
      </c>
      <c r="M623" s="45">
        <v>3340</v>
      </c>
      <c r="N623" s="44" t="s">
        <v>167</v>
      </c>
      <c r="O623" s="17"/>
      <c r="P623" s="17"/>
      <c r="Q623" s="17"/>
      <c r="R623" s="17"/>
      <c r="S623" s="17"/>
      <c r="T623" s="17"/>
      <c r="U623" s="17"/>
      <c r="V623" s="17"/>
      <c r="W623" s="17"/>
      <c r="X623" s="17"/>
      <c r="Y623" s="46" t="str">
        <f ca="1">IFERROR(VLOOKUP(A623,catalogo!$E:$G,2,0),"-")</f>
        <v>-</v>
      </c>
      <c r="Z623" s="47" t="str">
        <f ca="1">IFERROR(VLOOKUP(A623,catalogo!$E:$G,3,0),"-")</f>
        <v>-</v>
      </c>
      <c r="AA623" s="48"/>
      <c r="AB623" s="48"/>
      <c r="AC623" s="48" t="str">
        <f ca="1">IFERROR(VLOOKUP(A623,catalogo!$E:$H,4,0),"-")</f>
        <v>-</v>
      </c>
      <c r="AD623" s="48"/>
      <c r="AE623" s="48"/>
      <c r="AF623" s="48"/>
      <c r="AG623" s="48"/>
      <c r="AH623" s="48"/>
      <c r="AI623" s="48"/>
    </row>
    <row r="624" spans="1:35" ht="12.5" hidden="1">
      <c r="A624" s="37" t="s">
        <v>1311</v>
      </c>
      <c r="B624" s="38" t="str">
        <f>IFERROR(VLOOKUP(J624,catalogo!$B$1:$C$100,2,0),"-")</f>
        <v>#26</v>
      </c>
      <c r="C624" s="39">
        <v>46068.416666666664</v>
      </c>
      <c r="D624" s="17"/>
      <c r="E624" s="17"/>
      <c r="F624" s="17"/>
      <c r="G624" s="53">
        <v>252</v>
      </c>
      <c r="H624" s="53">
        <v>252</v>
      </c>
      <c r="I624" s="43" t="s">
        <v>156</v>
      </c>
      <c r="J624" s="43" t="s">
        <v>67</v>
      </c>
      <c r="K624" s="43" t="s">
        <v>335</v>
      </c>
      <c r="L624" s="44" t="s">
        <v>336</v>
      </c>
      <c r="M624" s="45" t="s">
        <v>159</v>
      </c>
      <c r="N624" s="44" t="s">
        <v>144</v>
      </c>
      <c r="O624" s="17"/>
      <c r="P624" s="17"/>
      <c r="Q624" s="17"/>
      <c r="R624" s="17"/>
      <c r="S624" s="17"/>
      <c r="T624" s="17"/>
      <c r="U624" s="17"/>
      <c r="V624" s="17"/>
      <c r="W624" s="17"/>
      <c r="X624" s="17"/>
      <c r="Y624" s="46"/>
      <c r="Z624" s="47"/>
      <c r="AA624" s="48"/>
      <c r="AB624" s="48"/>
      <c r="AC624" s="48"/>
      <c r="AD624" s="48"/>
      <c r="AE624" s="48"/>
      <c r="AF624" s="48"/>
      <c r="AG624" s="48"/>
      <c r="AH624" s="48"/>
      <c r="AI624" s="48"/>
    </row>
    <row r="625" spans="1:35" ht="12.5" hidden="1">
      <c r="A625" s="37" t="s">
        <v>1312</v>
      </c>
      <c r="B625" s="38" t="str">
        <f>IFERROR(VLOOKUP(J625,catalogo!$B$1:$C$75,2,0),"-")</f>
        <v>-</v>
      </c>
      <c r="C625" s="39">
        <v>46068.416666666664</v>
      </c>
      <c r="D625" s="40"/>
      <c r="E625" s="41"/>
      <c r="F625" s="41"/>
      <c r="G625" s="42">
        <v>810</v>
      </c>
      <c r="H625" s="42">
        <v>810</v>
      </c>
      <c r="I625" s="43" t="s">
        <v>156</v>
      </c>
      <c r="J625" s="43" t="s">
        <v>321</v>
      </c>
      <c r="K625" s="43" t="s">
        <v>319</v>
      </c>
      <c r="L625" s="44" t="s">
        <v>317</v>
      </c>
      <c r="M625" s="44">
        <v>3340</v>
      </c>
      <c r="N625" s="44" t="s">
        <v>167</v>
      </c>
      <c r="O625" s="41"/>
      <c r="P625" s="41"/>
      <c r="Q625" s="41"/>
      <c r="R625" s="41"/>
      <c r="S625" s="41"/>
      <c r="T625" s="41"/>
      <c r="U625" s="41"/>
      <c r="V625" s="41"/>
      <c r="W625" s="41"/>
      <c r="X625" s="41"/>
      <c r="Y625" s="46" t="str">
        <f ca="1">IFERROR(VLOOKUP(A625,catalogo!$E:$H,2,0),"-")</f>
        <v>Transaction cost</v>
      </c>
      <c r="Z625" s="47" t="str">
        <f ca="1">IFERROR(VLOOKUP(A625,catalogo!$E:$G,3,0),"-")</f>
        <v>CASETAS POR VISITA A CAMI (NO CIRCULA) PO2165 - ENSAMBLE UF/CEB MECANICO</v>
      </c>
      <c r="AA625" s="48"/>
      <c r="AB625" s="48"/>
      <c r="AC625" s="48" t="str">
        <f ca="1">IFERROR(VLOOKUP(A625,catalogo!$E:$H,4,0),"-")</f>
        <v>.</v>
      </c>
      <c r="AD625" s="48"/>
      <c r="AE625" s="48"/>
      <c r="AF625" s="48"/>
      <c r="AG625" s="48"/>
      <c r="AH625" s="48"/>
      <c r="AI625" s="48"/>
    </row>
    <row r="626" spans="1:35" ht="12.5" hidden="1">
      <c r="A626" s="37" t="s">
        <v>1313</v>
      </c>
      <c r="B626" s="38" t="str">
        <f>IFERROR(VLOOKUP(J626,catalogo!$B$1:$C$75,2,0),"-")</f>
        <v>#55</v>
      </c>
      <c r="C626" s="39">
        <v>46068.416666666664</v>
      </c>
      <c r="D626" s="40"/>
      <c r="E626" s="41"/>
      <c r="F626" s="41"/>
      <c r="G626" s="42">
        <v>844.65</v>
      </c>
      <c r="H626" s="42">
        <v>844.65</v>
      </c>
      <c r="I626" s="43" t="s">
        <v>156</v>
      </c>
      <c r="J626" s="43" t="s">
        <v>89</v>
      </c>
      <c r="K626" s="43" t="s">
        <v>157</v>
      </c>
      <c r="L626" s="44" t="s">
        <v>158</v>
      </c>
      <c r="M626" s="45" t="s">
        <v>488</v>
      </c>
      <c r="N626" s="44" t="s">
        <v>144</v>
      </c>
      <c r="O626" s="41"/>
      <c r="P626" s="41"/>
      <c r="Q626" s="41"/>
      <c r="R626" s="41"/>
      <c r="S626" s="41"/>
      <c r="T626" s="41"/>
      <c r="U626" s="41"/>
      <c r="V626" s="41"/>
      <c r="W626" s="41"/>
      <c r="X626" s="41"/>
      <c r="Y626" s="46" t="str">
        <f ca="1">IFERROR(VLOOKUP(A626,catalogo!$E:$H,2,0),"-")</f>
        <v>-</v>
      </c>
      <c r="Z626" s="47" t="str">
        <f ca="1">IFERROR(VLOOKUP(A626,catalogo!$E:$G,3,0),"-")</f>
        <v>-</v>
      </c>
      <c r="AA626" s="48"/>
      <c r="AB626" s="48"/>
      <c r="AC626" s="48" t="str">
        <f ca="1">IFERROR(VLOOKUP(A626,catalogo!$E:$H,4,0),"-")</f>
        <v>-</v>
      </c>
      <c r="AD626" s="48"/>
      <c r="AE626" s="48"/>
      <c r="AF626" s="48"/>
      <c r="AG626" s="48"/>
      <c r="AH626" s="48"/>
      <c r="AI626" s="48"/>
    </row>
    <row r="627" spans="1:35" ht="12.5" hidden="1">
      <c r="A627" s="37" t="s">
        <v>1314</v>
      </c>
      <c r="B627" s="38" t="str">
        <f>IFERROR(VLOOKUP(J627,catalogo!$B$1:$C$75,2,0),"-")</f>
        <v>#64</v>
      </c>
      <c r="C627" s="39">
        <v>46068.416666666664</v>
      </c>
      <c r="D627" s="40"/>
      <c r="E627" s="41"/>
      <c r="F627" s="41"/>
      <c r="G627" s="42">
        <v>970</v>
      </c>
      <c r="H627" s="42">
        <v>970</v>
      </c>
      <c r="I627" s="43" t="s">
        <v>156</v>
      </c>
      <c r="J627" s="43" t="s">
        <v>139</v>
      </c>
      <c r="K627" s="43" t="s">
        <v>1315</v>
      </c>
      <c r="L627" s="44" t="s">
        <v>1316</v>
      </c>
      <c r="M627" s="45">
        <v>7142</v>
      </c>
      <c r="N627" s="44" t="s">
        <v>167</v>
      </c>
      <c r="O627" s="41"/>
      <c r="P627" s="41"/>
      <c r="Q627" s="41"/>
      <c r="R627" s="41"/>
      <c r="S627" s="41"/>
      <c r="T627" s="41"/>
      <c r="U627" s="41"/>
      <c r="V627" s="41"/>
      <c r="W627" s="41"/>
      <c r="X627" s="41"/>
      <c r="Y627" s="46" t="str">
        <f ca="1">IFERROR(VLOOKUP(A627,catalogo!$E:$H,2,0),"-")</f>
        <v>-</v>
      </c>
      <c r="Z627" s="47" t="str">
        <f ca="1">IFERROR(VLOOKUP(A627,catalogo!$E:$G,3,0),"-")</f>
        <v>-</v>
      </c>
      <c r="AA627" s="48"/>
      <c r="AB627" s="48"/>
      <c r="AC627" s="48" t="str">
        <f ca="1">IFERROR(VLOOKUP(A627,catalogo!$E:$H,4,0),"-")</f>
        <v>-</v>
      </c>
      <c r="AD627" s="48"/>
      <c r="AE627" s="48"/>
      <c r="AF627" s="48"/>
      <c r="AG627" s="48"/>
      <c r="AH627" s="48"/>
      <c r="AI627" s="48"/>
    </row>
    <row r="628" spans="1:35" ht="12.5" hidden="1">
      <c r="A628" s="37" t="s">
        <v>1317</v>
      </c>
      <c r="B628" s="38" t="str">
        <f>IFERROR(VLOOKUP(J628,catalogo!$B$1:$C$80,2,0),"-")</f>
        <v>-</v>
      </c>
      <c r="C628" s="39">
        <v>46068.416666666664</v>
      </c>
      <c r="D628" s="17"/>
      <c r="E628" s="17"/>
      <c r="F628" s="17"/>
      <c r="G628" s="42">
        <v>226</v>
      </c>
      <c r="H628" s="42">
        <v>226</v>
      </c>
      <c r="I628" s="43" t="s">
        <v>156</v>
      </c>
      <c r="J628" s="43" t="s">
        <v>187</v>
      </c>
      <c r="K628" s="43" t="s">
        <v>1318</v>
      </c>
      <c r="L628" s="44" t="s">
        <v>1319</v>
      </c>
      <c r="M628" s="45" t="s">
        <v>190</v>
      </c>
      <c r="N628" s="44" t="s">
        <v>167</v>
      </c>
      <c r="O628" s="17"/>
      <c r="P628" s="17"/>
      <c r="Q628" s="17"/>
      <c r="R628" s="17"/>
      <c r="S628" s="17"/>
      <c r="T628" s="17"/>
      <c r="U628" s="17"/>
      <c r="V628" s="17"/>
      <c r="W628" s="17"/>
      <c r="X628" s="17"/>
      <c r="Y628" s="46" t="str">
        <f ca="1">IFERROR(VLOOKUP(A628,catalogo!$E:$G,2,0),"-")</f>
        <v>-</v>
      </c>
      <c r="Z628" s="47" t="str">
        <f ca="1">IFERROR(VLOOKUP(A628,catalogo!$E:$G,3,0),"-")</f>
        <v>-</v>
      </c>
      <c r="AA628" s="48"/>
      <c r="AB628" s="48"/>
      <c r="AC628" s="48" t="str">
        <f ca="1">IFERROR(VLOOKUP(A628,catalogo!$E:$H,4,0),"-")</f>
        <v>-</v>
      </c>
      <c r="AD628" s="48"/>
      <c r="AE628" s="48"/>
      <c r="AF628" s="48"/>
      <c r="AG628" s="48"/>
      <c r="AH628" s="48"/>
      <c r="AI628" s="48"/>
    </row>
    <row r="629" spans="1:35" ht="15.5" hidden="1">
      <c r="A629" s="37" t="s">
        <v>1320</v>
      </c>
      <c r="B629" s="38" t="str">
        <f>IFERROR(VLOOKUP(J629,catalogo!$B$1:$C$75,2,0),"-")</f>
        <v>#26</v>
      </c>
      <c r="C629" s="39">
        <v>46068.416666666664</v>
      </c>
      <c r="D629" s="17"/>
      <c r="E629" s="17"/>
      <c r="F629" s="17"/>
      <c r="G629" s="42">
        <v>25</v>
      </c>
      <c r="H629" s="42">
        <v>25</v>
      </c>
      <c r="I629" s="43" t="s">
        <v>156</v>
      </c>
      <c r="J629" s="43" t="s">
        <v>67</v>
      </c>
      <c r="K629" s="43" t="s">
        <v>757</v>
      </c>
      <c r="L629" s="44" t="s">
        <v>336</v>
      </c>
      <c r="M629" s="45" t="s">
        <v>159</v>
      </c>
      <c r="N629" s="44" t="s">
        <v>144</v>
      </c>
      <c r="O629" s="49"/>
      <c r="P629" s="17"/>
      <c r="Q629" s="17"/>
      <c r="R629" s="17"/>
      <c r="S629" s="17"/>
      <c r="T629" s="17"/>
      <c r="U629" s="17"/>
      <c r="V629" s="17"/>
      <c r="W629" s="17"/>
      <c r="X629" s="17"/>
      <c r="Y629" s="46" t="str">
        <f ca="1">IFERROR(VLOOKUP(A629,catalogo!$E:$H,2,0),"-")</f>
        <v>-</v>
      </c>
      <c r="Z629" s="47" t="str">
        <f ca="1">IFERROR(VLOOKUP(A629,catalogo!$E:$G,3,0),"-")</f>
        <v>-</v>
      </c>
      <c r="AA629" s="48"/>
      <c r="AB629" s="48"/>
      <c r="AC629" s="48" t="str">
        <f ca="1">IFERROR(VLOOKUP(A629,catalogo!$E:$H,4,0),"-")</f>
        <v>-</v>
      </c>
      <c r="AD629" s="48"/>
      <c r="AE629" s="48"/>
      <c r="AF629" s="48"/>
      <c r="AG629" s="48"/>
      <c r="AH629" s="48"/>
      <c r="AI629" s="48"/>
    </row>
    <row r="630" spans="1:35" ht="12.5" hidden="1">
      <c r="A630" s="37" t="s">
        <v>520</v>
      </c>
      <c r="B630" s="38" t="str">
        <f>IFERROR(VLOOKUP(J630,catalogo!$B$1:$C$75,2,0),"-")</f>
        <v>-</v>
      </c>
      <c r="C630" s="39">
        <v>46068.416666666664</v>
      </c>
      <c r="D630" s="52"/>
      <c r="E630" s="17"/>
      <c r="F630" s="17"/>
      <c r="G630" s="42">
        <v>20</v>
      </c>
      <c r="H630" s="42">
        <v>20</v>
      </c>
      <c r="I630" s="43" t="s">
        <v>156</v>
      </c>
      <c r="J630" s="43" t="s">
        <v>343</v>
      </c>
      <c r="K630" s="43" t="s">
        <v>485</v>
      </c>
      <c r="L630" s="44" t="s">
        <v>233</v>
      </c>
      <c r="M630" s="44" t="s">
        <v>433</v>
      </c>
      <c r="N630" s="44" t="s">
        <v>144</v>
      </c>
      <c r="O630" s="17"/>
      <c r="P630" s="17"/>
      <c r="Q630" s="17"/>
      <c r="R630" s="17"/>
      <c r="S630" s="17"/>
      <c r="T630" s="17"/>
      <c r="U630" s="17"/>
      <c r="V630" s="17"/>
      <c r="W630" s="17"/>
      <c r="X630" s="17"/>
      <c r="Y630" s="46" t="str">
        <f ca="1">IFERROR(VLOOKUP(A630,catalogo!$E:$H,2,0),"-")</f>
        <v>-</v>
      </c>
      <c r="Z630" s="47" t="str">
        <f ca="1">IFERROR(VLOOKUP(A630,catalogo!$E:$G,3,0),"-")</f>
        <v>-</v>
      </c>
      <c r="AA630" s="48"/>
      <c r="AB630" s="48"/>
      <c r="AC630" s="48" t="str">
        <f ca="1">IFERROR(VLOOKUP(A630,catalogo!$E:$H,4,0),"-")</f>
        <v>-</v>
      </c>
      <c r="AD630" s="48"/>
      <c r="AE630" s="48"/>
      <c r="AF630" s="48"/>
      <c r="AG630" s="48"/>
      <c r="AH630" s="48"/>
      <c r="AI630" s="48"/>
    </row>
    <row r="631" spans="1:35" ht="12.5" hidden="1">
      <c r="A631" s="37" t="s">
        <v>1321</v>
      </c>
      <c r="B631" s="38" t="str">
        <f>IFERROR(VLOOKUP(J631,catalogo!$B$1:$C$75,2,0),"-")</f>
        <v>#64</v>
      </c>
      <c r="C631" s="39">
        <v>46068.417361111111</v>
      </c>
      <c r="D631" s="17"/>
      <c r="E631" s="17"/>
      <c r="F631" s="17"/>
      <c r="G631" s="42">
        <v>717</v>
      </c>
      <c r="H631" s="42">
        <v>717</v>
      </c>
      <c r="I631" s="43" t="s">
        <v>156</v>
      </c>
      <c r="J631" s="43" t="s">
        <v>139</v>
      </c>
      <c r="K631" s="43" t="s">
        <v>1322</v>
      </c>
      <c r="L631" s="44" t="s">
        <v>1323</v>
      </c>
      <c r="M631" s="45">
        <v>7142</v>
      </c>
      <c r="N631" s="44" t="s">
        <v>167</v>
      </c>
      <c r="O631" s="17"/>
      <c r="P631" s="17"/>
      <c r="Q631" s="17"/>
      <c r="R631" s="17"/>
      <c r="S631" s="17"/>
      <c r="T631" s="17"/>
      <c r="U631" s="17"/>
      <c r="V631" s="17"/>
      <c r="W631" s="17"/>
      <c r="X631" s="17"/>
      <c r="Y631" s="46" t="str">
        <f ca="1">IFERROR(VLOOKUP(A631,catalogo!$E:$H,2,0),"-")</f>
        <v>-</v>
      </c>
      <c r="Z631" s="47" t="str">
        <f ca="1">IFERROR(VLOOKUP(A631,catalogo!$E:$G,3,0),"-")</f>
        <v>-</v>
      </c>
      <c r="AA631" s="48"/>
      <c r="AB631" s="48"/>
      <c r="AC631" s="48" t="str">
        <f ca="1">IFERROR(VLOOKUP(A631,catalogo!$E:$H,4,0),"-")</f>
        <v>-</v>
      </c>
      <c r="AD631" s="48"/>
      <c r="AE631" s="48"/>
      <c r="AF631" s="48"/>
      <c r="AG631" s="48"/>
      <c r="AH631" s="48"/>
      <c r="AI631" s="48"/>
    </row>
    <row r="632" spans="1:35" ht="12.5" hidden="1">
      <c r="A632" s="37" t="s">
        <v>1324</v>
      </c>
      <c r="B632" s="38" t="str">
        <f>IFERROR(VLOOKUP(J632,catalogo!$B$1:$C$75,2,0),"-")</f>
        <v>-</v>
      </c>
      <c r="C632" s="39">
        <v>46068.417361111111</v>
      </c>
      <c r="D632" s="17"/>
      <c r="E632" s="17"/>
      <c r="F632" s="17"/>
      <c r="G632" s="42">
        <v>25</v>
      </c>
      <c r="H632" s="42">
        <v>25</v>
      </c>
      <c r="I632" s="43" t="s">
        <v>156</v>
      </c>
      <c r="J632" s="43" t="s">
        <v>321</v>
      </c>
      <c r="K632" s="43" t="s">
        <v>841</v>
      </c>
      <c r="L632" s="44" t="s">
        <v>842</v>
      </c>
      <c r="M632" s="45">
        <v>3340</v>
      </c>
      <c r="N632" s="44" t="s">
        <v>167</v>
      </c>
      <c r="O632" s="17"/>
      <c r="P632" s="17"/>
      <c r="Q632" s="17"/>
      <c r="R632" s="17"/>
      <c r="S632" s="17"/>
      <c r="T632" s="17"/>
      <c r="U632" s="17"/>
      <c r="V632" s="17"/>
      <c r="W632" s="17"/>
      <c r="X632" s="17"/>
      <c r="Y632" s="46" t="str">
        <f ca="1">IFERROR(VLOOKUP(A632,catalogo!$E:$H,2,0),"-")</f>
        <v>-</v>
      </c>
      <c r="Z632" s="47" t="str">
        <f ca="1">IFERROR(VLOOKUP(A632,catalogo!$E:$G,3,0),"-")</f>
        <v>-</v>
      </c>
      <c r="AA632" s="48"/>
      <c r="AB632" s="48"/>
      <c r="AC632" s="48" t="str">
        <f ca="1">IFERROR(VLOOKUP(A632,catalogo!$E:$H,4,0),"-")</f>
        <v>-</v>
      </c>
      <c r="AD632" s="48"/>
      <c r="AE632" s="48"/>
      <c r="AF632" s="48"/>
      <c r="AG632" s="48"/>
      <c r="AH632" s="48"/>
      <c r="AI632" s="48"/>
    </row>
    <row r="633" spans="1:35" ht="12.5" hidden="1">
      <c r="A633" s="37" t="s">
        <v>1325</v>
      </c>
      <c r="B633" s="38" t="str">
        <f>IFERROR(VLOOKUP(J633,catalogo!$B$1:$C$100,2,0),"-")</f>
        <v>-</v>
      </c>
      <c r="C633" s="39">
        <v>46068.417361111111</v>
      </c>
      <c r="D633" s="17"/>
      <c r="E633" s="17"/>
      <c r="F633" s="17"/>
      <c r="G633" s="42">
        <v>25</v>
      </c>
      <c r="H633" s="42">
        <v>25</v>
      </c>
      <c r="I633" s="43" t="s">
        <v>156</v>
      </c>
      <c r="J633" s="43" t="s">
        <v>321</v>
      </c>
      <c r="K633" s="43" t="s">
        <v>841</v>
      </c>
      <c r="L633" s="44" t="s">
        <v>842</v>
      </c>
      <c r="M633" s="45">
        <v>3340</v>
      </c>
      <c r="N633" s="44" t="s">
        <v>167</v>
      </c>
      <c r="O633" s="17"/>
      <c r="P633" s="17"/>
      <c r="Q633" s="17"/>
      <c r="R633" s="17"/>
      <c r="S633" s="17"/>
      <c r="T633" s="17"/>
      <c r="U633" s="17"/>
      <c r="V633" s="17"/>
      <c r="W633" s="17"/>
      <c r="X633" s="17"/>
      <c r="Y633" s="46" t="str">
        <f ca="1">IFERROR(VLOOKUP(A633,catalogo!$E:$G,2,0),"-")</f>
        <v>-</v>
      </c>
      <c r="Z633" s="47" t="str">
        <f ca="1">IFERROR(VLOOKUP(A633,catalogo!$E:$G,3,0),"-")</f>
        <v>-</v>
      </c>
      <c r="AA633" s="48"/>
      <c r="AB633" s="48"/>
      <c r="AC633" s="48" t="str">
        <f ca="1">IFERROR(VLOOKUP(A633,catalogo!$E:$H,4,0),"-")</f>
        <v>-</v>
      </c>
      <c r="AD633" s="48"/>
      <c r="AE633" s="48"/>
      <c r="AF633" s="48"/>
      <c r="AG633" s="48"/>
      <c r="AH633" s="48"/>
      <c r="AI633" s="48"/>
    </row>
    <row r="634" spans="1:35" ht="12.5" hidden="1">
      <c r="A634" s="37" t="s">
        <v>246</v>
      </c>
      <c r="B634" s="38" t="str">
        <f>IFERROR(VLOOKUP(J634,catalogo!$B$1:$C$75,2,0),"-")</f>
        <v>#26</v>
      </c>
      <c r="C634" s="39">
        <v>46068.417361111111</v>
      </c>
      <c r="D634" s="17"/>
      <c r="E634" s="17"/>
      <c r="F634" s="17"/>
      <c r="G634" s="42">
        <v>144</v>
      </c>
      <c r="H634" s="42">
        <v>144</v>
      </c>
      <c r="I634" s="43" t="s">
        <v>156</v>
      </c>
      <c r="J634" s="43" t="s">
        <v>67</v>
      </c>
      <c r="K634" s="43" t="s">
        <v>335</v>
      </c>
      <c r="L634" s="44" t="s">
        <v>336</v>
      </c>
      <c r="M634" s="44" t="s">
        <v>159</v>
      </c>
      <c r="N634" s="44" t="s">
        <v>144</v>
      </c>
      <c r="O634" s="17"/>
      <c r="P634" s="17"/>
      <c r="Q634" s="17"/>
      <c r="R634" s="17"/>
      <c r="S634" s="17"/>
      <c r="T634" s="17"/>
      <c r="U634" s="17"/>
      <c r="V634" s="17"/>
      <c r="W634" s="17"/>
      <c r="X634" s="17"/>
      <c r="Y634" s="46" t="str">
        <f ca="1">IFERROR(VLOOKUP(A634,catalogo!$E:$H,2,0),"-")</f>
        <v>-</v>
      </c>
      <c r="Z634" s="47" t="str">
        <f ca="1">IFERROR(VLOOKUP(A634,catalogo!$E:$G,3,0),"-")</f>
        <v>-</v>
      </c>
      <c r="AA634" s="48"/>
      <c r="AB634" s="48"/>
      <c r="AC634" s="48" t="str">
        <f ca="1">IFERROR(VLOOKUP(A634,catalogo!$E:$H,4,0),"-")</f>
        <v>-</v>
      </c>
      <c r="AD634" s="48"/>
      <c r="AE634" s="48"/>
      <c r="AF634" s="48"/>
      <c r="AG634" s="48"/>
      <c r="AH634" s="48"/>
      <c r="AI634" s="48"/>
    </row>
    <row r="635" spans="1:35" ht="12.5" hidden="1">
      <c r="A635" s="37" t="s">
        <v>1326</v>
      </c>
      <c r="B635" s="38" t="str">
        <f>IFERROR(VLOOKUP(J635,catalogo!$B$1:$C$70,2,0),"-")</f>
        <v>#66</v>
      </c>
      <c r="C635" s="39">
        <v>46068.417361111111</v>
      </c>
      <c r="D635" s="17"/>
      <c r="E635" s="17"/>
      <c r="F635" s="17"/>
      <c r="G635" s="42">
        <v>149</v>
      </c>
      <c r="H635" s="42">
        <v>149</v>
      </c>
      <c r="I635" s="43" t="s">
        <v>156</v>
      </c>
      <c r="J635" s="43" t="s">
        <v>80</v>
      </c>
      <c r="K635" s="43" t="s">
        <v>892</v>
      </c>
      <c r="L635" s="44" t="s">
        <v>407</v>
      </c>
      <c r="M635" s="44">
        <v>2406</v>
      </c>
      <c r="N635" s="44" t="s">
        <v>167</v>
      </c>
      <c r="O635" s="17"/>
      <c r="P635" s="17"/>
      <c r="Q635" s="17"/>
      <c r="R635" s="17"/>
      <c r="S635" s="17"/>
      <c r="T635" s="17"/>
      <c r="U635" s="17"/>
      <c r="V635" s="17"/>
      <c r="W635" s="17"/>
      <c r="X635" s="17"/>
      <c r="Y635" s="46" t="str">
        <f ca="1">IFERROR(VLOOKUP(A635,catalogo!$E:$G,2,0),"-")</f>
        <v>-</v>
      </c>
      <c r="Z635" s="47" t="str">
        <f ca="1">IFERROR(VLOOKUP(A635,catalogo!$E:$G,3,0),"-")</f>
        <v>-</v>
      </c>
      <c r="AA635" s="48"/>
      <c r="AB635" s="48"/>
      <c r="AC635" s="48" t="str">
        <f ca="1">IFERROR(VLOOKUP(A635,catalogo!$E:$H,4,0),"-")</f>
        <v>-</v>
      </c>
      <c r="AD635" s="48"/>
      <c r="AE635" s="48"/>
      <c r="AF635" s="48"/>
      <c r="AG635" s="48"/>
      <c r="AH635" s="48"/>
      <c r="AI635" s="48"/>
    </row>
    <row r="636" spans="1:35" ht="12.5" hidden="1">
      <c r="A636" s="37" t="s">
        <v>402</v>
      </c>
      <c r="B636" s="38" t="str">
        <f>IFERROR(VLOOKUP(J636,catalogo!$B$1:$C$100,2,0),"-")</f>
        <v>#64</v>
      </c>
      <c r="C636" s="39">
        <v>46068.417361111111</v>
      </c>
      <c r="D636" s="52"/>
      <c r="E636" s="17"/>
      <c r="F636" s="17"/>
      <c r="G636" s="42">
        <v>2214.85</v>
      </c>
      <c r="H636" s="42">
        <v>2214.85</v>
      </c>
      <c r="I636" s="43" t="s">
        <v>156</v>
      </c>
      <c r="J636" s="43" t="s">
        <v>139</v>
      </c>
      <c r="K636" s="43" t="s">
        <v>1327</v>
      </c>
      <c r="L636" s="44" t="s">
        <v>1328</v>
      </c>
      <c r="M636" s="45">
        <v>7142</v>
      </c>
      <c r="N636" s="44" t="s">
        <v>167</v>
      </c>
      <c r="O636" s="17" t="s">
        <v>1329</v>
      </c>
      <c r="P636" s="17"/>
      <c r="Q636" s="17"/>
      <c r="R636" s="17"/>
      <c r="S636" s="17"/>
      <c r="T636" s="17"/>
      <c r="U636" s="17"/>
      <c r="V636" s="17"/>
      <c r="W636" s="17"/>
      <c r="X636" s="17"/>
      <c r="Y636" s="46" t="str">
        <f ca="1">IFERROR(VLOOKUP(A636,catalogo!$E:$H,2,0),"-")</f>
        <v>-</v>
      </c>
      <c r="Z636" s="47" t="str">
        <f ca="1">IFERROR(VLOOKUP(A636,catalogo!$E:$G,3,0),"-")</f>
        <v>-</v>
      </c>
      <c r="AA636" s="48"/>
      <c r="AB636" s="48"/>
      <c r="AC636" s="48" t="str">
        <f ca="1">IFERROR(VLOOKUP(A636,catalogo!$E:$H,4,0),"-")</f>
        <v>-</v>
      </c>
      <c r="AD636" s="48"/>
      <c r="AE636" s="48"/>
      <c r="AF636" s="48"/>
      <c r="AG636" s="48"/>
      <c r="AH636" s="48"/>
      <c r="AI636" s="48"/>
    </row>
    <row r="637" spans="1:35" ht="12.5" hidden="1">
      <c r="A637" s="37" t="s">
        <v>1330</v>
      </c>
      <c r="B637" s="38" t="str">
        <f>IFERROR(VLOOKUP(J637,catalogo!$B$1:$C$80,2,0),"-")</f>
        <v>-</v>
      </c>
      <c r="C637" s="39">
        <v>46068.417361111111</v>
      </c>
      <c r="D637" s="17"/>
      <c r="E637" s="17"/>
      <c r="F637" s="17"/>
      <c r="G637" s="42">
        <v>25</v>
      </c>
      <c r="H637" s="42">
        <v>25</v>
      </c>
      <c r="I637" s="43" t="s">
        <v>156</v>
      </c>
      <c r="J637" s="43" t="s">
        <v>321</v>
      </c>
      <c r="K637" s="43" t="s">
        <v>841</v>
      </c>
      <c r="L637" s="44" t="s">
        <v>842</v>
      </c>
      <c r="M637" s="45">
        <v>3340</v>
      </c>
      <c r="N637" s="44" t="s">
        <v>167</v>
      </c>
      <c r="O637" s="17"/>
      <c r="P637" s="17"/>
      <c r="Q637" s="17"/>
      <c r="R637" s="17"/>
      <c r="S637" s="17"/>
      <c r="T637" s="17"/>
      <c r="U637" s="17"/>
      <c r="V637" s="17"/>
      <c r="W637" s="17"/>
      <c r="X637" s="17"/>
      <c r="Y637" s="46" t="str">
        <f ca="1">IFERROR(VLOOKUP(A637,catalogo!$E:$G,2,0),"-")</f>
        <v>-</v>
      </c>
      <c r="Z637" s="47" t="str">
        <f ca="1">IFERROR(VLOOKUP(A637,catalogo!$E:$G,3,0),"-")</f>
        <v>-</v>
      </c>
      <c r="AA637" s="48"/>
      <c r="AB637" s="48"/>
      <c r="AC637" s="48" t="str">
        <f ca="1">IFERROR(VLOOKUP(A637,catalogo!$E:$H,4,0),"-")</f>
        <v>-</v>
      </c>
      <c r="AD637" s="48"/>
      <c r="AE637" s="48"/>
      <c r="AF637" s="48"/>
      <c r="AG637" s="48"/>
      <c r="AH637" s="48"/>
      <c r="AI637" s="48"/>
    </row>
    <row r="638" spans="1:35" ht="12.5" hidden="1">
      <c r="A638" s="37" t="s">
        <v>1331</v>
      </c>
      <c r="B638" s="38" t="str">
        <f>IFERROR(VLOOKUP(J638,catalogo!$B$1:$C$75,2,0),"-")</f>
        <v>-</v>
      </c>
      <c r="C638" s="39">
        <v>46068.417361111111</v>
      </c>
      <c r="D638" s="40"/>
      <c r="E638" s="41"/>
      <c r="F638" s="41"/>
      <c r="G638" s="42">
        <v>402.6</v>
      </c>
      <c r="H638" s="42">
        <v>402.6</v>
      </c>
      <c r="I638" s="43" t="s">
        <v>156</v>
      </c>
      <c r="J638" s="43" t="s">
        <v>321</v>
      </c>
      <c r="K638" s="43" t="s">
        <v>1332</v>
      </c>
      <c r="L638" s="44" t="s">
        <v>1333</v>
      </c>
      <c r="M638" s="45">
        <v>3340</v>
      </c>
      <c r="N638" s="44" t="s">
        <v>167</v>
      </c>
      <c r="O638" s="41"/>
      <c r="P638" s="41"/>
      <c r="Q638" s="41"/>
      <c r="R638" s="41"/>
      <c r="S638" s="41"/>
      <c r="T638" s="41"/>
      <c r="U638" s="41"/>
      <c r="V638" s="41"/>
      <c r="W638" s="41"/>
      <c r="X638" s="41"/>
      <c r="Y638" s="46" t="str">
        <f ca="1">IFERROR(VLOOKUP(A638,catalogo!$E:$H,2,0),"-")</f>
        <v>-</v>
      </c>
      <c r="Z638" s="47" t="str">
        <f ca="1">IFERROR(VLOOKUP(A638,catalogo!$E:$G,3,0),"-")</f>
        <v>-</v>
      </c>
      <c r="AA638" s="48"/>
      <c r="AB638" s="48"/>
      <c r="AC638" s="48" t="str">
        <f ca="1">IFERROR(VLOOKUP(A638,catalogo!$E:$H,4,0),"-")</f>
        <v>-</v>
      </c>
      <c r="AD638" s="48"/>
      <c r="AE638" s="48"/>
      <c r="AF638" s="48"/>
      <c r="AG638" s="48"/>
      <c r="AH638" s="48"/>
      <c r="AI638" s="48"/>
    </row>
    <row r="639" spans="1:35" ht="12.5" hidden="1">
      <c r="A639" s="37" t="s">
        <v>1334</v>
      </c>
      <c r="B639" s="38" t="str">
        <f>IFERROR(VLOOKUP(J639,catalogo!$B$1:$C$70,2,0),"-")</f>
        <v>#40</v>
      </c>
      <c r="C639" s="39">
        <v>46068.417361111111</v>
      </c>
      <c r="D639" s="17"/>
      <c r="E639" s="17"/>
      <c r="F639" s="17"/>
      <c r="G639" s="42">
        <v>2508.27</v>
      </c>
      <c r="H639" s="42">
        <v>139.19</v>
      </c>
      <c r="I639" s="43" t="s">
        <v>172</v>
      </c>
      <c r="J639" s="43" t="s">
        <v>136</v>
      </c>
      <c r="K639" s="43" t="s">
        <v>1335</v>
      </c>
      <c r="L639" s="44" t="s">
        <v>881</v>
      </c>
      <c r="M639" s="45" t="s">
        <v>882</v>
      </c>
      <c r="N639" s="44" t="s">
        <v>144</v>
      </c>
      <c r="O639" s="17"/>
      <c r="P639" s="17"/>
      <c r="Q639" s="17"/>
      <c r="R639" s="17"/>
      <c r="S639" s="17"/>
      <c r="T639" s="17"/>
      <c r="U639" s="17"/>
      <c r="V639" s="17"/>
      <c r="W639" s="17"/>
      <c r="X639" s="17"/>
      <c r="Y639" s="46" t="str">
        <f ca="1">IFERROR(VLOOKUP(A639,catalogo!$E:$G,2,0),"-")</f>
        <v>-</v>
      </c>
      <c r="Z639" s="47" t="str">
        <f ca="1">IFERROR(VLOOKUP(A639,catalogo!$E:$G,3,0),"-")</f>
        <v>-</v>
      </c>
      <c r="AA639" s="48"/>
      <c r="AB639" s="48"/>
      <c r="AC639" s="48" t="str">
        <f ca="1">IFERROR(VLOOKUP(A639,catalogo!$E:$H,4,0),"-")</f>
        <v>-</v>
      </c>
      <c r="AD639" s="48"/>
      <c r="AE639" s="48"/>
      <c r="AF639" s="48"/>
      <c r="AG639" s="48"/>
      <c r="AH639" s="48"/>
      <c r="AI639" s="48"/>
    </row>
    <row r="640" spans="1:35" ht="12.5" hidden="1">
      <c r="A640" s="37" t="s">
        <v>191</v>
      </c>
      <c r="B640" s="38" t="str">
        <f>IFERROR(VLOOKUP(J640,catalogo!$B$1:$C$75,2,0),"-")</f>
        <v>-</v>
      </c>
      <c r="C640" s="39">
        <v>46068.417361111111</v>
      </c>
      <c r="D640" s="17"/>
      <c r="E640" s="17"/>
      <c r="F640" s="17"/>
      <c r="G640" s="42">
        <v>1317.12</v>
      </c>
      <c r="H640" s="42">
        <v>73.09</v>
      </c>
      <c r="I640" s="43" t="s">
        <v>172</v>
      </c>
      <c r="J640" s="43" t="s">
        <v>343</v>
      </c>
      <c r="K640" s="43" t="s">
        <v>537</v>
      </c>
      <c r="L640" s="44" t="s">
        <v>233</v>
      </c>
      <c r="M640" s="45" t="s">
        <v>433</v>
      </c>
      <c r="N640" s="44" t="s">
        <v>144</v>
      </c>
      <c r="O640" s="17"/>
      <c r="P640" s="17"/>
      <c r="Q640" s="17"/>
      <c r="R640" s="17"/>
      <c r="S640" s="17"/>
      <c r="T640" s="17"/>
      <c r="U640" s="17"/>
      <c r="V640" s="17"/>
      <c r="W640" s="17"/>
      <c r="X640" s="17"/>
      <c r="Y640" s="46" t="str">
        <f ca="1">IFERROR(VLOOKUP(A640,catalogo!$E:$H,2,0),"-")</f>
        <v>Recruiting</v>
      </c>
      <c r="Z640" s="47" t="str">
        <f ca="1">IFERROR(VLOOKUP(A640,catalogo!$E:$G,3,0),"-")</f>
        <v>LinkedIn</v>
      </c>
      <c r="AA640" s="48"/>
      <c r="AB640" s="48"/>
      <c r="AC640" s="48" t="str">
        <f ca="1">IFERROR(VLOOKUP(A640,catalogo!$E:$H,4,0),"-")</f>
        <v>.</v>
      </c>
      <c r="AD640" s="48"/>
      <c r="AE640" s="48"/>
      <c r="AF640" s="48"/>
      <c r="AG640" s="48"/>
      <c r="AH640" s="48"/>
      <c r="AI640" s="48"/>
    </row>
    <row r="641" spans="1:35" ht="12.5" hidden="1">
      <c r="A641" s="37" t="s">
        <v>1336</v>
      </c>
      <c r="B641" s="38" t="str">
        <f>IFERROR(VLOOKUP(J641,catalogo!$B$1:$C$100,2,0),"-")</f>
        <v>-</v>
      </c>
      <c r="C641" s="39">
        <v>46069.416666666664</v>
      </c>
      <c r="D641" s="17"/>
      <c r="E641" s="17"/>
      <c r="F641" s="17"/>
      <c r="G641" s="42">
        <v>382.35</v>
      </c>
      <c r="H641" s="42">
        <v>382.35</v>
      </c>
      <c r="I641" s="43" t="s">
        <v>156</v>
      </c>
      <c r="J641" s="43" t="s">
        <v>321</v>
      </c>
      <c r="K641" s="43" t="s">
        <v>1309</v>
      </c>
      <c r="L641" s="44" t="s">
        <v>1310</v>
      </c>
      <c r="M641" s="45">
        <v>3340</v>
      </c>
      <c r="N641" s="44" t="s">
        <v>167</v>
      </c>
      <c r="O641" s="17"/>
      <c r="P641" s="17"/>
      <c r="Q641" s="17"/>
      <c r="R641" s="17"/>
      <c r="S641" s="17"/>
      <c r="T641" s="17"/>
      <c r="U641" s="17"/>
      <c r="V641" s="17"/>
      <c r="W641" s="17"/>
      <c r="X641" s="17"/>
      <c r="Y641" s="46" t="str">
        <f ca="1">IFERROR(VLOOKUP(A641,catalogo!$E:$G,2,0),"-")</f>
        <v>-</v>
      </c>
      <c r="Z641" s="47" t="str">
        <f ca="1">IFERROR(VLOOKUP(A641,catalogo!$E:$G,3,0),"-")</f>
        <v>-</v>
      </c>
      <c r="AA641" s="48"/>
      <c r="AB641" s="48"/>
      <c r="AC641" s="48" t="str">
        <f ca="1">IFERROR(VLOOKUP(A641,catalogo!$E:$H,4,0),"-")</f>
        <v>-</v>
      </c>
      <c r="AD641" s="48"/>
      <c r="AE641" s="48"/>
      <c r="AF641" s="48"/>
      <c r="AG641" s="48"/>
      <c r="AH641" s="48"/>
      <c r="AI641" s="48"/>
    </row>
    <row r="642" spans="1:35" ht="12.5" hidden="1">
      <c r="A642" s="37" t="s">
        <v>1337</v>
      </c>
      <c r="B642" s="38" t="str">
        <f>IFERROR(VLOOKUP(J642,catalogo!$B$1:$C$75,2,0),"-")</f>
        <v>-</v>
      </c>
      <c r="C642" s="39">
        <v>46069.416666666664</v>
      </c>
      <c r="D642" s="17"/>
      <c r="E642" s="17"/>
      <c r="F642" s="17"/>
      <c r="G642" s="42">
        <v>368.26</v>
      </c>
      <c r="H642" s="42">
        <v>368.26</v>
      </c>
      <c r="I642" s="43" t="s">
        <v>156</v>
      </c>
      <c r="J642" s="43" t="s">
        <v>187</v>
      </c>
      <c r="K642" s="43" t="s">
        <v>180</v>
      </c>
      <c r="L642" s="44" t="s">
        <v>181</v>
      </c>
      <c r="M642" s="45" t="s">
        <v>477</v>
      </c>
      <c r="N642" s="44" t="s">
        <v>144</v>
      </c>
      <c r="O642" s="17"/>
      <c r="P642" s="17"/>
      <c r="Q642" s="17"/>
      <c r="R642" s="17"/>
      <c r="S642" s="17"/>
      <c r="T642" s="17"/>
      <c r="U642" s="17"/>
      <c r="V642" s="17"/>
      <c r="W642" s="17"/>
      <c r="X642" s="17"/>
      <c r="Y642" s="46" t="str">
        <f ca="1">IFERROR(VLOOKUP(A642,catalogo!$E:$H,2,0),"-")</f>
        <v>-</v>
      </c>
      <c r="Z642" s="47" t="str">
        <f ca="1">IFERROR(VLOOKUP(A642,catalogo!$E:$G,3,0),"-")</f>
        <v>-</v>
      </c>
      <c r="AA642" s="48"/>
      <c r="AB642" s="48"/>
      <c r="AC642" s="48" t="str">
        <f ca="1">IFERROR(VLOOKUP(A642,catalogo!$E:$H,4,0),"-")</f>
        <v>-</v>
      </c>
      <c r="AD642" s="48"/>
      <c r="AE642" s="48"/>
      <c r="AF642" s="48"/>
      <c r="AG642" s="48"/>
      <c r="AH642" s="48"/>
      <c r="AI642" s="48"/>
    </row>
    <row r="643" spans="1:35" ht="12.5" hidden="1">
      <c r="A643" s="37" t="s">
        <v>1338</v>
      </c>
      <c r="B643" s="38" t="str">
        <f>IFERROR(VLOOKUP(J643,catalogo!$B$1:$C$85,2,0),"-")</f>
        <v>#26</v>
      </c>
      <c r="C643" s="39">
        <v>46069.416666666664</v>
      </c>
      <c r="D643" s="17"/>
      <c r="E643" s="17"/>
      <c r="F643" s="17"/>
      <c r="G643" s="42">
        <v>233.68</v>
      </c>
      <c r="H643" s="42">
        <v>233.68</v>
      </c>
      <c r="I643" s="43" t="s">
        <v>156</v>
      </c>
      <c r="J643" s="43" t="s">
        <v>67</v>
      </c>
      <c r="K643" s="43" t="s">
        <v>284</v>
      </c>
      <c r="L643" s="44" t="s">
        <v>233</v>
      </c>
      <c r="M643" s="45">
        <v>8061</v>
      </c>
      <c r="N643" s="44" t="s">
        <v>167</v>
      </c>
      <c r="O643" s="17"/>
      <c r="P643" s="17"/>
      <c r="Q643" s="17"/>
      <c r="R643" s="17"/>
      <c r="S643" s="17"/>
      <c r="T643" s="17"/>
      <c r="U643" s="17"/>
      <c r="V643" s="17"/>
      <c r="W643" s="17"/>
      <c r="X643" s="17"/>
      <c r="Y643" s="46" t="str">
        <f ca="1">IFERROR(VLOOKUP(A643,catalogo!$E:$G,2,0),"-")</f>
        <v>-</v>
      </c>
      <c r="Z643" s="47" t="str">
        <f ca="1">IFERROR(VLOOKUP(A643,catalogo!$E:$G,3,0),"-")</f>
        <v>-</v>
      </c>
      <c r="AA643" s="48"/>
      <c r="AB643" s="48"/>
      <c r="AC643" s="48" t="str">
        <f ca="1">IFERROR(VLOOKUP(A643,catalogo!$E:$H,4,0),"-")</f>
        <v>-</v>
      </c>
      <c r="AD643" s="48"/>
      <c r="AE643" s="48"/>
      <c r="AF643" s="48"/>
      <c r="AG643" s="48"/>
      <c r="AH643" s="48"/>
      <c r="AI643" s="48"/>
    </row>
    <row r="644" spans="1:35" ht="15.5" hidden="1">
      <c r="A644" s="37" t="s">
        <v>1339</v>
      </c>
      <c r="B644" s="38" t="str">
        <f>IFERROR(VLOOKUP(J644,catalogo!$B$1:$C$75,2,0),"-")</f>
        <v>#74</v>
      </c>
      <c r="C644" s="39">
        <v>46069.416666666664</v>
      </c>
      <c r="D644" s="17"/>
      <c r="E644" s="17"/>
      <c r="F644" s="17"/>
      <c r="G644" s="42">
        <v>369.98</v>
      </c>
      <c r="H644" s="42">
        <v>369.98</v>
      </c>
      <c r="I644" s="43" t="s">
        <v>156</v>
      </c>
      <c r="J644" s="43" t="s">
        <v>286</v>
      </c>
      <c r="K644" s="43" t="s">
        <v>232</v>
      </c>
      <c r="L644" s="44" t="s">
        <v>233</v>
      </c>
      <c r="M644" s="45">
        <v>5481</v>
      </c>
      <c r="N644" s="44" t="s">
        <v>167</v>
      </c>
      <c r="O644" s="49"/>
      <c r="P644" s="17"/>
      <c r="Q644" s="17"/>
      <c r="R644" s="17"/>
      <c r="S644" s="17"/>
      <c r="T644" s="17"/>
      <c r="U644" s="17"/>
      <c r="V644" s="17"/>
      <c r="W644" s="17"/>
      <c r="X644" s="17"/>
      <c r="Y644" s="46" t="str">
        <f ca="1">IFERROR(VLOOKUP(A644,catalogo!$E:$H,2,0),"-")</f>
        <v>-</v>
      </c>
      <c r="Z644" s="47" t="str">
        <f ca="1">IFERROR(VLOOKUP(A644,catalogo!$E:$G,3,0),"-")</f>
        <v>-</v>
      </c>
      <c r="AA644" s="48"/>
      <c r="AB644" s="48"/>
      <c r="AC644" s="48" t="str">
        <f ca="1">IFERROR(VLOOKUP(A644,catalogo!$E:$H,4,0),"-")</f>
        <v>-</v>
      </c>
      <c r="AD644" s="48"/>
      <c r="AE644" s="48"/>
      <c r="AF644" s="48"/>
      <c r="AG644" s="48"/>
      <c r="AH644" s="48"/>
      <c r="AI644" s="48"/>
    </row>
    <row r="645" spans="1:35" ht="12.5" hidden="1">
      <c r="A645" s="37" t="s">
        <v>1340</v>
      </c>
      <c r="B645" s="38" t="str">
        <f>IFERROR(VLOOKUP(J645,catalogo!$B$1:$C$70,2,0),"-")</f>
        <v>-</v>
      </c>
      <c r="C645" s="39">
        <v>46069.416666666664</v>
      </c>
      <c r="D645" s="17"/>
      <c r="E645" s="17"/>
      <c r="F645" s="17"/>
      <c r="G645" s="42">
        <v>224.45</v>
      </c>
      <c r="H645" s="42">
        <v>224.45</v>
      </c>
      <c r="I645" s="43" t="s">
        <v>156</v>
      </c>
      <c r="J645" s="43" t="s">
        <v>286</v>
      </c>
      <c r="K645" s="43" t="s">
        <v>284</v>
      </c>
      <c r="L645" s="44" t="s">
        <v>233</v>
      </c>
      <c r="M645" s="45">
        <v>5481</v>
      </c>
      <c r="N645" s="44" t="s">
        <v>167</v>
      </c>
      <c r="O645" s="17"/>
      <c r="P645" s="17"/>
      <c r="Q645" s="17"/>
      <c r="R645" s="17"/>
      <c r="S645" s="17"/>
      <c r="T645" s="17"/>
      <c r="U645" s="17"/>
      <c r="V645" s="17"/>
      <c r="W645" s="17"/>
      <c r="X645" s="17"/>
      <c r="Y645" s="46" t="str">
        <f ca="1">IFERROR(VLOOKUP(A645,catalogo!$E:$G,2,0),"-")</f>
        <v>-</v>
      </c>
      <c r="Z645" s="47" t="str">
        <f ca="1">IFERROR(VLOOKUP(A645,catalogo!$E:$G,3,0),"-")</f>
        <v>-</v>
      </c>
      <c r="AA645" s="48"/>
      <c r="AB645" s="48"/>
      <c r="AC645" s="48" t="str">
        <f ca="1">IFERROR(VLOOKUP(A645,catalogo!$E:$H,4,0),"-")</f>
        <v>-</v>
      </c>
      <c r="AD645" s="48"/>
      <c r="AE645" s="48"/>
      <c r="AF645" s="48"/>
      <c r="AG645" s="48"/>
      <c r="AH645" s="48"/>
      <c r="AI645" s="48"/>
    </row>
    <row r="646" spans="1:35" ht="12.5" hidden="1">
      <c r="A646" s="37" t="s">
        <v>1341</v>
      </c>
      <c r="B646" s="38" t="str">
        <f>IFERROR(VLOOKUP(J646,catalogo!$B$1:$C$75,2,0),"-")</f>
        <v>-</v>
      </c>
      <c r="C646" s="39">
        <v>46069.416666666664</v>
      </c>
      <c r="D646" s="40"/>
      <c r="E646" s="41"/>
      <c r="F646" s="41"/>
      <c r="G646" s="42">
        <v>74.89</v>
      </c>
      <c r="H646" s="42">
        <v>74.89</v>
      </c>
      <c r="I646" s="43" t="s">
        <v>156</v>
      </c>
      <c r="J646" s="43" t="s">
        <v>187</v>
      </c>
      <c r="K646" s="43" t="s">
        <v>232</v>
      </c>
      <c r="L646" s="44" t="s">
        <v>233</v>
      </c>
      <c r="M646" s="45" t="s">
        <v>477</v>
      </c>
      <c r="N646" s="44" t="s">
        <v>144</v>
      </c>
      <c r="O646" s="41"/>
      <c r="P646" s="41"/>
      <c r="Q646" s="41"/>
      <c r="R646" s="41"/>
      <c r="S646" s="41"/>
      <c r="T646" s="41"/>
      <c r="U646" s="41"/>
      <c r="V646" s="41"/>
      <c r="W646" s="41"/>
      <c r="X646" s="41"/>
      <c r="Y646" s="46" t="str">
        <f ca="1">IFERROR(VLOOKUP(A646,catalogo!$E:$H,2,0),"-")</f>
        <v>-</v>
      </c>
      <c r="Z646" s="47" t="str">
        <f ca="1">IFERROR(VLOOKUP(A646,catalogo!$E:$G,3,0),"-")</f>
        <v>-</v>
      </c>
      <c r="AA646" s="48"/>
      <c r="AB646" s="48"/>
      <c r="AC646" s="48" t="str">
        <f ca="1">IFERROR(VLOOKUP(A646,catalogo!$E:$H,4,0),"-")</f>
        <v>-</v>
      </c>
      <c r="AD646" s="48"/>
      <c r="AE646" s="48"/>
      <c r="AF646" s="48"/>
      <c r="AG646" s="48"/>
      <c r="AH646" s="48"/>
      <c r="AI646" s="48"/>
    </row>
    <row r="647" spans="1:35" ht="12.5" hidden="1">
      <c r="A647" s="37" t="s">
        <v>334</v>
      </c>
      <c r="B647" s="38" t="str">
        <f>IFERROR(VLOOKUP(J647,catalogo!$B$1:$C$75,2,0),"-")</f>
        <v>#42</v>
      </c>
      <c r="C647" s="39">
        <v>46069.416666666664</v>
      </c>
      <c r="D647" s="17"/>
      <c r="E647" s="17"/>
      <c r="F647" s="17"/>
      <c r="G647" s="42">
        <v>184.99</v>
      </c>
      <c r="H647" s="42">
        <v>184.99</v>
      </c>
      <c r="I647" s="43" t="s">
        <v>156</v>
      </c>
      <c r="J647" s="43" t="s">
        <v>78</v>
      </c>
      <c r="K647" s="43" t="s">
        <v>1342</v>
      </c>
      <c r="L647" s="44" t="s">
        <v>1343</v>
      </c>
      <c r="M647" s="45" t="s">
        <v>1112</v>
      </c>
      <c r="N647" s="44" t="s">
        <v>144</v>
      </c>
      <c r="O647" s="17"/>
      <c r="P647" s="17"/>
      <c r="Q647" s="17"/>
      <c r="R647" s="17"/>
      <c r="S647" s="17"/>
      <c r="T647" s="17"/>
      <c r="U647" s="17"/>
      <c r="V647" s="17"/>
      <c r="W647" s="17"/>
      <c r="X647" s="17"/>
      <c r="Y647" s="46" t="str">
        <f ca="1">IFERROR(VLOOKUP(A647,catalogo!$E:$H,2,0),"-")</f>
        <v>-</v>
      </c>
      <c r="Z647" s="47" t="str">
        <f ca="1">IFERROR(VLOOKUP(A647,catalogo!$E:$G,3,0),"-")</f>
        <v>-</v>
      </c>
      <c r="AA647" s="48"/>
      <c r="AB647" s="48"/>
      <c r="AC647" s="48" t="str">
        <f ca="1">IFERROR(VLOOKUP(A647,catalogo!$E:$H,4,0),"-")</f>
        <v>-</v>
      </c>
      <c r="AD647" s="48"/>
      <c r="AE647" s="48"/>
      <c r="AF647" s="48"/>
      <c r="AG647" s="48"/>
      <c r="AH647" s="48"/>
      <c r="AI647" s="48"/>
    </row>
    <row r="648" spans="1:35" ht="12.5" hidden="1">
      <c r="A648" s="37" t="s">
        <v>1344</v>
      </c>
      <c r="B648" s="38" t="str">
        <f>IFERROR(VLOOKUP(J648,catalogo!$B$1:$C$75,2,0),"-")</f>
        <v>-</v>
      </c>
      <c r="C648" s="39">
        <v>46069.416666666664</v>
      </c>
      <c r="D648" s="40"/>
      <c r="E648" s="41"/>
      <c r="F648" s="41"/>
      <c r="G648" s="42">
        <v>258.95999999999998</v>
      </c>
      <c r="H648" s="42">
        <v>258.95999999999998</v>
      </c>
      <c r="I648" s="43" t="s">
        <v>156</v>
      </c>
      <c r="J648" s="43" t="s">
        <v>321</v>
      </c>
      <c r="K648" s="43" t="s">
        <v>180</v>
      </c>
      <c r="L648" s="44" t="s">
        <v>181</v>
      </c>
      <c r="M648" s="44">
        <v>3340</v>
      </c>
      <c r="N648" s="44" t="s">
        <v>167</v>
      </c>
      <c r="O648" s="41"/>
      <c r="P648" s="41"/>
      <c r="Q648" s="41"/>
      <c r="R648" s="41"/>
      <c r="S648" s="41"/>
      <c r="T648" s="41"/>
      <c r="U648" s="41"/>
      <c r="V648" s="41"/>
      <c r="W648" s="41"/>
      <c r="X648" s="41"/>
      <c r="Y648" s="46" t="str">
        <f ca="1">IFERROR(VLOOKUP(A648,catalogo!$E:$H,2,0),"-")</f>
        <v>-</v>
      </c>
      <c r="Z648" s="47" t="str">
        <f ca="1">IFERROR(VLOOKUP(A648,catalogo!$E:$G,3,0),"-")</f>
        <v>-</v>
      </c>
      <c r="AA648" s="48"/>
      <c r="AB648" s="48"/>
      <c r="AC648" s="48" t="str">
        <f ca="1">IFERROR(VLOOKUP(A648,catalogo!$E:$H,4,0),"-")</f>
        <v>-</v>
      </c>
      <c r="AD648" s="48"/>
      <c r="AE648" s="48"/>
      <c r="AF648" s="48"/>
      <c r="AG648" s="48"/>
      <c r="AH648" s="48"/>
      <c r="AI648" s="48"/>
    </row>
    <row r="649" spans="1:35" ht="12.5" hidden="1">
      <c r="A649" s="37" t="s">
        <v>256</v>
      </c>
      <c r="B649" s="38" t="str">
        <f>IFERROR(VLOOKUP(J649,catalogo!$B$1:$C$75,2,0),"-")</f>
        <v>#52</v>
      </c>
      <c r="C649" s="39">
        <v>46069.416666666664</v>
      </c>
      <c r="D649" s="17"/>
      <c r="E649" s="17"/>
      <c r="F649" s="17"/>
      <c r="G649" s="42">
        <v>7761</v>
      </c>
      <c r="H649" s="42">
        <v>7761</v>
      </c>
      <c r="I649" s="43" t="s">
        <v>156</v>
      </c>
      <c r="J649" s="43" t="s">
        <v>253</v>
      </c>
      <c r="K649" s="43" t="s">
        <v>887</v>
      </c>
      <c r="L649" s="44" t="s">
        <v>552</v>
      </c>
      <c r="M649" s="45" t="s">
        <v>1345</v>
      </c>
      <c r="N649" s="44" t="s">
        <v>144</v>
      </c>
      <c r="O649" s="17"/>
      <c r="P649" s="17"/>
      <c r="Q649" s="17"/>
      <c r="R649" s="17"/>
      <c r="S649" s="17"/>
      <c r="T649" s="17"/>
      <c r="U649" s="17"/>
      <c r="V649" s="17"/>
      <c r="W649" s="17"/>
      <c r="X649" s="17"/>
      <c r="Y649" s="46" t="str">
        <f ca="1">IFERROR(VLOOKUP(A649,catalogo!$E:$H,2,0),"-")</f>
        <v>-</v>
      </c>
      <c r="Z649" s="47" t="str">
        <f ca="1">IFERROR(VLOOKUP(A649,catalogo!$E:$G,3,0),"-")</f>
        <v>-</v>
      </c>
      <c r="AA649" s="48"/>
      <c r="AB649" s="48"/>
      <c r="AC649" s="48" t="str">
        <f ca="1">IFERROR(VLOOKUP(A649,catalogo!$E:$H,4,0),"-")</f>
        <v>-</v>
      </c>
      <c r="AD649" s="48"/>
      <c r="AE649" s="48"/>
      <c r="AF649" s="48"/>
      <c r="AG649" s="48"/>
      <c r="AH649" s="48"/>
      <c r="AI649" s="48"/>
    </row>
    <row r="650" spans="1:35" ht="12.5" hidden="1">
      <c r="A650" s="37" t="s">
        <v>1346</v>
      </c>
      <c r="B650" s="38" t="str">
        <f>IFERROR(VLOOKUP(J650,catalogo!$B$1:$C$100,2,0),"-")</f>
        <v>#68</v>
      </c>
      <c r="C650" s="39">
        <v>46069.416666666664</v>
      </c>
      <c r="D650" s="17"/>
      <c r="E650" s="17"/>
      <c r="F650" s="17"/>
      <c r="G650" s="53">
        <v>405.96</v>
      </c>
      <c r="H650" s="53">
        <v>405.96</v>
      </c>
      <c r="I650" s="43" t="s">
        <v>156</v>
      </c>
      <c r="J650" s="43" t="s">
        <v>384</v>
      </c>
      <c r="K650" s="43" t="s">
        <v>180</v>
      </c>
      <c r="L650" s="44" t="s">
        <v>181</v>
      </c>
      <c r="M650" s="44">
        <v>2937</v>
      </c>
      <c r="N650" s="44" t="s">
        <v>167</v>
      </c>
      <c r="O650" s="17"/>
      <c r="P650" s="17"/>
      <c r="Q650" s="17"/>
      <c r="R650" s="17"/>
      <c r="S650" s="17"/>
      <c r="T650" s="17"/>
      <c r="U650" s="17"/>
      <c r="V650" s="17"/>
      <c r="W650" s="17"/>
      <c r="X650" s="17"/>
      <c r="Y650" s="46"/>
      <c r="Z650" s="47"/>
      <c r="AA650" s="48"/>
      <c r="AB650" s="48"/>
      <c r="AC650" s="48"/>
      <c r="AD650" s="48"/>
      <c r="AE650" s="48"/>
      <c r="AF650" s="48"/>
      <c r="AG650" s="48"/>
      <c r="AH650" s="48"/>
      <c r="AI650" s="48"/>
    </row>
    <row r="651" spans="1:35" ht="12.5" hidden="1">
      <c r="A651" s="37" t="s">
        <v>1347</v>
      </c>
      <c r="B651" s="38" t="str">
        <f>IFERROR(VLOOKUP(J651,catalogo!$B$1:$C$70,2,0),"-")</f>
        <v>#52</v>
      </c>
      <c r="C651" s="39">
        <v>46069.416666666664</v>
      </c>
      <c r="D651" s="17"/>
      <c r="E651" s="17"/>
      <c r="F651" s="17"/>
      <c r="G651" s="42">
        <v>5517</v>
      </c>
      <c r="H651" s="42">
        <v>5517</v>
      </c>
      <c r="I651" s="43" t="s">
        <v>156</v>
      </c>
      <c r="J651" s="43" t="s">
        <v>253</v>
      </c>
      <c r="K651" s="43" t="s">
        <v>887</v>
      </c>
      <c r="L651" s="44" t="s">
        <v>552</v>
      </c>
      <c r="M651" s="44" t="s">
        <v>1345</v>
      </c>
      <c r="N651" s="44" t="s">
        <v>144</v>
      </c>
      <c r="O651" s="17"/>
      <c r="P651" s="17"/>
      <c r="Q651" s="17"/>
      <c r="R651" s="17"/>
      <c r="S651" s="17"/>
      <c r="T651" s="17"/>
      <c r="U651" s="17"/>
      <c r="V651" s="17"/>
      <c r="W651" s="17"/>
      <c r="X651" s="17"/>
      <c r="Y651" s="46" t="str">
        <f ca="1">IFERROR(VLOOKUP(A651,catalogo!$E:$G,2,0),"-")</f>
        <v>-</v>
      </c>
      <c r="Z651" s="47" t="str">
        <f ca="1">IFERROR(VLOOKUP(A651,catalogo!$E:$G,3,0),"-")</f>
        <v>-</v>
      </c>
      <c r="AA651" s="48"/>
      <c r="AB651" s="48"/>
      <c r="AC651" s="48" t="str">
        <f ca="1">IFERROR(VLOOKUP(A651,catalogo!$E:$H,4,0),"-")</f>
        <v>-</v>
      </c>
      <c r="AD651" s="48"/>
      <c r="AE651" s="48"/>
      <c r="AF651" s="48"/>
      <c r="AG651" s="48"/>
      <c r="AH651" s="48"/>
      <c r="AI651" s="48"/>
    </row>
    <row r="652" spans="1:35" ht="12.5" hidden="1">
      <c r="A652" s="37" t="s">
        <v>1348</v>
      </c>
      <c r="B652" s="38" t="str">
        <f>IFERROR(VLOOKUP(J652,catalogo!$B$1:$C$100,2,0),"-")</f>
        <v>#26</v>
      </c>
      <c r="C652" s="39">
        <v>46069.416666666664</v>
      </c>
      <c r="D652" s="17"/>
      <c r="E652" s="17"/>
      <c r="F652" s="17"/>
      <c r="G652" s="42">
        <v>216</v>
      </c>
      <c r="H652" s="42">
        <v>216</v>
      </c>
      <c r="I652" s="43" t="s">
        <v>156</v>
      </c>
      <c r="J652" s="43" t="s">
        <v>67</v>
      </c>
      <c r="K652" s="43" t="s">
        <v>335</v>
      </c>
      <c r="L652" s="44" t="s">
        <v>336</v>
      </c>
      <c r="M652" s="45" t="s">
        <v>159</v>
      </c>
      <c r="N652" s="44" t="s">
        <v>144</v>
      </c>
      <c r="O652" s="17"/>
      <c r="P652" s="17"/>
      <c r="Q652" s="17"/>
      <c r="R652" s="17"/>
      <c r="S652" s="17"/>
      <c r="T652" s="17"/>
      <c r="U652" s="17"/>
      <c r="V652" s="17"/>
      <c r="W652" s="17"/>
      <c r="X652" s="17"/>
      <c r="Y652" s="46" t="str">
        <f ca="1">IFERROR(VLOOKUP(A652,catalogo!$E:$G,2,0),"-")</f>
        <v>-</v>
      </c>
      <c r="Z652" s="47" t="str">
        <f ca="1">IFERROR(VLOOKUP(A652,catalogo!$E:$G,3,0),"-")</f>
        <v>-</v>
      </c>
      <c r="AA652" s="48"/>
      <c r="AB652" s="48"/>
      <c r="AC652" s="48" t="str">
        <f ca="1">IFERROR(VLOOKUP(A652,catalogo!$E:$H,4,0),"-")</f>
        <v>-</v>
      </c>
      <c r="AD652" s="48"/>
      <c r="AE652" s="48"/>
      <c r="AF652" s="48"/>
      <c r="AG652" s="48"/>
      <c r="AH652" s="48"/>
      <c r="AI652" s="48"/>
    </row>
    <row r="653" spans="1:35" ht="12.5" hidden="1">
      <c r="A653" s="37" t="s">
        <v>1349</v>
      </c>
      <c r="B653" s="38" t="str">
        <f>IFERROR(VLOOKUP(J653,catalogo!$B$1:$C$75,2,0),"-")</f>
        <v>#69</v>
      </c>
      <c r="C653" s="39">
        <v>46069.416666666664</v>
      </c>
      <c r="D653" s="17"/>
      <c r="E653" s="17"/>
      <c r="F653" s="17"/>
      <c r="G653" s="42">
        <v>8897.3799999999992</v>
      </c>
      <c r="H653" s="42">
        <v>8897.3799999999992</v>
      </c>
      <c r="I653" s="43" t="s">
        <v>156</v>
      </c>
      <c r="J653" s="43" t="s">
        <v>110</v>
      </c>
      <c r="K653" s="43" t="s">
        <v>347</v>
      </c>
      <c r="L653" s="44" t="s">
        <v>348</v>
      </c>
      <c r="M653" s="45" t="s">
        <v>464</v>
      </c>
      <c r="N653" s="44" t="s">
        <v>144</v>
      </c>
      <c r="O653" s="17"/>
      <c r="P653" s="17"/>
      <c r="Q653" s="17"/>
      <c r="R653" s="17"/>
      <c r="S653" s="17"/>
      <c r="T653" s="17"/>
      <c r="U653" s="17"/>
      <c r="V653" s="17"/>
      <c r="W653" s="17"/>
      <c r="X653" s="17"/>
      <c r="Y653" s="46" t="str">
        <f ca="1">IFERROR(VLOOKUP(A653,catalogo!$E:$H,2,0),"-")</f>
        <v>-</v>
      </c>
      <c r="Z653" s="47" t="str">
        <f ca="1">IFERROR(VLOOKUP(A653,catalogo!$E:$G,3,0),"-")</f>
        <v>-</v>
      </c>
      <c r="AA653" s="48"/>
      <c r="AB653" s="48"/>
      <c r="AC653" s="48" t="str">
        <f ca="1">IFERROR(VLOOKUP(A653,catalogo!$E:$H,4,0),"-")</f>
        <v>-</v>
      </c>
      <c r="AD653" s="48"/>
      <c r="AE653" s="48"/>
      <c r="AF653" s="48"/>
      <c r="AG653" s="48"/>
      <c r="AH653" s="48"/>
      <c r="AI653" s="48"/>
    </row>
    <row r="654" spans="1:35" ht="15.5" hidden="1">
      <c r="A654" s="37" t="s">
        <v>1350</v>
      </c>
      <c r="B654" s="38" t="str">
        <f>IFERROR(VLOOKUP(J654,catalogo!$B$1:$C$75,2,0),"-")</f>
        <v>-</v>
      </c>
      <c r="C654" s="39">
        <v>46069.416666666664</v>
      </c>
      <c r="D654" s="17"/>
      <c r="E654" s="17"/>
      <c r="F654" s="17"/>
      <c r="G654" s="42">
        <v>139</v>
      </c>
      <c r="H654" s="42">
        <v>139</v>
      </c>
      <c r="I654" s="43" t="s">
        <v>156</v>
      </c>
      <c r="J654" s="43" t="s">
        <v>102</v>
      </c>
      <c r="K654" s="43" t="s">
        <v>1351</v>
      </c>
      <c r="L654" s="44" t="s">
        <v>820</v>
      </c>
      <c r="M654" s="45">
        <v>6448</v>
      </c>
      <c r="N654" s="44" t="s">
        <v>167</v>
      </c>
      <c r="O654" s="49"/>
      <c r="P654" s="17"/>
      <c r="Q654" s="17"/>
      <c r="R654" s="17"/>
      <c r="S654" s="17"/>
      <c r="T654" s="17"/>
      <c r="U654" s="17"/>
      <c r="V654" s="17"/>
      <c r="W654" s="17"/>
      <c r="X654" s="17"/>
      <c r="Y654" s="46" t="str">
        <f ca="1">IFERROR(VLOOKUP(A654,catalogo!$E:$H,2,0),"-")</f>
        <v>-</v>
      </c>
      <c r="Z654" s="47" t="str">
        <f ca="1">IFERROR(VLOOKUP(A654,catalogo!$E:$G,3,0),"-")</f>
        <v>-</v>
      </c>
      <c r="AA654" s="48"/>
      <c r="AB654" s="48"/>
      <c r="AC654" s="48" t="str">
        <f ca="1">IFERROR(VLOOKUP(A654,catalogo!$E:$H,4,0),"-")</f>
        <v>-</v>
      </c>
      <c r="AD654" s="48"/>
      <c r="AE654" s="48"/>
      <c r="AF654" s="48"/>
      <c r="AG654" s="48"/>
      <c r="AH654" s="48"/>
      <c r="AI654" s="48"/>
    </row>
    <row r="655" spans="1:35" ht="12.5" hidden="1">
      <c r="A655" s="37" t="s">
        <v>1352</v>
      </c>
      <c r="B655" s="38" t="str">
        <f>IFERROR(VLOOKUP(J655,catalogo!$B$1:$C$75,2,0),"-")</f>
        <v>#26</v>
      </c>
      <c r="C655" s="39">
        <v>46069.416666666664</v>
      </c>
      <c r="D655" s="52"/>
      <c r="E655" s="17"/>
      <c r="F655" s="17"/>
      <c r="G655" s="42">
        <v>216</v>
      </c>
      <c r="H655" s="42">
        <v>216</v>
      </c>
      <c r="I655" s="43" t="s">
        <v>156</v>
      </c>
      <c r="J655" s="43" t="s">
        <v>67</v>
      </c>
      <c r="K655" s="43" t="s">
        <v>1353</v>
      </c>
      <c r="L655" s="44" t="s">
        <v>336</v>
      </c>
      <c r="M655" s="45" t="s">
        <v>159</v>
      </c>
      <c r="N655" s="44" t="s">
        <v>144</v>
      </c>
      <c r="O655" s="17"/>
      <c r="P655" s="17"/>
      <c r="Q655" s="17"/>
      <c r="R655" s="17"/>
      <c r="S655" s="17"/>
      <c r="T655" s="17"/>
      <c r="U655" s="17"/>
      <c r="V655" s="17"/>
      <c r="W655" s="17"/>
      <c r="X655" s="17"/>
      <c r="Y655" s="46" t="str">
        <f ca="1">IFERROR(VLOOKUP(A655,catalogo!$E:$H,2,0),"-")</f>
        <v>-</v>
      </c>
      <c r="Z655" s="47" t="str">
        <f ca="1">IFERROR(VLOOKUP(A655,catalogo!$E:$G,3,0),"-")</f>
        <v>-</v>
      </c>
      <c r="AA655" s="48"/>
      <c r="AB655" s="48"/>
      <c r="AC655" s="48" t="str">
        <f ca="1">IFERROR(VLOOKUP(A655,catalogo!$E:$H,4,0),"-")</f>
        <v>-</v>
      </c>
      <c r="AD655" s="48"/>
      <c r="AE655" s="48"/>
      <c r="AF655" s="48"/>
      <c r="AG655" s="48"/>
      <c r="AH655" s="48"/>
      <c r="AI655" s="48"/>
    </row>
    <row r="656" spans="1:35" ht="12.5" hidden="1">
      <c r="A656" s="37" t="s">
        <v>1354</v>
      </c>
      <c r="B656" s="38" t="str">
        <f>IFERROR(VLOOKUP(J656,catalogo!$B$1:$C$80,2,0),"-")</f>
        <v>#58</v>
      </c>
      <c r="C656" s="39">
        <v>46069.416666666664</v>
      </c>
      <c r="D656" s="17"/>
      <c r="E656" s="17"/>
      <c r="F656" s="17"/>
      <c r="G656" s="42">
        <v>47</v>
      </c>
      <c r="H656" s="42">
        <v>47</v>
      </c>
      <c r="I656" s="43" t="s">
        <v>156</v>
      </c>
      <c r="J656" s="43" t="s">
        <v>118</v>
      </c>
      <c r="K656" s="43" t="s">
        <v>1355</v>
      </c>
      <c r="L656" s="44" t="s">
        <v>1356</v>
      </c>
      <c r="M656" s="45" t="s">
        <v>163</v>
      </c>
      <c r="N656" s="44" t="s">
        <v>144</v>
      </c>
      <c r="O656" s="17"/>
      <c r="P656" s="17"/>
      <c r="Q656" s="17"/>
      <c r="R656" s="17"/>
      <c r="S656" s="17"/>
      <c r="T656" s="17"/>
      <c r="U656" s="17"/>
      <c r="V656" s="17"/>
      <c r="W656" s="17"/>
      <c r="X656" s="17"/>
      <c r="Y656" s="46" t="str">
        <f ca="1">IFERROR(VLOOKUP(A656,catalogo!$E:$G,2,0),"-")</f>
        <v>-</v>
      </c>
      <c r="Z656" s="47" t="str">
        <f ca="1">IFERROR(VLOOKUP(A656,catalogo!$E:$G,3,0),"-")</f>
        <v>-</v>
      </c>
      <c r="AA656" s="48"/>
      <c r="AB656" s="48"/>
      <c r="AC656" s="48" t="str">
        <f ca="1">IFERROR(VLOOKUP(A656,catalogo!$E:$H,4,0),"-")</f>
        <v>-</v>
      </c>
      <c r="AD656" s="48"/>
      <c r="AE656" s="48"/>
      <c r="AF656" s="48"/>
      <c r="AG656" s="48"/>
      <c r="AH656" s="48"/>
      <c r="AI656" s="48"/>
    </row>
    <row r="657" spans="1:35" ht="12.5" hidden="1">
      <c r="A657" s="37" t="s">
        <v>1357</v>
      </c>
      <c r="B657" s="38" t="str">
        <f>IFERROR(VLOOKUP(J657,catalogo!$B$1:$C$70,2,0),"-")</f>
        <v>#66</v>
      </c>
      <c r="C657" s="39">
        <v>46069.416666666664</v>
      </c>
      <c r="D657" s="17"/>
      <c r="E657" s="17"/>
      <c r="F657" s="17"/>
      <c r="G657" s="42">
        <v>245</v>
      </c>
      <c r="H657" s="42">
        <v>245</v>
      </c>
      <c r="I657" s="43" t="s">
        <v>156</v>
      </c>
      <c r="J657" s="43" t="s">
        <v>80</v>
      </c>
      <c r="K657" s="43" t="s">
        <v>1358</v>
      </c>
      <c r="L657" s="44" t="s">
        <v>407</v>
      </c>
      <c r="M657" s="45">
        <v>2406</v>
      </c>
      <c r="N657" s="44" t="s">
        <v>167</v>
      </c>
      <c r="O657" s="17"/>
      <c r="P657" s="17"/>
      <c r="Q657" s="17"/>
      <c r="R657" s="17"/>
      <c r="S657" s="17"/>
      <c r="T657" s="17"/>
      <c r="U657" s="17"/>
      <c r="V657" s="17"/>
      <c r="W657" s="17"/>
      <c r="X657" s="17"/>
      <c r="Y657" s="46" t="str">
        <f ca="1">IFERROR(VLOOKUP(A657,catalogo!$E:$G,2,0),"-")</f>
        <v>-</v>
      </c>
      <c r="Z657" s="47" t="str">
        <f ca="1">IFERROR(VLOOKUP(A657,catalogo!$E:$G,3,0),"-")</f>
        <v>-</v>
      </c>
      <c r="AA657" s="48"/>
      <c r="AB657" s="48"/>
      <c r="AC657" s="48" t="str">
        <f ca="1">IFERROR(VLOOKUP(A657,catalogo!$E:$H,4,0),"-")</f>
        <v>-</v>
      </c>
      <c r="AD657" s="48"/>
      <c r="AE657" s="48"/>
      <c r="AF657" s="48"/>
      <c r="AG657" s="48"/>
      <c r="AH657" s="48"/>
      <c r="AI657" s="48"/>
    </row>
    <row r="658" spans="1:35" ht="12.5" hidden="1">
      <c r="A658" s="37" t="s">
        <v>1359</v>
      </c>
      <c r="B658" s="38" t="str">
        <f>IFERROR(VLOOKUP(J658,catalogo!$B$1:$C$70,2,0),"-")</f>
        <v>-</v>
      </c>
      <c r="C658" s="39">
        <v>46069.416666666664</v>
      </c>
      <c r="D658" s="17"/>
      <c r="E658" s="17"/>
      <c r="F658" s="17"/>
      <c r="G658" s="42">
        <v>1000</v>
      </c>
      <c r="H658" s="42">
        <v>1000</v>
      </c>
      <c r="I658" s="43" t="s">
        <v>156</v>
      </c>
      <c r="J658" s="43" t="s">
        <v>286</v>
      </c>
      <c r="K658" s="43" t="s">
        <v>1360</v>
      </c>
      <c r="L658" s="44" t="s">
        <v>1361</v>
      </c>
      <c r="M658" s="45">
        <v>5481</v>
      </c>
      <c r="N658" s="44" t="s">
        <v>167</v>
      </c>
      <c r="O658" s="17"/>
      <c r="P658" s="17"/>
      <c r="Q658" s="17"/>
      <c r="R658" s="17"/>
      <c r="S658" s="17"/>
      <c r="T658" s="17"/>
      <c r="U658" s="17"/>
      <c r="V658" s="17"/>
      <c r="W658" s="17"/>
      <c r="X658" s="17"/>
      <c r="Y658" s="46" t="str">
        <f ca="1">IFERROR(VLOOKUP(A658,catalogo!$E:$G,2,0),"-")</f>
        <v>-</v>
      </c>
      <c r="Z658" s="47" t="str">
        <f ca="1">IFERROR(VLOOKUP(A658,catalogo!$E:$G,3,0),"-")</f>
        <v>-</v>
      </c>
      <c r="AA658" s="48"/>
      <c r="AB658" s="48"/>
      <c r="AC658" s="48" t="str">
        <f ca="1">IFERROR(VLOOKUP(A658,catalogo!$E:$H,4,0),"-")</f>
        <v>-</v>
      </c>
      <c r="AD658" s="48"/>
      <c r="AE658" s="48"/>
      <c r="AF658" s="48"/>
      <c r="AG658" s="48"/>
      <c r="AH658" s="48"/>
      <c r="AI658" s="48"/>
    </row>
    <row r="659" spans="1:35" ht="12.5" hidden="1">
      <c r="A659" s="37" t="s">
        <v>1362</v>
      </c>
      <c r="B659" s="38" t="str">
        <f>IFERROR(VLOOKUP(J659,catalogo!$B$1:$C$75,2,0),"-")</f>
        <v>#49</v>
      </c>
      <c r="C659" s="39">
        <v>46069.416666666664</v>
      </c>
      <c r="D659" s="17"/>
      <c r="E659" s="17"/>
      <c r="F659" s="17"/>
      <c r="G659" s="42">
        <v>1060.24</v>
      </c>
      <c r="H659" s="42">
        <v>1060.24</v>
      </c>
      <c r="I659" s="43" t="s">
        <v>156</v>
      </c>
      <c r="J659" s="43" t="s">
        <v>124</v>
      </c>
      <c r="K659" s="43" t="s">
        <v>1363</v>
      </c>
      <c r="L659" s="44" t="s">
        <v>1364</v>
      </c>
      <c r="M659" s="45">
        <v>4488</v>
      </c>
      <c r="N659" s="44" t="s">
        <v>167</v>
      </c>
      <c r="O659" s="17"/>
      <c r="P659" s="17"/>
      <c r="Q659" s="17"/>
      <c r="R659" s="17"/>
      <c r="S659" s="17"/>
      <c r="T659" s="17"/>
      <c r="U659" s="17"/>
      <c r="V659" s="17"/>
      <c r="W659" s="17"/>
      <c r="X659" s="17"/>
      <c r="Y659" s="46" t="str">
        <f ca="1">IFERROR(VLOOKUP(A659,catalogo!$E:$H,2,0),"-")</f>
        <v>-</v>
      </c>
      <c r="Z659" s="47" t="str">
        <f ca="1">IFERROR(VLOOKUP(A659,catalogo!$E:$G,3,0),"-")</f>
        <v>-</v>
      </c>
      <c r="AA659" s="48"/>
      <c r="AB659" s="48"/>
      <c r="AC659" s="48" t="str">
        <f ca="1">IFERROR(VLOOKUP(A659,catalogo!$E:$H,4,0),"-")</f>
        <v>-</v>
      </c>
      <c r="AD659" s="48"/>
      <c r="AE659" s="48"/>
      <c r="AF659" s="48"/>
      <c r="AG659" s="48"/>
      <c r="AH659" s="48"/>
      <c r="AI659" s="48"/>
    </row>
    <row r="660" spans="1:35" ht="15.5" hidden="1">
      <c r="A660" s="37" t="s">
        <v>1365</v>
      </c>
      <c r="B660" s="38" t="str">
        <f>IFERROR(VLOOKUP(J660,catalogo!$B$1:$C$75,2,0),"-")</f>
        <v>-</v>
      </c>
      <c r="C660" s="39">
        <v>46069.416666666664</v>
      </c>
      <c r="D660" s="17"/>
      <c r="E660" s="17"/>
      <c r="F660" s="17"/>
      <c r="G660" s="42">
        <v>25</v>
      </c>
      <c r="H660" s="42">
        <v>25</v>
      </c>
      <c r="I660" s="43" t="s">
        <v>156</v>
      </c>
      <c r="J660" s="43" t="s">
        <v>321</v>
      </c>
      <c r="K660" s="43" t="s">
        <v>841</v>
      </c>
      <c r="L660" s="44" t="s">
        <v>842</v>
      </c>
      <c r="M660" s="44">
        <v>3340</v>
      </c>
      <c r="N660" s="44" t="s">
        <v>167</v>
      </c>
      <c r="O660" s="49"/>
      <c r="P660" s="17"/>
      <c r="Q660" s="17"/>
      <c r="R660" s="17"/>
      <c r="S660" s="17"/>
      <c r="T660" s="17"/>
      <c r="U660" s="17"/>
      <c r="V660" s="17"/>
      <c r="W660" s="17"/>
      <c r="X660" s="17"/>
      <c r="Y660" s="46" t="str">
        <f ca="1">IFERROR(VLOOKUP(A660,catalogo!$E:$H,2,0),"-")</f>
        <v>-</v>
      </c>
      <c r="Z660" s="47" t="str">
        <f ca="1">IFERROR(VLOOKUP(A660,catalogo!$E:$G,3,0),"-")</f>
        <v>-</v>
      </c>
      <c r="AA660" s="48"/>
      <c r="AB660" s="48"/>
      <c r="AC660" s="48" t="str">
        <f ca="1">IFERROR(VLOOKUP(A660,catalogo!$E:$H,4,0),"-")</f>
        <v>-</v>
      </c>
      <c r="AD660" s="48"/>
      <c r="AE660" s="48"/>
      <c r="AF660" s="48"/>
      <c r="AG660" s="48"/>
      <c r="AH660" s="48"/>
      <c r="AI660" s="48"/>
    </row>
    <row r="661" spans="1:35" ht="15.5" hidden="1">
      <c r="A661" s="37" t="s">
        <v>1366</v>
      </c>
      <c r="B661" s="38" t="str">
        <f>IFERROR(VLOOKUP(J661,catalogo!$B$1:$C$75,2,0),"-")</f>
        <v>#2</v>
      </c>
      <c r="C661" s="39">
        <v>46069.416666666664</v>
      </c>
      <c r="D661" s="17"/>
      <c r="E661" s="17"/>
      <c r="F661" s="17"/>
      <c r="G661" s="42">
        <v>14399.42</v>
      </c>
      <c r="H661" s="42">
        <v>800</v>
      </c>
      <c r="I661" s="43" t="s">
        <v>172</v>
      </c>
      <c r="J661" s="43" t="s">
        <v>75</v>
      </c>
      <c r="K661" s="43" t="s">
        <v>1367</v>
      </c>
      <c r="L661" s="44" t="s">
        <v>1368</v>
      </c>
      <c r="M661" s="44" t="s">
        <v>199</v>
      </c>
      <c r="N661" s="44" t="s">
        <v>144</v>
      </c>
      <c r="O661" s="49"/>
      <c r="P661" s="17"/>
      <c r="Q661" s="17"/>
      <c r="R661" s="17"/>
      <c r="S661" s="17"/>
      <c r="T661" s="17"/>
      <c r="U661" s="17"/>
      <c r="V661" s="17"/>
      <c r="W661" s="17"/>
      <c r="X661" s="17"/>
      <c r="Y661" s="46" t="str">
        <f ca="1">IFERROR(VLOOKUP(A661,catalogo!$E:$H,2,0),"-")</f>
        <v>Tech&amp;Product</v>
      </c>
      <c r="Z661" s="47">
        <f ca="1">IFERROR(VLOOKUP(A661,catalogo!$E:$G,3,0),"-")</f>
        <v>0</v>
      </c>
      <c r="AA661" s="48"/>
      <c r="AB661" s="48"/>
      <c r="AC661" s="48" t="str">
        <f ca="1">IFERROR(VLOOKUP(A661,catalogo!$E:$H,4,0),"-")</f>
        <v>.</v>
      </c>
      <c r="AD661" s="48"/>
      <c r="AE661" s="48"/>
      <c r="AF661" s="48"/>
      <c r="AG661" s="48"/>
      <c r="AH661" s="48"/>
      <c r="AI661" s="48"/>
    </row>
    <row r="662" spans="1:35" ht="15.5">
      <c r="A662" s="37" t="s">
        <v>1369</v>
      </c>
      <c r="B662" s="38" t="str">
        <f>IFERROR(VLOOKUP(J662,catalogo!$B$1:$C$100,2,0),"-")</f>
        <v>#40</v>
      </c>
      <c r="C662" s="39">
        <v>46069.416666666664</v>
      </c>
      <c r="D662" s="17"/>
      <c r="E662" s="17"/>
      <c r="F662" s="17"/>
      <c r="G662" s="42">
        <v>359.99</v>
      </c>
      <c r="H662" s="42">
        <v>20</v>
      </c>
      <c r="I662" s="43" t="s">
        <v>172</v>
      </c>
      <c r="J662" s="43" t="s">
        <v>136</v>
      </c>
      <c r="K662" s="43" t="s">
        <v>173</v>
      </c>
      <c r="L662" s="44" t="s">
        <v>174</v>
      </c>
      <c r="M662" s="45" t="s">
        <v>882</v>
      </c>
      <c r="N662" s="44" t="s">
        <v>144</v>
      </c>
      <c r="O662" s="49"/>
      <c r="P662" s="17"/>
      <c r="Q662" s="17"/>
      <c r="R662" s="17"/>
      <c r="S662" s="17"/>
      <c r="T662" s="17"/>
      <c r="U662" s="17"/>
      <c r="V662" s="17"/>
      <c r="W662" s="17"/>
      <c r="X662" s="17"/>
      <c r="Y662" s="46" t="str">
        <f ca="1">IFERROR(VLOOKUP(A662,catalogo!$E:$H,2,0),"-")</f>
        <v>-</v>
      </c>
      <c r="Z662" s="47" t="str">
        <f ca="1">IFERROR(VLOOKUP(A662,catalogo!$E:$G,3,0),"-")</f>
        <v>-</v>
      </c>
      <c r="AA662" s="48"/>
      <c r="AB662" s="48"/>
      <c r="AC662" s="48" t="str">
        <f ca="1">IFERROR(VLOOKUP(A662,catalogo!$E:$H,4,0),"-")</f>
        <v>-</v>
      </c>
      <c r="AD662" s="48"/>
      <c r="AE662" s="48"/>
      <c r="AF662" s="48"/>
      <c r="AG662" s="48"/>
      <c r="AH662" s="48"/>
      <c r="AI662" s="48"/>
    </row>
    <row r="663" spans="1:35" ht="12.5" hidden="1">
      <c r="A663" s="37" t="s">
        <v>1370</v>
      </c>
      <c r="B663" s="38" t="str">
        <f>IFERROR(VLOOKUP(J663,catalogo!$B$1:$C$80,2,0),"-")</f>
        <v>-</v>
      </c>
      <c r="C663" s="39">
        <v>46069.416666666664</v>
      </c>
      <c r="D663" s="17"/>
      <c r="E663" s="17"/>
      <c r="F663" s="17"/>
      <c r="G663" s="42">
        <v>94</v>
      </c>
      <c r="H663" s="42">
        <v>94</v>
      </c>
      <c r="I663" s="43" t="s">
        <v>156</v>
      </c>
      <c r="J663" s="43" t="s">
        <v>187</v>
      </c>
      <c r="K663" s="43" t="s">
        <v>1371</v>
      </c>
      <c r="L663" s="44" t="s">
        <v>294</v>
      </c>
      <c r="M663" s="45" t="s">
        <v>190</v>
      </c>
      <c r="N663" s="44" t="s">
        <v>167</v>
      </c>
      <c r="O663" s="17"/>
      <c r="P663" s="17"/>
      <c r="Q663" s="17"/>
      <c r="R663" s="17"/>
      <c r="S663" s="17"/>
      <c r="T663" s="17"/>
      <c r="U663" s="17"/>
      <c r="V663" s="17"/>
      <c r="W663" s="17"/>
      <c r="X663" s="17"/>
      <c r="Y663" s="46" t="str">
        <f ca="1">IFERROR(VLOOKUP(A663,catalogo!$E:$G,2,0),"-")</f>
        <v>-</v>
      </c>
      <c r="Z663" s="47" t="str">
        <f ca="1">IFERROR(VLOOKUP(A663,catalogo!$E:$G,3,0),"-")</f>
        <v>-</v>
      </c>
      <c r="AA663" s="48"/>
      <c r="AB663" s="48"/>
      <c r="AC663" s="48" t="str">
        <f ca="1">IFERROR(VLOOKUP(A663,catalogo!$E:$H,4,0),"-")</f>
        <v>-</v>
      </c>
      <c r="AD663" s="48"/>
      <c r="AE663" s="48"/>
      <c r="AF663" s="48"/>
      <c r="AG663" s="48"/>
      <c r="AH663" s="48"/>
      <c r="AI663" s="48"/>
    </row>
    <row r="664" spans="1:35" ht="12.5" hidden="1">
      <c r="A664" s="37" t="s">
        <v>476</v>
      </c>
      <c r="B664" s="38" t="str">
        <f>IFERROR(VLOOKUP(J664,catalogo!$B$1:$C$75,2,0),"-")</f>
        <v>-</v>
      </c>
      <c r="C664" s="39">
        <v>46069.416666666664</v>
      </c>
      <c r="D664" s="52"/>
      <c r="E664" s="17"/>
      <c r="F664" s="17"/>
      <c r="G664" s="42">
        <v>25</v>
      </c>
      <c r="H664" s="42">
        <v>25</v>
      </c>
      <c r="I664" s="43" t="s">
        <v>156</v>
      </c>
      <c r="J664" s="43" t="s">
        <v>321</v>
      </c>
      <c r="K664" s="43" t="s">
        <v>841</v>
      </c>
      <c r="L664" s="44" t="s">
        <v>842</v>
      </c>
      <c r="M664" s="45">
        <v>3340</v>
      </c>
      <c r="N664" s="44" t="s">
        <v>167</v>
      </c>
      <c r="O664" s="17"/>
      <c r="P664" s="17"/>
      <c r="Q664" s="17"/>
      <c r="R664" s="17"/>
      <c r="S664" s="17"/>
      <c r="T664" s="17"/>
      <c r="U664" s="17"/>
      <c r="V664" s="17"/>
      <c r="W664" s="17"/>
      <c r="X664" s="17"/>
      <c r="Y664" s="46" t="str">
        <f ca="1">IFERROR(VLOOKUP(A664,catalogo!$E:$H,2,0),"-")</f>
        <v>-</v>
      </c>
      <c r="Z664" s="47" t="str">
        <f ca="1">IFERROR(VLOOKUP(A664,catalogo!$E:$G,3,0),"-")</f>
        <v>-</v>
      </c>
      <c r="AA664" s="48"/>
      <c r="AB664" s="48"/>
      <c r="AC664" s="48" t="str">
        <f ca="1">IFERROR(VLOOKUP(A664,catalogo!$E:$H,4,0),"-")</f>
        <v>-</v>
      </c>
      <c r="AD664" s="48"/>
      <c r="AE664" s="48"/>
      <c r="AF664" s="48"/>
      <c r="AG664" s="48"/>
      <c r="AH664" s="48"/>
      <c r="AI664" s="48"/>
    </row>
    <row r="665" spans="1:35" ht="12.5" hidden="1">
      <c r="A665" s="37" t="s">
        <v>1372</v>
      </c>
      <c r="B665" s="38" t="str">
        <f>IFERROR(VLOOKUP(J665,catalogo!$B$1:$C$75,2,0),"-")</f>
        <v>#64</v>
      </c>
      <c r="C665" s="39">
        <v>46069.416666666664</v>
      </c>
      <c r="D665" s="17"/>
      <c r="E665" s="17"/>
      <c r="F665" s="17"/>
      <c r="G665" s="42">
        <v>304</v>
      </c>
      <c r="H665" s="42">
        <v>304</v>
      </c>
      <c r="I665" s="43" t="s">
        <v>156</v>
      </c>
      <c r="J665" s="43" t="s">
        <v>139</v>
      </c>
      <c r="K665" s="43" t="s">
        <v>836</v>
      </c>
      <c r="L665" s="44" t="s">
        <v>655</v>
      </c>
      <c r="M665" s="44">
        <v>7142</v>
      </c>
      <c r="N665" s="44" t="s">
        <v>167</v>
      </c>
      <c r="O665" s="17"/>
      <c r="P665" s="17"/>
      <c r="Q665" s="17"/>
      <c r="R665" s="17"/>
      <c r="S665" s="17"/>
      <c r="T665" s="17"/>
      <c r="U665" s="17"/>
      <c r="V665" s="17"/>
      <c r="W665" s="17"/>
      <c r="X665" s="17"/>
      <c r="Y665" s="46" t="str">
        <f ca="1">IFERROR(VLOOKUP(A665,catalogo!$E:$H,2,0),"-")</f>
        <v>-</v>
      </c>
      <c r="Z665" s="47" t="str">
        <f ca="1">IFERROR(VLOOKUP(A665,catalogo!$E:$G,3,0),"-")</f>
        <v>-</v>
      </c>
      <c r="AA665" s="48"/>
      <c r="AB665" s="48"/>
      <c r="AC665" s="48" t="str">
        <f ca="1">IFERROR(VLOOKUP(A665,catalogo!$E:$H,4,0),"-")</f>
        <v>-</v>
      </c>
      <c r="AD665" s="48"/>
      <c r="AE665" s="48"/>
      <c r="AF665" s="48"/>
      <c r="AG665" s="48"/>
      <c r="AH665" s="48"/>
      <c r="AI665" s="48"/>
    </row>
    <row r="666" spans="1:35" ht="12.5" hidden="1">
      <c r="A666" s="37" t="s">
        <v>1373</v>
      </c>
      <c r="B666" s="38" t="str">
        <f>IFERROR(VLOOKUP(J666,catalogo!$B$1:$C$85,2,0),"-")</f>
        <v>#64</v>
      </c>
      <c r="C666" s="39">
        <v>46069.416666666664</v>
      </c>
      <c r="D666" s="17"/>
      <c r="E666" s="17"/>
      <c r="F666" s="17"/>
      <c r="G666" s="42">
        <v>522.34</v>
      </c>
      <c r="H666" s="42">
        <v>29.02</v>
      </c>
      <c r="I666" s="43" t="s">
        <v>172</v>
      </c>
      <c r="J666" s="43" t="s">
        <v>139</v>
      </c>
      <c r="K666" s="43" t="s">
        <v>1374</v>
      </c>
      <c r="L666" s="44" t="s">
        <v>1375</v>
      </c>
      <c r="M666" s="45">
        <v>7142</v>
      </c>
      <c r="N666" s="44" t="s">
        <v>167</v>
      </c>
      <c r="O666" s="17"/>
      <c r="P666" s="17"/>
      <c r="Q666" s="17"/>
      <c r="R666" s="17"/>
      <c r="S666" s="17"/>
      <c r="T666" s="17"/>
      <c r="U666" s="17"/>
      <c r="V666" s="17"/>
      <c r="W666" s="17"/>
      <c r="X666" s="17"/>
      <c r="Y666" s="46" t="str">
        <f ca="1">IFERROR(VLOOKUP(A666,catalogo!$E:$H,2,0),"-")</f>
        <v>-</v>
      </c>
      <c r="Z666" s="47" t="str">
        <f ca="1">IFERROR(VLOOKUP(A666,catalogo!$E:$G,3,0),"-")</f>
        <v>-</v>
      </c>
      <c r="AA666" s="48"/>
      <c r="AB666" s="48"/>
      <c r="AC666" s="48" t="str">
        <f ca="1">IFERROR(VLOOKUP(A666,catalogo!$E:$H,4,0),"-")</f>
        <v>-</v>
      </c>
      <c r="AD666" s="48"/>
      <c r="AE666" s="48"/>
      <c r="AF666" s="48"/>
      <c r="AG666" s="48"/>
      <c r="AH666" s="48"/>
      <c r="AI666" s="48"/>
    </row>
    <row r="667" spans="1:35" ht="15.5" hidden="1">
      <c r="A667" s="37" t="s">
        <v>1376</v>
      </c>
      <c r="B667" s="38" t="str">
        <f>IFERROR(VLOOKUP(J667,catalogo!$B$1:$C$75,2,0),"-")</f>
        <v>#64</v>
      </c>
      <c r="C667" s="39">
        <v>46069.416666666664</v>
      </c>
      <c r="D667" s="17"/>
      <c r="E667" s="17"/>
      <c r="F667" s="17"/>
      <c r="G667" s="42">
        <v>5442.41</v>
      </c>
      <c r="H667" s="42">
        <v>5442.41</v>
      </c>
      <c r="I667" s="43" t="s">
        <v>156</v>
      </c>
      <c r="J667" s="43" t="s">
        <v>139</v>
      </c>
      <c r="K667" s="43" t="s">
        <v>1377</v>
      </c>
      <c r="L667" s="44" t="s">
        <v>205</v>
      </c>
      <c r="M667" s="45">
        <v>7142</v>
      </c>
      <c r="N667" s="44" t="s">
        <v>167</v>
      </c>
      <c r="O667" s="49"/>
      <c r="P667" s="17"/>
      <c r="Q667" s="17"/>
      <c r="R667" s="17"/>
      <c r="S667" s="17"/>
      <c r="T667" s="17"/>
      <c r="U667" s="17"/>
      <c r="V667" s="17"/>
      <c r="W667" s="17"/>
      <c r="X667" s="17"/>
      <c r="Y667" s="46" t="str">
        <f ca="1">IFERROR(VLOOKUP(A667,catalogo!$E:$H,2,0),"-")</f>
        <v>-</v>
      </c>
      <c r="Z667" s="47" t="str">
        <f ca="1">IFERROR(VLOOKUP(A667,catalogo!$E:$G,3,0),"-")</f>
        <v>-</v>
      </c>
      <c r="AA667" s="48"/>
      <c r="AB667" s="48"/>
      <c r="AC667" s="48" t="str">
        <f ca="1">IFERROR(VLOOKUP(A667,catalogo!$E:$H,4,0),"-")</f>
        <v>-</v>
      </c>
      <c r="AD667" s="48"/>
      <c r="AE667" s="48"/>
      <c r="AF667" s="48"/>
      <c r="AG667" s="48"/>
      <c r="AH667" s="48"/>
      <c r="AI667" s="48"/>
    </row>
    <row r="668" spans="1:35" ht="15.5" hidden="1">
      <c r="A668" s="37" t="s">
        <v>1378</v>
      </c>
      <c r="B668" s="38" t="str">
        <f>IFERROR(VLOOKUP(J668,catalogo!$B$1:$C$75,2,0),"-")</f>
        <v>#64</v>
      </c>
      <c r="C668" s="39">
        <v>46069.416666666664</v>
      </c>
      <c r="D668" s="17"/>
      <c r="E668" s="17"/>
      <c r="F668" s="17"/>
      <c r="G668" s="42">
        <v>5215.38</v>
      </c>
      <c r="H668" s="42">
        <v>5215.38</v>
      </c>
      <c r="I668" s="43" t="s">
        <v>156</v>
      </c>
      <c r="J668" s="43" t="s">
        <v>139</v>
      </c>
      <c r="K668" s="43" t="s">
        <v>1379</v>
      </c>
      <c r="L668" s="44" t="s">
        <v>205</v>
      </c>
      <c r="M668" s="45">
        <v>7142</v>
      </c>
      <c r="N668" s="44" t="s">
        <v>167</v>
      </c>
      <c r="O668" s="49"/>
      <c r="P668" s="17"/>
      <c r="Q668" s="17"/>
      <c r="R668" s="17"/>
      <c r="S668" s="17"/>
      <c r="T668" s="17"/>
      <c r="U668" s="17"/>
      <c r="V668" s="17"/>
      <c r="W668" s="17"/>
      <c r="X668" s="17"/>
      <c r="Y668" s="46" t="str">
        <f ca="1">IFERROR(VLOOKUP(A668,catalogo!$E:$H,2,0),"-")</f>
        <v>-</v>
      </c>
      <c r="Z668" s="47" t="str">
        <f ca="1">IFERROR(VLOOKUP(A668,catalogo!$E:$G,3,0),"-")</f>
        <v>-</v>
      </c>
      <c r="AA668" s="48"/>
      <c r="AB668" s="48"/>
      <c r="AC668" s="48" t="str">
        <f ca="1">IFERROR(VLOOKUP(A668,catalogo!$E:$H,4,0),"-")</f>
        <v>-</v>
      </c>
      <c r="AD668" s="48"/>
      <c r="AE668" s="48"/>
      <c r="AF668" s="48"/>
      <c r="AG668" s="48"/>
      <c r="AH668" s="48"/>
      <c r="AI668" s="48"/>
    </row>
    <row r="669" spans="1:35" ht="15.5" hidden="1">
      <c r="A669" s="37" t="s">
        <v>1380</v>
      </c>
      <c r="B669" s="38" t="str">
        <f>IFERROR(VLOOKUP(J669,catalogo!$B$1:$C$75,2,0),"-")</f>
        <v>-</v>
      </c>
      <c r="C669" s="39">
        <v>46070.416666666664</v>
      </c>
      <c r="D669" s="17"/>
      <c r="E669" s="17"/>
      <c r="F669" s="17"/>
      <c r="G669" s="42">
        <v>410</v>
      </c>
      <c r="H669" s="42">
        <v>410</v>
      </c>
      <c r="I669" s="43" t="s">
        <v>156</v>
      </c>
      <c r="J669" s="43" t="s">
        <v>321</v>
      </c>
      <c r="K669" s="43" t="s">
        <v>319</v>
      </c>
      <c r="L669" s="44" t="s">
        <v>317</v>
      </c>
      <c r="M669" s="45">
        <v>3340</v>
      </c>
      <c r="N669" s="44" t="s">
        <v>167</v>
      </c>
      <c r="O669" s="49"/>
      <c r="P669" s="17"/>
      <c r="Q669" s="17"/>
      <c r="R669" s="17"/>
      <c r="S669" s="17"/>
      <c r="T669" s="17"/>
      <c r="U669" s="17"/>
      <c r="V669" s="17"/>
      <c r="W669" s="17"/>
      <c r="X669" s="17"/>
      <c r="Y669" s="46" t="str">
        <f ca="1">IFERROR(VLOOKUP(A669,catalogo!$E:$H,2,0),"-")</f>
        <v>-</v>
      </c>
      <c r="Z669" s="47" t="str">
        <f ca="1">IFERROR(VLOOKUP(A669,catalogo!$E:$G,3,0),"-")</f>
        <v>-</v>
      </c>
      <c r="AA669" s="48"/>
      <c r="AB669" s="48"/>
      <c r="AC669" s="48" t="str">
        <f ca="1">IFERROR(VLOOKUP(A669,catalogo!$E:$H,4,0),"-")</f>
        <v>-</v>
      </c>
      <c r="AD669" s="48"/>
      <c r="AE669" s="48"/>
      <c r="AF669" s="48"/>
      <c r="AG669" s="48"/>
      <c r="AH669" s="48"/>
      <c r="AI669" s="48"/>
    </row>
    <row r="670" spans="1:35" ht="12.5" hidden="1">
      <c r="A670" s="37" t="s">
        <v>1381</v>
      </c>
      <c r="B670" s="38" t="str">
        <f>IFERROR(VLOOKUP(J670,catalogo!$B$1:$C$70,2,0),"-")</f>
        <v>-</v>
      </c>
      <c r="C670" s="39">
        <v>46070.416666666664</v>
      </c>
      <c r="D670" s="17"/>
      <c r="E670" s="17"/>
      <c r="F670" s="17"/>
      <c r="G670" s="42">
        <v>182.74</v>
      </c>
      <c r="H670" s="42">
        <v>182.74</v>
      </c>
      <c r="I670" s="43" t="s">
        <v>156</v>
      </c>
      <c r="J670" s="43" t="s">
        <v>102</v>
      </c>
      <c r="K670" s="43" t="s">
        <v>232</v>
      </c>
      <c r="L670" s="44" t="s">
        <v>233</v>
      </c>
      <c r="M670" s="45" t="s">
        <v>279</v>
      </c>
      <c r="N670" s="44" t="s">
        <v>144</v>
      </c>
      <c r="O670" s="17"/>
      <c r="P670" s="17"/>
      <c r="Q670" s="17"/>
      <c r="R670" s="17"/>
      <c r="S670" s="17"/>
      <c r="T670" s="17"/>
      <c r="U670" s="17"/>
      <c r="V670" s="17"/>
      <c r="W670" s="17"/>
      <c r="X670" s="17"/>
      <c r="Y670" s="46" t="str">
        <f ca="1">IFERROR(VLOOKUP(A670,catalogo!$E:$G,2,0),"-")</f>
        <v>-</v>
      </c>
      <c r="Z670" s="47" t="str">
        <f ca="1">IFERROR(VLOOKUP(A670,catalogo!$E:$G,3,0),"-")</f>
        <v>-</v>
      </c>
      <c r="AA670" s="48"/>
      <c r="AB670" s="48"/>
      <c r="AC670" s="48" t="str">
        <f ca="1">IFERROR(VLOOKUP(A670,catalogo!$E:$H,4,0),"-")</f>
        <v>-</v>
      </c>
      <c r="AD670" s="48"/>
      <c r="AE670" s="48"/>
      <c r="AF670" s="48"/>
      <c r="AG670" s="48"/>
      <c r="AH670" s="48"/>
      <c r="AI670" s="48"/>
    </row>
    <row r="671" spans="1:35" ht="12.5" hidden="1">
      <c r="A671" s="37" t="s">
        <v>1382</v>
      </c>
      <c r="B671" s="38" t="str">
        <f>IFERROR(VLOOKUP(J671,catalogo!$B$1:$C$70,2,0),"-")</f>
        <v>#69</v>
      </c>
      <c r="C671" s="39">
        <v>46070.416666666664</v>
      </c>
      <c r="D671" s="17"/>
      <c r="E671" s="17"/>
      <c r="F671" s="17"/>
      <c r="G671" s="42">
        <v>29.77</v>
      </c>
      <c r="H671" s="42">
        <v>29.77</v>
      </c>
      <c r="I671" s="43" t="s">
        <v>156</v>
      </c>
      <c r="J671" s="43" t="s">
        <v>110</v>
      </c>
      <c r="K671" s="43" t="s">
        <v>232</v>
      </c>
      <c r="L671" s="44" t="s">
        <v>233</v>
      </c>
      <c r="M671" s="45" t="s">
        <v>464</v>
      </c>
      <c r="N671" s="44" t="s">
        <v>144</v>
      </c>
      <c r="O671" s="17"/>
      <c r="P671" s="17"/>
      <c r="Q671" s="17"/>
      <c r="R671" s="17"/>
      <c r="S671" s="17"/>
      <c r="T671" s="17"/>
      <c r="U671" s="17"/>
      <c r="V671" s="17"/>
      <c r="W671" s="17"/>
      <c r="X671" s="17"/>
      <c r="Y671" s="46" t="str">
        <f ca="1">IFERROR(VLOOKUP(A671,catalogo!$E:$H,2,0),"-")</f>
        <v>-</v>
      </c>
      <c r="Z671" s="47" t="str">
        <f ca="1">IFERROR(VLOOKUP(A671,catalogo!$E:$G,3,0),"-")</f>
        <v>-</v>
      </c>
      <c r="AA671" s="48"/>
      <c r="AB671" s="48"/>
      <c r="AC671" s="48" t="str">
        <f ca="1">IFERROR(VLOOKUP(A671,catalogo!$E:$H,4,0),"-")</f>
        <v>-</v>
      </c>
      <c r="AD671" s="48"/>
      <c r="AE671" s="48"/>
      <c r="AF671" s="48"/>
      <c r="AG671" s="48"/>
      <c r="AH671" s="48"/>
      <c r="AI671" s="48"/>
    </row>
    <row r="672" spans="1:35" ht="12.5" hidden="1">
      <c r="A672" s="37" t="s">
        <v>1383</v>
      </c>
      <c r="B672" s="38" t="str">
        <f>IFERROR(VLOOKUP(J672,catalogo!$B$1:$C$75,2,0),"-")</f>
        <v>#66</v>
      </c>
      <c r="C672" s="39">
        <v>46070.416666666664</v>
      </c>
      <c r="D672" s="40"/>
      <c r="E672" s="41"/>
      <c r="F672" s="41"/>
      <c r="G672" s="42">
        <v>350</v>
      </c>
      <c r="H672" s="42">
        <v>350</v>
      </c>
      <c r="I672" s="43" t="s">
        <v>156</v>
      </c>
      <c r="J672" s="43" t="s">
        <v>80</v>
      </c>
      <c r="K672" s="43" t="s">
        <v>1384</v>
      </c>
      <c r="L672" s="44" t="s">
        <v>1385</v>
      </c>
      <c r="M672" s="45">
        <v>2406</v>
      </c>
      <c r="N672" s="44" t="s">
        <v>167</v>
      </c>
      <c r="O672" s="41"/>
      <c r="P672" s="41"/>
      <c r="Q672" s="41"/>
      <c r="R672" s="41"/>
      <c r="S672" s="41"/>
      <c r="T672" s="41"/>
      <c r="U672" s="41"/>
      <c r="V672" s="41"/>
      <c r="W672" s="41"/>
      <c r="X672" s="41"/>
      <c r="Y672" s="46" t="str">
        <f ca="1">IFERROR(VLOOKUP(A672,catalogo!$E:$H,2,0),"-")</f>
        <v>-</v>
      </c>
      <c r="Z672" s="47" t="str">
        <f ca="1">IFERROR(VLOOKUP(A672,catalogo!$E:$G,3,0),"-")</f>
        <v>-</v>
      </c>
      <c r="AA672" s="48"/>
      <c r="AB672" s="48"/>
      <c r="AC672" s="48" t="str">
        <f ca="1">IFERROR(VLOOKUP(A672,catalogo!$E:$H,4,0),"-")</f>
        <v>-</v>
      </c>
      <c r="AD672" s="48"/>
      <c r="AE672" s="48"/>
      <c r="AF672" s="48"/>
      <c r="AG672" s="48"/>
      <c r="AH672" s="48"/>
      <c r="AI672" s="48"/>
    </row>
    <row r="673" spans="1:35" ht="12.5" hidden="1">
      <c r="A673" s="37" t="s">
        <v>1386</v>
      </c>
      <c r="B673" s="38" t="str">
        <f>IFERROR(VLOOKUP(J673,catalogo!$B$1:$C$85,2,0),"-")</f>
        <v>#6</v>
      </c>
      <c r="C673" s="39">
        <v>46070.416666666664</v>
      </c>
      <c r="D673" s="17"/>
      <c r="E673" s="17"/>
      <c r="F673" s="17"/>
      <c r="G673" s="42">
        <v>38.53</v>
      </c>
      <c r="H673" s="42">
        <v>38.53</v>
      </c>
      <c r="I673" s="43" t="s">
        <v>156</v>
      </c>
      <c r="J673" s="43" t="s">
        <v>114</v>
      </c>
      <c r="K673" s="43" t="s">
        <v>757</v>
      </c>
      <c r="L673" s="44" t="s">
        <v>336</v>
      </c>
      <c r="M673" s="45">
        <v>3893</v>
      </c>
      <c r="N673" s="44" t="s">
        <v>167</v>
      </c>
      <c r="O673" s="17"/>
      <c r="P673" s="17"/>
      <c r="Q673" s="17"/>
      <c r="R673" s="17"/>
      <c r="S673" s="17"/>
      <c r="T673" s="17"/>
      <c r="U673" s="17"/>
      <c r="V673" s="17"/>
      <c r="W673" s="17"/>
      <c r="X673" s="17"/>
      <c r="Y673" s="46" t="str">
        <f ca="1">IFERROR(VLOOKUP(A673,catalogo!$E:$H,2,0),"-")</f>
        <v>Transaction cost</v>
      </c>
      <c r="Z673" s="47" t="str">
        <f ca="1">IFERROR(VLOOKUP(A673,catalogo!$E:$G,3,0),"-")</f>
        <v>Parquímetro</v>
      </c>
      <c r="AA673" s="48"/>
      <c r="AB673" s="48"/>
      <c r="AC673" s="48">
        <f ca="1">IFERROR(VLOOKUP(A673,catalogo!$E:$H,4,0),"-")</f>
        <v>0</v>
      </c>
      <c r="AD673" s="48"/>
      <c r="AE673" s="48"/>
      <c r="AF673" s="48"/>
      <c r="AG673" s="48"/>
      <c r="AH673" s="48"/>
      <c r="AI673" s="48"/>
    </row>
    <row r="674" spans="1:35" ht="12.5" hidden="1">
      <c r="A674" s="37" t="s">
        <v>1387</v>
      </c>
      <c r="B674" s="38" t="str">
        <f>IFERROR(VLOOKUP(J674,catalogo!$B$1:$C$100,2,0),"-")</f>
        <v>#26</v>
      </c>
      <c r="C674" s="39">
        <v>46070.416666666664</v>
      </c>
      <c r="D674" s="17"/>
      <c r="E674" s="17"/>
      <c r="F674" s="17"/>
      <c r="G674" s="53">
        <v>558</v>
      </c>
      <c r="H674" s="53">
        <v>558</v>
      </c>
      <c r="I674" s="43" t="s">
        <v>156</v>
      </c>
      <c r="J674" s="43" t="s">
        <v>67</v>
      </c>
      <c r="K674" s="43" t="s">
        <v>1388</v>
      </c>
      <c r="L674" s="44" t="s">
        <v>820</v>
      </c>
      <c r="M674" s="45">
        <v>8061</v>
      </c>
      <c r="N674" s="44" t="s">
        <v>167</v>
      </c>
      <c r="O674" s="17"/>
      <c r="P674" s="17"/>
      <c r="Q674" s="17"/>
      <c r="R674" s="17"/>
      <c r="S674" s="17"/>
      <c r="T674" s="17"/>
      <c r="U674" s="17"/>
      <c r="V674" s="17"/>
      <c r="W674" s="17"/>
      <c r="X674" s="17"/>
      <c r="Y674" s="46"/>
      <c r="Z674" s="47"/>
      <c r="AA674" s="48"/>
      <c r="AB674" s="48"/>
      <c r="AC674" s="48"/>
      <c r="AD674" s="48"/>
      <c r="AE674" s="48"/>
      <c r="AF674" s="48"/>
      <c r="AG674" s="48"/>
      <c r="AH674" s="48"/>
      <c r="AI674" s="48"/>
    </row>
    <row r="675" spans="1:35" ht="15.5" hidden="1">
      <c r="A675" s="37" t="s">
        <v>1389</v>
      </c>
      <c r="B675" s="38" t="str">
        <f>IFERROR(VLOOKUP(J675,catalogo!$B$1:$C$75,2,0),"-")</f>
        <v>#6</v>
      </c>
      <c r="C675" s="39">
        <v>46070.416666666664</v>
      </c>
      <c r="D675" s="17"/>
      <c r="E675" s="17"/>
      <c r="F675" s="17"/>
      <c r="G675" s="42">
        <v>132</v>
      </c>
      <c r="H675" s="42">
        <v>132</v>
      </c>
      <c r="I675" s="43" t="s">
        <v>156</v>
      </c>
      <c r="J675" s="43" t="s">
        <v>114</v>
      </c>
      <c r="K675" s="43" t="s">
        <v>757</v>
      </c>
      <c r="L675" s="44" t="s">
        <v>336</v>
      </c>
      <c r="M675" s="45">
        <v>3893</v>
      </c>
      <c r="N675" s="44" t="s">
        <v>167</v>
      </c>
      <c r="O675" s="49"/>
      <c r="P675" s="17"/>
      <c r="Q675" s="17"/>
      <c r="R675" s="17"/>
      <c r="S675" s="17"/>
      <c r="T675" s="17"/>
      <c r="U675" s="17"/>
      <c r="V675" s="17"/>
      <c r="W675" s="17"/>
      <c r="X675" s="17"/>
      <c r="Y675" s="46" t="str">
        <f ca="1">IFERROR(VLOOKUP(A675,catalogo!$E:$H,2,0),"-")</f>
        <v>Transaction cost</v>
      </c>
      <c r="Z675" s="47" t="str">
        <f ca="1">IFERROR(VLOOKUP(A675,catalogo!$E:$G,3,0),"-")</f>
        <v>Recarga de tag</v>
      </c>
      <c r="AA675" s="48"/>
      <c r="AB675" s="48"/>
      <c r="AC675" s="48">
        <f ca="1">IFERROR(VLOOKUP(A675,catalogo!$E:$H,4,0),"-")</f>
        <v>0</v>
      </c>
      <c r="AD675" s="48"/>
      <c r="AE675" s="48"/>
      <c r="AF675" s="48"/>
      <c r="AG675" s="48"/>
      <c r="AH675" s="48"/>
      <c r="AI675" s="48"/>
    </row>
    <row r="676" spans="1:35" ht="12.5" hidden="1">
      <c r="A676" s="37" t="s">
        <v>212</v>
      </c>
      <c r="B676" s="38" t="str">
        <f>IFERROR(VLOOKUP(J676,catalogo!$B$1:$C$75,2,0),"-")</f>
        <v>-</v>
      </c>
      <c r="C676" s="39">
        <v>46070.416666666664</v>
      </c>
      <c r="D676" s="17"/>
      <c r="E676" s="17"/>
      <c r="F676" s="17"/>
      <c r="G676" s="42">
        <v>175</v>
      </c>
      <c r="H676" s="42">
        <v>175</v>
      </c>
      <c r="I676" s="43" t="s">
        <v>156</v>
      </c>
      <c r="J676" s="43" t="s">
        <v>187</v>
      </c>
      <c r="K676" s="43" t="s">
        <v>1390</v>
      </c>
      <c r="L676" s="44" t="s">
        <v>1391</v>
      </c>
      <c r="M676" s="44" t="s">
        <v>190</v>
      </c>
      <c r="N676" s="44" t="s">
        <v>167</v>
      </c>
      <c r="O676" s="17"/>
      <c r="P676" s="17"/>
      <c r="Q676" s="17"/>
      <c r="R676" s="17"/>
      <c r="S676" s="17"/>
      <c r="T676" s="17"/>
      <c r="U676" s="17"/>
      <c r="V676" s="17"/>
      <c r="W676" s="17"/>
      <c r="X676" s="17"/>
      <c r="Y676" s="46" t="str">
        <f ca="1">IFERROR(VLOOKUP(A676,catalogo!$E:$H,2,0),"-")</f>
        <v>-</v>
      </c>
      <c r="Z676" s="47" t="str">
        <f ca="1">IFERROR(VLOOKUP(A676,catalogo!$E:$G,3,0),"-")</f>
        <v>-</v>
      </c>
      <c r="AA676" s="48"/>
      <c r="AB676" s="48"/>
      <c r="AC676" s="48" t="str">
        <f ca="1">IFERROR(VLOOKUP(A676,catalogo!$E:$H,4,0),"-")</f>
        <v>-</v>
      </c>
      <c r="AD676" s="48"/>
      <c r="AE676" s="48"/>
      <c r="AF676" s="48"/>
      <c r="AG676" s="48"/>
      <c r="AH676" s="48"/>
      <c r="AI676" s="48"/>
    </row>
    <row r="677" spans="1:35" ht="12.5" hidden="1">
      <c r="A677" s="37" t="s">
        <v>1392</v>
      </c>
      <c r="B677" s="38" t="str">
        <f>IFERROR(VLOOKUP(J677,catalogo!$B$1:$C$70,2,0),"-")</f>
        <v>#66</v>
      </c>
      <c r="C677" s="39">
        <v>46070.416666666664</v>
      </c>
      <c r="D677" s="17"/>
      <c r="E677" s="17"/>
      <c r="F677" s="17"/>
      <c r="G677" s="42">
        <v>348</v>
      </c>
      <c r="H677" s="42">
        <v>348</v>
      </c>
      <c r="I677" s="43" t="s">
        <v>156</v>
      </c>
      <c r="J677" s="43" t="s">
        <v>80</v>
      </c>
      <c r="K677" s="43" t="s">
        <v>714</v>
      </c>
      <c r="L677" s="44" t="s">
        <v>715</v>
      </c>
      <c r="M677" s="45">
        <v>2406</v>
      </c>
      <c r="N677" s="44" t="s">
        <v>167</v>
      </c>
      <c r="O677" s="17"/>
      <c r="P677" s="17"/>
      <c r="Q677" s="17"/>
      <c r="R677" s="17"/>
      <c r="S677" s="17"/>
      <c r="T677" s="17"/>
      <c r="U677" s="17"/>
      <c r="V677" s="17"/>
      <c r="W677" s="17"/>
      <c r="X677" s="17"/>
      <c r="Y677" s="46" t="str">
        <f ca="1">IFERROR(VLOOKUP(A677,catalogo!$E:$G,2,0),"-")</f>
        <v>-</v>
      </c>
      <c r="Z677" s="47" t="str">
        <f ca="1">IFERROR(VLOOKUP(A677,catalogo!$E:$G,3,0),"-")</f>
        <v>-</v>
      </c>
      <c r="AA677" s="48"/>
      <c r="AB677" s="48"/>
      <c r="AC677" s="48" t="str">
        <f ca="1">IFERROR(VLOOKUP(A677,catalogo!$E:$H,4,0),"-")</f>
        <v>-</v>
      </c>
      <c r="AD677" s="48"/>
      <c r="AE677" s="48"/>
      <c r="AF677" s="48"/>
      <c r="AG677" s="48"/>
      <c r="AH677" s="48"/>
      <c r="AI677" s="48"/>
    </row>
    <row r="678" spans="1:35" ht="15.5" hidden="1">
      <c r="A678" s="37" t="s">
        <v>1393</v>
      </c>
      <c r="B678" s="38" t="str">
        <f>IFERROR(VLOOKUP(J678,catalogo!$B$1:$C$100,2,0),"-")</f>
        <v>-</v>
      </c>
      <c r="C678" s="39">
        <v>46070.416666666664</v>
      </c>
      <c r="D678" s="17"/>
      <c r="E678" s="17"/>
      <c r="F678" s="17"/>
      <c r="G678" s="42">
        <v>25</v>
      </c>
      <c r="H678" s="42">
        <v>25</v>
      </c>
      <c r="I678" s="43" t="s">
        <v>156</v>
      </c>
      <c r="J678" s="43" t="s">
        <v>321</v>
      </c>
      <c r="K678" s="43" t="s">
        <v>841</v>
      </c>
      <c r="L678" s="44" t="s">
        <v>842</v>
      </c>
      <c r="M678" s="44">
        <v>3340</v>
      </c>
      <c r="N678" s="44" t="s">
        <v>167</v>
      </c>
      <c r="O678" s="49"/>
      <c r="P678" s="17"/>
      <c r="Q678" s="17"/>
      <c r="R678" s="17"/>
      <c r="S678" s="17"/>
      <c r="T678" s="17"/>
      <c r="U678" s="17"/>
      <c r="V678" s="17"/>
      <c r="W678" s="17"/>
      <c r="X678" s="17"/>
      <c r="Y678" s="46" t="str">
        <f ca="1">IFERROR(VLOOKUP(A678,catalogo!$E:$H,2,0),"-")</f>
        <v>-</v>
      </c>
      <c r="Z678" s="47" t="str">
        <f ca="1">IFERROR(VLOOKUP(A678,catalogo!$E:$G,3,0),"-")</f>
        <v>-</v>
      </c>
      <c r="AA678" s="48"/>
      <c r="AB678" s="48"/>
      <c r="AC678" s="48" t="str">
        <f ca="1">IFERROR(VLOOKUP(A678,catalogo!$E:$H,4,0),"-")</f>
        <v>-</v>
      </c>
      <c r="AD678" s="48"/>
      <c r="AE678" s="48"/>
      <c r="AF678" s="48"/>
      <c r="AG678" s="48"/>
      <c r="AH678" s="48"/>
      <c r="AI678" s="48"/>
    </row>
    <row r="679" spans="1:35" ht="12.5" hidden="1">
      <c r="A679" s="37" t="s">
        <v>1394</v>
      </c>
      <c r="B679" s="38" t="str">
        <f>IFERROR(VLOOKUP(J679,catalogo!$B$1:$C$100,2,0),"-")</f>
        <v>#64</v>
      </c>
      <c r="C679" s="39">
        <v>46070.416666666664</v>
      </c>
      <c r="D679" s="17"/>
      <c r="E679" s="17"/>
      <c r="F679" s="17"/>
      <c r="G679" s="42">
        <v>562.1</v>
      </c>
      <c r="H679" s="42">
        <v>562.1</v>
      </c>
      <c r="I679" s="43" t="s">
        <v>156</v>
      </c>
      <c r="J679" s="43" t="s">
        <v>139</v>
      </c>
      <c r="K679" s="43" t="s">
        <v>1395</v>
      </c>
      <c r="L679" s="44" t="s">
        <v>1396</v>
      </c>
      <c r="M679" s="45">
        <v>7142</v>
      </c>
      <c r="N679" s="44" t="s">
        <v>167</v>
      </c>
      <c r="O679" s="17"/>
      <c r="P679" s="17"/>
      <c r="Q679" s="17"/>
      <c r="R679" s="17"/>
      <c r="S679" s="17"/>
      <c r="T679" s="17"/>
      <c r="U679" s="17"/>
      <c r="V679" s="17"/>
      <c r="W679" s="17"/>
      <c r="X679" s="17"/>
      <c r="Y679" s="46" t="str">
        <f ca="1">IFERROR(VLOOKUP(A679,catalogo!$E:$H,2,0),"-")</f>
        <v>-</v>
      </c>
      <c r="Z679" s="47" t="str">
        <f ca="1">IFERROR(VLOOKUP(A679,catalogo!$E:$G,3,0),"-")</f>
        <v>-</v>
      </c>
      <c r="AA679" s="48"/>
      <c r="AB679" s="48"/>
      <c r="AC679" s="48" t="str">
        <f ca="1">IFERROR(VLOOKUP(A679,catalogo!$E:$H,4,0),"-")</f>
        <v>-</v>
      </c>
      <c r="AD679" s="48"/>
      <c r="AE679" s="48"/>
      <c r="AF679" s="48"/>
      <c r="AG679" s="48"/>
      <c r="AH679" s="48"/>
      <c r="AI679" s="48"/>
    </row>
    <row r="680" spans="1:35" ht="12.5" hidden="1">
      <c r="A680" s="37" t="s">
        <v>523</v>
      </c>
      <c r="B680" s="38" t="str">
        <f>IFERROR(VLOOKUP(J680,catalogo!$B$1:$C$75,2,0),"-")</f>
        <v>-</v>
      </c>
      <c r="C680" s="39">
        <v>46070.416666666664</v>
      </c>
      <c r="D680" s="52"/>
      <c r="E680" s="17"/>
      <c r="F680" s="17"/>
      <c r="G680" s="42">
        <v>5082.46</v>
      </c>
      <c r="H680" s="42">
        <v>282.37</v>
      </c>
      <c r="I680" s="43" t="s">
        <v>172</v>
      </c>
      <c r="J680" s="43" t="s">
        <v>1397</v>
      </c>
      <c r="K680" s="43" t="s">
        <v>1398</v>
      </c>
      <c r="L680" s="44" t="s">
        <v>994</v>
      </c>
      <c r="M680" s="45">
        <v>2348</v>
      </c>
      <c r="N680" s="44" t="s">
        <v>167</v>
      </c>
      <c r="O680" s="17"/>
      <c r="P680" s="17"/>
      <c r="Q680" s="17"/>
      <c r="R680" s="17"/>
      <c r="S680" s="17"/>
      <c r="T680" s="17"/>
      <c r="U680" s="17"/>
      <c r="V680" s="17"/>
      <c r="W680" s="17"/>
      <c r="X680" s="17"/>
      <c r="Y680" s="46" t="str">
        <f ca="1">IFERROR(VLOOKUP(A680,catalogo!$E:$H,2,0),"-")</f>
        <v>Transaction cost</v>
      </c>
      <c r="Z680" s="47" t="str">
        <f ca="1">IFERROR(VLOOKUP(A680,catalogo!$E:$G,3,0),"-")</f>
        <v xml:space="preserve">Comida, entrega en Deacero </v>
      </c>
      <c r="AA680" s="48"/>
      <c r="AB680" s="48"/>
      <c r="AC680" s="48">
        <f ca="1">IFERROR(VLOOKUP(A680,catalogo!$E:$H,4,0),"-")</f>
        <v>0</v>
      </c>
      <c r="AD680" s="48"/>
      <c r="AE680" s="48"/>
      <c r="AF680" s="48"/>
      <c r="AG680" s="48"/>
      <c r="AH680" s="48"/>
      <c r="AI680" s="48"/>
    </row>
    <row r="681" spans="1:35" ht="12.5">
      <c r="A681" s="37" t="s">
        <v>460</v>
      </c>
      <c r="B681" s="38" t="str">
        <f>IFERROR(VLOOKUP(J681,catalogo!$B$1:$C$75,2,0),"-")</f>
        <v>#40</v>
      </c>
      <c r="C681" s="39">
        <v>46070.416666666664</v>
      </c>
      <c r="D681" s="52"/>
      <c r="E681" s="17"/>
      <c r="F681" s="17"/>
      <c r="G681" s="42">
        <v>359.99</v>
      </c>
      <c r="H681" s="42">
        <v>20</v>
      </c>
      <c r="I681" s="43" t="s">
        <v>172</v>
      </c>
      <c r="J681" s="43" t="s">
        <v>136</v>
      </c>
      <c r="K681" s="43" t="s">
        <v>173</v>
      </c>
      <c r="L681" s="44" t="s">
        <v>174</v>
      </c>
      <c r="M681" s="45" t="s">
        <v>882</v>
      </c>
      <c r="N681" s="44" t="s">
        <v>144</v>
      </c>
      <c r="O681" s="17"/>
      <c r="P681" s="17"/>
      <c r="Q681" s="17"/>
      <c r="R681" s="17"/>
      <c r="S681" s="17"/>
      <c r="T681" s="17"/>
      <c r="U681" s="17"/>
      <c r="V681" s="17"/>
      <c r="W681" s="17"/>
      <c r="X681" s="17"/>
      <c r="Y681" s="46" t="str">
        <f ca="1">IFERROR(VLOOKUP(A681,catalogo!$E:$H,2,0),"-")</f>
        <v>-</v>
      </c>
      <c r="Z681" s="47" t="str">
        <f ca="1">IFERROR(VLOOKUP(A681,catalogo!$E:$G,3,0),"-")</f>
        <v>-</v>
      </c>
      <c r="AA681" s="48"/>
      <c r="AB681" s="48"/>
      <c r="AC681" s="48" t="str">
        <f ca="1">IFERROR(VLOOKUP(A681,catalogo!$E:$H,4,0),"-")</f>
        <v>-</v>
      </c>
      <c r="AD681" s="48"/>
      <c r="AE681" s="48"/>
      <c r="AF681" s="48"/>
      <c r="AG681" s="48"/>
      <c r="AH681" s="48"/>
      <c r="AI681" s="48"/>
    </row>
    <row r="682" spans="1:35" ht="12.5" hidden="1">
      <c r="A682" s="37" t="s">
        <v>1399</v>
      </c>
      <c r="B682" s="38" t="str">
        <f>IFERROR(VLOOKUP(J682,catalogo!$B$1:$C$100,2,0),"-")</f>
        <v>#74</v>
      </c>
      <c r="C682" s="39">
        <v>46071.416666666664</v>
      </c>
      <c r="D682" s="17"/>
      <c r="E682" s="17"/>
      <c r="F682" s="17"/>
      <c r="G682" s="53">
        <v>69.98</v>
      </c>
      <c r="H682" s="53">
        <v>69.98</v>
      </c>
      <c r="I682" s="43" t="s">
        <v>156</v>
      </c>
      <c r="J682" s="43" t="s">
        <v>286</v>
      </c>
      <c r="K682" s="43" t="s">
        <v>232</v>
      </c>
      <c r="L682" s="44" t="s">
        <v>233</v>
      </c>
      <c r="M682" s="45">
        <v>5481</v>
      </c>
      <c r="N682" s="44" t="s">
        <v>167</v>
      </c>
      <c r="O682" s="17"/>
      <c r="P682" s="17"/>
      <c r="Q682" s="17"/>
      <c r="R682" s="17"/>
      <c r="S682" s="17"/>
      <c r="T682" s="17"/>
      <c r="U682" s="17"/>
      <c r="V682" s="17"/>
      <c r="W682" s="17"/>
      <c r="X682" s="17"/>
      <c r="Y682" s="46"/>
      <c r="Z682" s="47"/>
      <c r="AA682" s="48"/>
      <c r="AB682" s="48"/>
      <c r="AC682" s="48"/>
      <c r="AD682" s="48"/>
      <c r="AE682" s="48"/>
      <c r="AF682" s="48"/>
      <c r="AG682" s="48"/>
      <c r="AH682" s="48"/>
      <c r="AI682" s="48"/>
    </row>
    <row r="683" spans="1:35" ht="12.5" hidden="1">
      <c r="A683" s="37" t="s">
        <v>1400</v>
      </c>
      <c r="B683" s="38" t="str">
        <f>IFERROR(VLOOKUP(J683,catalogo!$B$1:$C$100,2,0),"-")</f>
        <v>#69</v>
      </c>
      <c r="C683" s="39">
        <v>46071.416666666664</v>
      </c>
      <c r="D683" s="17"/>
      <c r="E683" s="17"/>
      <c r="F683" s="17"/>
      <c r="G683" s="42">
        <v>181.5</v>
      </c>
      <c r="H683" s="42">
        <v>181.5</v>
      </c>
      <c r="I683" s="43" t="s">
        <v>156</v>
      </c>
      <c r="J683" s="43" t="s">
        <v>110</v>
      </c>
      <c r="K683" s="43" t="s">
        <v>1401</v>
      </c>
      <c r="L683" s="44" t="s">
        <v>1402</v>
      </c>
      <c r="M683" s="44">
        <v>8231</v>
      </c>
      <c r="N683" s="44" t="s">
        <v>167</v>
      </c>
      <c r="O683" s="17"/>
      <c r="P683" s="17"/>
      <c r="Q683" s="17"/>
      <c r="R683" s="17"/>
      <c r="S683" s="17"/>
      <c r="T683" s="17"/>
      <c r="U683" s="17"/>
      <c r="V683" s="17"/>
      <c r="W683" s="17"/>
      <c r="X683" s="17"/>
      <c r="Y683" s="46" t="str">
        <f ca="1">IFERROR(VLOOKUP(A683,catalogo!$E:$G,2,0),"-")</f>
        <v>-</v>
      </c>
      <c r="Z683" s="47" t="str">
        <f ca="1">IFERROR(VLOOKUP(A683,catalogo!$E:$G,3,0),"-")</f>
        <v>-</v>
      </c>
      <c r="AA683" s="48"/>
      <c r="AB683" s="48"/>
      <c r="AC683" s="48" t="str">
        <f ca="1">IFERROR(VLOOKUP(A683,catalogo!$E:$H,4,0),"-")</f>
        <v>-</v>
      </c>
      <c r="AD683" s="48"/>
      <c r="AE683" s="48"/>
      <c r="AF683" s="48"/>
      <c r="AG683" s="48"/>
      <c r="AH683" s="48"/>
      <c r="AI683" s="48"/>
    </row>
    <row r="684" spans="1:35" ht="12.5" hidden="1">
      <c r="A684" s="37" t="s">
        <v>1403</v>
      </c>
      <c r="B684" s="38" t="str">
        <f>IFERROR(VLOOKUP(J684,catalogo!$B$1:$C$70,2,0),"-")</f>
        <v>#26</v>
      </c>
      <c r="C684" s="39">
        <v>46071.416666666664</v>
      </c>
      <c r="D684" s="17"/>
      <c r="E684" s="17"/>
      <c r="F684" s="17"/>
      <c r="G684" s="42">
        <v>9.43</v>
      </c>
      <c r="H684" s="42">
        <v>9.43</v>
      </c>
      <c r="I684" s="43" t="s">
        <v>156</v>
      </c>
      <c r="J684" s="43" t="s">
        <v>67</v>
      </c>
      <c r="K684" s="43" t="s">
        <v>232</v>
      </c>
      <c r="L684" s="44" t="s">
        <v>233</v>
      </c>
      <c r="M684" s="45">
        <v>8061</v>
      </c>
      <c r="N684" s="44" t="s">
        <v>167</v>
      </c>
      <c r="O684" s="17"/>
      <c r="P684" s="17"/>
      <c r="Q684" s="17"/>
      <c r="R684" s="17"/>
      <c r="S684" s="17"/>
      <c r="T684" s="17"/>
      <c r="U684" s="17"/>
      <c r="V684" s="17"/>
      <c r="W684" s="17"/>
      <c r="X684" s="17"/>
      <c r="Y684" s="46" t="str">
        <f ca="1">IFERROR(VLOOKUP(A684,catalogo!$E:$G,2,0),"-")</f>
        <v>-</v>
      </c>
      <c r="Z684" s="47" t="str">
        <f ca="1">IFERROR(VLOOKUP(A684,catalogo!$E:$G,3,0),"-")</f>
        <v>-</v>
      </c>
      <c r="AA684" s="48"/>
      <c r="AB684" s="48"/>
      <c r="AC684" s="48" t="str">
        <f ca="1">IFERROR(VLOOKUP(A684,catalogo!$E:$H,4,0),"-")</f>
        <v>-</v>
      </c>
      <c r="AD684" s="48"/>
      <c r="AE684" s="48"/>
      <c r="AF684" s="48"/>
      <c r="AG684" s="48"/>
      <c r="AH684" s="48"/>
      <c r="AI684" s="48"/>
    </row>
    <row r="685" spans="1:35" ht="12.5" hidden="1">
      <c r="A685" s="37" t="s">
        <v>1404</v>
      </c>
      <c r="B685" s="38" t="str">
        <f>IFERROR(VLOOKUP(J685,catalogo!$B$1:$C$75,2,0),"-")</f>
        <v>-</v>
      </c>
      <c r="C685" s="39">
        <v>46071.416666666664</v>
      </c>
      <c r="D685" s="52"/>
      <c r="E685" s="17"/>
      <c r="F685" s="17"/>
      <c r="G685" s="42">
        <v>356.4</v>
      </c>
      <c r="H685" s="42">
        <v>356.4</v>
      </c>
      <c r="I685" s="43" t="s">
        <v>156</v>
      </c>
      <c r="J685" s="43" t="s">
        <v>493</v>
      </c>
      <c r="K685" s="43" t="s">
        <v>1405</v>
      </c>
      <c r="L685" s="44" t="s">
        <v>725</v>
      </c>
      <c r="M685" s="45">
        <v>4682</v>
      </c>
      <c r="N685" s="44" t="s">
        <v>167</v>
      </c>
      <c r="O685" s="17"/>
      <c r="P685" s="17"/>
      <c r="Q685" s="17"/>
      <c r="R685" s="17"/>
      <c r="S685" s="17"/>
      <c r="T685" s="17"/>
      <c r="U685" s="17"/>
      <c r="V685" s="17"/>
      <c r="W685" s="17"/>
      <c r="X685" s="17"/>
      <c r="Y685" s="46" t="str">
        <f ca="1">IFERROR(VLOOKUP(A685,catalogo!$E:$H,2,0),"-")</f>
        <v>Tech&amp;Product</v>
      </c>
      <c r="Z685" s="47">
        <f ca="1">IFERROR(VLOOKUP(A685,catalogo!$E:$G,3,0),"-")</f>
        <v>0</v>
      </c>
      <c r="AA685" s="48"/>
      <c r="AB685" s="48"/>
      <c r="AC685" s="48" t="str">
        <f ca="1">IFERROR(VLOOKUP(A685,catalogo!$E:$H,4,0),"-")</f>
        <v>.</v>
      </c>
      <c r="AD685" s="48"/>
      <c r="AE685" s="48"/>
      <c r="AF685" s="48"/>
      <c r="AG685" s="48"/>
      <c r="AH685" s="48"/>
      <c r="AI685" s="48"/>
    </row>
    <row r="686" spans="1:35" ht="12.5" hidden="1">
      <c r="A686" s="37" t="s">
        <v>1406</v>
      </c>
      <c r="B686" s="38" t="str">
        <f>IFERROR(VLOOKUP(J686,catalogo!$B$1:$C$100,2,0),"-")</f>
        <v>#56</v>
      </c>
      <c r="C686" s="39">
        <v>46071.416666666664</v>
      </c>
      <c r="D686" s="17"/>
      <c r="E686" s="17"/>
      <c r="F686" s="17"/>
      <c r="G686" s="53">
        <v>289.99</v>
      </c>
      <c r="H686" s="53">
        <v>289.99</v>
      </c>
      <c r="I686" s="43" t="s">
        <v>156</v>
      </c>
      <c r="J686" s="43" t="s">
        <v>99</v>
      </c>
      <c r="K686" s="43" t="s">
        <v>232</v>
      </c>
      <c r="L686" s="44" t="s">
        <v>233</v>
      </c>
      <c r="M686" s="45">
        <v>8949</v>
      </c>
      <c r="N686" s="44" t="s">
        <v>167</v>
      </c>
      <c r="O686" s="17"/>
      <c r="P686" s="17"/>
      <c r="Q686" s="17"/>
      <c r="R686" s="17"/>
      <c r="S686" s="17"/>
      <c r="T686" s="17"/>
      <c r="U686" s="17"/>
      <c r="V686" s="17"/>
      <c r="W686" s="17"/>
      <c r="X686" s="17"/>
      <c r="Y686" s="46"/>
      <c r="Z686" s="47"/>
      <c r="AA686" s="48"/>
      <c r="AB686" s="48"/>
      <c r="AC686" s="48"/>
      <c r="AD686" s="48"/>
      <c r="AE686" s="48"/>
      <c r="AF686" s="48"/>
      <c r="AG686" s="48"/>
      <c r="AH686" s="48"/>
      <c r="AI686" s="48"/>
    </row>
    <row r="687" spans="1:35" ht="12.5" hidden="1">
      <c r="A687" s="37" t="s">
        <v>496</v>
      </c>
      <c r="B687" s="38" t="str">
        <f>IFERROR(VLOOKUP(J687,catalogo!$B$1:$C$75,2,0),"-")</f>
        <v>#64</v>
      </c>
      <c r="C687" s="39">
        <v>46071.416666666664</v>
      </c>
      <c r="D687" s="52"/>
      <c r="E687" s="17"/>
      <c r="F687" s="17"/>
      <c r="G687" s="42">
        <v>531.80999999999995</v>
      </c>
      <c r="H687" s="42">
        <v>531.80999999999995</v>
      </c>
      <c r="I687" s="43" t="s">
        <v>156</v>
      </c>
      <c r="J687" s="43" t="s">
        <v>139</v>
      </c>
      <c r="K687" s="43" t="s">
        <v>180</v>
      </c>
      <c r="L687" s="44" t="s">
        <v>181</v>
      </c>
      <c r="M687" s="45">
        <v>7142</v>
      </c>
      <c r="N687" s="44" t="s">
        <v>167</v>
      </c>
      <c r="O687" s="17"/>
      <c r="P687" s="17"/>
      <c r="Q687" s="17"/>
      <c r="R687" s="17"/>
      <c r="S687" s="17"/>
      <c r="T687" s="17"/>
      <c r="U687" s="17"/>
      <c r="V687" s="17"/>
      <c r="W687" s="17"/>
      <c r="X687" s="17"/>
      <c r="Y687" s="46" t="str">
        <f ca="1">IFERROR(VLOOKUP(A687,catalogo!$E:$H,2,0),"-")</f>
        <v>-</v>
      </c>
      <c r="Z687" s="47" t="str">
        <f ca="1">IFERROR(VLOOKUP(A687,catalogo!$E:$G,3,0),"-")</f>
        <v>-</v>
      </c>
      <c r="AA687" s="48"/>
      <c r="AB687" s="48"/>
      <c r="AC687" s="48" t="str">
        <f ca="1">IFERROR(VLOOKUP(A687,catalogo!$E:$H,4,0),"-")</f>
        <v>-</v>
      </c>
      <c r="AD687" s="48"/>
      <c r="AE687" s="48"/>
      <c r="AF687" s="48"/>
      <c r="AG687" s="48"/>
      <c r="AH687" s="48"/>
      <c r="AI687" s="48"/>
    </row>
    <row r="688" spans="1:35" ht="12.5" hidden="1">
      <c r="A688" s="37" t="s">
        <v>168</v>
      </c>
      <c r="B688" s="38" t="str">
        <f>IFERROR(VLOOKUP(J688,catalogo!$B$1:$C$75,2,0),"-")</f>
        <v>#74</v>
      </c>
      <c r="C688" s="39">
        <v>46071.416666666664</v>
      </c>
      <c r="D688" s="17"/>
      <c r="E688" s="17"/>
      <c r="F688" s="17"/>
      <c r="G688" s="42">
        <v>59.94</v>
      </c>
      <c r="H688" s="42">
        <v>59.94</v>
      </c>
      <c r="I688" s="43" t="s">
        <v>156</v>
      </c>
      <c r="J688" s="43" t="s">
        <v>286</v>
      </c>
      <c r="K688" s="43" t="s">
        <v>232</v>
      </c>
      <c r="L688" s="44" t="s">
        <v>233</v>
      </c>
      <c r="M688" s="44">
        <v>5481</v>
      </c>
      <c r="N688" s="44" t="s">
        <v>167</v>
      </c>
      <c r="O688" s="17"/>
      <c r="P688" s="17"/>
      <c r="Q688" s="17"/>
      <c r="R688" s="17"/>
      <c r="S688" s="17"/>
      <c r="T688" s="17"/>
      <c r="U688" s="17"/>
      <c r="V688" s="17"/>
      <c r="W688" s="17"/>
      <c r="X688" s="17"/>
      <c r="Y688" s="46" t="str">
        <f ca="1">IFERROR(VLOOKUP(A688,catalogo!$E:$H,2,0),"-")</f>
        <v>-</v>
      </c>
      <c r="Z688" s="47" t="str">
        <f ca="1">IFERROR(VLOOKUP(A688,catalogo!$E:$G,3,0),"-")</f>
        <v>-</v>
      </c>
      <c r="AA688" s="48"/>
      <c r="AB688" s="48"/>
      <c r="AC688" s="48" t="str">
        <f ca="1">IFERROR(VLOOKUP(A688,catalogo!$E:$H,4,0),"-")</f>
        <v>-</v>
      </c>
      <c r="AD688" s="48"/>
      <c r="AE688" s="48"/>
      <c r="AF688" s="48"/>
      <c r="AG688" s="48"/>
      <c r="AH688" s="48"/>
      <c r="AI688" s="48"/>
    </row>
    <row r="689" spans="1:35" ht="15.5" hidden="1">
      <c r="A689" s="37" t="s">
        <v>1407</v>
      </c>
      <c r="B689" s="38" t="str">
        <f>IFERROR(VLOOKUP(J689,catalogo!$B$1:$C$100,2,0),"-")</f>
        <v>#19</v>
      </c>
      <c r="C689" s="39">
        <v>46071.416666666664</v>
      </c>
      <c r="D689" s="17"/>
      <c r="E689" s="17"/>
      <c r="F689" s="17"/>
      <c r="G689" s="42">
        <v>209.64</v>
      </c>
      <c r="H689" s="42">
        <v>209.64</v>
      </c>
      <c r="I689" s="43" t="s">
        <v>156</v>
      </c>
      <c r="J689" s="43" t="s">
        <v>105</v>
      </c>
      <c r="K689" s="43" t="s">
        <v>232</v>
      </c>
      <c r="L689" s="44" t="s">
        <v>233</v>
      </c>
      <c r="M689" s="44" t="s">
        <v>276</v>
      </c>
      <c r="N689" s="44" t="s">
        <v>144</v>
      </c>
      <c r="O689" s="49"/>
      <c r="P689" s="17"/>
      <c r="Q689" s="17"/>
      <c r="R689" s="17"/>
      <c r="S689" s="17"/>
      <c r="T689" s="17"/>
      <c r="U689" s="17"/>
      <c r="V689" s="17"/>
      <c r="W689" s="17"/>
      <c r="X689" s="17"/>
      <c r="Y689" s="46" t="str">
        <f ca="1">IFERROR(VLOOKUP(A689,catalogo!$E:$H,2,0),"-")</f>
        <v>Transaction cost</v>
      </c>
      <c r="Z689" s="47" t="str">
        <f ca="1">IFERROR(VLOOKUP(A689,catalogo!$E:$G,3,0),"-")</f>
        <v>PO1953  ARTEVALLEDEBRAVO</v>
      </c>
      <c r="AA689" s="48"/>
      <c r="AB689" s="48"/>
      <c r="AC689" s="48" t="str">
        <f ca="1">IFERROR(VLOOKUP(A689,catalogo!$E:$H,4,0),"-")</f>
        <v>-</v>
      </c>
      <c r="AD689" s="48"/>
      <c r="AE689" s="48"/>
      <c r="AF689" s="48"/>
      <c r="AG689" s="48"/>
      <c r="AH689" s="48"/>
      <c r="AI689" s="48"/>
    </row>
    <row r="690" spans="1:35" ht="12.5" hidden="1">
      <c r="A690" s="37" t="s">
        <v>1408</v>
      </c>
      <c r="B690" s="38" t="str">
        <f>IFERROR(VLOOKUP(J690,catalogo!$B$1:$C$75,2,0),"-")</f>
        <v>-</v>
      </c>
      <c r="C690" s="39">
        <v>46071.416666666664</v>
      </c>
      <c r="D690" s="40"/>
      <c r="E690" s="41"/>
      <c r="F690" s="41"/>
      <c r="G690" s="42">
        <v>559.97</v>
      </c>
      <c r="H690" s="42">
        <v>559.97</v>
      </c>
      <c r="I690" s="43" t="s">
        <v>156</v>
      </c>
      <c r="J690" s="43" t="s">
        <v>269</v>
      </c>
      <c r="K690" s="43" t="s">
        <v>284</v>
      </c>
      <c r="L690" s="44" t="s">
        <v>233</v>
      </c>
      <c r="M690" s="45" t="s">
        <v>270</v>
      </c>
      <c r="N690" s="44" t="s">
        <v>144</v>
      </c>
      <c r="O690" s="41"/>
      <c r="P690" s="41"/>
      <c r="Q690" s="41"/>
      <c r="R690" s="41"/>
      <c r="S690" s="41"/>
      <c r="T690" s="41"/>
      <c r="U690" s="41"/>
      <c r="V690" s="41"/>
      <c r="W690" s="41"/>
      <c r="X690" s="41"/>
      <c r="Y690" s="46" t="str">
        <f ca="1">IFERROR(VLOOKUP(A690,catalogo!$E:$H,2,0),"-")</f>
        <v>-</v>
      </c>
      <c r="Z690" s="47" t="str">
        <f ca="1">IFERROR(VLOOKUP(A690,catalogo!$E:$G,3,0),"-")</f>
        <v>-</v>
      </c>
      <c r="AA690" s="48"/>
      <c r="AB690" s="48"/>
      <c r="AC690" s="48" t="str">
        <f ca="1">IFERROR(VLOOKUP(A690,catalogo!$E:$H,4,0),"-")</f>
        <v>-</v>
      </c>
      <c r="AD690" s="48"/>
      <c r="AE690" s="48"/>
      <c r="AF690" s="48"/>
      <c r="AG690" s="48"/>
      <c r="AH690" s="48"/>
      <c r="AI690" s="48"/>
    </row>
    <row r="691" spans="1:35" ht="12.5" hidden="1">
      <c r="A691" s="37" t="s">
        <v>1409</v>
      </c>
      <c r="B691" s="38" t="str">
        <f>IFERROR(VLOOKUP(J691,catalogo!$B$1:$C$75,2,0),"-")</f>
        <v>#74</v>
      </c>
      <c r="C691" s="39">
        <v>46071.416666666664</v>
      </c>
      <c r="D691" s="40"/>
      <c r="E691" s="41"/>
      <c r="F691" s="41"/>
      <c r="G691" s="42">
        <v>149.97</v>
      </c>
      <c r="H691" s="42">
        <v>149.97</v>
      </c>
      <c r="I691" s="43" t="s">
        <v>156</v>
      </c>
      <c r="J691" s="43" t="s">
        <v>286</v>
      </c>
      <c r="K691" s="43" t="s">
        <v>232</v>
      </c>
      <c r="L691" s="44" t="s">
        <v>233</v>
      </c>
      <c r="M691" s="45">
        <v>5481</v>
      </c>
      <c r="N691" s="44" t="s">
        <v>167</v>
      </c>
      <c r="O691" s="41"/>
      <c r="P691" s="41"/>
      <c r="Q691" s="41"/>
      <c r="R691" s="41"/>
      <c r="S691" s="41"/>
      <c r="T691" s="41"/>
      <c r="U691" s="41"/>
      <c r="V691" s="41"/>
      <c r="W691" s="41"/>
      <c r="X691" s="41"/>
      <c r="Y691" s="46" t="str">
        <f ca="1">IFERROR(VLOOKUP(A691,catalogo!$E:$H,2,0),"-")</f>
        <v>-</v>
      </c>
      <c r="Z691" s="47" t="str">
        <f ca="1">IFERROR(VLOOKUP(A691,catalogo!$E:$G,3,0),"-")</f>
        <v>-</v>
      </c>
      <c r="AA691" s="48"/>
      <c r="AB691" s="48"/>
      <c r="AC691" s="48" t="str">
        <f ca="1">IFERROR(VLOOKUP(A691,catalogo!$E:$H,4,0),"-")</f>
        <v>-</v>
      </c>
      <c r="AD691" s="48"/>
      <c r="AE691" s="48"/>
      <c r="AF691" s="48"/>
      <c r="AG691" s="48"/>
      <c r="AH691" s="48"/>
      <c r="AI691" s="48"/>
    </row>
    <row r="692" spans="1:35" ht="12.5" hidden="1">
      <c r="A692" s="37" t="s">
        <v>1410</v>
      </c>
      <c r="B692" s="38" t="str">
        <f>IFERROR(VLOOKUP(J692,catalogo!$B$1:$C$75,2,0),"-")</f>
        <v>#68</v>
      </c>
      <c r="C692" s="39">
        <v>46071.416666666664</v>
      </c>
      <c r="D692" s="52"/>
      <c r="E692" s="17"/>
      <c r="F692" s="17"/>
      <c r="G692" s="42">
        <v>69.930000000000007</v>
      </c>
      <c r="H692" s="42">
        <v>69.930000000000007</v>
      </c>
      <c r="I692" s="43" t="s">
        <v>156</v>
      </c>
      <c r="J692" s="43" t="s">
        <v>384</v>
      </c>
      <c r="K692" s="43" t="s">
        <v>232</v>
      </c>
      <c r="L692" s="44" t="s">
        <v>233</v>
      </c>
      <c r="M692" s="45">
        <v>2937</v>
      </c>
      <c r="N692" s="44" t="s">
        <v>167</v>
      </c>
      <c r="O692" s="17"/>
      <c r="P692" s="17"/>
      <c r="Q692" s="17"/>
      <c r="R692" s="17"/>
      <c r="S692" s="17"/>
      <c r="T692" s="17"/>
      <c r="U692" s="17"/>
      <c r="V692" s="17"/>
      <c r="W692" s="17"/>
      <c r="X692" s="17"/>
      <c r="Y692" s="46" t="str">
        <f ca="1">IFERROR(VLOOKUP(A692,catalogo!$E:$H,2,0),"-")</f>
        <v>-</v>
      </c>
      <c r="Z692" s="47" t="str">
        <f ca="1">IFERROR(VLOOKUP(A692,catalogo!$E:$G,3,0),"-")</f>
        <v>-</v>
      </c>
      <c r="AA692" s="48"/>
      <c r="AB692" s="48"/>
      <c r="AC692" s="48" t="str">
        <f ca="1">IFERROR(VLOOKUP(A692,catalogo!$E:$H,4,0),"-")</f>
        <v>-</v>
      </c>
      <c r="AD692" s="48"/>
      <c r="AE692" s="48"/>
      <c r="AF692" s="48"/>
      <c r="AG692" s="48"/>
      <c r="AH692" s="48"/>
      <c r="AI692" s="48"/>
    </row>
    <row r="693" spans="1:35" ht="12.5" hidden="1">
      <c r="A693" s="37" t="s">
        <v>1411</v>
      </c>
      <c r="B693" s="38" t="str">
        <f>IFERROR(VLOOKUP(J693,catalogo!$B$1:$C$75,2,0),"-")</f>
        <v>#41</v>
      </c>
      <c r="C693" s="39">
        <v>46071.416666666664</v>
      </c>
      <c r="D693" s="40"/>
      <c r="E693" s="41"/>
      <c r="F693" s="41"/>
      <c r="G693" s="42">
        <v>139.99</v>
      </c>
      <c r="H693" s="42">
        <v>139.99</v>
      </c>
      <c r="I693" s="43" t="s">
        <v>156</v>
      </c>
      <c r="J693" s="43" t="s">
        <v>68</v>
      </c>
      <c r="K693" s="43" t="s">
        <v>284</v>
      </c>
      <c r="L693" s="44" t="s">
        <v>233</v>
      </c>
      <c r="M693" s="45" t="s">
        <v>1038</v>
      </c>
      <c r="N693" s="44" t="s">
        <v>144</v>
      </c>
      <c r="O693" s="41"/>
      <c r="P693" s="41"/>
      <c r="Q693" s="41"/>
      <c r="R693" s="41"/>
      <c r="S693" s="41"/>
      <c r="T693" s="41"/>
      <c r="U693" s="41"/>
      <c r="V693" s="41"/>
      <c r="W693" s="41"/>
      <c r="X693" s="41"/>
      <c r="Y693" s="46" t="str">
        <f ca="1">IFERROR(VLOOKUP(A693,catalogo!$E:$H,2,0),"-")</f>
        <v>-</v>
      </c>
      <c r="Z693" s="47" t="str">
        <f ca="1">IFERROR(VLOOKUP(A693,catalogo!$E:$G,3,0),"-")</f>
        <v>-</v>
      </c>
      <c r="AA693" s="48"/>
      <c r="AB693" s="48"/>
      <c r="AC693" s="48" t="str">
        <f ca="1">IFERROR(VLOOKUP(A693,catalogo!$E:$H,4,0),"-")</f>
        <v>-</v>
      </c>
      <c r="AD693" s="48"/>
      <c r="AE693" s="48"/>
      <c r="AF693" s="48"/>
      <c r="AG693" s="48"/>
      <c r="AH693" s="48"/>
      <c r="AI693" s="48"/>
    </row>
    <row r="694" spans="1:35" ht="12.5" hidden="1">
      <c r="A694" s="37" t="s">
        <v>1412</v>
      </c>
      <c r="B694" s="38" t="str">
        <f>IFERROR(VLOOKUP(J694,catalogo!$B$1:$C$70,2,0),"-")</f>
        <v>-</v>
      </c>
      <c r="C694" s="39">
        <v>46071.416666666664</v>
      </c>
      <c r="D694" s="17"/>
      <c r="E694" s="17"/>
      <c r="F694" s="17"/>
      <c r="G694" s="42">
        <v>156.01</v>
      </c>
      <c r="H694" s="42">
        <v>156.01</v>
      </c>
      <c r="I694" s="43" t="s">
        <v>156</v>
      </c>
      <c r="J694" s="43" t="s">
        <v>286</v>
      </c>
      <c r="K694" s="43" t="s">
        <v>284</v>
      </c>
      <c r="L694" s="44" t="s">
        <v>233</v>
      </c>
      <c r="M694" s="45">
        <v>5481</v>
      </c>
      <c r="N694" s="44" t="s">
        <v>167</v>
      </c>
      <c r="O694" s="17"/>
      <c r="P694" s="17"/>
      <c r="Q694" s="17"/>
      <c r="R694" s="17"/>
      <c r="S694" s="17"/>
      <c r="T694" s="17"/>
      <c r="U694" s="17"/>
      <c r="V694" s="17"/>
      <c r="W694" s="17"/>
      <c r="X694" s="17"/>
      <c r="Y694" s="46" t="str">
        <f ca="1">IFERROR(VLOOKUP(A694,catalogo!$E:$G,2,0),"-")</f>
        <v>-</v>
      </c>
      <c r="Z694" s="47" t="str">
        <f ca="1">IFERROR(VLOOKUP(A694,catalogo!$E:$G,3,0),"-")</f>
        <v>-</v>
      </c>
      <c r="AA694" s="48"/>
      <c r="AB694" s="48"/>
      <c r="AC694" s="48" t="str">
        <f ca="1">IFERROR(VLOOKUP(A694,catalogo!$E:$H,4,0),"-")</f>
        <v>-</v>
      </c>
      <c r="AD694" s="48"/>
      <c r="AE694" s="48"/>
      <c r="AF694" s="48"/>
      <c r="AG694" s="48"/>
      <c r="AH694" s="48"/>
      <c r="AI694" s="48"/>
    </row>
    <row r="695" spans="1:35" ht="12.5" hidden="1">
      <c r="A695" s="37" t="s">
        <v>1413</v>
      </c>
      <c r="B695" s="38" t="str">
        <f>IFERROR(VLOOKUP(J695,catalogo!$B$1:$C$70,2,0),"-")</f>
        <v>#66</v>
      </c>
      <c r="C695" s="39">
        <v>46071.416666666664</v>
      </c>
      <c r="D695" s="17"/>
      <c r="E695" s="17"/>
      <c r="F695" s="17"/>
      <c r="G695" s="42">
        <v>210</v>
      </c>
      <c r="H695" s="42">
        <v>210</v>
      </c>
      <c r="I695" s="43" t="s">
        <v>156</v>
      </c>
      <c r="J695" s="43" t="s">
        <v>80</v>
      </c>
      <c r="K695" s="43" t="s">
        <v>645</v>
      </c>
      <c r="L695" s="44" t="s">
        <v>317</v>
      </c>
      <c r="M695" s="45">
        <v>2406</v>
      </c>
      <c r="N695" s="44" t="s">
        <v>167</v>
      </c>
      <c r="O695" s="17"/>
      <c r="P695" s="17"/>
      <c r="Q695" s="17"/>
      <c r="R695" s="17"/>
      <c r="S695" s="17"/>
      <c r="T695" s="17"/>
      <c r="U695" s="17"/>
      <c r="V695" s="17"/>
      <c r="W695" s="17"/>
      <c r="X695" s="17"/>
      <c r="Y695" s="46" t="str">
        <f ca="1">IFERROR(VLOOKUP(A695,catalogo!$E:$G,2,0),"-")</f>
        <v>-</v>
      </c>
      <c r="Z695" s="47" t="str">
        <f ca="1">IFERROR(VLOOKUP(A695,catalogo!$E:$G,3,0),"-")</f>
        <v>-</v>
      </c>
      <c r="AA695" s="48"/>
      <c r="AB695" s="48"/>
      <c r="AC695" s="48" t="str">
        <f ca="1">IFERROR(VLOOKUP(A695,catalogo!$E:$H,4,0),"-")</f>
        <v>-</v>
      </c>
      <c r="AD695" s="48"/>
      <c r="AE695" s="48"/>
      <c r="AF695" s="48"/>
      <c r="AG695" s="48"/>
      <c r="AH695" s="48"/>
      <c r="AI695" s="48"/>
    </row>
    <row r="696" spans="1:35" ht="12.5" hidden="1">
      <c r="A696" s="37" t="s">
        <v>506</v>
      </c>
      <c r="B696" s="38" t="str">
        <f>IFERROR(VLOOKUP(J696,catalogo!$B$1:$C$75,2,0),"-")</f>
        <v>-</v>
      </c>
      <c r="C696" s="39">
        <v>46071.416666666664</v>
      </c>
      <c r="D696" s="52"/>
      <c r="E696" s="17"/>
      <c r="F696" s="17"/>
      <c r="G696" s="42">
        <v>450</v>
      </c>
      <c r="H696" s="42">
        <v>450</v>
      </c>
      <c r="I696" s="43" t="s">
        <v>156</v>
      </c>
      <c r="J696" s="43" t="s">
        <v>325</v>
      </c>
      <c r="K696" s="43" t="s">
        <v>327</v>
      </c>
      <c r="L696" s="44" t="s">
        <v>328</v>
      </c>
      <c r="M696" s="45">
        <v>7984</v>
      </c>
      <c r="N696" s="44" t="s">
        <v>167</v>
      </c>
      <c r="O696" s="17"/>
      <c r="P696" s="17"/>
      <c r="Q696" s="17"/>
      <c r="R696" s="17"/>
      <c r="S696" s="17"/>
      <c r="T696" s="17"/>
      <c r="U696" s="17"/>
      <c r="V696" s="17"/>
      <c r="W696" s="17"/>
      <c r="X696" s="17"/>
      <c r="Y696" s="46" t="str">
        <f ca="1">IFERROR(VLOOKUP(A696,catalogo!$E:$H,2,0),"-")</f>
        <v>Office expenses</v>
      </c>
      <c r="Z696" s="47">
        <f ca="1">IFERROR(VLOOKUP(A696,catalogo!$E:$G,3,0),"-")</f>
        <v>0</v>
      </c>
      <c r="AA696" s="48"/>
      <c r="AB696" s="48"/>
      <c r="AC696" s="48">
        <f ca="1">IFERROR(VLOOKUP(A696,catalogo!$E:$H,4,0),"-")</f>
        <v>0</v>
      </c>
      <c r="AD696" s="48"/>
      <c r="AE696" s="48"/>
      <c r="AF696" s="48"/>
      <c r="AG696" s="48"/>
      <c r="AH696" s="48"/>
      <c r="AI696" s="48"/>
    </row>
    <row r="697" spans="1:35" ht="12.5" hidden="1">
      <c r="A697" s="37" t="s">
        <v>1414</v>
      </c>
      <c r="B697" s="38" t="str">
        <f>IFERROR(VLOOKUP(J697,catalogo!$B$1:$C$75,2,0),"-")</f>
        <v>-</v>
      </c>
      <c r="C697" s="39">
        <v>46071.416666666664</v>
      </c>
      <c r="D697" s="40"/>
      <c r="E697" s="41"/>
      <c r="F697" s="41"/>
      <c r="G697" s="42">
        <v>362</v>
      </c>
      <c r="H697" s="42">
        <v>362</v>
      </c>
      <c r="I697" s="43" t="s">
        <v>156</v>
      </c>
      <c r="J697" s="43" t="s">
        <v>493</v>
      </c>
      <c r="K697" s="43" t="s">
        <v>1415</v>
      </c>
      <c r="L697" s="44" t="s">
        <v>1416</v>
      </c>
      <c r="M697" s="44">
        <v>4682</v>
      </c>
      <c r="N697" s="44" t="s">
        <v>167</v>
      </c>
      <c r="O697" s="41"/>
      <c r="P697" s="41"/>
      <c r="Q697" s="41"/>
      <c r="R697" s="41"/>
      <c r="S697" s="41"/>
      <c r="T697" s="41"/>
      <c r="U697" s="41"/>
      <c r="V697" s="41"/>
      <c r="W697" s="41"/>
      <c r="X697" s="41"/>
      <c r="Y697" s="46" t="str">
        <f ca="1">IFERROR(VLOOKUP(A697,catalogo!$E:$H,2,0),"-")</f>
        <v>Transaction cost</v>
      </c>
      <c r="Z697" s="47" t="str">
        <f ca="1">IFERROR(VLOOKUP(A697,catalogo!$E:$G,3,0),"-")</f>
        <v>PO1953  ARTEVALLEDEBRAVO</v>
      </c>
      <c r="AA697" s="48"/>
      <c r="AB697" s="48"/>
      <c r="AC697" s="48" t="str">
        <f ca="1">IFERROR(VLOOKUP(A697,catalogo!$E:$H,4,0),"-")</f>
        <v>-</v>
      </c>
      <c r="AD697" s="48"/>
      <c r="AE697" s="48"/>
      <c r="AF697" s="48"/>
      <c r="AG697" s="48"/>
      <c r="AH697" s="48"/>
      <c r="AI697" s="48"/>
    </row>
    <row r="698" spans="1:35" ht="15.5" hidden="1">
      <c r="A698" s="37" t="s">
        <v>1417</v>
      </c>
      <c r="B698" s="38" t="str">
        <f>IFERROR(VLOOKUP(J698,catalogo!$B$1:$C$75,2,0),"-")</f>
        <v>-</v>
      </c>
      <c r="C698" s="39">
        <v>46071.416666666664</v>
      </c>
      <c r="D698" s="17"/>
      <c r="E698" s="17"/>
      <c r="F698" s="17"/>
      <c r="G698" s="42">
        <v>755.7</v>
      </c>
      <c r="H698" s="42">
        <v>755.7</v>
      </c>
      <c r="I698" s="43" t="s">
        <v>156</v>
      </c>
      <c r="J698" s="43" t="s">
        <v>321</v>
      </c>
      <c r="K698" s="43" t="s">
        <v>322</v>
      </c>
      <c r="L698" s="44" t="s">
        <v>323</v>
      </c>
      <c r="M698" s="45">
        <v>3340</v>
      </c>
      <c r="N698" s="44" t="s">
        <v>167</v>
      </c>
      <c r="O698" s="49"/>
      <c r="P698" s="17"/>
      <c r="Q698" s="17"/>
      <c r="R698" s="17"/>
      <c r="S698" s="17"/>
      <c r="T698" s="17"/>
      <c r="U698" s="17"/>
      <c r="V698" s="17"/>
      <c r="W698" s="17"/>
      <c r="X698" s="17"/>
      <c r="Y698" s="46" t="str">
        <f ca="1">IFERROR(VLOOKUP(A698,catalogo!$E:$H,2,0),"-")</f>
        <v>-</v>
      </c>
      <c r="Z698" s="47" t="str">
        <f ca="1">IFERROR(VLOOKUP(A698,catalogo!$E:$G,3,0),"-")</f>
        <v>-</v>
      </c>
      <c r="AA698" s="48"/>
      <c r="AB698" s="48"/>
      <c r="AC698" s="48" t="str">
        <f ca="1">IFERROR(VLOOKUP(A698,catalogo!$E:$H,4,0),"-")</f>
        <v>-</v>
      </c>
      <c r="AD698" s="48"/>
      <c r="AE698" s="48"/>
      <c r="AF698" s="48"/>
      <c r="AG698" s="48"/>
      <c r="AH698" s="48"/>
      <c r="AI698" s="48"/>
    </row>
    <row r="699" spans="1:35" ht="12.5" hidden="1">
      <c r="A699" s="37" t="s">
        <v>1418</v>
      </c>
      <c r="B699" s="38" t="str">
        <f>IFERROR(VLOOKUP(J699,catalogo!$B$1:$C$100,2,0),"-")</f>
        <v>-</v>
      </c>
      <c r="C699" s="39">
        <v>46071.416666666664</v>
      </c>
      <c r="D699" s="17"/>
      <c r="E699" s="17"/>
      <c r="F699" s="17"/>
      <c r="G699" s="42">
        <v>810</v>
      </c>
      <c r="H699" s="42">
        <v>810</v>
      </c>
      <c r="I699" s="43" t="s">
        <v>156</v>
      </c>
      <c r="J699" s="43" t="s">
        <v>321</v>
      </c>
      <c r="K699" s="43" t="s">
        <v>319</v>
      </c>
      <c r="L699" s="44" t="s">
        <v>317</v>
      </c>
      <c r="M699" s="45">
        <v>3340</v>
      </c>
      <c r="N699" s="44" t="s">
        <v>167</v>
      </c>
      <c r="O699" s="17"/>
      <c r="P699" s="17"/>
      <c r="Q699" s="17"/>
      <c r="R699" s="17"/>
      <c r="S699" s="17"/>
      <c r="T699" s="17"/>
      <c r="U699" s="17"/>
      <c r="V699" s="17"/>
      <c r="W699" s="17"/>
      <c r="X699" s="17"/>
      <c r="Y699" s="46" t="str">
        <f ca="1">IFERROR(VLOOKUP(A699,catalogo!$E:$G,2,0),"-")</f>
        <v>-</v>
      </c>
      <c r="Z699" s="47" t="str">
        <f ca="1">IFERROR(VLOOKUP(A699,catalogo!$E:$G,3,0),"-")</f>
        <v>-</v>
      </c>
      <c r="AA699" s="48"/>
      <c r="AB699" s="48"/>
      <c r="AC699" s="48" t="str">
        <f ca="1">IFERROR(VLOOKUP(A699,catalogo!$E:$H,4,0),"-")</f>
        <v>-</v>
      </c>
      <c r="AD699" s="48"/>
      <c r="AE699" s="48"/>
      <c r="AF699" s="48"/>
      <c r="AG699" s="48"/>
      <c r="AH699" s="48"/>
      <c r="AI699" s="48"/>
    </row>
    <row r="700" spans="1:35" ht="12.5" hidden="1">
      <c r="A700" s="37" t="s">
        <v>473</v>
      </c>
      <c r="B700" s="38" t="str">
        <f>IFERROR(VLOOKUP(J700,catalogo!$B$1:$C$75,2,0),"-")</f>
        <v>-</v>
      </c>
      <c r="C700" s="39">
        <v>46071.416666666664</v>
      </c>
      <c r="D700" s="52"/>
      <c r="E700" s="17"/>
      <c r="F700" s="17"/>
      <c r="G700" s="42">
        <v>300</v>
      </c>
      <c r="H700" s="42">
        <v>300</v>
      </c>
      <c r="I700" s="43" t="s">
        <v>156</v>
      </c>
      <c r="J700" s="43" t="s">
        <v>187</v>
      </c>
      <c r="K700" s="43" t="s">
        <v>622</v>
      </c>
      <c r="L700" s="44" t="s">
        <v>623</v>
      </c>
      <c r="M700" s="45" t="s">
        <v>477</v>
      </c>
      <c r="N700" s="44" t="s">
        <v>144</v>
      </c>
      <c r="O700" s="17"/>
      <c r="P700" s="17"/>
      <c r="Q700" s="17"/>
      <c r="R700" s="17"/>
      <c r="S700" s="17"/>
      <c r="T700" s="17"/>
      <c r="U700" s="17"/>
      <c r="V700" s="17"/>
      <c r="W700" s="17"/>
      <c r="X700" s="17"/>
      <c r="Y700" s="46" t="str">
        <f ca="1">IFERROR(VLOOKUP(A700,catalogo!$E:$H,2,0),"-")</f>
        <v>-</v>
      </c>
      <c r="Z700" s="47" t="str">
        <f ca="1">IFERROR(VLOOKUP(A700,catalogo!$E:$G,3,0),"-")</f>
        <v>-</v>
      </c>
      <c r="AA700" s="48"/>
      <c r="AB700" s="48"/>
      <c r="AC700" s="48" t="str">
        <f ca="1">IFERROR(VLOOKUP(A700,catalogo!$E:$H,4,0),"-")</f>
        <v>-</v>
      </c>
      <c r="AD700" s="48"/>
      <c r="AE700" s="48"/>
      <c r="AF700" s="48"/>
      <c r="AG700" s="48"/>
      <c r="AH700" s="48"/>
      <c r="AI700" s="48"/>
    </row>
    <row r="701" spans="1:35" ht="15.5" hidden="1">
      <c r="A701" s="37" t="s">
        <v>1419</v>
      </c>
      <c r="B701" s="38" t="str">
        <f>IFERROR(VLOOKUP(J701,catalogo!$B$1:$C$75,2,0),"-")</f>
        <v>-</v>
      </c>
      <c r="C701" s="39">
        <v>46071.416666666664</v>
      </c>
      <c r="D701" s="17"/>
      <c r="E701" s="17"/>
      <c r="F701" s="17"/>
      <c r="G701" s="42">
        <v>178</v>
      </c>
      <c r="H701" s="42">
        <v>178</v>
      </c>
      <c r="I701" s="43" t="s">
        <v>156</v>
      </c>
      <c r="J701" s="43" t="s">
        <v>102</v>
      </c>
      <c r="K701" s="43" t="s">
        <v>1420</v>
      </c>
      <c r="L701" s="44" t="s">
        <v>317</v>
      </c>
      <c r="M701" s="45" t="s">
        <v>279</v>
      </c>
      <c r="N701" s="44" t="s">
        <v>144</v>
      </c>
      <c r="O701" s="49"/>
      <c r="P701" s="17"/>
      <c r="Q701" s="17"/>
      <c r="R701" s="17"/>
      <c r="S701" s="17"/>
      <c r="T701" s="17"/>
      <c r="U701" s="17"/>
      <c r="V701" s="17"/>
      <c r="W701" s="17"/>
      <c r="X701" s="17"/>
      <c r="Y701" s="46" t="str">
        <f ca="1">IFERROR(VLOOKUP(A701,catalogo!$E:$H,2,0),"-")</f>
        <v>-</v>
      </c>
      <c r="Z701" s="47" t="str">
        <f ca="1">IFERROR(VLOOKUP(A701,catalogo!$E:$G,3,0),"-")</f>
        <v>-</v>
      </c>
      <c r="AA701" s="48"/>
      <c r="AB701" s="48"/>
      <c r="AC701" s="48" t="str">
        <f ca="1">IFERROR(VLOOKUP(A701,catalogo!$E:$H,4,0),"-")</f>
        <v>-</v>
      </c>
      <c r="AD701" s="48"/>
      <c r="AE701" s="48"/>
      <c r="AF701" s="48"/>
      <c r="AG701" s="48"/>
      <c r="AH701" s="48"/>
      <c r="AI701" s="48"/>
    </row>
    <row r="702" spans="1:35" ht="15.5" hidden="1">
      <c r="A702" s="37" t="s">
        <v>1421</v>
      </c>
      <c r="B702" s="38" t="str">
        <f>IFERROR(VLOOKUP(J702,catalogo!$B$1:$C$75,2,0),"-")</f>
        <v>-</v>
      </c>
      <c r="C702" s="39">
        <v>46071.416666666664</v>
      </c>
      <c r="D702" s="17"/>
      <c r="E702" s="17"/>
      <c r="F702" s="17"/>
      <c r="G702" s="42">
        <v>300</v>
      </c>
      <c r="H702" s="42">
        <v>300</v>
      </c>
      <c r="I702" s="43" t="s">
        <v>156</v>
      </c>
      <c r="J702" s="43" t="s">
        <v>659</v>
      </c>
      <c r="K702" s="43" t="s">
        <v>664</v>
      </c>
      <c r="L702" s="44" t="s">
        <v>665</v>
      </c>
      <c r="M702" s="45" t="s">
        <v>662</v>
      </c>
      <c r="N702" s="44" t="s">
        <v>144</v>
      </c>
      <c r="O702" s="49"/>
      <c r="P702" s="17"/>
      <c r="Q702" s="17"/>
      <c r="R702" s="17"/>
      <c r="S702" s="17"/>
      <c r="T702" s="17"/>
      <c r="U702" s="17"/>
      <c r="V702" s="17"/>
      <c r="W702" s="17"/>
      <c r="X702" s="17"/>
      <c r="Y702" s="46" t="str">
        <f ca="1">IFERROR(VLOOKUP(A702,catalogo!$E:$H,2,0),"-")</f>
        <v>-</v>
      </c>
      <c r="Z702" s="47" t="str">
        <f ca="1">IFERROR(VLOOKUP(A702,catalogo!$E:$G,3,0),"-")</f>
        <v>-</v>
      </c>
      <c r="AA702" s="48"/>
      <c r="AB702" s="48"/>
      <c r="AC702" s="48" t="str">
        <f ca="1">IFERROR(VLOOKUP(A702,catalogo!$E:$H,4,0),"-")</f>
        <v>-</v>
      </c>
      <c r="AD702" s="48"/>
      <c r="AE702" s="48"/>
      <c r="AF702" s="48"/>
      <c r="AG702" s="48"/>
      <c r="AH702" s="48"/>
      <c r="AI702" s="48"/>
    </row>
    <row r="703" spans="1:35" ht="15.5" hidden="1">
      <c r="A703" s="37" t="s">
        <v>1422</v>
      </c>
      <c r="B703" s="38" t="str">
        <f>IFERROR(VLOOKUP(J703,catalogo!$B$1:$C$75,2,0),"-")</f>
        <v>#69</v>
      </c>
      <c r="C703" s="39">
        <v>46071.416666666664</v>
      </c>
      <c r="D703" s="17"/>
      <c r="E703" s="17"/>
      <c r="F703" s="17"/>
      <c r="G703" s="42">
        <v>1478</v>
      </c>
      <c r="H703" s="42">
        <v>1478</v>
      </c>
      <c r="I703" s="43" t="s">
        <v>156</v>
      </c>
      <c r="J703" s="43" t="s">
        <v>110</v>
      </c>
      <c r="K703" s="43" t="s">
        <v>1423</v>
      </c>
      <c r="L703" s="44" t="s">
        <v>1424</v>
      </c>
      <c r="M703" s="45">
        <v>8231</v>
      </c>
      <c r="N703" s="44" t="s">
        <v>167</v>
      </c>
      <c r="O703" s="49"/>
      <c r="P703" s="17"/>
      <c r="Q703" s="17"/>
      <c r="R703" s="17"/>
      <c r="S703" s="17"/>
      <c r="T703" s="17"/>
      <c r="U703" s="17"/>
      <c r="V703" s="17"/>
      <c r="W703" s="17"/>
      <c r="X703" s="17"/>
      <c r="Y703" s="46" t="str">
        <f ca="1">IFERROR(VLOOKUP(A703,catalogo!$E:$H,2,0),"-")</f>
        <v>-</v>
      </c>
      <c r="Z703" s="47" t="str">
        <f ca="1">IFERROR(VLOOKUP(A703,catalogo!$E:$G,3,0),"-")</f>
        <v>-</v>
      </c>
      <c r="AA703" s="48"/>
      <c r="AB703" s="48"/>
      <c r="AC703" s="48" t="str">
        <f ca="1">IFERROR(VLOOKUP(A703,catalogo!$E:$H,4,0),"-")</f>
        <v>-</v>
      </c>
      <c r="AD703" s="48"/>
      <c r="AE703" s="48"/>
      <c r="AF703" s="48"/>
      <c r="AG703" s="48"/>
      <c r="AH703" s="48"/>
      <c r="AI703" s="48"/>
    </row>
    <row r="704" spans="1:35" ht="15.5" hidden="1">
      <c r="A704" s="37" t="s">
        <v>1425</v>
      </c>
      <c r="B704" s="38" t="str">
        <f>IFERROR(VLOOKUP(J704,catalogo!$B$1:$C$75,2,0),"-")</f>
        <v>#6</v>
      </c>
      <c r="C704" s="39">
        <v>46071.416666666664</v>
      </c>
      <c r="D704" s="17"/>
      <c r="E704" s="17"/>
      <c r="F704" s="17"/>
      <c r="G704" s="42">
        <v>76</v>
      </c>
      <c r="H704" s="42">
        <v>76</v>
      </c>
      <c r="I704" s="43" t="s">
        <v>156</v>
      </c>
      <c r="J704" s="43" t="s">
        <v>114</v>
      </c>
      <c r="K704" s="43" t="s">
        <v>757</v>
      </c>
      <c r="L704" s="44" t="s">
        <v>336</v>
      </c>
      <c r="M704" s="45">
        <v>3893</v>
      </c>
      <c r="N704" s="44" t="s">
        <v>167</v>
      </c>
      <c r="O704" s="49"/>
      <c r="P704" s="17"/>
      <c r="Q704" s="17"/>
      <c r="R704" s="17"/>
      <c r="S704" s="17"/>
      <c r="T704" s="17"/>
      <c r="U704" s="17"/>
      <c r="V704" s="17"/>
      <c r="W704" s="17"/>
      <c r="X704" s="17"/>
      <c r="Y704" s="46" t="str">
        <f ca="1">IFERROR(VLOOKUP(A704,catalogo!$E:$H,2,0),"-")</f>
        <v>Transaction cost</v>
      </c>
      <c r="Z704" s="47" t="str">
        <f ca="1">IFERROR(VLOOKUP(A704,catalogo!$E:$G,3,0),"-")</f>
        <v xml:space="preserve">Gasolina, entrega en Deacero </v>
      </c>
      <c r="AA704" s="48"/>
      <c r="AB704" s="48"/>
      <c r="AC704" s="48">
        <f ca="1">IFERROR(VLOOKUP(A704,catalogo!$E:$H,4,0),"-")</f>
        <v>0</v>
      </c>
      <c r="AD704" s="48"/>
      <c r="AE704" s="48"/>
      <c r="AF704" s="48"/>
      <c r="AG704" s="48"/>
      <c r="AH704" s="48"/>
      <c r="AI704" s="48"/>
    </row>
    <row r="705" spans="1:35" ht="15.5" hidden="1">
      <c r="A705" s="37" t="s">
        <v>1426</v>
      </c>
      <c r="B705" s="38" t="str">
        <f>IFERROR(VLOOKUP(J705,catalogo!$B$1:$C$75,2,0),"-")</f>
        <v>#68</v>
      </c>
      <c r="C705" s="39">
        <v>46071.416666666664</v>
      </c>
      <c r="D705" s="17"/>
      <c r="E705" s="17"/>
      <c r="F705" s="17"/>
      <c r="G705" s="42">
        <v>839.48</v>
      </c>
      <c r="H705" s="42">
        <v>839.48</v>
      </c>
      <c r="I705" s="43" t="s">
        <v>156</v>
      </c>
      <c r="J705" s="43" t="s">
        <v>384</v>
      </c>
      <c r="K705" s="43" t="s">
        <v>1427</v>
      </c>
      <c r="L705" s="44" t="s">
        <v>1428</v>
      </c>
      <c r="M705" s="45">
        <v>2937</v>
      </c>
      <c r="N705" s="44" t="s">
        <v>167</v>
      </c>
      <c r="O705" s="49"/>
      <c r="P705" s="17"/>
      <c r="Q705" s="17"/>
      <c r="R705" s="17"/>
      <c r="S705" s="17"/>
      <c r="T705" s="17"/>
      <c r="U705" s="17"/>
      <c r="V705" s="17"/>
      <c r="W705" s="17"/>
      <c r="X705" s="17"/>
      <c r="Y705" s="46" t="str">
        <f ca="1">IFERROR(VLOOKUP(A705,catalogo!$E:$H,2,0),"-")</f>
        <v>-</v>
      </c>
      <c r="Z705" s="47" t="str">
        <f ca="1">IFERROR(VLOOKUP(A705,catalogo!$E:$G,3,0),"-")</f>
        <v>-</v>
      </c>
      <c r="AA705" s="48"/>
      <c r="AB705" s="48"/>
      <c r="AC705" s="48" t="str">
        <f ca="1">IFERROR(VLOOKUP(A705,catalogo!$E:$H,4,0),"-")</f>
        <v>-</v>
      </c>
      <c r="AD705" s="48"/>
      <c r="AE705" s="48"/>
      <c r="AF705" s="48"/>
      <c r="AG705" s="48"/>
      <c r="AH705" s="48"/>
      <c r="AI705" s="48"/>
    </row>
    <row r="706" spans="1:35" ht="12.5" hidden="1">
      <c r="A706" s="37" t="s">
        <v>1429</v>
      </c>
      <c r="B706" s="38" t="str">
        <f>IFERROR(VLOOKUP(J706,catalogo!$B$1:$C$75,2,0),"-")</f>
        <v>-</v>
      </c>
      <c r="C706" s="39">
        <v>46071.416666666664</v>
      </c>
      <c r="D706" s="17"/>
      <c r="E706" s="17"/>
      <c r="F706" s="17"/>
      <c r="G706" s="42">
        <v>2912.69</v>
      </c>
      <c r="H706" s="42">
        <v>2912.69</v>
      </c>
      <c r="I706" s="43" t="s">
        <v>156</v>
      </c>
      <c r="J706" s="43" t="s">
        <v>493</v>
      </c>
      <c r="K706" s="43" t="s">
        <v>347</v>
      </c>
      <c r="L706" s="44" t="s">
        <v>348</v>
      </c>
      <c r="M706" s="45">
        <v>4682</v>
      </c>
      <c r="N706" s="44" t="s">
        <v>167</v>
      </c>
      <c r="O706" s="17"/>
      <c r="P706" s="17"/>
      <c r="Q706" s="17"/>
      <c r="R706" s="17"/>
      <c r="S706" s="17"/>
      <c r="T706" s="17"/>
      <c r="U706" s="17"/>
      <c r="V706" s="17"/>
      <c r="W706" s="17"/>
      <c r="X706" s="17"/>
      <c r="Y706" s="46" t="str">
        <f ca="1">IFERROR(VLOOKUP(A706,catalogo!$E:$H,2,0),"-")</f>
        <v>-</v>
      </c>
      <c r="Z706" s="47" t="str">
        <f ca="1">IFERROR(VLOOKUP(A706,catalogo!$E:$G,3,0),"-")</f>
        <v>-</v>
      </c>
      <c r="AA706" s="48"/>
      <c r="AB706" s="48"/>
      <c r="AC706" s="48" t="str">
        <f ca="1">IFERROR(VLOOKUP(A706,catalogo!$E:$H,4,0),"-")</f>
        <v>-</v>
      </c>
      <c r="AD706" s="48"/>
      <c r="AE706" s="48"/>
      <c r="AF706" s="48"/>
      <c r="AG706" s="48"/>
      <c r="AH706" s="48"/>
      <c r="AI706" s="48"/>
    </row>
    <row r="707" spans="1:35" ht="15.5" hidden="1">
      <c r="A707" s="37" t="s">
        <v>1430</v>
      </c>
      <c r="B707" s="38" t="str">
        <f>IFERROR(VLOOKUP(J707,catalogo!$B$1:$C$75,2,0),"-")</f>
        <v>#52</v>
      </c>
      <c r="C707" s="39">
        <v>46071.416666666664</v>
      </c>
      <c r="D707" s="17"/>
      <c r="E707" s="17"/>
      <c r="F707" s="17"/>
      <c r="G707" s="42">
        <v>369.96</v>
      </c>
      <c r="H707" s="42">
        <v>369.96</v>
      </c>
      <c r="I707" s="43" t="s">
        <v>156</v>
      </c>
      <c r="J707" s="43" t="s">
        <v>253</v>
      </c>
      <c r="K707" s="43" t="s">
        <v>232</v>
      </c>
      <c r="L707" s="44" t="s">
        <v>233</v>
      </c>
      <c r="M707" s="45">
        <v>6137</v>
      </c>
      <c r="N707" s="44" t="s">
        <v>167</v>
      </c>
      <c r="O707" s="49"/>
      <c r="P707" s="17"/>
      <c r="Q707" s="17"/>
      <c r="R707" s="17"/>
      <c r="S707" s="17"/>
      <c r="T707" s="17"/>
      <c r="U707" s="17"/>
      <c r="V707" s="17"/>
      <c r="W707" s="17"/>
      <c r="X707" s="17"/>
      <c r="Y707" s="46" t="str">
        <f ca="1">IFERROR(VLOOKUP(A707,catalogo!$E:$H,2,0),"-")</f>
        <v>-</v>
      </c>
      <c r="Z707" s="47" t="str">
        <f ca="1">IFERROR(VLOOKUP(A707,catalogo!$E:$G,3,0),"-")</f>
        <v>-</v>
      </c>
      <c r="AA707" s="48"/>
      <c r="AB707" s="48"/>
      <c r="AC707" s="48" t="str">
        <f ca="1">IFERROR(VLOOKUP(A707,catalogo!$E:$H,4,0),"-")</f>
        <v>-</v>
      </c>
      <c r="AD707" s="48"/>
      <c r="AE707" s="48"/>
      <c r="AF707" s="48"/>
      <c r="AG707" s="48"/>
      <c r="AH707" s="48"/>
      <c r="AI707" s="48"/>
    </row>
    <row r="708" spans="1:35" ht="15.5" hidden="1">
      <c r="A708" s="37" t="s">
        <v>1431</v>
      </c>
      <c r="B708" s="38" t="str">
        <f>IFERROR(VLOOKUP(J708,catalogo!$B$1:$C$75,2,0),"-")</f>
        <v>#26</v>
      </c>
      <c r="C708" s="39">
        <v>46071.416666666664</v>
      </c>
      <c r="D708" s="17"/>
      <c r="E708" s="17"/>
      <c r="F708" s="17"/>
      <c r="G708" s="42">
        <v>77.09</v>
      </c>
      <c r="H708" s="42">
        <v>77.09</v>
      </c>
      <c r="I708" s="43" t="s">
        <v>156</v>
      </c>
      <c r="J708" s="43" t="s">
        <v>67</v>
      </c>
      <c r="K708" s="43" t="s">
        <v>757</v>
      </c>
      <c r="L708" s="44" t="s">
        <v>336</v>
      </c>
      <c r="M708" s="45" t="s">
        <v>159</v>
      </c>
      <c r="N708" s="44" t="s">
        <v>144</v>
      </c>
      <c r="O708" s="49"/>
      <c r="P708" s="17"/>
      <c r="Q708" s="17"/>
      <c r="R708" s="17"/>
      <c r="S708" s="17"/>
      <c r="T708" s="17"/>
      <c r="U708" s="17"/>
      <c r="V708" s="17"/>
      <c r="W708" s="17"/>
      <c r="X708" s="17"/>
      <c r="Y708" s="46" t="str">
        <f ca="1">IFERROR(VLOOKUP(A708,catalogo!$E:$H,2,0),"-")</f>
        <v>-</v>
      </c>
      <c r="Z708" s="47" t="str">
        <f ca="1">IFERROR(VLOOKUP(A708,catalogo!$E:$G,3,0),"-")</f>
        <v>-</v>
      </c>
      <c r="AA708" s="48"/>
      <c r="AB708" s="48"/>
      <c r="AC708" s="48" t="str">
        <f ca="1">IFERROR(VLOOKUP(A708,catalogo!$E:$H,4,0),"-")</f>
        <v>-</v>
      </c>
      <c r="AD708" s="48"/>
      <c r="AE708" s="48"/>
      <c r="AF708" s="48"/>
      <c r="AG708" s="48"/>
      <c r="AH708" s="48"/>
      <c r="AI708" s="48"/>
    </row>
    <row r="709" spans="1:35" ht="12.5" hidden="1">
      <c r="A709" s="37" t="s">
        <v>1432</v>
      </c>
      <c r="B709" s="38" t="str">
        <f>IFERROR(VLOOKUP(J709,catalogo!$B$1:$C$75,2,0),"-")</f>
        <v>#6</v>
      </c>
      <c r="C709" s="39">
        <v>46071.416666666664</v>
      </c>
      <c r="D709" s="40"/>
      <c r="E709" s="41"/>
      <c r="F709" s="41"/>
      <c r="G709" s="42">
        <v>196</v>
      </c>
      <c r="H709" s="42">
        <v>196</v>
      </c>
      <c r="I709" s="43" t="s">
        <v>156</v>
      </c>
      <c r="J709" s="43" t="s">
        <v>114</v>
      </c>
      <c r="K709" s="43" t="s">
        <v>1433</v>
      </c>
      <c r="L709" s="44" t="s">
        <v>407</v>
      </c>
      <c r="M709" s="45">
        <v>3893</v>
      </c>
      <c r="N709" s="44" t="s">
        <v>167</v>
      </c>
      <c r="O709" s="41"/>
      <c r="P709" s="41"/>
      <c r="Q709" s="41"/>
      <c r="R709" s="41"/>
      <c r="S709" s="41"/>
      <c r="T709" s="41"/>
      <c r="U709" s="41"/>
      <c r="V709" s="41"/>
      <c r="W709" s="41"/>
      <c r="X709" s="41"/>
      <c r="Y709" s="46" t="str">
        <f ca="1">IFERROR(VLOOKUP(A709,catalogo!$E:$H,2,0),"-")</f>
        <v>Transaction cost</v>
      </c>
      <c r="Z709" s="47" t="str">
        <f ca="1">IFERROR(VLOOKUP(A709,catalogo!$E:$G,3,0),"-")</f>
        <v>Aceite camioneta</v>
      </c>
      <c r="AA709" s="48"/>
      <c r="AB709" s="48"/>
      <c r="AC709" s="48">
        <f ca="1">IFERROR(VLOOKUP(A709,catalogo!$E:$H,4,0),"-")</f>
        <v>0</v>
      </c>
      <c r="AD709" s="48"/>
      <c r="AE709" s="48"/>
      <c r="AF709" s="48"/>
      <c r="AG709" s="48"/>
      <c r="AH709" s="48"/>
      <c r="AI709" s="48"/>
    </row>
    <row r="710" spans="1:35" ht="12.5" hidden="1">
      <c r="A710" s="37" t="s">
        <v>1434</v>
      </c>
      <c r="B710" s="38" t="str">
        <f>IFERROR(VLOOKUP(J710,catalogo!$B$1:$C$85,2,0),"-")</f>
        <v>#56</v>
      </c>
      <c r="C710" s="39">
        <v>46071.416666666664</v>
      </c>
      <c r="D710" s="17"/>
      <c r="E710" s="17"/>
      <c r="F710" s="17"/>
      <c r="G710" s="42">
        <v>431.2</v>
      </c>
      <c r="H710" s="42">
        <v>431.2</v>
      </c>
      <c r="I710" s="43" t="s">
        <v>156</v>
      </c>
      <c r="J710" s="43" t="s">
        <v>99</v>
      </c>
      <c r="K710" s="43" t="s">
        <v>1435</v>
      </c>
      <c r="L710" s="44" t="s">
        <v>1436</v>
      </c>
      <c r="M710" s="45">
        <v>8949</v>
      </c>
      <c r="N710" s="44" t="s">
        <v>167</v>
      </c>
      <c r="O710" s="17"/>
      <c r="P710" s="17"/>
      <c r="Q710" s="17"/>
      <c r="R710" s="17"/>
      <c r="S710" s="17"/>
      <c r="T710" s="17"/>
      <c r="U710" s="17"/>
      <c r="V710" s="17"/>
      <c r="W710" s="17"/>
      <c r="X710" s="17"/>
      <c r="Y710" s="46" t="str">
        <f ca="1">IFERROR(VLOOKUP(A710,catalogo!$E:$G,2,0),"-")</f>
        <v>-</v>
      </c>
      <c r="Z710" s="47" t="str">
        <f ca="1">IFERROR(VLOOKUP(A710,catalogo!$E:$G,3,0),"-")</f>
        <v>-</v>
      </c>
      <c r="AA710" s="48"/>
      <c r="AB710" s="48"/>
      <c r="AC710" s="48" t="str">
        <f ca="1">IFERROR(VLOOKUP(A710,catalogo!$E:$H,4,0),"-")</f>
        <v>-</v>
      </c>
      <c r="AD710" s="48"/>
      <c r="AE710" s="48"/>
      <c r="AF710" s="48"/>
      <c r="AG710" s="48"/>
      <c r="AH710" s="48"/>
      <c r="AI710" s="48"/>
    </row>
    <row r="711" spans="1:35" ht="12.5" hidden="1">
      <c r="A711" s="37" t="s">
        <v>1437</v>
      </c>
      <c r="B711" s="38" t="str">
        <f>IFERROR(VLOOKUP(J711,catalogo!$B$1:$C$75,2,0),"-")</f>
        <v>-</v>
      </c>
      <c r="C711" s="39">
        <v>46071.416666666664</v>
      </c>
      <c r="D711" s="40"/>
      <c r="E711" s="41"/>
      <c r="F711" s="41"/>
      <c r="G711" s="42">
        <v>50</v>
      </c>
      <c r="H711" s="42">
        <v>50</v>
      </c>
      <c r="I711" s="43" t="s">
        <v>156</v>
      </c>
      <c r="J711" s="43" t="s">
        <v>659</v>
      </c>
      <c r="K711" s="43" t="s">
        <v>660</v>
      </c>
      <c r="L711" s="44" t="s">
        <v>661</v>
      </c>
      <c r="M711" s="45" t="s">
        <v>662</v>
      </c>
      <c r="N711" s="44" t="s">
        <v>144</v>
      </c>
      <c r="O711" s="41"/>
      <c r="P711" s="41"/>
      <c r="Q711" s="41"/>
      <c r="R711" s="41"/>
      <c r="S711" s="41"/>
      <c r="T711" s="41"/>
      <c r="U711" s="41"/>
      <c r="V711" s="41"/>
      <c r="W711" s="41"/>
      <c r="X711" s="41"/>
      <c r="Y711" s="46" t="str">
        <f ca="1">IFERROR(VLOOKUP(A711,catalogo!$E:$H,2,0),"-")</f>
        <v>Tech&amp;Product</v>
      </c>
      <c r="Z711" s="47">
        <f ca="1">IFERROR(VLOOKUP(A711,catalogo!$E:$G,3,0),"-")</f>
        <v>0</v>
      </c>
      <c r="AA711" s="48"/>
      <c r="AB711" s="48"/>
      <c r="AC711" s="48" t="str">
        <f ca="1">IFERROR(VLOOKUP(A711,catalogo!$E:$H,4,0),"-")</f>
        <v>.</v>
      </c>
      <c r="AD711" s="48"/>
      <c r="AE711" s="48"/>
      <c r="AF711" s="48"/>
      <c r="AG711" s="48"/>
      <c r="AH711" s="48"/>
      <c r="AI711" s="48"/>
    </row>
    <row r="712" spans="1:35" ht="12.5" hidden="1">
      <c r="A712" s="37" t="s">
        <v>1438</v>
      </c>
      <c r="B712" s="38" t="str">
        <f>IFERROR(VLOOKUP(J712,catalogo!$B$1:$C$75,2,0),"-")</f>
        <v>#64</v>
      </c>
      <c r="C712" s="39">
        <v>46071.416666666664</v>
      </c>
      <c r="D712" s="17"/>
      <c r="E712" s="17"/>
      <c r="F712" s="17"/>
      <c r="G712" s="42">
        <v>800</v>
      </c>
      <c r="H712" s="42">
        <v>800</v>
      </c>
      <c r="I712" s="43" t="s">
        <v>156</v>
      </c>
      <c r="J712" s="43" t="s">
        <v>139</v>
      </c>
      <c r="K712" s="43" t="s">
        <v>165</v>
      </c>
      <c r="L712" s="44" t="s">
        <v>166</v>
      </c>
      <c r="M712" s="45">
        <v>7142</v>
      </c>
      <c r="N712" s="44" t="s">
        <v>167</v>
      </c>
      <c r="O712" s="17"/>
      <c r="P712" s="17"/>
      <c r="Q712" s="17"/>
      <c r="R712" s="17"/>
      <c r="S712" s="17"/>
      <c r="T712" s="17"/>
      <c r="U712" s="17"/>
      <c r="V712" s="17"/>
      <c r="W712" s="17"/>
      <c r="X712" s="17"/>
      <c r="Y712" s="46" t="str">
        <f ca="1">IFERROR(VLOOKUP(A712,catalogo!$E:$H,2,0),"-")</f>
        <v>-</v>
      </c>
      <c r="Z712" s="47" t="str">
        <f ca="1">IFERROR(VLOOKUP(A712,catalogo!$E:$G,3,0),"-")</f>
        <v>-</v>
      </c>
      <c r="AA712" s="48"/>
      <c r="AB712" s="48"/>
      <c r="AC712" s="48" t="str">
        <f ca="1">IFERROR(VLOOKUP(A712,catalogo!$E:$H,4,0),"-")</f>
        <v>-</v>
      </c>
      <c r="AD712" s="48"/>
      <c r="AE712" s="48"/>
      <c r="AF712" s="48"/>
      <c r="AG712" s="48"/>
      <c r="AH712" s="48"/>
      <c r="AI712" s="48"/>
    </row>
    <row r="713" spans="1:35" ht="12.5" hidden="1">
      <c r="A713" s="37" t="s">
        <v>1439</v>
      </c>
      <c r="B713" s="38" t="str">
        <f>IFERROR(VLOOKUP(J713,catalogo!$B$1:$C$85,2,0),"-")</f>
        <v>#5</v>
      </c>
      <c r="C713" s="39">
        <v>46071.416666666664</v>
      </c>
      <c r="D713" s="17"/>
      <c r="E713" s="17"/>
      <c r="F713" s="17"/>
      <c r="G713" s="42">
        <v>1707.95</v>
      </c>
      <c r="H713" s="42">
        <v>1707.95</v>
      </c>
      <c r="I713" s="43" t="s">
        <v>156</v>
      </c>
      <c r="J713" s="43" t="s">
        <v>104</v>
      </c>
      <c r="K713" s="43" t="s">
        <v>399</v>
      </c>
      <c r="L713" s="44" t="s">
        <v>400</v>
      </c>
      <c r="M713" s="45">
        <v>3283</v>
      </c>
      <c r="N713" s="44" t="s">
        <v>167</v>
      </c>
      <c r="O713" s="17"/>
      <c r="P713" s="17"/>
      <c r="Q713" s="17"/>
      <c r="R713" s="17"/>
      <c r="S713" s="17"/>
      <c r="T713" s="17"/>
      <c r="U713" s="17"/>
      <c r="V713" s="17"/>
      <c r="W713" s="17"/>
      <c r="X713" s="17"/>
      <c r="Y713" s="46">
        <f ca="1">IFERROR(VLOOKUP(A713,catalogo!$E:$G,2,0),"-")</f>
        <v>0</v>
      </c>
      <c r="Z713" s="47">
        <f ca="1">IFERROR(VLOOKUP(A713,catalogo!$E:$G,3,0),"-")</f>
        <v>0</v>
      </c>
      <c r="AA713" s="48"/>
      <c r="AB713" s="48"/>
      <c r="AC713" s="48" t="str">
        <f ca="1">IFERROR(VLOOKUP(A713,catalogo!$E:$H,4,0),"-")</f>
        <v>.</v>
      </c>
      <c r="AD713" s="48"/>
      <c r="AE713" s="48"/>
      <c r="AF713" s="48"/>
      <c r="AG713" s="48"/>
      <c r="AH713" s="48"/>
      <c r="AI713" s="48"/>
    </row>
    <row r="714" spans="1:35" ht="12.5" hidden="1">
      <c r="A714" s="37" t="s">
        <v>1440</v>
      </c>
      <c r="B714" s="38" t="str">
        <f>IFERROR(VLOOKUP(J714,catalogo!$B$1:$C$75,2,0),"-")</f>
        <v>#6</v>
      </c>
      <c r="C714" s="39">
        <v>46071.416666666664</v>
      </c>
      <c r="D714" s="17"/>
      <c r="E714" s="17"/>
      <c r="F714" s="17"/>
      <c r="G714" s="42">
        <v>1000</v>
      </c>
      <c r="H714" s="42">
        <v>1000</v>
      </c>
      <c r="I714" s="43" t="s">
        <v>156</v>
      </c>
      <c r="J714" s="43" t="s">
        <v>114</v>
      </c>
      <c r="K714" s="43" t="s">
        <v>524</v>
      </c>
      <c r="L714" s="44" t="s">
        <v>525</v>
      </c>
      <c r="M714" s="45">
        <v>3893</v>
      </c>
      <c r="N714" s="44" t="s">
        <v>167</v>
      </c>
      <c r="O714" s="17"/>
      <c r="P714" s="17"/>
      <c r="Q714" s="17"/>
      <c r="R714" s="17"/>
      <c r="S714" s="17"/>
      <c r="T714" s="17"/>
      <c r="U714" s="17"/>
      <c r="V714" s="17"/>
      <c r="W714" s="17"/>
      <c r="X714" s="17"/>
      <c r="Y714" s="46" t="str">
        <f ca="1">IFERROR(VLOOKUP(A714,catalogo!$E:$H,2,0),"-")</f>
        <v>Transaction cost</v>
      </c>
      <c r="Z714" s="47" t="str">
        <f ca="1">IFERROR(VLOOKUP(A714,catalogo!$E:$G,3,0),"-")</f>
        <v>Comida entrega en deacero</v>
      </c>
      <c r="AA714" s="48"/>
      <c r="AB714" s="48"/>
      <c r="AC714" s="48">
        <f ca="1">IFERROR(VLOOKUP(A714,catalogo!$E:$H,4,0),"-")</f>
        <v>0</v>
      </c>
      <c r="AD714" s="48"/>
      <c r="AE714" s="48"/>
      <c r="AF714" s="48"/>
      <c r="AG714" s="48"/>
      <c r="AH714" s="48"/>
      <c r="AI714" s="48"/>
    </row>
    <row r="715" spans="1:35" ht="12.5" hidden="1">
      <c r="A715" s="37" t="s">
        <v>1441</v>
      </c>
      <c r="B715" s="38" t="str">
        <f>IFERROR(VLOOKUP(J715,catalogo!$B$1:$C$85,2,0),"-")</f>
        <v>#19</v>
      </c>
      <c r="C715" s="39">
        <v>46071.416666666664</v>
      </c>
      <c r="D715" s="17"/>
      <c r="E715" s="17"/>
      <c r="F715" s="17"/>
      <c r="G715" s="42">
        <v>299.95</v>
      </c>
      <c r="H715" s="42">
        <v>299.95</v>
      </c>
      <c r="I715" s="43" t="s">
        <v>156</v>
      </c>
      <c r="J715" s="43" t="s">
        <v>105</v>
      </c>
      <c r="K715" s="43" t="s">
        <v>371</v>
      </c>
      <c r="L715" s="44" t="s">
        <v>233</v>
      </c>
      <c r="M715" s="45" t="s">
        <v>276</v>
      </c>
      <c r="N715" s="44" t="s">
        <v>144</v>
      </c>
      <c r="O715" s="17"/>
      <c r="P715" s="17"/>
      <c r="Q715" s="17"/>
      <c r="R715" s="17"/>
      <c r="S715" s="17"/>
      <c r="T715" s="17"/>
      <c r="U715" s="17"/>
      <c r="V715" s="17"/>
      <c r="W715" s="17"/>
      <c r="X715" s="17"/>
      <c r="Y715" s="46" t="str">
        <f ca="1">IFERROR(VLOOKUP(A715,catalogo!$E:$G,2,0),"-")</f>
        <v>Transaction cost</v>
      </c>
      <c r="Z715" s="47" t="str">
        <f ca="1">IFERROR(VLOOKUP(A715,catalogo!$E:$G,3,0),"-")</f>
        <v>PO1953  ARTEVALLEDEBRAVO</v>
      </c>
      <c r="AA715" s="48"/>
      <c r="AB715" s="48"/>
      <c r="AC715" s="48" t="str">
        <f ca="1">IFERROR(VLOOKUP(A715,catalogo!$E:$H,4,0),"-")</f>
        <v>-</v>
      </c>
      <c r="AD715" s="48"/>
      <c r="AE715" s="48"/>
      <c r="AF715" s="48"/>
      <c r="AG715" s="48"/>
      <c r="AH715" s="48"/>
      <c r="AI715" s="48"/>
    </row>
    <row r="716" spans="1:35" ht="12.5" hidden="1">
      <c r="A716" s="37" t="s">
        <v>1442</v>
      </c>
      <c r="B716" s="38" t="str">
        <f>IFERROR(VLOOKUP(J716,catalogo!$B$1:$C$75,2,0),"-")</f>
        <v>#19</v>
      </c>
      <c r="C716" s="39">
        <v>46071.416666666664</v>
      </c>
      <c r="D716" s="17"/>
      <c r="E716" s="17"/>
      <c r="F716" s="17"/>
      <c r="G716" s="42">
        <v>65.5</v>
      </c>
      <c r="H716" s="42">
        <v>65.5</v>
      </c>
      <c r="I716" s="43" t="s">
        <v>156</v>
      </c>
      <c r="J716" s="43" t="s">
        <v>105</v>
      </c>
      <c r="K716" s="43" t="s">
        <v>1443</v>
      </c>
      <c r="L716" s="44" t="s">
        <v>407</v>
      </c>
      <c r="M716" s="45">
        <v>5778</v>
      </c>
      <c r="N716" s="44" t="s">
        <v>167</v>
      </c>
      <c r="O716" s="17"/>
      <c r="P716" s="17"/>
      <c r="Q716" s="17"/>
      <c r="R716" s="17"/>
      <c r="S716" s="17"/>
      <c r="T716" s="17"/>
      <c r="U716" s="17"/>
      <c r="V716" s="17"/>
      <c r="W716" s="17"/>
      <c r="X716" s="17"/>
      <c r="Y716" s="46" t="str">
        <f ca="1">IFERROR(VLOOKUP(A716,catalogo!$E:$H,2,0),"-")</f>
        <v>Transaction cost</v>
      </c>
      <c r="Z716" s="47" t="str">
        <f ca="1">IFERROR(VLOOKUP(A716,catalogo!$E:$G,3,0),"-")</f>
        <v>PO1953  ARTEVALLEDEBRAVO</v>
      </c>
      <c r="AA716" s="48"/>
      <c r="AB716" s="48"/>
      <c r="AC716" s="48" t="str">
        <f ca="1">IFERROR(VLOOKUP(A716,catalogo!$E:$H,4,0),"-")</f>
        <v>-</v>
      </c>
      <c r="AD716" s="48"/>
      <c r="AE716" s="48"/>
      <c r="AF716" s="48"/>
      <c r="AG716" s="48"/>
      <c r="AH716" s="48"/>
      <c r="AI716" s="48"/>
    </row>
    <row r="717" spans="1:35" ht="12.5" hidden="1">
      <c r="A717" s="37" t="s">
        <v>1444</v>
      </c>
      <c r="B717" s="38" t="str">
        <f>IFERROR(VLOOKUP(J717,catalogo!$B$1:$C$70,2,0),"-")</f>
        <v>#64</v>
      </c>
      <c r="C717" s="39">
        <v>46071.416666666664</v>
      </c>
      <c r="D717" s="17"/>
      <c r="E717" s="17"/>
      <c r="F717" s="17"/>
      <c r="G717" s="42">
        <v>4800</v>
      </c>
      <c r="H717" s="42">
        <v>4800</v>
      </c>
      <c r="I717" s="43" t="s">
        <v>156</v>
      </c>
      <c r="J717" s="43" t="s">
        <v>139</v>
      </c>
      <c r="K717" s="43" t="s">
        <v>165</v>
      </c>
      <c r="L717" s="44" t="s">
        <v>166</v>
      </c>
      <c r="M717" s="45">
        <v>7142</v>
      </c>
      <c r="N717" s="44" t="s">
        <v>167</v>
      </c>
      <c r="O717" s="17"/>
      <c r="P717" s="17"/>
      <c r="Q717" s="17"/>
      <c r="R717" s="17"/>
      <c r="S717" s="17"/>
      <c r="T717" s="17"/>
      <c r="U717" s="17"/>
      <c r="V717" s="17"/>
      <c r="W717" s="17"/>
      <c r="X717" s="17"/>
      <c r="Y717" s="46" t="str">
        <f ca="1">IFERROR(VLOOKUP(A717,catalogo!$E:$G,2,0),"-")</f>
        <v>-</v>
      </c>
      <c r="Z717" s="47" t="str">
        <f ca="1">IFERROR(VLOOKUP(A717,catalogo!$E:$G,3,0),"-")</f>
        <v>-</v>
      </c>
      <c r="AA717" s="48"/>
      <c r="AB717" s="48"/>
      <c r="AC717" s="48" t="str">
        <f ca="1">IFERROR(VLOOKUP(A717,catalogo!$E:$H,4,0),"-")</f>
        <v>-</v>
      </c>
      <c r="AD717" s="48"/>
      <c r="AE717" s="48"/>
      <c r="AF717" s="48"/>
      <c r="AG717" s="48"/>
      <c r="AH717" s="48"/>
      <c r="AI717" s="48"/>
    </row>
    <row r="718" spans="1:35" ht="12.5" hidden="1">
      <c r="A718" s="37" t="s">
        <v>1445</v>
      </c>
      <c r="B718" s="38" t="str">
        <f>IFERROR(VLOOKUP(J718,catalogo!$B$1:$C$100,2,0),"-")</f>
        <v>#8</v>
      </c>
      <c r="C718" s="39">
        <v>46071.416666666664</v>
      </c>
      <c r="D718" s="17"/>
      <c r="E718" s="17"/>
      <c r="F718" s="17"/>
      <c r="G718" s="42">
        <v>102.5</v>
      </c>
      <c r="H718" s="42">
        <v>102.5</v>
      </c>
      <c r="I718" s="43" t="s">
        <v>156</v>
      </c>
      <c r="J718" s="43" t="s">
        <v>128</v>
      </c>
      <c r="K718" s="43" t="s">
        <v>419</v>
      </c>
      <c r="L718" s="44" t="s">
        <v>420</v>
      </c>
      <c r="M718" s="45">
        <v>16</v>
      </c>
      <c r="N718" s="44" t="s">
        <v>167</v>
      </c>
      <c r="O718" s="17"/>
      <c r="P718" s="17"/>
      <c r="Q718" s="17"/>
      <c r="R718" s="17"/>
      <c r="S718" s="17"/>
      <c r="T718" s="17"/>
      <c r="U718" s="17"/>
      <c r="V718" s="17"/>
      <c r="W718" s="17"/>
      <c r="X718" s="17"/>
      <c r="Y718" s="46" t="str">
        <f ca="1">IFERROR(VLOOKUP(A718,catalogo!$E:$G,2,0),"-")</f>
        <v>Transaction cost</v>
      </c>
      <c r="Z718" s="47" t="str">
        <f ca="1">IFERROR(VLOOKUP(A718,catalogo!$E:$G,3,0),"-")</f>
        <v>COMIDA   PO2165 - ENSAMBLE UF/CEB MECANICO</v>
      </c>
      <c r="AA718" s="48"/>
      <c r="AB718" s="48"/>
      <c r="AC718" s="48" t="str">
        <f ca="1">IFERROR(VLOOKUP(A718,catalogo!$E:$H,4,0),"-")</f>
        <v>.</v>
      </c>
      <c r="AD718" s="48"/>
      <c r="AE718" s="48"/>
      <c r="AF718" s="48"/>
      <c r="AG718" s="48"/>
      <c r="AH718" s="48"/>
      <c r="AI718" s="48"/>
    </row>
    <row r="719" spans="1:35" ht="15.5" hidden="1">
      <c r="A719" s="37" t="s">
        <v>1446</v>
      </c>
      <c r="B719" s="38" t="str">
        <f>IFERROR(VLOOKUP(J719,catalogo!$B$1:$C$75,2,0),"-")</f>
        <v>-</v>
      </c>
      <c r="C719" s="39">
        <v>46071.416666666664</v>
      </c>
      <c r="D719" s="17"/>
      <c r="E719" s="17"/>
      <c r="F719" s="17"/>
      <c r="G719" s="42">
        <v>50</v>
      </c>
      <c r="H719" s="42">
        <v>50</v>
      </c>
      <c r="I719" s="43" t="s">
        <v>156</v>
      </c>
      <c r="J719" s="43" t="s">
        <v>659</v>
      </c>
      <c r="K719" s="43" t="s">
        <v>660</v>
      </c>
      <c r="L719" s="44" t="s">
        <v>661</v>
      </c>
      <c r="M719" s="45" t="s">
        <v>662</v>
      </c>
      <c r="N719" s="44" t="s">
        <v>144</v>
      </c>
      <c r="O719" s="49"/>
      <c r="P719" s="17"/>
      <c r="Q719" s="17"/>
      <c r="R719" s="17"/>
      <c r="S719" s="17"/>
      <c r="T719" s="17"/>
      <c r="U719" s="17"/>
      <c r="V719" s="17"/>
      <c r="W719" s="17"/>
      <c r="X719" s="17"/>
      <c r="Y719" s="46" t="str">
        <f ca="1">IFERROR(VLOOKUP(A719,catalogo!$E:$H,2,0),"-")</f>
        <v>-</v>
      </c>
      <c r="Z719" s="47" t="str">
        <f ca="1">IFERROR(VLOOKUP(A719,catalogo!$E:$G,3,0),"-")</f>
        <v>-</v>
      </c>
      <c r="AA719" s="48"/>
      <c r="AB719" s="48"/>
      <c r="AC719" s="48" t="str">
        <f ca="1">IFERROR(VLOOKUP(A719,catalogo!$E:$H,4,0),"-")</f>
        <v>-</v>
      </c>
      <c r="AD719" s="48"/>
      <c r="AE719" s="48"/>
      <c r="AF719" s="48"/>
      <c r="AG719" s="48"/>
      <c r="AH719" s="48"/>
      <c r="AI719" s="48"/>
    </row>
    <row r="720" spans="1:35" ht="15.5" hidden="1">
      <c r="A720" s="37" t="s">
        <v>1447</v>
      </c>
      <c r="B720" s="38" t="str">
        <f>IFERROR(VLOOKUP(J720,catalogo!$B$1:$C$75,2,0),"-")</f>
        <v>-</v>
      </c>
      <c r="C720" s="39">
        <v>46071.416666666664</v>
      </c>
      <c r="D720" s="17"/>
      <c r="E720" s="17"/>
      <c r="F720" s="17"/>
      <c r="G720" s="42">
        <v>300</v>
      </c>
      <c r="H720" s="42">
        <v>300</v>
      </c>
      <c r="I720" s="43" t="s">
        <v>156</v>
      </c>
      <c r="J720" s="43" t="s">
        <v>659</v>
      </c>
      <c r="K720" s="43" t="s">
        <v>664</v>
      </c>
      <c r="L720" s="44" t="s">
        <v>665</v>
      </c>
      <c r="M720" s="45" t="s">
        <v>662</v>
      </c>
      <c r="N720" s="44" t="s">
        <v>144</v>
      </c>
      <c r="O720" s="49"/>
      <c r="P720" s="17"/>
      <c r="Q720" s="17"/>
      <c r="R720" s="17"/>
      <c r="S720" s="17"/>
      <c r="T720" s="17"/>
      <c r="U720" s="17"/>
      <c r="V720" s="17"/>
      <c r="W720" s="17"/>
      <c r="X720" s="17"/>
      <c r="Y720" s="46" t="str">
        <f ca="1">IFERROR(VLOOKUP(A720,catalogo!$E:$H,2,0),"-")</f>
        <v>-</v>
      </c>
      <c r="Z720" s="47" t="str">
        <f ca="1">IFERROR(VLOOKUP(A720,catalogo!$E:$G,3,0),"-")</f>
        <v>-</v>
      </c>
      <c r="AA720" s="48"/>
      <c r="AB720" s="48"/>
      <c r="AC720" s="48" t="str">
        <f ca="1">IFERROR(VLOOKUP(A720,catalogo!$E:$H,4,0),"-")</f>
        <v>-</v>
      </c>
      <c r="AD720" s="48"/>
      <c r="AE720" s="48"/>
      <c r="AF720" s="48"/>
      <c r="AG720" s="48"/>
      <c r="AH720" s="48"/>
      <c r="AI720" s="48"/>
    </row>
    <row r="721" spans="1:35" ht="12.5" hidden="1">
      <c r="A721" s="37" t="s">
        <v>1448</v>
      </c>
      <c r="B721" s="38" t="str">
        <f>IFERROR(VLOOKUP(J721,catalogo!$B$1:$C$75,2,0),"-")</f>
        <v>#26</v>
      </c>
      <c r="C721" s="39">
        <v>46071.416666666664</v>
      </c>
      <c r="D721" s="40"/>
      <c r="E721" s="41"/>
      <c r="F721" s="41"/>
      <c r="G721" s="42">
        <v>250</v>
      </c>
      <c r="H721" s="42">
        <v>250</v>
      </c>
      <c r="I721" s="43" t="s">
        <v>156</v>
      </c>
      <c r="J721" s="43" t="s">
        <v>67</v>
      </c>
      <c r="K721" s="43" t="s">
        <v>335</v>
      </c>
      <c r="L721" s="44" t="s">
        <v>336</v>
      </c>
      <c r="M721" s="45" t="s">
        <v>159</v>
      </c>
      <c r="N721" s="44" t="s">
        <v>144</v>
      </c>
      <c r="O721" s="41"/>
      <c r="P721" s="41"/>
      <c r="Q721" s="41"/>
      <c r="R721" s="41"/>
      <c r="S721" s="41"/>
      <c r="T721" s="41"/>
      <c r="U721" s="41"/>
      <c r="V721" s="41"/>
      <c r="W721" s="41"/>
      <c r="X721" s="41"/>
      <c r="Y721" s="46" t="str">
        <f ca="1">IFERROR(VLOOKUP(A721,catalogo!$E:$H,2,0),"-")</f>
        <v>-</v>
      </c>
      <c r="Z721" s="47" t="str">
        <f ca="1">IFERROR(VLOOKUP(A721,catalogo!$E:$G,3,0),"-")</f>
        <v>-</v>
      </c>
      <c r="AA721" s="48"/>
      <c r="AB721" s="48"/>
      <c r="AC721" s="48" t="str">
        <f ca="1">IFERROR(VLOOKUP(A721,catalogo!$E:$H,4,0),"-")</f>
        <v>-</v>
      </c>
      <c r="AD721" s="48"/>
      <c r="AE721" s="48"/>
      <c r="AF721" s="48"/>
      <c r="AG721" s="48"/>
      <c r="AH721" s="48"/>
      <c r="AI721" s="48"/>
    </row>
    <row r="722" spans="1:35" ht="12.5" hidden="1">
      <c r="A722" s="37" t="s">
        <v>1449</v>
      </c>
      <c r="B722" s="38" t="str">
        <f>IFERROR(VLOOKUP(J722,catalogo!$B$1:$C$70,2,0),"-")</f>
        <v>-</v>
      </c>
      <c r="C722" s="39">
        <v>46071.416666666664</v>
      </c>
      <c r="D722" s="17"/>
      <c r="E722" s="17"/>
      <c r="F722" s="17"/>
      <c r="G722" s="42">
        <v>100</v>
      </c>
      <c r="H722" s="42">
        <v>100</v>
      </c>
      <c r="I722" s="43" t="s">
        <v>156</v>
      </c>
      <c r="J722" s="43" t="s">
        <v>187</v>
      </c>
      <c r="K722" s="43" t="s">
        <v>660</v>
      </c>
      <c r="L722" s="44" t="s">
        <v>661</v>
      </c>
      <c r="M722" s="45" t="s">
        <v>477</v>
      </c>
      <c r="N722" s="44" t="s">
        <v>144</v>
      </c>
      <c r="O722" s="17"/>
      <c r="P722" s="17"/>
      <c r="Q722" s="17"/>
      <c r="R722" s="17"/>
      <c r="S722" s="17"/>
      <c r="T722" s="17"/>
      <c r="U722" s="17"/>
      <c r="V722" s="17"/>
      <c r="W722" s="17"/>
      <c r="X722" s="17"/>
      <c r="Y722" s="46" t="str">
        <f ca="1">IFERROR(VLOOKUP(A722,catalogo!$E:$G,2,0),"-")</f>
        <v>-</v>
      </c>
      <c r="Z722" s="47" t="str">
        <f ca="1">IFERROR(VLOOKUP(A722,catalogo!$E:$G,3,0),"-")</f>
        <v>-</v>
      </c>
      <c r="AA722" s="48"/>
      <c r="AB722" s="48"/>
      <c r="AC722" s="48" t="str">
        <f ca="1">IFERROR(VLOOKUP(A722,catalogo!$E:$H,4,0),"-")</f>
        <v>-</v>
      </c>
      <c r="AD722" s="48"/>
      <c r="AE722" s="48"/>
      <c r="AF722" s="48"/>
      <c r="AG722" s="48"/>
      <c r="AH722" s="48"/>
      <c r="AI722" s="48"/>
    </row>
    <row r="723" spans="1:35" ht="12.5" hidden="1">
      <c r="A723" s="37" t="s">
        <v>1450</v>
      </c>
      <c r="B723" s="38" t="str">
        <f>IFERROR(VLOOKUP(J723,catalogo!$B$1:$C$100,2,0),"-")</f>
        <v>#6</v>
      </c>
      <c r="C723" s="39">
        <v>46071.416666666664</v>
      </c>
      <c r="D723" s="52"/>
      <c r="E723" s="17"/>
      <c r="F723" s="17"/>
      <c r="G723" s="42">
        <v>1233.8599999999999</v>
      </c>
      <c r="H723" s="42">
        <v>1233.8599999999999</v>
      </c>
      <c r="I723" s="43" t="s">
        <v>156</v>
      </c>
      <c r="J723" s="43" t="s">
        <v>114</v>
      </c>
      <c r="K723" s="43" t="s">
        <v>361</v>
      </c>
      <c r="L723" s="44" t="s">
        <v>362</v>
      </c>
      <c r="M723" s="45" t="s">
        <v>363</v>
      </c>
      <c r="N723" s="44" t="s">
        <v>144</v>
      </c>
      <c r="O723" s="17"/>
      <c r="P723" s="17"/>
      <c r="Q723" s="17"/>
      <c r="R723" s="17"/>
      <c r="S723" s="17"/>
      <c r="T723" s="17"/>
      <c r="U723" s="17"/>
      <c r="V723" s="17"/>
      <c r="W723" s="17"/>
      <c r="X723" s="17"/>
      <c r="Y723" s="46" t="str">
        <f ca="1">IFERROR(VLOOKUP(A723,catalogo!$E:$H,2,0),"-")</f>
        <v>Transaction cost</v>
      </c>
      <c r="Z723" s="47" t="str">
        <f ca="1">IFERROR(VLOOKUP(A723,catalogo!$E:$G,3,0),"-")</f>
        <v>Comida entrega en Deacero</v>
      </c>
      <c r="AA723" s="48"/>
      <c r="AB723" s="48"/>
      <c r="AC723" s="48">
        <f ca="1">IFERROR(VLOOKUP(A723,catalogo!$E:$H,4,0),"-")</f>
        <v>0</v>
      </c>
      <c r="AD723" s="48"/>
      <c r="AE723" s="48"/>
      <c r="AF723" s="48"/>
      <c r="AG723" s="48"/>
      <c r="AH723" s="48"/>
      <c r="AI723" s="48"/>
    </row>
    <row r="724" spans="1:35" ht="12.5" hidden="1">
      <c r="A724" s="37" t="s">
        <v>1451</v>
      </c>
      <c r="B724" s="38" t="str">
        <f>IFERROR(VLOOKUP(J724,catalogo!$B$1:$C$75,2,0),"-")</f>
        <v>#6</v>
      </c>
      <c r="C724" s="39">
        <v>46071.417361111111</v>
      </c>
      <c r="D724" s="52"/>
      <c r="E724" s="17"/>
      <c r="F724" s="17"/>
      <c r="G724" s="42">
        <v>283</v>
      </c>
      <c r="H724" s="42">
        <v>283</v>
      </c>
      <c r="I724" s="43" t="s">
        <v>156</v>
      </c>
      <c r="J724" s="43" t="s">
        <v>114</v>
      </c>
      <c r="K724" s="43" t="s">
        <v>1452</v>
      </c>
      <c r="L724" s="44" t="s">
        <v>1453</v>
      </c>
      <c r="M724" s="45">
        <v>3893</v>
      </c>
      <c r="N724" s="44" t="s">
        <v>167</v>
      </c>
      <c r="O724" s="17"/>
      <c r="P724" s="17"/>
      <c r="Q724" s="17"/>
      <c r="R724" s="17"/>
      <c r="S724" s="17"/>
      <c r="T724" s="17"/>
      <c r="U724" s="17"/>
      <c r="V724" s="17"/>
      <c r="W724" s="17"/>
      <c r="X724" s="17"/>
      <c r="Y724" s="46" t="str">
        <f ca="1">IFERROR(VLOOKUP(A724,catalogo!$E:$H,2,0),"-")</f>
        <v>Transaction cost</v>
      </c>
      <c r="Z724" s="47" t="str">
        <f ca="1">IFERROR(VLOOKUP(A724,catalogo!$E:$G,3,0),"-")</f>
        <v>Gasolina recolección en wonderdesk</v>
      </c>
      <c r="AA724" s="48"/>
      <c r="AB724" s="48"/>
      <c r="AC724" s="48">
        <f ca="1">IFERROR(VLOOKUP(A724,catalogo!$E:$H,4,0),"-")</f>
        <v>0</v>
      </c>
      <c r="AD724" s="48"/>
      <c r="AE724" s="48"/>
      <c r="AF724" s="48"/>
      <c r="AG724" s="48"/>
      <c r="AH724" s="48"/>
      <c r="AI724" s="48"/>
    </row>
    <row r="725" spans="1:35" ht="12.5" hidden="1">
      <c r="A725" s="37" t="s">
        <v>498</v>
      </c>
      <c r="B725" s="38" t="str">
        <f>IFERROR(VLOOKUP(J725,catalogo!$B$1:$C$75,2,0),"-")</f>
        <v>-</v>
      </c>
      <c r="C725" s="39">
        <v>46071.417361111111</v>
      </c>
      <c r="D725" s="52"/>
      <c r="E725" s="17"/>
      <c r="F725" s="17"/>
      <c r="G725" s="42">
        <v>1124.7</v>
      </c>
      <c r="H725" s="42">
        <v>1124.7</v>
      </c>
      <c r="I725" s="43" t="s">
        <v>156</v>
      </c>
      <c r="J725" s="43" t="s">
        <v>493</v>
      </c>
      <c r="K725" s="43" t="s">
        <v>1454</v>
      </c>
      <c r="L725" s="44" t="s">
        <v>407</v>
      </c>
      <c r="M725" s="45">
        <v>4682</v>
      </c>
      <c r="N725" s="44" t="s">
        <v>167</v>
      </c>
      <c r="O725" s="17"/>
      <c r="P725" s="17"/>
      <c r="Q725" s="17"/>
      <c r="R725" s="17"/>
      <c r="S725" s="17"/>
      <c r="T725" s="17"/>
      <c r="U725" s="17"/>
      <c r="V725" s="17"/>
      <c r="W725" s="17"/>
      <c r="X725" s="17"/>
      <c r="Y725" s="46" t="str">
        <f ca="1">IFERROR(VLOOKUP(A725,catalogo!$E:$H,2,0),"-")</f>
        <v>-</v>
      </c>
      <c r="Z725" s="47" t="str">
        <f ca="1">IFERROR(VLOOKUP(A725,catalogo!$E:$G,3,0),"-")</f>
        <v>-</v>
      </c>
      <c r="AA725" s="48"/>
      <c r="AB725" s="48"/>
      <c r="AC725" s="48" t="str">
        <f ca="1">IFERROR(VLOOKUP(A725,catalogo!$E:$H,4,0),"-")</f>
        <v>-</v>
      </c>
      <c r="AD725" s="48"/>
      <c r="AE725" s="48"/>
      <c r="AF725" s="48"/>
      <c r="AG725" s="48"/>
      <c r="AH725" s="48"/>
      <c r="AI725" s="48"/>
    </row>
    <row r="726" spans="1:35" ht="12.5" hidden="1">
      <c r="A726" s="37" t="s">
        <v>1455</v>
      </c>
      <c r="B726" s="38" t="str">
        <f>IFERROR(VLOOKUP(J726,catalogo!$B$1:$C$75,2,0),"-")</f>
        <v>#64</v>
      </c>
      <c r="C726" s="39">
        <v>46071.417361111111</v>
      </c>
      <c r="D726" s="40"/>
      <c r="E726" s="41"/>
      <c r="F726" s="41"/>
      <c r="G726" s="42">
        <v>90</v>
      </c>
      <c r="H726" s="42">
        <v>90</v>
      </c>
      <c r="I726" s="43" t="s">
        <v>156</v>
      </c>
      <c r="J726" s="43" t="s">
        <v>139</v>
      </c>
      <c r="K726" s="43" t="s">
        <v>836</v>
      </c>
      <c r="L726" s="44" t="s">
        <v>655</v>
      </c>
      <c r="M726" s="45">
        <v>7142</v>
      </c>
      <c r="N726" s="44" t="s">
        <v>167</v>
      </c>
      <c r="O726" s="41"/>
      <c r="P726" s="41"/>
      <c r="Q726" s="41"/>
      <c r="R726" s="41"/>
      <c r="S726" s="41"/>
      <c r="T726" s="41"/>
      <c r="U726" s="41"/>
      <c r="V726" s="41"/>
      <c r="W726" s="41"/>
      <c r="X726" s="41"/>
      <c r="Y726" s="46" t="str">
        <f ca="1">IFERROR(VLOOKUP(A726,catalogo!$E:$H,2,0),"-")</f>
        <v>-</v>
      </c>
      <c r="Z726" s="47" t="str">
        <f ca="1">IFERROR(VLOOKUP(A726,catalogo!$E:$G,3,0),"-")</f>
        <v>-</v>
      </c>
      <c r="AA726" s="48"/>
      <c r="AB726" s="48"/>
      <c r="AC726" s="48" t="str">
        <f ca="1">IFERROR(VLOOKUP(A726,catalogo!$E:$H,4,0),"-")</f>
        <v>-</v>
      </c>
      <c r="AD726" s="48"/>
      <c r="AE726" s="48"/>
      <c r="AF726" s="48"/>
      <c r="AG726" s="48"/>
      <c r="AH726" s="48"/>
      <c r="AI726" s="48"/>
    </row>
    <row r="727" spans="1:35" ht="15.5" hidden="1">
      <c r="A727" s="37" t="s">
        <v>1456</v>
      </c>
      <c r="B727" s="38" t="str">
        <f>IFERROR(VLOOKUP(J727,catalogo!$B$1:$C$75,2,0),"-")</f>
        <v>-</v>
      </c>
      <c r="C727" s="39">
        <v>46071.417361111111</v>
      </c>
      <c r="D727" s="17"/>
      <c r="E727" s="17"/>
      <c r="F727" s="17"/>
      <c r="G727" s="42">
        <v>65</v>
      </c>
      <c r="H727" s="42">
        <v>65</v>
      </c>
      <c r="I727" s="43" t="s">
        <v>156</v>
      </c>
      <c r="J727" s="43" t="s">
        <v>321</v>
      </c>
      <c r="K727" s="43" t="s">
        <v>1040</v>
      </c>
      <c r="L727" s="44" t="s">
        <v>1041</v>
      </c>
      <c r="M727" s="44">
        <v>3340</v>
      </c>
      <c r="N727" s="44" t="s">
        <v>167</v>
      </c>
      <c r="O727" s="49"/>
      <c r="P727" s="17"/>
      <c r="Q727" s="17"/>
      <c r="R727" s="17"/>
      <c r="S727" s="17"/>
      <c r="T727" s="17"/>
      <c r="U727" s="17"/>
      <c r="V727" s="17"/>
      <c r="W727" s="17"/>
      <c r="X727" s="17"/>
      <c r="Y727" s="46" t="str">
        <f ca="1">IFERROR(VLOOKUP(A727,catalogo!$E:$H,2,0),"-")</f>
        <v>-</v>
      </c>
      <c r="Z727" s="47" t="str">
        <f ca="1">IFERROR(VLOOKUP(A727,catalogo!$E:$G,3,0),"-")</f>
        <v>-</v>
      </c>
      <c r="AA727" s="48"/>
      <c r="AB727" s="48"/>
      <c r="AC727" s="48" t="str">
        <f ca="1">IFERROR(VLOOKUP(A727,catalogo!$E:$H,4,0),"-")</f>
        <v>-</v>
      </c>
      <c r="AD727" s="48"/>
      <c r="AE727" s="48"/>
      <c r="AF727" s="48"/>
      <c r="AG727" s="48"/>
      <c r="AH727" s="48"/>
      <c r="AI727" s="48"/>
    </row>
    <row r="728" spans="1:35" ht="15.5" hidden="1">
      <c r="A728" s="37" t="s">
        <v>1457</v>
      </c>
      <c r="B728" s="38" t="str">
        <f>IFERROR(VLOOKUP(J728,catalogo!$B$1:$C$75,2,0),"-")</f>
        <v>#64</v>
      </c>
      <c r="C728" s="39">
        <v>46071.417361111111</v>
      </c>
      <c r="D728" s="17"/>
      <c r="E728" s="17"/>
      <c r="F728" s="17"/>
      <c r="G728" s="42">
        <v>540</v>
      </c>
      <c r="H728" s="42">
        <v>540</v>
      </c>
      <c r="I728" s="43" t="s">
        <v>156</v>
      </c>
      <c r="J728" s="43" t="s">
        <v>139</v>
      </c>
      <c r="K728" s="43" t="s">
        <v>165</v>
      </c>
      <c r="L728" s="44" t="s">
        <v>166</v>
      </c>
      <c r="M728" s="45">
        <v>7142</v>
      </c>
      <c r="N728" s="44" t="s">
        <v>167</v>
      </c>
      <c r="O728" s="49"/>
      <c r="P728" s="17"/>
      <c r="Q728" s="17"/>
      <c r="R728" s="17"/>
      <c r="S728" s="17"/>
      <c r="T728" s="17"/>
      <c r="U728" s="17"/>
      <c r="V728" s="17"/>
      <c r="W728" s="17"/>
      <c r="X728" s="17"/>
      <c r="Y728" s="46" t="str">
        <f ca="1">IFERROR(VLOOKUP(A728,catalogo!$E:$H,2,0),"-")</f>
        <v>-</v>
      </c>
      <c r="Z728" s="47" t="str">
        <f ca="1">IFERROR(VLOOKUP(A728,catalogo!$E:$G,3,0),"-")</f>
        <v>-</v>
      </c>
      <c r="AA728" s="48"/>
      <c r="AB728" s="48"/>
      <c r="AC728" s="48" t="str">
        <f ca="1">IFERROR(VLOOKUP(A728,catalogo!$E:$H,4,0),"-")</f>
        <v>-</v>
      </c>
      <c r="AD728" s="48"/>
      <c r="AE728" s="48"/>
      <c r="AF728" s="48"/>
      <c r="AG728" s="48"/>
      <c r="AH728" s="48"/>
      <c r="AI728" s="48"/>
    </row>
    <row r="729" spans="1:35" ht="12.5" hidden="1">
      <c r="A729" s="37" t="s">
        <v>1458</v>
      </c>
      <c r="B729" s="38" t="str">
        <f>IFERROR(VLOOKUP(J729,catalogo!$B$1:$C$100,2,0),"-")</f>
        <v>#19</v>
      </c>
      <c r="C729" s="39">
        <v>46071.417361111111</v>
      </c>
      <c r="D729" s="17"/>
      <c r="E729" s="17"/>
      <c r="F729" s="17"/>
      <c r="G729" s="42">
        <v>258</v>
      </c>
      <c r="H729" s="42">
        <v>258</v>
      </c>
      <c r="I729" s="43" t="s">
        <v>156</v>
      </c>
      <c r="J729" s="43" t="s">
        <v>105</v>
      </c>
      <c r="K729" s="43" t="s">
        <v>1459</v>
      </c>
      <c r="L729" s="44" t="s">
        <v>637</v>
      </c>
      <c r="M729" s="45">
        <v>5778</v>
      </c>
      <c r="N729" s="44" t="s">
        <v>167</v>
      </c>
      <c r="O729" s="17"/>
      <c r="P729" s="17"/>
      <c r="Q729" s="17"/>
      <c r="R729" s="17"/>
      <c r="S729" s="17"/>
      <c r="T729" s="17"/>
      <c r="U729" s="17"/>
      <c r="V729" s="17"/>
      <c r="W729" s="17"/>
      <c r="X729" s="17"/>
      <c r="Y729" s="46" t="str">
        <f ca="1">IFERROR(VLOOKUP(A729,catalogo!$E:$G,2,0),"-")</f>
        <v>Transaction cost</v>
      </c>
      <c r="Z729" s="47" t="str">
        <f ca="1">IFERROR(VLOOKUP(A729,catalogo!$E:$G,3,0),"-")</f>
        <v>PO1953  ARTEVALLEDEBRAVO</v>
      </c>
      <c r="AA729" s="48"/>
      <c r="AB729" s="48"/>
      <c r="AC729" s="48" t="str">
        <f ca="1">IFERROR(VLOOKUP(A729,catalogo!$E:$H,4,0),"-")</f>
        <v>-</v>
      </c>
      <c r="AD729" s="48"/>
      <c r="AE729" s="48"/>
      <c r="AF729" s="48"/>
      <c r="AG729" s="48"/>
      <c r="AH729" s="48"/>
      <c r="AI729" s="48"/>
    </row>
    <row r="730" spans="1:35" ht="12.5" hidden="1">
      <c r="A730" s="37" t="s">
        <v>1460</v>
      </c>
      <c r="B730" s="38" t="str">
        <f>IFERROR(VLOOKUP(J730,catalogo!$B$1:$C$100,2,0),"-")</f>
        <v>#69</v>
      </c>
      <c r="C730" s="39">
        <v>46071.417361111111</v>
      </c>
      <c r="D730" s="17"/>
      <c r="E730" s="17"/>
      <c r="F730" s="17"/>
      <c r="G730" s="42">
        <v>3040.6</v>
      </c>
      <c r="H730" s="42">
        <v>3040.6</v>
      </c>
      <c r="I730" s="43" t="s">
        <v>156</v>
      </c>
      <c r="J730" s="43" t="s">
        <v>110</v>
      </c>
      <c r="K730" s="43" t="s">
        <v>1461</v>
      </c>
      <c r="L730" s="44" t="s">
        <v>1462</v>
      </c>
      <c r="M730" s="45">
        <v>8231</v>
      </c>
      <c r="N730" s="44" t="s">
        <v>167</v>
      </c>
      <c r="O730" s="17"/>
      <c r="P730" s="17"/>
      <c r="Q730" s="17"/>
      <c r="R730" s="17"/>
      <c r="S730" s="17"/>
      <c r="T730" s="17"/>
      <c r="U730" s="17"/>
      <c r="V730" s="17"/>
      <c r="W730" s="17"/>
      <c r="X730" s="17"/>
      <c r="Y730" s="46" t="str">
        <f ca="1">IFERROR(VLOOKUP(A730,catalogo!$E:$H,2,0),"-")</f>
        <v>-</v>
      </c>
      <c r="Z730" s="47" t="str">
        <f ca="1">IFERROR(VLOOKUP(A730,catalogo!$E:$G,3,0),"-")</f>
        <v>-</v>
      </c>
      <c r="AA730" s="48"/>
      <c r="AB730" s="48"/>
      <c r="AC730" s="48" t="str">
        <f ca="1">IFERROR(VLOOKUP(A730,catalogo!$E:$H,4,0),"-")</f>
        <v>-</v>
      </c>
      <c r="AD730" s="48"/>
      <c r="AE730" s="48"/>
      <c r="AF730" s="48"/>
      <c r="AG730" s="48"/>
      <c r="AH730" s="48"/>
      <c r="AI730" s="48"/>
    </row>
    <row r="731" spans="1:35" ht="12.5" hidden="1">
      <c r="A731" s="37" t="s">
        <v>437</v>
      </c>
      <c r="B731" s="38" t="str">
        <f>IFERROR(VLOOKUP(J731,catalogo!$B$1:$C$75,2,0),"-")</f>
        <v>#40</v>
      </c>
      <c r="C731" s="39">
        <v>46071.417361111111</v>
      </c>
      <c r="D731" s="52"/>
      <c r="E731" s="17"/>
      <c r="F731" s="17"/>
      <c r="G731" s="42">
        <v>206</v>
      </c>
      <c r="H731" s="42">
        <v>206</v>
      </c>
      <c r="I731" s="43" t="s">
        <v>156</v>
      </c>
      <c r="J731" s="43" t="s">
        <v>136</v>
      </c>
      <c r="K731" s="43" t="s">
        <v>1463</v>
      </c>
      <c r="L731" s="44" t="s">
        <v>1464</v>
      </c>
      <c r="M731" s="45">
        <v>7740</v>
      </c>
      <c r="N731" s="44" t="s">
        <v>167</v>
      </c>
      <c r="O731" s="17" t="s">
        <v>1465</v>
      </c>
      <c r="P731" s="17"/>
      <c r="Q731" s="17"/>
      <c r="R731" s="17"/>
      <c r="S731" s="17"/>
      <c r="T731" s="17"/>
      <c r="U731" s="17"/>
      <c r="V731" s="17"/>
      <c r="W731" s="17"/>
      <c r="X731" s="17"/>
      <c r="Y731" s="46" t="str">
        <f ca="1">IFERROR(VLOOKUP(A731,catalogo!$E:$H,2,0),"-")</f>
        <v>G&amp;A expenses</v>
      </c>
      <c r="Z731" s="47" t="str">
        <f ca="1">IFERROR(VLOOKUP(A731,catalogo!$E:$G,3,0),"-")</f>
        <v>PO1865. Muestras IMESA</v>
      </c>
      <c r="AA731" s="48"/>
      <c r="AB731" s="48"/>
      <c r="AC731" s="48" t="str">
        <f ca="1">IFERROR(VLOOKUP(A731,catalogo!$E:$H,4,0),"-")</f>
        <v>3DE869E6-DCD7-4ABC-AFD2-38BDA403C7EF</v>
      </c>
      <c r="AD731" s="48"/>
      <c r="AE731" s="48"/>
      <c r="AF731" s="48"/>
      <c r="AG731" s="48"/>
      <c r="AH731" s="48"/>
      <c r="AI731" s="48"/>
    </row>
    <row r="732" spans="1:35" ht="12.5" hidden="1">
      <c r="A732" s="37" t="s">
        <v>1466</v>
      </c>
      <c r="B732" s="38" t="str">
        <f>IFERROR(VLOOKUP(J732,catalogo!$B$1:$C$70,2,0),"-")</f>
        <v>-</v>
      </c>
      <c r="C732" s="39">
        <v>46071.417361111111</v>
      </c>
      <c r="D732" s="17"/>
      <c r="E732" s="17"/>
      <c r="F732" s="17"/>
      <c r="G732" s="42">
        <v>25</v>
      </c>
      <c r="H732" s="42">
        <v>25</v>
      </c>
      <c r="I732" s="43" t="s">
        <v>156</v>
      </c>
      <c r="J732" s="43" t="s">
        <v>102</v>
      </c>
      <c r="K732" s="43" t="s">
        <v>841</v>
      </c>
      <c r="L732" s="44" t="s">
        <v>842</v>
      </c>
      <c r="M732" s="45">
        <v>6448</v>
      </c>
      <c r="N732" s="44" t="s">
        <v>167</v>
      </c>
      <c r="O732" s="17"/>
      <c r="P732" s="17"/>
      <c r="Q732" s="17"/>
      <c r="R732" s="17"/>
      <c r="S732" s="17"/>
      <c r="T732" s="17"/>
      <c r="U732" s="17"/>
      <c r="V732" s="17"/>
      <c r="W732" s="17"/>
      <c r="X732" s="17"/>
      <c r="Y732" s="46" t="str">
        <f ca="1">IFERROR(VLOOKUP(A732,catalogo!$E:$G,2,0),"-")</f>
        <v>-</v>
      </c>
      <c r="Z732" s="47" t="str">
        <f ca="1">IFERROR(VLOOKUP(A732,catalogo!$E:$G,3,0),"-")</f>
        <v>-</v>
      </c>
      <c r="AA732" s="48"/>
      <c r="AB732" s="48"/>
      <c r="AC732" s="48" t="str">
        <f ca="1">IFERROR(VLOOKUP(A732,catalogo!$E:$H,4,0),"-")</f>
        <v>-</v>
      </c>
      <c r="AD732" s="48"/>
      <c r="AE732" s="48"/>
      <c r="AF732" s="48"/>
      <c r="AG732" s="48"/>
      <c r="AH732" s="48"/>
      <c r="AI732" s="48"/>
    </row>
    <row r="733" spans="1:35" ht="15.5" hidden="1">
      <c r="A733" s="37" t="s">
        <v>1467</v>
      </c>
      <c r="B733" s="38" t="str">
        <f>IFERROR(VLOOKUP(J733,catalogo!$B$1:$C$85,2,0),"-")</f>
        <v>#64</v>
      </c>
      <c r="C733" s="39">
        <v>46071.417361111111</v>
      </c>
      <c r="D733" s="17"/>
      <c r="E733" s="17"/>
      <c r="F733" s="17"/>
      <c r="G733" s="42">
        <v>184.36</v>
      </c>
      <c r="H733" s="42">
        <v>184.36</v>
      </c>
      <c r="I733" s="43" t="s">
        <v>156</v>
      </c>
      <c r="J733" s="43" t="s">
        <v>139</v>
      </c>
      <c r="K733" s="43" t="s">
        <v>422</v>
      </c>
      <c r="L733" s="44" t="s">
        <v>423</v>
      </c>
      <c r="M733" s="45">
        <v>7142</v>
      </c>
      <c r="N733" s="44" t="s">
        <v>167</v>
      </c>
      <c r="O733" s="49"/>
      <c r="P733" s="17"/>
      <c r="Q733" s="17"/>
      <c r="R733" s="17"/>
      <c r="S733" s="17"/>
      <c r="T733" s="17"/>
      <c r="U733" s="17"/>
      <c r="V733" s="17"/>
      <c r="W733" s="17"/>
      <c r="X733" s="17"/>
      <c r="Y733" s="46" t="str">
        <f ca="1">IFERROR(VLOOKUP(A733,catalogo!$E:$H,2,0),"-")</f>
        <v>-</v>
      </c>
      <c r="Z733" s="47" t="str">
        <f ca="1">IFERROR(VLOOKUP(A733,catalogo!$E:$G,3,0),"-")</f>
        <v>-</v>
      </c>
      <c r="AA733" s="48"/>
      <c r="AB733" s="48"/>
      <c r="AC733" s="48" t="str">
        <f ca="1">IFERROR(VLOOKUP(A733,catalogo!$E:$H,4,0),"-")</f>
        <v>-</v>
      </c>
      <c r="AD733" s="48"/>
      <c r="AE733" s="48"/>
      <c r="AF733" s="48"/>
      <c r="AG733" s="48"/>
      <c r="AH733" s="48"/>
      <c r="AI733" s="48"/>
    </row>
    <row r="734" spans="1:35" ht="15.5" hidden="1">
      <c r="A734" s="37" t="s">
        <v>1468</v>
      </c>
      <c r="B734" s="38" t="str">
        <f>IFERROR(VLOOKUP(J734,catalogo!$B$1:$C$75,2,0),"-")</f>
        <v>#68</v>
      </c>
      <c r="C734" s="39">
        <v>46071.417361111111</v>
      </c>
      <c r="D734" s="17"/>
      <c r="E734" s="17"/>
      <c r="F734" s="17"/>
      <c r="G734" s="42">
        <v>1073.74</v>
      </c>
      <c r="H734" s="42">
        <v>1073.74</v>
      </c>
      <c r="I734" s="43" t="s">
        <v>156</v>
      </c>
      <c r="J734" s="43" t="s">
        <v>384</v>
      </c>
      <c r="K734" s="43" t="s">
        <v>1469</v>
      </c>
      <c r="L734" s="44" t="s">
        <v>1470</v>
      </c>
      <c r="M734" s="45">
        <v>2937</v>
      </c>
      <c r="N734" s="44" t="s">
        <v>167</v>
      </c>
      <c r="O734" s="49"/>
      <c r="P734" s="17"/>
      <c r="Q734" s="17"/>
      <c r="R734" s="17"/>
      <c r="S734" s="17"/>
      <c r="T734" s="17"/>
      <c r="U734" s="17"/>
      <c r="V734" s="17"/>
      <c r="W734" s="17"/>
      <c r="X734" s="17"/>
      <c r="Y734" s="46" t="str">
        <f ca="1">IFERROR(VLOOKUP(A734,catalogo!$E:$H,2,0),"-")</f>
        <v>-</v>
      </c>
      <c r="Z734" s="47" t="str">
        <f ca="1">IFERROR(VLOOKUP(A734,catalogo!$E:$G,3,0),"-")</f>
        <v>-</v>
      </c>
      <c r="AA734" s="48"/>
      <c r="AB734" s="48"/>
      <c r="AC734" s="48" t="str">
        <f ca="1">IFERROR(VLOOKUP(A734,catalogo!$E:$H,4,0),"-")</f>
        <v>-</v>
      </c>
      <c r="AD734" s="48"/>
      <c r="AE734" s="48"/>
      <c r="AF734" s="48"/>
      <c r="AG734" s="48"/>
      <c r="AH734" s="48"/>
      <c r="AI734" s="48"/>
    </row>
    <row r="735" spans="1:35" ht="12.5" hidden="1">
      <c r="A735" s="37" t="s">
        <v>1471</v>
      </c>
      <c r="B735" s="38" t="str">
        <f>IFERROR(VLOOKUP(J735,catalogo!$B$1:$C$75,2,0),"-")</f>
        <v>-</v>
      </c>
      <c r="C735" s="39">
        <v>46071.417361111111</v>
      </c>
      <c r="D735" s="40"/>
      <c r="E735" s="41"/>
      <c r="F735" s="41"/>
      <c r="G735" s="42">
        <v>2012.38</v>
      </c>
      <c r="H735" s="42">
        <v>2012.38</v>
      </c>
      <c r="I735" s="43" t="s">
        <v>156</v>
      </c>
      <c r="J735" s="43" t="s">
        <v>493</v>
      </c>
      <c r="K735" s="43" t="s">
        <v>1472</v>
      </c>
      <c r="L735" s="44" t="s">
        <v>1473</v>
      </c>
      <c r="M735" s="45">
        <v>4682</v>
      </c>
      <c r="N735" s="44" t="s">
        <v>167</v>
      </c>
      <c r="O735" s="41"/>
      <c r="P735" s="41"/>
      <c r="Q735" s="41"/>
      <c r="R735" s="41"/>
      <c r="S735" s="41"/>
      <c r="T735" s="41"/>
      <c r="U735" s="41"/>
      <c r="V735" s="41"/>
      <c r="W735" s="41"/>
      <c r="X735" s="41"/>
      <c r="Y735" s="46" t="str">
        <f ca="1">IFERROR(VLOOKUP(A735,catalogo!$E:$H,2,0),"-")</f>
        <v>-</v>
      </c>
      <c r="Z735" s="47" t="str">
        <f ca="1">IFERROR(VLOOKUP(A735,catalogo!$E:$G,3,0),"-")</f>
        <v>-</v>
      </c>
      <c r="AA735" s="48"/>
      <c r="AB735" s="48"/>
      <c r="AC735" s="48" t="str">
        <f ca="1">IFERROR(VLOOKUP(A735,catalogo!$E:$H,4,0),"-")</f>
        <v>-</v>
      </c>
      <c r="AD735" s="48"/>
      <c r="AE735" s="48"/>
      <c r="AF735" s="48"/>
      <c r="AG735" s="48"/>
      <c r="AH735" s="48"/>
      <c r="AI735" s="48"/>
    </row>
    <row r="736" spans="1:35" ht="12.5" hidden="1">
      <c r="A736" s="37" t="s">
        <v>285</v>
      </c>
      <c r="B736" s="38" t="str">
        <f>IFERROR(VLOOKUP(J736,catalogo!$B$1:$C$100,2,0),"-")</f>
        <v>-</v>
      </c>
      <c r="C736" s="39">
        <v>46071.417361111111</v>
      </c>
      <c r="D736" s="17"/>
      <c r="E736" s="17"/>
      <c r="F736" s="17"/>
      <c r="G736" s="42">
        <v>25</v>
      </c>
      <c r="H736" s="42">
        <v>25</v>
      </c>
      <c r="I736" s="43" t="s">
        <v>156</v>
      </c>
      <c r="J736" s="43" t="s">
        <v>321</v>
      </c>
      <c r="K736" s="43" t="s">
        <v>841</v>
      </c>
      <c r="L736" s="44" t="s">
        <v>842</v>
      </c>
      <c r="M736" s="45">
        <v>3340</v>
      </c>
      <c r="N736" s="44" t="s">
        <v>167</v>
      </c>
      <c r="O736" s="17"/>
      <c r="P736" s="17"/>
      <c r="Q736" s="17"/>
      <c r="R736" s="17"/>
      <c r="S736" s="17"/>
      <c r="T736" s="17"/>
      <c r="U736" s="17"/>
      <c r="V736" s="17"/>
      <c r="W736" s="17"/>
      <c r="X736" s="17"/>
      <c r="Y736" s="46" t="str">
        <f ca="1">IFERROR(VLOOKUP(A736,catalogo!$E:$H,2,0),"-")</f>
        <v>-</v>
      </c>
      <c r="Z736" s="47" t="str">
        <f ca="1">IFERROR(VLOOKUP(A736,catalogo!$E:$G,3,0),"-")</f>
        <v>-</v>
      </c>
      <c r="AA736" s="48"/>
      <c r="AB736" s="48"/>
      <c r="AC736" s="48" t="str">
        <f ca="1">IFERROR(VLOOKUP(A736,catalogo!$E:$H,4,0),"-")</f>
        <v>-</v>
      </c>
      <c r="AD736" s="48"/>
      <c r="AE736" s="48"/>
      <c r="AF736" s="48"/>
      <c r="AG736" s="48"/>
      <c r="AH736" s="48"/>
      <c r="AI736" s="48"/>
    </row>
    <row r="737" spans="1:35" ht="15.5" hidden="1">
      <c r="A737" s="37" t="s">
        <v>1474</v>
      </c>
      <c r="B737" s="38" t="str">
        <f>IFERROR(VLOOKUP(J737,catalogo!$B$1:$C$100,2,0),"-")</f>
        <v>#26</v>
      </c>
      <c r="C737" s="39">
        <v>46071.417361111111</v>
      </c>
      <c r="D737" s="17"/>
      <c r="E737" s="17"/>
      <c r="F737" s="17"/>
      <c r="G737" s="42">
        <v>158.19999999999999</v>
      </c>
      <c r="H737" s="42">
        <v>158.19999999999999</v>
      </c>
      <c r="I737" s="43" t="s">
        <v>156</v>
      </c>
      <c r="J737" s="43" t="s">
        <v>67</v>
      </c>
      <c r="K737" s="43" t="s">
        <v>1475</v>
      </c>
      <c r="L737" s="44" t="s">
        <v>1476</v>
      </c>
      <c r="M737" s="45">
        <v>8061</v>
      </c>
      <c r="N737" s="44" t="s">
        <v>167</v>
      </c>
      <c r="O737" s="49"/>
      <c r="P737" s="17"/>
      <c r="Q737" s="17"/>
      <c r="R737" s="17"/>
      <c r="S737" s="17"/>
      <c r="T737" s="17"/>
      <c r="U737" s="17"/>
      <c r="V737" s="17"/>
      <c r="W737" s="17"/>
      <c r="X737" s="17"/>
      <c r="Y737" s="46" t="str">
        <f ca="1">IFERROR(VLOOKUP(A737,catalogo!$E:$H,2,0),"-")</f>
        <v>-</v>
      </c>
      <c r="Z737" s="47" t="str">
        <f ca="1">IFERROR(VLOOKUP(A737,catalogo!$E:$G,3,0),"-")</f>
        <v>-</v>
      </c>
      <c r="AA737" s="48"/>
      <c r="AB737" s="48"/>
      <c r="AC737" s="48" t="str">
        <f ca="1">IFERROR(VLOOKUP(A737,catalogo!$E:$H,4,0),"-")</f>
        <v>-</v>
      </c>
      <c r="AD737" s="48"/>
      <c r="AE737" s="48"/>
      <c r="AF737" s="48"/>
      <c r="AG737" s="48"/>
      <c r="AH737" s="48"/>
      <c r="AI737" s="48"/>
    </row>
    <row r="738" spans="1:35" ht="12.5" hidden="1">
      <c r="A738" s="37" t="s">
        <v>1477</v>
      </c>
      <c r="B738" s="38" t="str">
        <f>IFERROR(VLOOKUP(J738,catalogo!$B$1:$C$75,2,0),"-")</f>
        <v>#4</v>
      </c>
      <c r="C738" s="39">
        <v>46071.417361111111</v>
      </c>
      <c r="D738" s="40"/>
      <c r="E738" s="41"/>
      <c r="F738" s="41"/>
      <c r="G738" s="42">
        <v>1213.99</v>
      </c>
      <c r="H738" s="42">
        <v>1213.99</v>
      </c>
      <c r="I738" s="43" t="s">
        <v>156</v>
      </c>
      <c r="J738" s="43" t="s">
        <v>95</v>
      </c>
      <c r="K738" s="43" t="s">
        <v>1478</v>
      </c>
      <c r="L738" s="44" t="s">
        <v>1479</v>
      </c>
      <c r="M738" s="45">
        <v>975</v>
      </c>
      <c r="N738" s="44" t="s">
        <v>167</v>
      </c>
      <c r="O738" s="41"/>
      <c r="P738" s="41"/>
      <c r="Q738" s="41"/>
      <c r="R738" s="41"/>
      <c r="S738" s="41"/>
      <c r="T738" s="41"/>
      <c r="U738" s="41"/>
      <c r="V738" s="41"/>
      <c r="W738" s="41"/>
      <c r="X738" s="41"/>
      <c r="Y738" s="46">
        <f ca="1">IFERROR(VLOOKUP(A738,catalogo!$E:$H,2,0),"-")</f>
        <v>0</v>
      </c>
      <c r="Z738" s="47">
        <f ca="1">IFERROR(VLOOKUP(A738,catalogo!$E:$G,3,0),"-")</f>
        <v>0</v>
      </c>
      <c r="AA738" s="48"/>
      <c r="AB738" s="48"/>
      <c r="AC738" s="48" t="str">
        <f ca="1">IFERROR(VLOOKUP(A738,catalogo!$E:$H,4,0),"-")</f>
        <v>.</v>
      </c>
      <c r="AD738" s="48"/>
      <c r="AE738" s="48"/>
      <c r="AF738" s="48"/>
      <c r="AG738" s="48"/>
      <c r="AH738" s="48"/>
      <c r="AI738" s="48"/>
    </row>
    <row r="739" spans="1:35" ht="12.5" hidden="1">
      <c r="A739" s="37" t="s">
        <v>1480</v>
      </c>
      <c r="B739" s="38" t="str">
        <f>IFERROR(VLOOKUP(J739,catalogo!$B$1:$C$75,2,0),"-")</f>
        <v>#13</v>
      </c>
      <c r="C739" s="39">
        <v>46071.417361111111</v>
      </c>
      <c r="D739" s="17"/>
      <c r="E739" s="17"/>
      <c r="F739" s="17"/>
      <c r="G739" s="42">
        <v>3966</v>
      </c>
      <c r="H739" s="42">
        <v>3966</v>
      </c>
      <c r="I739" s="43" t="s">
        <v>156</v>
      </c>
      <c r="J739" s="43" t="s">
        <v>66</v>
      </c>
      <c r="K739" s="43" t="s">
        <v>1481</v>
      </c>
      <c r="L739" s="44" t="s">
        <v>1482</v>
      </c>
      <c r="M739" s="45">
        <v>8732</v>
      </c>
      <c r="N739" s="44" t="s">
        <v>167</v>
      </c>
      <c r="O739" s="17"/>
      <c r="P739" s="17"/>
      <c r="Q739" s="17"/>
      <c r="R739" s="17"/>
      <c r="S739" s="17"/>
      <c r="T739" s="17"/>
      <c r="U739" s="17"/>
      <c r="V739" s="17"/>
      <c r="W739" s="17"/>
      <c r="X739" s="17"/>
      <c r="Y739" s="46" t="str">
        <f ca="1">IFERROR(VLOOKUP(A739,catalogo!$E:$H,2,0),"-")</f>
        <v>Office expenses</v>
      </c>
      <c r="Z739" s="47" t="str">
        <f ca="1">IFERROR(VLOOKUP(A739,catalogo!$E:$G,3,0),"-")</f>
        <v>Comida trimestral Engineering. Asistentes:
- Eduardo González
- Daniel Rojas
- Jorge Peña
- Tonancy Isidoro
- Ernesto Anaya
- Miguel de Lascurain</v>
      </c>
      <c r="AA739" s="48"/>
      <c r="AB739" s="48"/>
      <c r="AC739" s="48" t="str">
        <f ca="1">IFERROR(VLOOKUP(A739,catalogo!$E:$H,4,0),"-")</f>
        <v>84520D68-07C5-4274-B4CE-85FC8AA3612A103599061771628471541</v>
      </c>
      <c r="AD739" s="48"/>
      <c r="AE739" s="48"/>
      <c r="AF739" s="48"/>
      <c r="AG739" s="48"/>
      <c r="AH739" s="48"/>
      <c r="AI739" s="48"/>
    </row>
    <row r="740" spans="1:35" ht="12.5" hidden="1">
      <c r="A740" s="37" t="s">
        <v>516</v>
      </c>
      <c r="B740" s="38" t="str">
        <f>IFERROR(VLOOKUP(J740,catalogo!$B$1:$C$100,2,0),"-")</f>
        <v>#56</v>
      </c>
      <c r="C740" s="39">
        <v>46071.417361111111</v>
      </c>
      <c r="D740" s="52"/>
      <c r="E740" s="17"/>
      <c r="F740" s="17"/>
      <c r="G740" s="42">
        <v>280</v>
      </c>
      <c r="H740" s="42">
        <v>280</v>
      </c>
      <c r="I740" s="43" t="s">
        <v>156</v>
      </c>
      <c r="J740" s="43" t="s">
        <v>99</v>
      </c>
      <c r="K740" s="43" t="s">
        <v>1483</v>
      </c>
      <c r="L740" s="44" t="s">
        <v>1484</v>
      </c>
      <c r="M740" s="45">
        <v>8949</v>
      </c>
      <c r="N740" s="44" t="s">
        <v>167</v>
      </c>
      <c r="O740" s="17"/>
      <c r="P740" s="17"/>
      <c r="Q740" s="17"/>
      <c r="R740" s="17"/>
      <c r="S740" s="17"/>
      <c r="T740" s="17"/>
      <c r="U740" s="17"/>
      <c r="V740" s="17"/>
      <c r="W740" s="17"/>
      <c r="X740" s="17"/>
      <c r="Y740" s="46" t="str">
        <f ca="1">IFERROR(VLOOKUP(A740,catalogo!$E:$H,2,0),"-")</f>
        <v>Transaction cost</v>
      </c>
      <c r="Z740" s="47" t="str">
        <f ca="1">IFERROR(VLOOKUP(A740,catalogo!$E:$G,3,0),"-")</f>
        <v>PO2165 veolia UFCEB</v>
      </c>
      <c r="AA740" s="48"/>
      <c r="AB740" s="48"/>
      <c r="AC740" s="48" t="str">
        <f ca="1">IFERROR(VLOOKUP(A740,catalogo!$E:$H,4,0),"-")</f>
        <v>-</v>
      </c>
      <c r="AD740" s="48"/>
      <c r="AE740" s="48"/>
      <c r="AF740" s="48"/>
      <c r="AG740" s="48"/>
      <c r="AH740" s="48"/>
      <c r="AI740" s="48"/>
    </row>
    <row r="741" spans="1:35" ht="12.5" hidden="1">
      <c r="A741" s="37" t="s">
        <v>1485</v>
      </c>
      <c r="B741" s="38" t="str">
        <f>IFERROR(VLOOKUP(J741,catalogo!$B$1:$C$75,2,0),"-")</f>
        <v>#3</v>
      </c>
      <c r="C741" s="39">
        <v>46071.417361111111</v>
      </c>
      <c r="D741" s="17"/>
      <c r="E741" s="17"/>
      <c r="F741" s="17"/>
      <c r="G741" s="42">
        <v>918.4</v>
      </c>
      <c r="H741" s="42">
        <v>918.4</v>
      </c>
      <c r="I741" s="43" t="s">
        <v>156</v>
      </c>
      <c r="J741" s="43" t="s">
        <v>84</v>
      </c>
      <c r="K741" s="43" t="s">
        <v>717</v>
      </c>
      <c r="L741" s="44" t="s">
        <v>718</v>
      </c>
      <c r="M741" s="45">
        <v>8657</v>
      </c>
      <c r="N741" s="44" t="s">
        <v>167</v>
      </c>
      <c r="O741" s="17"/>
      <c r="P741" s="17"/>
      <c r="Q741" s="17"/>
      <c r="R741" s="17"/>
      <c r="S741" s="17"/>
      <c r="T741" s="17"/>
      <c r="U741" s="17"/>
      <c r="V741" s="17"/>
      <c r="W741" s="17"/>
      <c r="X741" s="17"/>
      <c r="Y741" s="46" t="str">
        <f ca="1">IFERROR(VLOOKUP(A741,catalogo!$E:$H,2,0),"-")</f>
        <v>Sales</v>
      </c>
      <c r="Z741" s="47" t="str">
        <f ca="1">IFERROR(VLOOKUP(A741,catalogo!$E:$G,3,0),"-")</f>
        <v>Gasolina Visita deal nuevo Grupo GSA</v>
      </c>
      <c r="AA741" s="48"/>
      <c r="AB741" s="48"/>
      <c r="AC741" s="48" t="str">
        <f ca="1">IFERROR(VLOOKUP(A741,catalogo!$E:$H,4,0),"-")</f>
        <v>TICKET</v>
      </c>
      <c r="AD741" s="48"/>
      <c r="AE741" s="48"/>
      <c r="AF741" s="48"/>
      <c r="AG741" s="48"/>
      <c r="AH741" s="48"/>
      <c r="AI741" s="48"/>
    </row>
    <row r="742" spans="1:35" ht="12.5" hidden="1">
      <c r="A742" s="37" t="s">
        <v>1486</v>
      </c>
      <c r="B742" s="38" t="str">
        <f>IFERROR(VLOOKUP(J742,catalogo!$B$1:$C$70,2,0),"-")</f>
        <v>#64</v>
      </c>
      <c r="C742" s="39">
        <v>46071.417361111111</v>
      </c>
      <c r="D742" s="17"/>
      <c r="E742" s="17"/>
      <c r="F742" s="17"/>
      <c r="G742" s="42">
        <v>1084.28</v>
      </c>
      <c r="H742" s="42">
        <v>60.24</v>
      </c>
      <c r="I742" s="43" t="s">
        <v>172</v>
      </c>
      <c r="J742" s="43" t="s">
        <v>139</v>
      </c>
      <c r="K742" s="43" t="s">
        <v>1487</v>
      </c>
      <c r="L742" s="44" t="s">
        <v>1488</v>
      </c>
      <c r="M742" s="45">
        <v>7142</v>
      </c>
      <c r="N742" s="44" t="s">
        <v>167</v>
      </c>
      <c r="O742" s="17"/>
      <c r="P742" s="17"/>
      <c r="Q742" s="17"/>
      <c r="R742" s="17"/>
      <c r="S742" s="17"/>
      <c r="T742" s="17"/>
      <c r="U742" s="17"/>
      <c r="V742" s="17"/>
      <c r="W742" s="17"/>
      <c r="X742" s="17"/>
      <c r="Y742" s="46" t="str">
        <f ca="1">IFERROR(VLOOKUP(A742,catalogo!$E:$G,2,0),"-")</f>
        <v>-</v>
      </c>
      <c r="Z742" s="47" t="str">
        <f ca="1">IFERROR(VLOOKUP(A742,catalogo!$E:$G,3,0),"-")</f>
        <v>-</v>
      </c>
      <c r="AA742" s="48"/>
      <c r="AB742" s="48"/>
      <c r="AC742" s="48" t="str">
        <f ca="1">IFERROR(VLOOKUP(A742,catalogo!$E:$H,4,0),"-")</f>
        <v>-</v>
      </c>
      <c r="AD742" s="48"/>
      <c r="AE742" s="48"/>
      <c r="AF742" s="48"/>
      <c r="AG742" s="48"/>
      <c r="AH742" s="48"/>
      <c r="AI742" s="48"/>
    </row>
    <row r="743" spans="1:35" ht="12.5" hidden="1">
      <c r="A743" s="37" t="s">
        <v>1489</v>
      </c>
      <c r="B743" s="38" t="str">
        <f>IFERROR(VLOOKUP(J743,catalogo!$B$1:$C$80,2,0),"-")</f>
        <v>#5</v>
      </c>
      <c r="C743" s="39">
        <v>46072.416666666664</v>
      </c>
      <c r="D743" s="17"/>
      <c r="E743" s="17"/>
      <c r="F743" s="17"/>
      <c r="G743" s="42">
        <v>99.94</v>
      </c>
      <c r="H743" s="42">
        <v>99.94</v>
      </c>
      <c r="I743" s="43" t="s">
        <v>156</v>
      </c>
      <c r="J743" s="43" t="s">
        <v>104</v>
      </c>
      <c r="K743" s="43" t="s">
        <v>232</v>
      </c>
      <c r="L743" s="44" t="s">
        <v>233</v>
      </c>
      <c r="M743" s="45">
        <v>3283</v>
      </c>
      <c r="N743" s="44" t="s">
        <v>167</v>
      </c>
      <c r="O743" s="17"/>
      <c r="P743" s="17"/>
      <c r="Q743" s="17"/>
      <c r="R743" s="17"/>
      <c r="S743" s="17"/>
      <c r="T743" s="17"/>
      <c r="U743" s="17"/>
      <c r="V743" s="17"/>
      <c r="W743" s="17"/>
      <c r="X743" s="17"/>
      <c r="Y743" s="46">
        <f ca="1">IFERROR(VLOOKUP(A743,catalogo!$E:$G,2,0),"-")</f>
        <v>0</v>
      </c>
      <c r="Z743" s="47">
        <f ca="1">IFERROR(VLOOKUP(A743,catalogo!$E:$G,3,0),"-")</f>
        <v>0</v>
      </c>
      <c r="AA743" s="48"/>
      <c r="AB743" s="48"/>
      <c r="AC743" s="48" t="str">
        <f ca="1">IFERROR(VLOOKUP(A743,catalogo!$E:$H,4,0),"-")</f>
        <v>.</v>
      </c>
      <c r="AD743" s="48"/>
      <c r="AE743" s="48"/>
      <c r="AF743" s="48"/>
      <c r="AG743" s="48"/>
      <c r="AH743" s="48"/>
      <c r="AI743" s="48"/>
    </row>
    <row r="744" spans="1:35" ht="12.5" hidden="1">
      <c r="A744" s="37" t="s">
        <v>1490</v>
      </c>
      <c r="B744" s="38" t="str">
        <f>IFERROR(VLOOKUP(J744,catalogo!$B$1:$C$100,2,0),"-")</f>
        <v>#6</v>
      </c>
      <c r="C744" s="39">
        <v>46072.416666666664</v>
      </c>
      <c r="D744" s="17"/>
      <c r="E744" s="17"/>
      <c r="F744" s="17"/>
      <c r="G744" s="42">
        <v>410.25</v>
      </c>
      <c r="H744" s="42">
        <v>410.25</v>
      </c>
      <c r="I744" s="43" t="s">
        <v>156</v>
      </c>
      <c r="J744" s="43" t="s">
        <v>114</v>
      </c>
      <c r="K744" s="43" t="s">
        <v>273</v>
      </c>
      <c r="L744" s="44" t="s">
        <v>274</v>
      </c>
      <c r="M744" s="45">
        <v>3893</v>
      </c>
      <c r="N744" s="44" t="s">
        <v>167</v>
      </c>
      <c r="O744" s="17"/>
      <c r="P744" s="17"/>
      <c r="Q744" s="17"/>
      <c r="R744" s="17"/>
      <c r="S744" s="17"/>
      <c r="T744" s="17"/>
      <c r="U744" s="17"/>
      <c r="V744" s="17"/>
      <c r="W744" s="17"/>
      <c r="X744" s="17"/>
      <c r="Y744" s="46" t="str">
        <f ca="1">IFERROR(VLOOKUP(A744,catalogo!$E:$G,2,0),"-")</f>
        <v>Transaction cost</v>
      </c>
      <c r="Z744" s="47" t="str">
        <f ca="1">IFERROR(VLOOKUP(A744,catalogo!$E:$G,3,0),"-")</f>
        <v>Comoda, recolección en Fer Marcelo</v>
      </c>
      <c r="AA744" s="48"/>
      <c r="AB744" s="48"/>
      <c r="AC744" s="48">
        <f ca="1">IFERROR(VLOOKUP(A744,catalogo!$E:$H,4,0),"-")</f>
        <v>0</v>
      </c>
      <c r="AD744" s="48"/>
      <c r="AE744" s="48"/>
      <c r="AF744" s="48"/>
      <c r="AG744" s="48"/>
      <c r="AH744" s="48"/>
      <c r="AI744" s="48"/>
    </row>
    <row r="745" spans="1:35" ht="12.5" hidden="1">
      <c r="A745" s="37" t="s">
        <v>1491</v>
      </c>
      <c r="B745" s="38" t="str">
        <f>IFERROR(VLOOKUP(J745,catalogo!$B$1:$C$70,2,0),"-")</f>
        <v>#26</v>
      </c>
      <c r="C745" s="39">
        <v>46072.416666666664</v>
      </c>
      <c r="D745" s="17"/>
      <c r="E745" s="17"/>
      <c r="F745" s="17"/>
      <c r="G745" s="42">
        <v>564</v>
      </c>
      <c r="H745" s="42">
        <v>564</v>
      </c>
      <c r="I745" s="43" t="s">
        <v>156</v>
      </c>
      <c r="J745" s="43" t="s">
        <v>67</v>
      </c>
      <c r="K745" s="43" t="s">
        <v>1492</v>
      </c>
      <c r="L745" s="44" t="s">
        <v>1493</v>
      </c>
      <c r="M745" s="45">
        <v>8061</v>
      </c>
      <c r="N745" s="44" t="s">
        <v>167</v>
      </c>
      <c r="O745" s="17"/>
      <c r="P745" s="17"/>
      <c r="Q745" s="17"/>
      <c r="R745" s="17"/>
      <c r="S745" s="17"/>
      <c r="T745" s="17"/>
      <c r="U745" s="17"/>
      <c r="V745" s="17"/>
      <c r="W745" s="17"/>
      <c r="X745" s="17"/>
      <c r="Y745" s="46" t="str">
        <f ca="1">IFERROR(VLOOKUP(A745,catalogo!$E:$G,2,0),"-")</f>
        <v>-</v>
      </c>
      <c r="Z745" s="47" t="str">
        <f ca="1">IFERROR(VLOOKUP(A745,catalogo!$E:$G,3,0),"-")</f>
        <v>-</v>
      </c>
      <c r="AA745" s="48"/>
      <c r="AB745" s="48"/>
      <c r="AC745" s="48" t="str">
        <f ca="1">IFERROR(VLOOKUP(A745,catalogo!$E:$H,4,0),"-")</f>
        <v>-</v>
      </c>
      <c r="AD745" s="48"/>
      <c r="AE745" s="48"/>
      <c r="AF745" s="48"/>
      <c r="AG745" s="48"/>
      <c r="AH745" s="48"/>
      <c r="AI745" s="48"/>
    </row>
    <row r="746" spans="1:35" ht="12.5" hidden="1">
      <c r="A746" s="37" t="s">
        <v>1494</v>
      </c>
      <c r="B746" s="38" t="str">
        <f>IFERROR(VLOOKUP(J746,catalogo!$B$1:$C$75,2,0),"-")</f>
        <v>-</v>
      </c>
      <c r="C746" s="39">
        <v>46072.416666666664</v>
      </c>
      <c r="D746" s="17"/>
      <c r="E746" s="17"/>
      <c r="F746" s="17"/>
      <c r="G746" s="42">
        <v>275</v>
      </c>
      <c r="H746" s="42">
        <v>275</v>
      </c>
      <c r="I746" s="43" t="s">
        <v>156</v>
      </c>
      <c r="J746" s="43" t="s">
        <v>493</v>
      </c>
      <c r="K746" s="43" t="s">
        <v>1495</v>
      </c>
      <c r="L746" s="44" t="s">
        <v>1496</v>
      </c>
      <c r="M746" s="45">
        <v>4682</v>
      </c>
      <c r="N746" s="44" t="s">
        <v>167</v>
      </c>
      <c r="O746" s="17"/>
      <c r="P746" s="17"/>
      <c r="Q746" s="17"/>
      <c r="R746" s="17"/>
      <c r="S746" s="17"/>
      <c r="T746" s="17"/>
      <c r="U746" s="17"/>
      <c r="V746" s="17"/>
      <c r="W746" s="17"/>
      <c r="X746" s="17"/>
      <c r="Y746" s="46" t="str">
        <f ca="1">IFERROR(VLOOKUP(A746,catalogo!$E:$H,2,0),"-")</f>
        <v>-</v>
      </c>
      <c r="Z746" s="47" t="str">
        <f ca="1">IFERROR(VLOOKUP(A746,catalogo!$E:$G,3,0),"-")</f>
        <v>-</v>
      </c>
      <c r="AA746" s="48"/>
      <c r="AB746" s="48"/>
      <c r="AC746" s="48" t="str">
        <f ca="1">IFERROR(VLOOKUP(A746,catalogo!$E:$H,4,0),"-")</f>
        <v>-</v>
      </c>
      <c r="AD746" s="48"/>
      <c r="AE746" s="48"/>
      <c r="AF746" s="48"/>
      <c r="AG746" s="48"/>
      <c r="AH746" s="48"/>
      <c r="AI746" s="48"/>
    </row>
    <row r="747" spans="1:35" ht="12.5" hidden="1">
      <c r="A747" s="37" t="s">
        <v>412</v>
      </c>
      <c r="B747" s="38" t="str">
        <f>IFERROR(VLOOKUP(J747,catalogo!$B$1:$C$75,2,0),"-")</f>
        <v>#64</v>
      </c>
      <c r="C747" s="39">
        <v>46072.416666666664</v>
      </c>
      <c r="D747" s="52"/>
      <c r="E747" s="17"/>
      <c r="F747" s="17"/>
      <c r="G747" s="42">
        <v>536.01</v>
      </c>
      <c r="H747" s="42">
        <v>536.01</v>
      </c>
      <c r="I747" s="43" t="s">
        <v>156</v>
      </c>
      <c r="J747" s="43" t="s">
        <v>139</v>
      </c>
      <c r="K747" s="43" t="s">
        <v>180</v>
      </c>
      <c r="L747" s="44" t="s">
        <v>181</v>
      </c>
      <c r="M747" s="45">
        <v>7142</v>
      </c>
      <c r="N747" s="44" t="s">
        <v>167</v>
      </c>
      <c r="O747" s="17"/>
      <c r="P747" s="17"/>
      <c r="Q747" s="17"/>
      <c r="R747" s="17"/>
      <c r="S747" s="17"/>
      <c r="T747" s="17"/>
      <c r="U747" s="17"/>
      <c r="V747" s="17"/>
      <c r="W747" s="17"/>
      <c r="X747" s="17"/>
      <c r="Y747" s="46" t="str">
        <f ca="1">IFERROR(VLOOKUP(A747,catalogo!$E:$H,2,0),"-")</f>
        <v>-</v>
      </c>
      <c r="Z747" s="47" t="str">
        <f ca="1">IFERROR(VLOOKUP(A747,catalogo!$E:$G,3,0),"-")</f>
        <v>-</v>
      </c>
      <c r="AA747" s="48"/>
      <c r="AB747" s="48"/>
      <c r="AC747" s="48" t="str">
        <f ca="1">IFERROR(VLOOKUP(A747,catalogo!$E:$H,4,0),"-")</f>
        <v>-</v>
      </c>
      <c r="AD747" s="48"/>
      <c r="AE747" s="48"/>
      <c r="AF747" s="48"/>
      <c r="AG747" s="48"/>
      <c r="AH747" s="48"/>
      <c r="AI747" s="48"/>
    </row>
    <row r="748" spans="1:35" ht="12.5" hidden="1">
      <c r="A748" s="37" t="s">
        <v>415</v>
      </c>
      <c r="B748" s="38" t="str">
        <f>IFERROR(VLOOKUP(J748,catalogo!$B$1:$C$75,2,0),"-")</f>
        <v>#74</v>
      </c>
      <c r="C748" s="39">
        <v>46072.416666666664</v>
      </c>
      <c r="D748" s="52"/>
      <c r="E748" s="17"/>
      <c r="F748" s="17"/>
      <c r="G748" s="42">
        <v>129.97</v>
      </c>
      <c r="H748" s="42">
        <v>129.97</v>
      </c>
      <c r="I748" s="43" t="s">
        <v>156</v>
      </c>
      <c r="J748" s="43" t="s">
        <v>286</v>
      </c>
      <c r="K748" s="43" t="s">
        <v>232</v>
      </c>
      <c r="L748" s="44" t="s">
        <v>233</v>
      </c>
      <c r="M748" s="45">
        <v>5481</v>
      </c>
      <c r="N748" s="44" t="s">
        <v>167</v>
      </c>
      <c r="O748" s="17"/>
      <c r="P748" s="17"/>
      <c r="Q748" s="17"/>
      <c r="R748" s="17"/>
      <c r="S748" s="17"/>
      <c r="T748" s="17"/>
      <c r="U748" s="17"/>
      <c r="V748" s="17"/>
      <c r="W748" s="17"/>
      <c r="X748" s="17"/>
      <c r="Y748" s="46" t="str">
        <f ca="1">IFERROR(VLOOKUP(A748,catalogo!$E:$H,2,0),"-")</f>
        <v>-</v>
      </c>
      <c r="Z748" s="47" t="str">
        <f ca="1">IFERROR(VLOOKUP(A748,catalogo!$E:$G,3,0),"-")</f>
        <v>-</v>
      </c>
      <c r="AA748" s="48"/>
      <c r="AB748" s="48"/>
      <c r="AC748" s="48" t="str">
        <f ca="1">IFERROR(VLOOKUP(A748,catalogo!$E:$H,4,0),"-")</f>
        <v>-</v>
      </c>
      <c r="AD748" s="48"/>
      <c r="AE748" s="48"/>
      <c r="AF748" s="48"/>
      <c r="AG748" s="48"/>
      <c r="AH748" s="48"/>
      <c r="AI748" s="48"/>
    </row>
    <row r="749" spans="1:35" ht="12.5" hidden="1">
      <c r="A749" s="37" t="s">
        <v>463</v>
      </c>
      <c r="B749" s="38" t="str">
        <f>IFERROR(VLOOKUP(J749,catalogo!$B$1:$C$75,2,0),"-")</f>
        <v>#74</v>
      </c>
      <c r="C749" s="39">
        <v>46072.416666666664</v>
      </c>
      <c r="D749" s="52"/>
      <c r="E749" s="17"/>
      <c r="F749" s="17"/>
      <c r="G749" s="42">
        <v>489.99</v>
      </c>
      <c r="H749" s="42">
        <v>489.99</v>
      </c>
      <c r="I749" s="43" t="s">
        <v>156</v>
      </c>
      <c r="J749" s="43" t="s">
        <v>286</v>
      </c>
      <c r="K749" s="43" t="s">
        <v>232</v>
      </c>
      <c r="L749" s="44" t="s">
        <v>233</v>
      </c>
      <c r="M749" s="45">
        <v>5481</v>
      </c>
      <c r="N749" s="44" t="s">
        <v>167</v>
      </c>
      <c r="O749" s="17"/>
      <c r="P749" s="17"/>
      <c r="Q749" s="17"/>
      <c r="R749" s="17"/>
      <c r="S749" s="17"/>
      <c r="T749" s="17"/>
      <c r="U749" s="17"/>
      <c r="V749" s="17"/>
      <c r="W749" s="17"/>
      <c r="X749" s="17"/>
      <c r="Y749" s="46" t="str">
        <f ca="1">IFERROR(VLOOKUP(A749,catalogo!$E:$H,2,0),"-")</f>
        <v>-</v>
      </c>
      <c r="Z749" s="47" t="str">
        <f ca="1">IFERROR(VLOOKUP(A749,catalogo!$E:$G,3,0),"-")</f>
        <v>-</v>
      </c>
      <c r="AA749" s="48"/>
      <c r="AB749" s="48"/>
      <c r="AC749" s="48" t="str">
        <f ca="1">IFERROR(VLOOKUP(A749,catalogo!$E:$H,4,0),"-")</f>
        <v>-</v>
      </c>
      <c r="AD749" s="48"/>
      <c r="AE749" s="48"/>
      <c r="AF749" s="48"/>
      <c r="AG749" s="48"/>
      <c r="AH749" s="48"/>
      <c r="AI749" s="48"/>
    </row>
    <row r="750" spans="1:35" ht="15.5" hidden="1">
      <c r="A750" s="37" t="s">
        <v>1497</v>
      </c>
      <c r="B750" s="38" t="str">
        <f>IFERROR(VLOOKUP(J750,catalogo!$B$1:$C$75,2,0),"-")</f>
        <v>#52</v>
      </c>
      <c r="C750" s="39">
        <v>46072.416666666664</v>
      </c>
      <c r="D750" s="17"/>
      <c r="E750" s="17"/>
      <c r="F750" s="17"/>
      <c r="G750" s="42">
        <v>10</v>
      </c>
      <c r="H750" s="42">
        <v>10</v>
      </c>
      <c r="I750" s="43" t="s">
        <v>156</v>
      </c>
      <c r="J750" s="43" t="s">
        <v>253</v>
      </c>
      <c r="K750" s="43" t="s">
        <v>284</v>
      </c>
      <c r="L750" s="44" t="s">
        <v>233</v>
      </c>
      <c r="M750" s="45">
        <v>6137</v>
      </c>
      <c r="N750" s="44" t="s">
        <v>167</v>
      </c>
      <c r="O750" s="49"/>
      <c r="P750" s="17"/>
      <c r="Q750" s="17"/>
      <c r="R750" s="17"/>
      <c r="S750" s="17"/>
      <c r="T750" s="17"/>
      <c r="U750" s="17"/>
      <c r="V750" s="17"/>
      <c r="W750" s="17"/>
      <c r="X750" s="17"/>
      <c r="Y750" s="46" t="str">
        <f ca="1">IFERROR(VLOOKUP(A750,catalogo!$E:$H,2,0),"-")</f>
        <v>-</v>
      </c>
      <c r="Z750" s="47" t="str">
        <f ca="1">IFERROR(VLOOKUP(A750,catalogo!$E:$G,3,0),"-")</f>
        <v>-</v>
      </c>
      <c r="AA750" s="48"/>
      <c r="AB750" s="48"/>
      <c r="AC750" s="48" t="str">
        <f ca="1">IFERROR(VLOOKUP(A750,catalogo!$E:$H,4,0),"-")</f>
        <v>-</v>
      </c>
      <c r="AD750" s="48"/>
      <c r="AE750" s="48"/>
      <c r="AF750" s="48"/>
      <c r="AG750" s="48"/>
      <c r="AH750" s="48"/>
      <c r="AI750" s="48"/>
    </row>
    <row r="751" spans="1:35" ht="12.5" hidden="1">
      <c r="A751" s="37" t="s">
        <v>482</v>
      </c>
      <c r="B751" s="38" t="str">
        <f>IFERROR(VLOOKUP(J751,catalogo!$B$1:$C$75,2,0),"-")</f>
        <v>#41</v>
      </c>
      <c r="C751" s="39">
        <v>46072.416666666664</v>
      </c>
      <c r="D751" s="52"/>
      <c r="E751" s="17"/>
      <c r="F751" s="17"/>
      <c r="G751" s="42">
        <v>129.94999999999999</v>
      </c>
      <c r="H751" s="42">
        <v>129.94999999999999</v>
      </c>
      <c r="I751" s="43" t="s">
        <v>156</v>
      </c>
      <c r="J751" s="43" t="s">
        <v>68</v>
      </c>
      <c r="K751" s="43" t="s">
        <v>232</v>
      </c>
      <c r="L751" s="44" t="s">
        <v>233</v>
      </c>
      <c r="M751" s="45" t="s">
        <v>1038</v>
      </c>
      <c r="N751" s="44" t="s">
        <v>144</v>
      </c>
      <c r="O751" s="17"/>
      <c r="P751" s="17"/>
      <c r="Q751" s="17"/>
      <c r="R751" s="17"/>
      <c r="S751" s="17"/>
      <c r="T751" s="17"/>
      <c r="U751" s="17"/>
      <c r="V751" s="17"/>
      <c r="W751" s="17"/>
      <c r="X751" s="17"/>
      <c r="Y751" s="46" t="str">
        <f ca="1">IFERROR(VLOOKUP(A751,catalogo!$E:$H,2,0),"-")</f>
        <v>Office expenses</v>
      </c>
      <c r="Z751" s="47">
        <f ca="1">IFERROR(VLOOKUP(A751,catalogo!$E:$G,3,0),"-")</f>
        <v>0</v>
      </c>
      <c r="AA751" s="48"/>
      <c r="AB751" s="48"/>
      <c r="AC751" s="48">
        <f ca="1">IFERROR(VLOOKUP(A751,catalogo!$E:$H,4,0),"-")</f>
        <v>0</v>
      </c>
      <c r="AD751" s="48"/>
      <c r="AE751" s="48"/>
      <c r="AF751" s="48"/>
      <c r="AG751" s="48"/>
      <c r="AH751" s="48"/>
      <c r="AI751" s="48"/>
    </row>
    <row r="752" spans="1:35" ht="12.5" hidden="1">
      <c r="A752" s="37" t="s">
        <v>1498</v>
      </c>
      <c r="B752" s="38" t="str">
        <f>IFERROR(VLOOKUP(J752,catalogo!$B$1:$C$100,2,0),"-")</f>
        <v>#69</v>
      </c>
      <c r="C752" s="39">
        <v>46072.416666666664</v>
      </c>
      <c r="D752" s="17"/>
      <c r="E752" s="17"/>
      <c r="F752" s="17"/>
      <c r="G752" s="53">
        <v>449.98</v>
      </c>
      <c r="H752" s="53">
        <v>449.98</v>
      </c>
      <c r="I752" s="43" t="s">
        <v>156</v>
      </c>
      <c r="J752" s="43" t="s">
        <v>110</v>
      </c>
      <c r="K752" s="43" t="s">
        <v>232</v>
      </c>
      <c r="L752" s="44" t="s">
        <v>233</v>
      </c>
      <c r="M752" s="45" t="s">
        <v>464</v>
      </c>
      <c r="N752" s="44" t="s">
        <v>144</v>
      </c>
      <c r="O752" s="17"/>
      <c r="P752" s="17"/>
      <c r="Q752" s="17"/>
      <c r="R752" s="17"/>
      <c r="S752" s="17"/>
      <c r="T752" s="17"/>
      <c r="U752" s="17"/>
      <c r="V752" s="17"/>
      <c r="W752" s="17"/>
      <c r="X752" s="17"/>
      <c r="Y752" s="46"/>
      <c r="Z752" s="47"/>
      <c r="AA752" s="48"/>
      <c r="AB752" s="48"/>
      <c r="AC752" s="48"/>
      <c r="AD752" s="48"/>
      <c r="AE752" s="48"/>
      <c r="AF752" s="48"/>
      <c r="AG752" s="48"/>
      <c r="AH752" s="48"/>
      <c r="AI752" s="48"/>
    </row>
    <row r="753" spans="1:35" ht="19.5" hidden="1" customHeight="1">
      <c r="A753" s="37" t="s">
        <v>448</v>
      </c>
      <c r="B753" s="38" t="str">
        <f>IFERROR(VLOOKUP(J753,catalogo!$B$1:$C$75,2,0),"-")</f>
        <v>#69</v>
      </c>
      <c r="C753" s="39">
        <v>46072.416666666664</v>
      </c>
      <c r="D753" s="52"/>
      <c r="E753" s="17"/>
      <c r="F753" s="17"/>
      <c r="G753" s="42">
        <v>179.98</v>
      </c>
      <c r="H753" s="42">
        <v>179.98</v>
      </c>
      <c r="I753" s="43" t="s">
        <v>156</v>
      </c>
      <c r="J753" s="43" t="s">
        <v>110</v>
      </c>
      <c r="K753" s="43" t="s">
        <v>232</v>
      </c>
      <c r="L753" s="44" t="s">
        <v>233</v>
      </c>
      <c r="M753" s="45" t="s">
        <v>464</v>
      </c>
      <c r="N753" s="44" t="s">
        <v>144</v>
      </c>
      <c r="O753" s="17"/>
      <c r="P753" s="17"/>
      <c r="Q753" s="17"/>
      <c r="R753" s="17"/>
      <c r="S753" s="17"/>
      <c r="T753" s="17"/>
      <c r="U753" s="17"/>
      <c r="V753" s="17"/>
      <c r="W753" s="17"/>
      <c r="X753" s="17"/>
      <c r="Y753" s="46" t="str">
        <f ca="1">IFERROR(VLOOKUP(A753,catalogo!$E:$H,2,0),"-")</f>
        <v>-</v>
      </c>
      <c r="Z753" s="47" t="str">
        <f ca="1">IFERROR(VLOOKUP(A753,catalogo!$E:$G,3,0),"-")</f>
        <v>-</v>
      </c>
      <c r="AA753" s="48"/>
      <c r="AB753" s="48"/>
      <c r="AC753" s="48" t="str">
        <f ca="1">IFERROR(VLOOKUP(A753,catalogo!$E:$H,4,0),"-")</f>
        <v>-</v>
      </c>
      <c r="AD753" s="48"/>
      <c r="AE753" s="48"/>
      <c r="AF753" s="48"/>
      <c r="AG753" s="48"/>
      <c r="AH753" s="48"/>
      <c r="AI753" s="48"/>
    </row>
    <row r="754" spans="1:35" ht="12.5" hidden="1">
      <c r="A754" s="37" t="s">
        <v>1499</v>
      </c>
      <c r="B754" s="38" t="str">
        <f>IFERROR(VLOOKUP(J754,catalogo!$B$1:$C$75,2,0),"-")</f>
        <v>-</v>
      </c>
      <c r="C754" s="39">
        <v>46072.416666666664</v>
      </c>
      <c r="D754" s="40"/>
      <c r="E754" s="41"/>
      <c r="F754" s="41"/>
      <c r="G754" s="42">
        <v>259.95</v>
      </c>
      <c r="H754" s="42">
        <v>259.95</v>
      </c>
      <c r="I754" s="43" t="s">
        <v>156</v>
      </c>
      <c r="J754" s="50" t="s">
        <v>102</v>
      </c>
      <c r="K754" s="43" t="s">
        <v>232</v>
      </c>
      <c r="L754" s="44" t="s">
        <v>233</v>
      </c>
      <c r="M754" s="44" t="s">
        <v>279</v>
      </c>
      <c r="N754" s="44" t="s">
        <v>144</v>
      </c>
      <c r="O754" s="41"/>
      <c r="P754" s="41"/>
      <c r="Q754" s="41"/>
      <c r="R754" s="41"/>
      <c r="S754" s="41"/>
      <c r="T754" s="41"/>
      <c r="U754" s="41"/>
      <c r="V754" s="41"/>
      <c r="W754" s="41"/>
      <c r="X754" s="41"/>
      <c r="Y754" s="46" t="str">
        <f ca="1">IFERROR(VLOOKUP(A754,catalogo!$E:$H,2,0),"-")</f>
        <v>-</v>
      </c>
      <c r="Z754" s="47" t="str">
        <f ca="1">IFERROR(VLOOKUP(A754,catalogo!$E:$G,3,0),"-")</f>
        <v>-</v>
      </c>
      <c r="AA754" s="48"/>
      <c r="AB754" s="48"/>
      <c r="AC754" s="48" t="str">
        <f ca="1">IFERROR(VLOOKUP(A754,catalogo!$E:$H,4,0),"-")</f>
        <v>-</v>
      </c>
      <c r="AD754" s="48"/>
      <c r="AE754" s="48"/>
      <c r="AF754" s="48"/>
      <c r="AG754" s="48"/>
      <c r="AH754" s="48"/>
      <c r="AI754" s="48"/>
    </row>
    <row r="755" spans="1:35" ht="12.5" hidden="1">
      <c r="A755" s="37" t="s">
        <v>509</v>
      </c>
      <c r="B755" s="38" t="str">
        <f>IFERROR(VLOOKUP(J755,catalogo!$B$1:$C$75,2,0),"-")</f>
        <v>#68</v>
      </c>
      <c r="C755" s="39">
        <v>46072.416666666664</v>
      </c>
      <c r="D755" s="52"/>
      <c r="E755" s="17"/>
      <c r="F755" s="17"/>
      <c r="G755" s="42">
        <v>77.2</v>
      </c>
      <c r="H755" s="42">
        <v>77.2</v>
      </c>
      <c r="I755" s="43" t="s">
        <v>156</v>
      </c>
      <c r="J755" s="50" t="s">
        <v>384</v>
      </c>
      <c r="K755" s="43" t="s">
        <v>232</v>
      </c>
      <c r="L755" s="44" t="s">
        <v>233</v>
      </c>
      <c r="M755" s="45">
        <v>2937</v>
      </c>
      <c r="N755" s="44" t="s">
        <v>167</v>
      </c>
      <c r="O755" s="17"/>
      <c r="P755" s="17"/>
      <c r="Q755" s="17"/>
      <c r="R755" s="17"/>
      <c r="S755" s="17"/>
      <c r="T755" s="17"/>
      <c r="U755" s="17"/>
      <c r="V755" s="17"/>
      <c r="W755" s="17"/>
      <c r="X755" s="17"/>
      <c r="Y755" s="46" t="str">
        <f ca="1">IFERROR(VLOOKUP(A755,catalogo!$E:$H,2,0),"-")</f>
        <v>Office expenses</v>
      </c>
      <c r="Z755" s="47" t="str">
        <f ca="1">IFERROR(VLOOKUP(A755,catalogo!$E:$G,3,0),"-")</f>
        <v>MTY ATP + Maken</v>
      </c>
      <c r="AA755" s="48"/>
      <c r="AB755" s="48"/>
      <c r="AC755" s="48" t="str">
        <f ca="1">IFERROR(VLOOKUP(A755,catalogo!$E:$H,4,0),"-")</f>
        <v>.</v>
      </c>
      <c r="AD755" s="48"/>
      <c r="AE755" s="48"/>
      <c r="AF755" s="48"/>
      <c r="AG755" s="48"/>
      <c r="AH755" s="48"/>
      <c r="AI755" s="48"/>
    </row>
    <row r="756" spans="1:35" ht="12.5" hidden="1">
      <c r="A756" s="37" t="s">
        <v>1500</v>
      </c>
      <c r="B756" s="38" t="str">
        <f>IFERROR(VLOOKUP(J756,catalogo!$B$1:$C$75,2,0),"-")</f>
        <v>#34</v>
      </c>
      <c r="C756" s="39">
        <v>46072.416666666664</v>
      </c>
      <c r="D756" s="17"/>
      <c r="E756" s="17"/>
      <c r="F756" s="17"/>
      <c r="G756" s="42">
        <v>1020</v>
      </c>
      <c r="H756" s="42">
        <v>1020</v>
      </c>
      <c r="I756" s="43" t="s">
        <v>156</v>
      </c>
      <c r="J756" s="50" t="s">
        <v>116</v>
      </c>
      <c r="K756" s="43" t="s">
        <v>1501</v>
      </c>
      <c r="L756" s="44" t="s">
        <v>1502</v>
      </c>
      <c r="M756" s="45">
        <v>333</v>
      </c>
      <c r="N756" s="44" t="s">
        <v>167</v>
      </c>
      <c r="O756" s="17"/>
      <c r="P756" s="17"/>
      <c r="Q756" s="17"/>
      <c r="R756" s="17"/>
      <c r="S756" s="17"/>
      <c r="T756" s="17"/>
      <c r="U756" s="17"/>
      <c r="V756" s="17"/>
      <c r="W756" s="17"/>
      <c r="X756" s="17"/>
      <c r="Y756" s="46" t="str">
        <f ca="1">IFERROR(VLOOKUP(A756,catalogo!$E:$H,2,0),"-")</f>
        <v>-</v>
      </c>
      <c r="Z756" s="47" t="str">
        <f ca="1">IFERROR(VLOOKUP(A756,catalogo!$E:$G,3,0),"-")</f>
        <v>-</v>
      </c>
      <c r="AA756" s="48"/>
      <c r="AB756" s="48"/>
      <c r="AC756" s="48" t="str">
        <f ca="1">IFERROR(VLOOKUP(A756,catalogo!$E:$H,4,0),"-")</f>
        <v>-</v>
      </c>
      <c r="AD756" s="48"/>
      <c r="AE756" s="48"/>
      <c r="AF756" s="48"/>
      <c r="AG756" s="48"/>
      <c r="AH756" s="48"/>
      <c r="AI756" s="48"/>
    </row>
    <row r="757" spans="1:35" ht="12.5" hidden="1">
      <c r="A757" s="37" t="s">
        <v>1503</v>
      </c>
      <c r="B757" s="38" t="str">
        <f>IFERROR(VLOOKUP(J757,catalogo!$B$1:$C$75,2,0),"-")</f>
        <v>#64</v>
      </c>
      <c r="C757" s="39">
        <v>46072.416666666664</v>
      </c>
      <c r="D757" s="17"/>
      <c r="E757" s="17"/>
      <c r="F757" s="17"/>
      <c r="G757" s="42">
        <v>292.37</v>
      </c>
      <c r="H757" s="42">
        <v>292.37</v>
      </c>
      <c r="I757" s="43" t="s">
        <v>156</v>
      </c>
      <c r="J757" s="50" t="s">
        <v>139</v>
      </c>
      <c r="K757" s="43" t="s">
        <v>180</v>
      </c>
      <c r="L757" s="44" t="s">
        <v>181</v>
      </c>
      <c r="M757" s="45">
        <v>7142</v>
      </c>
      <c r="N757" s="44" t="s">
        <v>167</v>
      </c>
      <c r="O757" s="17"/>
      <c r="P757" s="17"/>
      <c r="Q757" s="17"/>
      <c r="R757" s="17"/>
      <c r="S757" s="17"/>
      <c r="T757" s="17"/>
      <c r="U757" s="17"/>
      <c r="V757" s="17"/>
      <c r="W757" s="17"/>
      <c r="X757" s="17"/>
      <c r="Y757" s="46" t="str">
        <f ca="1">IFERROR(VLOOKUP(A757,catalogo!$E:$H,2,0),"-")</f>
        <v>-</v>
      </c>
      <c r="Z757" s="47" t="str">
        <f ca="1">IFERROR(VLOOKUP(A757,catalogo!$E:$G,3,0),"-")</f>
        <v>-</v>
      </c>
      <c r="AA757" s="48"/>
      <c r="AB757" s="48"/>
      <c r="AC757" s="48" t="str">
        <f ca="1">IFERROR(VLOOKUP(A757,catalogo!$E:$H,4,0),"-")</f>
        <v>-</v>
      </c>
      <c r="AD757" s="48"/>
      <c r="AE757" s="48"/>
      <c r="AF757" s="48"/>
      <c r="AG757" s="48"/>
      <c r="AH757" s="48"/>
      <c r="AI757" s="48"/>
    </row>
    <row r="758" spans="1:35" ht="12.5" hidden="1">
      <c r="A758" s="37" t="s">
        <v>1504</v>
      </c>
      <c r="B758" s="38" t="str">
        <f>IFERROR(VLOOKUP(J758,catalogo!$B$1:$C$100,2,0),"-")</f>
        <v>#66</v>
      </c>
      <c r="C758" s="39">
        <v>46072.416666666664</v>
      </c>
      <c r="D758" s="17"/>
      <c r="E758" s="17"/>
      <c r="F758" s="17"/>
      <c r="G758" s="42">
        <v>171</v>
      </c>
      <c r="H758" s="42">
        <v>171</v>
      </c>
      <c r="I758" s="43" t="s">
        <v>156</v>
      </c>
      <c r="J758" s="43" t="s">
        <v>80</v>
      </c>
      <c r="K758" s="43" t="s">
        <v>1505</v>
      </c>
      <c r="L758" s="44" t="s">
        <v>1506</v>
      </c>
      <c r="M758" s="45">
        <v>2406</v>
      </c>
      <c r="N758" s="44" t="s">
        <v>167</v>
      </c>
      <c r="O758" s="17"/>
      <c r="P758" s="17"/>
      <c r="Q758" s="17"/>
      <c r="R758" s="17"/>
      <c r="S758" s="17"/>
      <c r="T758" s="17"/>
      <c r="U758" s="17"/>
      <c r="V758" s="17"/>
      <c r="W758" s="17"/>
      <c r="X758" s="17"/>
      <c r="Y758" s="46" t="str">
        <f ca="1">IFERROR(VLOOKUP(A758,catalogo!$E:$G,2,0),"-")</f>
        <v>-</v>
      </c>
      <c r="Z758" s="47" t="str">
        <f ca="1">IFERROR(VLOOKUP(A758,catalogo!$E:$G,3,0),"-")</f>
        <v>-</v>
      </c>
      <c r="AA758" s="48"/>
      <c r="AB758" s="48"/>
      <c r="AC758" s="48" t="str">
        <f ca="1">IFERROR(VLOOKUP(A758,catalogo!$E:$H,4,0),"-")</f>
        <v>-</v>
      </c>
      <c r="AD758" s="48"/>
      <c r="AE758" s="48"/>
      <c r="AF758" s="48"/>
      <c r="AG758" s="48"/>
      <c r="AH758" s="48"/>
      <c r="AI758" s="48"/>
    </row>
    <row r="759" spans="1:35" ht="12.5" hidden="1">
      <c r="A759" s="37" t="s">
        <v>478</v>
      </c>
      <c r="B759" s="38" t="str">
        <f>IFERROR(VLOOKUP(J759,catalogo!$B$1:$C$75,2,0),"-")</f>
        <v>#26</v>
      </c>
      <c r="C759" s="39">
        <v>46072.416666666664</v>
      </c>
      <c r="D759" s="52"/>
      <c r="E759" s="17"/>
      <c r="F759" s="17"/>
      <c r="G759" s="42">
        <v>73.510000000000005</v>
      </c>
      <c r="H759" s="42">
        <v>73.510000000000005</v>
      </c>
      <c r="I759" s="43" t="s">
        <v>156</v>
      </c>
      <c r="J759" s="43" t="s">
        <v>67</v>
      </c>
      <c r="K759" s="43" t="s">
        <v>335</v>
      </c>
      <c r="L759" s="44" t="s">
        <v>336</v>
      </c>
      <c r="M759" s="45" t="s">
        <v>159</v>
      </c>
      <c r="N759" s="44" t="s">
        <v>144</v>
      </c>
      <c r="O759" s="17"/>
      <c r="P759" s="17"/>
      <c r="Q759" s="17"/>
      <c r="R759" s="17"/>
      <c r="S759" s="17"/>
      <c r="T759" s="17"/>
      <c r="U759" s="17"/>
      <c r="V759" s="17"/>
      <c r="W759" s="17"/>
      <c r="X759" s="17"/>
      <c r="Y759" s="46" t="str">
        <f ca="1">IFERROR(VLOOKUP(A759,catalogo!$E:$H,2,0),"-")</f>
        <v>-</v>
      </c>
      <c r="Z759" s="47" t="str">
        <f ca="1">IFERROR(VLOOKUP(A759,catalogo!$E:$G,3,0),"-")</f>
        <v>-</v>
      </c>
      <c r="AA759" s="48"/>
      <c r="AB759" s="48"/>
      <c r="AC759" s="48" t="str">
        <f ca="1">IFERROR(VLOOKUP(A759,catalogo!$E:$H,4,0),"-")</f>
        <v>-</v>
      </c>
      <c r="AD759" s="48"/>
      <c r="AE759" s="48"/>
      <c r="AF759" s="48"/>
      <c r="AG759" s="48"/>
      <c r="AH759" s="48"/>
      <c r="AI759" s="48"/>
    </row>
    <row r="760" spans="1:35" ht="12.5" hidden="1">
      <c r="A760" s="37" t="s">
        <v>390</v>
      </c>
      <c r="B760" s="38" t="str">
        <f>IFERROR(VLOOKUP(J760,catalogo!$B$1:$C$75,2,0),"-")</f>
        <v>#58</v>
      </c>
      <c r="C760" s="39">
        <v>46072.416666666664</v>
      </c>
      <c r="D760" s="52"/>
      <c r="E760" s="17"/>
      <c r="F760" s="17"/>
      <c r="G760" s="42">
        <v>1000</v>
      </c>
      <c r="H760" s="42">
        <v>1000</v>
      </c>
      <c r="I760" s="43" t="s">
        <v>156</v>
      </c>
      <c r="J760" s="43" t="s">
        <v>118</v>
      </c>
      <c r="K760" s="43" t="s">
        <v>622</v>
      </c>
      <c r="L760" s="44" t="s">
        <v>623</v>
      </c>
      <c r="M760" s="45" t="s">
        <v>163</v>
      </c>
      <c r="N760" s="44" t="s">
        <v>144</v>
      </c>
      <c r="O760" s="17"/>
      <c r="P760" s="17"/>
      <c r="Q760" s="17"/>
      <c r="R760" s="17"/>
      <c r="S760" s="17"/>
      <c r="T760" s="17"/>
      <c r="U760" s="17"/>
      <c r="V760" s="17"/>
      <c r="W760" s="17"/>
      <c r="X760" s="17"/>
      <c r="Y760" s="46" t="str">
        <f ca="1">IFERROR(VLOOKUP(A760,catalogo!$E:$H,2,0),"-")</f>
        <v>-</v>
      </c>
      <c r="Z760" s="47" t="str">
        <f ca="1">IFERROR(VLOOKUP(A760,catalogo!$E:$G,3,0),"-")</f>
        <v>-</v>
      </c>
      <c r="AA760" s="48"/>
      <c r="AB760" s="48"/>
      <c r="AC760" s="48" t="str">
        <f ca="1">IFERROR(VLOOKUP(A760,catalogo!$E:$H,4,0),"-")</f>
        <v>-</v>
      </c>
      <c r="AD760" s="48"/>
      <c r="AE760" s="48"/>
      <c r="AF760" s="48"/>
      <c r="AG760" s="48"/>
      <c r="AH760" s="48"/>
      <c r="AI760" s="48"/>
    </row>
    <row r="761" spans="1:35" ht="12.5" hidden="1">
      <c r="A761" s="37" t="s">
        <v>1507</v>
      </c>
      <c r="B761" s="38" t="str">
        <f>IFERROR(VLOOKUP(J761,catalogo!$B$1:$C$100,2,0),"-")</f>
        <v>#56</v>
      </c>
      <c r="C761" s="39">
        <v>46072.416666666664</v>
      </c>
      <c r="D761" s="17"/>
      <c r="E761" s="17"/>
      <c r="F761" s="17"/>
      <c r="G761" s="42">
        <v>165.01</v>
      </c>
      <c r="H761" s="42">
        <v>165.01</v>
      </c>
      <c r="I761" s="43" t="s">
        <v>156</v>
      </c>
      <c r="J761" s="43" t="s">
        <v>99</v>
      </c>
      <c r="K761" s="43" t="s">
        <v>705</v>
      </c>
      <c r="L761" s="44" t="s">
        <v>706</v>
      </c>
      <c r="M761" s="45">
        <v>8949</v>
      </c>
      <c r="N761" s="44" t="s">
        <v>167</v>
      </c>
      <c r="O761" s="17"/>
      <c r="P761" s="17"/>
      <c r="Q761" s="17"/>
      <c r="R761" s="17"/>
      <c r="S761" s="17"/>
      <c r="T761" s="17"/>
      <c r="U761" s="17"/>
      <c r="V761" s="17"/>
      <c r="W761" s="17"/>
      <c r="X761" s="17"/>
      <c r="Y761" s="46" t="str">
        <f ca="1">IFERROR(VLOOKUP(A761,catalogo!$E:$H,2,0),"-")</f>
        <v>-</v>
      </c>
      <c r="Z761" s="47" t="str">
        <f ca="1">IFERROR(VLOOKUP(A761,catalogo!$E:$G,3,0),"-")</f>
        <v>-</v>
      </c>
      <c r="AA761" s="48"/>
      <c r="AB761" s="48"/>
      <c r="AC761" s="48" t="str">
        <f ca="1">IFERROR(VLOOKUP(A761,catalogo!$E:$H,4,0),"-")</f>
        <v>-</v>
      </c>
      <c r="AD761" s="48"/>
      <c r="AE761" s="48"/>
      <c r="AF761" s="48"/>
      <c r="AG761" s="48"/>
      <c r="AH761" s="48"/>
      <c r="AI761" s="48"/>
    </row>
    <row r="762" spans="1:35" ht="12.5" hidden="1">
      <c r="A762" s="37" t="s">
        <v>1508</v>
      </c>
      <c r="B762" s="38" t="str">
        <f>IFERROR(VLOOKUP(J762,catalogo!$B$1:$C$70,2,0),"-")</f>
        <v>#64</v>
      </c>
      <c r="C762" s="39">
        <v>46072.416666666664</v>
      </c>
      <c r="D762" s="17"/>
      <c r="E762" s="17"/>
      <c r="F762" s="17"/>
      <c r="G762" s="42">
        <v>249</v>
      </c>
      <c r="H762" s="42">
        <v>249</v>
      </c>
      <c r="I762" s="43" t="s">
        <v>156</v>
      </c>
      <c r="J762" s="43" t="s">
        <v>139</v>
      </c>
      <c r="K762" s="43" t="s">
        <v>1509</v>
      </c>
      <c r="L762" s="44" t="s">
        <v>637</v>
      </c>
      <c r="M762" s="45">
        <v>7142</v>
      </c>
      <c r="N762" s="44" t="s">
        <v>167</v>
      </c>
      <c r="O762" s="17"/>
      <c r="P762" s="17"/>
      <c r="Q762" s="17"/>
      <c r="R762" s="17"/>
      <c r="S762" s="17"/>
      <c r="T762" s="17"/>
      <c r="U762" s="17"/>
      <c r="V762" s="17"/>
      <c r="W762" s="17"/>
      <c r="X762" s="17"/>
      <c r="Y762" s="46" t="str">
        <f ca="1">IFERROR(VLOOKUP(A762,catalogo!$E:$G,2,0),"-")</f>
        <v>-</v>
      </c>
      <c r="Z762" s="47" t="str">
        <f ca="1">IFERROR(VLOOKUP(A762,catalogo!$E:$G,3,0),"-")</f>
        <v>-</v>
      </c>
      <c r="AA762" s="48"/>
      <c r="AB762" s="48"/>
      <c r="AC762" s="48" t="str">
        <f ca="1">IFERROR(VLOOKUP(A762,catalogo!$E:$H,4,0),"-")</f>
        <v>-</v>
      </c>
      <c r="AD762" s="48"/>
      <c r="AE762" s="48"/>
      <c r="AF762" s="48"/>
      <c r="AG762" s="48"/>
      <c r="AH762" s="48"/>
      <c r="AI762" s="48"/>
    </row>
    <row r="763" spans="1:35" ht="15.5" hidden="1">
      <c r="A763" s="37" t="s">
        <v>1510</v>
      </c>
      <c r="B763" s="38" t="str">
        <f>IFERROR(VLOOKUP(J763,catalogo!$B$1:$C$75,2,0),"-")</f>
        <v>-</v>
      </c>
      <c r="C763" s="39">
        <v>46072.416666666664</v>
      </c>
      <c r="D763" s="17"/>
      <c r="E763" s="17"/>
      <c r="F763" s="17"/>
      <c r="G763" s="42">
        <v>1510</v>
      </c>
      <c r="H763" s="42">
        <v>1510</v>
      </c>
      <c r="I763" s="43" t="s">
        <v>156</v>
      </c>
      <c r="J763" s="43" t="s">
        <v>321</v>
      </c>
      <c r="K763" s="43" t="s">
        <v>319</v>
      </c>
      <c r="L763" s="44" t="s">
        <v>317</v>
      </c>
      <c r="M763" s="45">
        <v>3340</v>
      </c>
      <c r="N763" s="44" t="s">
        <v>167</v>
      </c>
      <c r="O763" s="49"/>
      <c r="P763" s="17"/>
      <c r="Q763" s="17"/>
      <c r="R763" s="17"/>
      <c r="S763" s="17"/>
      <c r="T763" s="17"/>
      <c r="U763" s="17"/>
      <c r="V763" s="17"/>
      <c r="W763" s="17"/>
      <c r="X763" s="17"/>
      <c r="Y763" s="46" t="str">
        <f ca="1">IFERROR(VLOOKUP(A763,catalogo!$E:$H,2,0),"-")</f>
        <v>-</v>
      </c>
      <c r="Z763" s="47" t="str">
        <f ca="1">IFERROR(VLOOKUP(A763,catalogo!$E:$G,3,0),"-")</f>
        <v>-</v>
      </c>
      <c r="AA763" s="48"/>
      <c r="AB763" s="48"/>
      <c r="AC763" s="48" t="str">
        <f ca="1">IFERROR(VLOOKUP(A763,catalogo!$E:$H,4,0),"-")</f>
        <v>-</v>
      </c>
      <c r="AD763" s="48"/>
      <c r="AE763" s="48"/>
      <c r="AF763" s="48"/>
      <c r="AG763" s="48"/>
      <c r="AH763" s="48"/>
      <c r="AI763" s="48"/>
    </row>
    <row r="764" spans="1:35" ht="12.5" hidden="1">
      <c r="A764" s="37" t="s">
        <v>1511</v>
      </c>
      <c r="B764" s="38" t="str">
        <f>IFERROR(VLOOKUP(J764,catalogo!$B$1:$C$70,2,0),"-")</f>
        <v>#19</v>
      </c>
      <c r="C764" s="39">
        <v>46072.416666666664</v>
      </c>
      <c r="D764" s="17"/>
      <c r="E764" s="17"/>
      <c r="F764" s="17"/>
      <c r="G764" s="42">
        <v>629.97</v>
      </c>
      <c r="H764" s="42">
        <v>629.97</v>
      </c>
      <c r="I764" s="43" t="s">
        <v>156</v>
      </c>
      <c r="J764" s="43" t="s">
        <v>105</v>
      </c>
      <c r="K764" s="43" t="s">
        <v>232</v>
      </c>
      <c r="L764" s="44" t="s">
        <v>233</v>
      </c>
      <c r="M764" s="45" t="s">
        <v>276</v>
      </c>
      <c r="N764" s="44" t="s">
        <v>144</v>
      </c>
      <c r="O764" s="17"/>
      <c r="P764" s="17"/>
      <c r="Q764" s="17"/>
      <c r="R764" s="17"/>
      <c r="S764" s="17"/>
      <c r="T764" s="17"/>
      <c r="U764" s="17"/>
      <c r="V764" s="17"/>
      <c r="W764" s="17"/>
      <c r="X764" s="17"/>
      <c r="Y764" s="46" t="str">
        <f ca="1">IFERROR(VLOOKUP(A764,catalogo!$E:$G,2,0),"-")</f>
        <v>Transaction cost</v>
      </c>
      <c r="Z764" s="47" t="str">
        <f ca="1">IFERROR(VLOOKUP(A764,catalogo!$E:$G,3,0),"-")</f>
        <v>PO2165 veolia UFCEB</v>
      </c>
      <c r="AA764" s="48"/>
      <c r="AB764" s="48"/>
      <c r="AC764" s="48" t="str">
        <f ca="1">IFERROR(VLOOKUP(A764,catalogo!$E:$H,4,0),"-")</f>
        <v>-</v>
      </c>
      <c r="AD764" s="48"/>
      <c r="AE764" s="48"/>
      <c r="AF764" s="48"/>
      <c r="AG764" s="48"/>
      <c r="AH764" s="48"/>
      <c r="AI764" s="48"/>
    </row>
    <row r="765" spans="1:35" ht="12.5" hidden="1">
      <c r="A765" s="37" t="s">
        <v>453</v>
      </c>
      <c r="B765" s="38" t="str">
        <f>IFERROR(VLOOKUP(J765,catalogo!$B$1:$C$75,2,0),"-")</f>
        <v>#69</v>
      </c>
      <c r="C765" s="39">
        <v>46072.416666666664</v>
      </c>
      <c r="D765" s="52"/>
      <c r="E765" s="17"/>
      <c r="F765" s="17"/>
      <c r="G765" s="42">
        <v>52</v>
      </c>
      <c r="H765" s="42">
        <v>52</v>
      </c>
      <c r="I765" s="43" t="s">
        <v>156</v>
      </c>
      <c r="J765" s="43" t="s">
        <v>110</v>
      </c>
      <c r="K765" s="43" t="s">
        <v>461</v>
      </c>
      <c r="L765" s="44" t="s">
        <v>462</v>
      </c>
      <c r="M765" s="45">
        <v>8231</v>
      </c>
      <c r="N765" s="44" t="s">
        <v>167</v>
      </c>
      <c r="O765" s="17"/>
      <c r="P765" s="17"/>
      <c r="Q765" s="17"/>
      <c r="R765" s="17"/>
      <c r="S765" s="17"/>
      <c r="T765" s="17"/>
      <c r="U765" s="17"/>
      <c r="V765" s="17"/>
      <c r="W765" s="17"/>
      <c r="X765" s="17"/>
      <c r="Y765" s="46" t="str">
        <f ca="1">IFERROR(VLOOKUP(A765,catalogo!$E:$H,2,0),"-")</f>
        <v>Office expenses</v>
      </c>
      <c r="Z765" s="47">
        <f ca="1">IFERROR(VLOOKUP(A765,catalogo!$E:$G,3,0),"-")</f>
        <v>0</v>
      </c>
      <c r="AA765" s="48"/>
      <c r="AB765" s="48"/>
      <c r="AC765" s="48">
        <f ca="1">IFERROR(VLOOKUP(A765,catalogo!$E:$H,4,0),"-")</f>
        <v>0</v>
      </c>
      <c r="AD765" s="48"/>
      <c r="AE765" s="48"/>
      <c r="AF765" s="48"/>
      <c r="AG765" s="48"/>
      <c r="AH765" s="48"/>
      <c r="AI765" s="48"/>
    </row>
    <row r="766" spans="1:35" ht="12.5" hidden="1">
      <c r="A766" s="37" t="s">
        <v>1512</v>
      </c>
      <c r="B766" s="38" t="str">
        <f>IFERROR(VLOOKUP(J766,catalogo!$B$1:$C$75,2,0),"-")</f>
        <v>-</v>
      </c>
      <c r="C766" s="39">
        <v>46072.416666666664</v>
      </c>
      <c r="D766" s="17"/>
      <c r="E766" s="17"/>
      <c r="F766" s="17"/>
      <c r="G766" s="42">
        <v>1639.29</v>
      </c>
      <c r="H766" s="42">
        <v>1639.29</v>
      </c>
      <c r="I766" s="43" t="s">
        <v>156</v>
      </c>
      <c r="J766" s="43" t="s">
        <v>600</v>
      </c>
      <c r="K766" s="43" t="s">
        <v>1513</v>
      </c>
      <c r="L766" s="44" t="s">
        <v>1514</v>
      </c>
      <c r="M766" s="45">
        <v>9794</v>
      </c>
      <c r="N766" s="44" t="s">
        <v>167</v>
      </c>
      <c r="O766" s="17"/>
      <c r="P766" s="17"/>
      <c r="Q766" s="17"/>
      <c r="R766" s="17"/>
      <c r="S766" s="17"/>
      <c r="T766" s="17"/>
      <c r="U766" s="17"/>
      <c r="V766" s="17"/>
      <c r="W766" s="17"/>
      <c r="X766" s="17"/>
      <c r="Y766" s="46" t="str">
        <f ca="1">IFERROR(VLOOKUP(A766,catalogo!$E:$H,2,0),"-")</f>
        <v>-</v>
      </c>
      <c r="Z766" s="47" t="str">
        <f ca="1">IFERROR(VLOOKUP(A766,catalogo!$E:$G,3,0),"-")</f>
        <v>-</v>
      </c>
      <c r="AA766" s="48"/>
      <c r="AB766" s="48"/>
      <c r="AC766" s="48" t="str">
        <f ca="1">IFERROR(VLOOKUP(A766,catalogo!$E:$H,4,0),"-")</f>
        <v>-</v>
      </c>
      <c r="AD766" s="48"/>
      <c r="AE766" s="48"/>
      <c r="AF766" s="48"/>
      <c r="AG766" s="48"/>
      <c r="AH766" s="48"/>
      <c r="AI766" s="48"/>
    </row>
    <row r="767" spans="1:35" ht="15.5" hidden="1">
      <c r="A767" s="37" t="s">
        <v>1515</v>
      </c>
      <c r="B767" s="38" t="str">
        <f>IFERROR(VLOOKUP(J767,catalogo!$B$1:$C$75,2,0),"-")</f>
        <v>#56</v>
      </c>
      <c r="C767" s="39">
        <v>46072.416666666664</v>
      </c>
      <c r="D767" s="17"/>
      <c r="E767" s="17"/>
      <c r="F767" s="17"/>
      <c r="G767" s="42">
        <v>159</v>
      </c>
      <c r="H767" s="42">
        <v>159</v>
      </c>
      <c r="I767" s="43" t="s">
        <v>156</v>
      </c>
      <c r="J767" s="43" t="s">
        <v>99</v>
      </c>
      <c r="K767" s="43" t="s">
        <v>757</v>
      </c>
      <c r="L767" s="44" t="s">
        <v>336</v>
      </c>
      <c r="M767" s="45">
        <v>8949</v>
      </c>
      <c r="N767" s="44" t="s">
        <v>167</v>
      </c>
      <c r="O767" s="49"/>
      <c r="P767" s="17"/>
      <c r="Q767" s="17"/>
      <c r="R767" s="17"/>
      <c r="S767" s="17"/>
      <c r="T767" s="17"/>
      <c r="U767" s="17"/>
      <c r="V767" s="17"/>
      <c r="W767" s="17"/>
      <c r="X767" s="17"/>
      <c r="Y767" s="46" t="str">
        <f ca="1">IFERROR(VLOOKUP(A767,catalogo!$E:$H,2,0),"-")</f>
        <v>-</v>
      </c>
      <c r="Z767" s="47" t="str">
        <f ca="1">IFERROR(VLOOKUP(A767,catalogo!$E:$G,3,0),"-")</f>
        <v>-</v>
      </c>
      <c r="AA767" s="48"/>
      <c r="AB767" s="48"/>
      <c r="AC767" s="48" t="str">
        <f ca="1">IFERROR(VLOOKUP(A767,catalogo!$E:$H,4,0),"-")</f>
        <v>-</v>
      </c>
      <c r="AD767" s="48"/>
      <c r="AE767" s="48"/>
      <c r="AF767" s="48"/>
      <c r="AG767" s="48"/>
      <c r="AH767" s="48"/>
      <c r="AI767" s="48"/>
    </row>
    <row r="768" spans="1:35" ht="12.5" hidden="1">
      <c r="A768" s="37" t="s">
        <v>1516</v>
      </c>
      <c r="B768" s="38" t="str">
        <f>IFERROR(VLOOKUP(J768,catalogo!$B$1:$C$80,2,0),"-")</f>
        <v>#26</v>
      </c>
      <c r="C768" s="39">
        <v>46072.416666666664</v>
      </c>
      <c r="D768" s="17"/>
      <c r="E768" s="17"/>
      <c r="F768" s="17"/>
      <c r="G768" s="42">
        <v>1202</v>
      </c>
      <c r="H768" s="42">
        <v>1202</v>
      </c>
      <c r="I768" s="43" t="s">
        <v>156</v>
      </c>
      <c r="J768" s="43" t="s">
        <v>67</v>
      </c>
      <c r="K768" s="43" t="s">
        <v>1517</v>
      </c>
      <c r="L768" s="44" t="s">
        <v>820</v>
      </c>
      <c r="M768" s="45">
        <v>8061</v>
      </c>
      <c r="N768" s="44" t="s">
        <v>167</v>
      </c>
      <c r="O768" s="17"/>
      <c r="P768" s="17"/>
      <c r="Q768" s="17"/>
      <c r="R768" s="17"/>
      <c r="S768" s="17"/>
      <c r="T768" s="17"/>
      <c r="U768" s="17"/>
      <c r="V768" s="17"/>
      <c r="W768" s="17"/>
      <c r="X768" s="17"/>
      <c r="Y768" s="46" t="str">
        <f ca="1">IFERROR(VLOOKUP(A768,catalogo!$E:$G,2,0),"-")</f>
        <v>-</v>
      </c>
      <c r="Z768" s="47" t="str">
        <f ca="1">IFERROR(VLOOKUP(A768,catalogo!$E:$G,3,0),"-")</f>
        <v>-</v>
      </c>
      <c r="AA768" s="48"/>
      <c r="AB768" s="48"/>
      <c r="AC768" s="48" t="str">
        <f ca="1">IFERROR(VLOOKUP(A768,catalogo!$E:$H,4,0),"-")</f>
        <v>-</v>
      </c>
      <c r="AD768" s="48"/>
      <c r="AE768" s="48"/>
      <c r="AF768" s="48"/>
      <c r="AG768" s="48"/>
      <c r="AH768" s="48"/>
      <c r="AI768" s="48"/>
    </row>
    <row r="769" spans="1:35" ht="12.5" hidden="1">
      <c r="A769" s="37" t="s">
        <v>326</v>
      </c>
      <c r="B769" s="38" t="str">
        <f>IFERROR(VLOOKUP(J769,catalogo!$B$1:$C$75,2,0),"-")</f>
        <v>#6</v>
      </c>
      <c r="C769" s="39">
        <v>46072.416666666664</v>
      </c>
      <c r="D769" s="17"/>
      <c r="E769" s="17"/>
      <c r="F769" s="17"/>
      <c r="G769" s="42">
        <v>145</v>
      </c>
      <c r="H769" s="42">
        <v>145</v>
      </c>
      <c r="I769" s="43" t="s">
        <v>156</v>
      </c>
      <c r="J769" s="43" t="s">
        <v>114</v>
      </c>
      <c r="K769" s="43" t="s">
        <v>757</v>
      </c>
      <c r="L769" s="44" t="s">
        <v>336</v>
      </c>
      <c r="M769" s="45">
        <v>3893</v>
      </c>
      <c r="N769" s="44" t="s">
        <v>167</v>
      </c>
      <c r="O769" s="17"/>
      <c r="P769" s="17"/>
      <c r="Q769" s="17"/>
      <c r="R769" s="17"/>
      <c r="S769" s="17"/>
      <c r="T769" s="17"/>
      <c r="U769" s="17"/>
      <c r="V769" s="17"/>
      <c r="W769" s="17"/>
      <c r="X769" s="17"/>
      <c r="Y769" s="46" t="str">
        <f ca="1">IFERROR(VLOOKUP(A769,catalogo!$E:$H,2,0),"-")</f>
        <v>Transaction cost</v>
      </c>
      <c r="Z769" s="47" t="str">
        <f ca="1">IFERROR(VLOOKUP(A769,catalogo!$E:$G,3,0),"-")</f>
        <v>Recarga de tag</v>
      </c>
      <c r="AA769" s="48"/>
      <c r="AB769" s="48"/>
      <c r="AC769" s="48">
        <f ca="1">IFERROR(VLOOKUP(A769,catalogo!$E:$H,4,0),"-")</f>
        <v>0</v>
      </c>
      <c r="AD769" s="48"/>
      <c r="AE769" s="48"/>
      <c r="AF769" s="48"/>
      <c r="AG769" s="48"/>
      <c r="AH769" s="48"/>
      <c r="AI769" s="48"/>
    </row>
    <row r="770" spans="1:35" ht="12.5" hidden="1">
      <c r="A770" s="37" t="s">
        <v>1518</v>
      </c>
      <c r="B770" s="38" t="str">
        <f>IFERROR(VLOOKUP(J770,catalogo!$B$1:$C$75,2,0),"-")</f>
        <v>-</v>
      </c>
      <c r="C770" s="39">
        <v>46072.416666666664</v>
      </c>
      <c r="D770" s="17"/>
      <c r="E770" s="17"/>
      <c r="F770" s="17"/>
      <c r="G770" s="42">
        <v>309.97000000000003</v>
      </c>
      <c r="H770" s="42">
        <v>309.97000000000003</v>
      </c>
      <c r="I770" s="43" t="s">
        <v>156</v>
      </c>
      <c r="J770" s="43" t="s">
        <v>493</v>
      </c>
      <c r="K770" s="43" t="s">
        <v>371</v>
      </c>
      <c r="L770" s="44" t="s">
        <v>233</v>
      </c>
      <c r="M770" s="45" t="s">
        <v>615</v>
      </c>
      <c r="N770" s="44" t="s">
        <v>144</v>
      </c>
      <c r="O770" s="17"/>
      <c r="P770" s="17"/>
      <c r="Q770" s="17"/>
      <c r="R770" s="17"/>
      <c r="S770" s="17"/>
      <c r="T770" s="17"/>
      <c r="U770" s="17"/>
      <c r="V770" s="17"/>
      <c r="W770" s="17"/>
      <c r="X770" s="17"/>
      <c r="Y770" s="46" t="str">
        <f ca="1">IFERROR(VLOOKUP(A770,catalogo!$E:$H,2,0),"-")</f>
        <v>-</v>
      </c>
      <c r="Z770" s="47" t="str">
        <f ca="1">IFERROR(VLOOKUP(A770,catalogo!$E:$G,3,0),"-")</f>
        <v>-</v>
      </c>
      <c r="AA770" s="48"/>
      <c r="AB770" s="48"/>
      <c r="AC770" s="48" t="str">
        <f ca="1">IFERROR(VLOOKUP(A770,catalogo!$E:$H,4,0),"-")</f>
        <v>-</v>
      </c>
      <c r="AD770" s="48"/>
      <c r="AE770" s="48"/>
      <c r="AF770" s="48"/>
      <c r="AG770" s="48"/>
      <c r="AH770" s="48"/>
      <c r="AI770" s="48"/>
    </row>
    <row r="771" spans="1:35" ht="12.5" hidden="1">
      <c r="A771" s="37" t="s">
        <v>1519</v>
      </c>
      <c r="B771" s="38" t="str">
        <f>IFERROR(VLOOKUP(J771,catalogo!$B$1:$C$75,2,0),"-")</f>
        <v>#26</v>
      </c>
      <c r="C771" s="39">
        <v>46072.416666666664</v>
      </c>
      <c r="D771" s="17"/>
      <c r="E771" s="17"/>
      <c r="F771" s="17"/>
      <c r="G771" s="42">
        <v>43</v>
      </c>
      <c r="H771" s="42">
        <v>43</v>
      </c>
      <c r="I771" s="43" t="s">
        <v>156</v>
      </c>
      <c r="J771" s="43" t="s">
        <v>67</v>
      </c>
      <c r="K771" s="43" t="s">
        <v>1520</v>
      </c>
      <c r="L771" s="44" t="s">
        <v>1521</v>
      </c>
      <c r="M771" s="45">
        <v>8061</v>
      </c>
      <c r="N771" s="44" t="s">
        <v>167</v>
      </c>
      <c r="O771" s="17"/>
      <c r="P771" s="17"/>
      <c r="Q771" s="17"/>
      <c r="R771" s="17"/>
      <c r="S771" s="17"/>
      <c r="T771" s="17"/>
      <c r="U771" s="17"/>
      <c r="V771" s="17"/>
      <c r="W771" s="17"/>
      <c r="X771" s="17"/>
      <c r="Y771" s="46" t="str">
        <f ca="1">IFERROR(VLOOKUP(A771,catalogo!$E:$H,2,0),"-")</f>
        <v>-</v>
      </c>
      <c r="Z771" s="47" t="str">
        <f ca="1">IFERROR(VLOOKUP(A771,catalogo!$E:$G,3,0),"-")</f>
        <v>-</v>
      </c>
      <c r="AA771" s="48"/>
      <c r="AB771" s="48"/>
      <c r="AC771" s="48" t="str">
        <f ca="1">IFERROR(VLOOKUP(A771,catalogo!$E:$H,4,0),"-")</f>
        <v>-</v>
      </c>
      <c r="AD771" s="48"/>
      <c r="AE771" s="48"/>
      <c r="AF771" s="48"/>
      <c r="AG771" s="48"/>
      <c r="AH771" s="48"/>
      <c r="AI771" s="48"/>
    </row>
    <row r="772" spans="1:35" ht="12.5" hidden="1">
      <c r="A772" s="37" t="s">
        <v>373</v>
      </c>
      <c r="B772" s="38" t="str">
        <f>IFERROR(VLOOKUP(J772,catalogo!$B$1:$C$75,2,0),"-")</f>
        <v>#26</v>
      </c>
      <c r="C772" s="39">
        <v>46072.416666666664</v>
      </c>
      <c r="D772" s="52"/>
      <c r="E772" s="17"/>
      <c r="F772" s="17"/>
      <c r="G772" s="42">
        <v>180</v>
      </c>
      <c r="H772" s="42">
        <v>180</v>
      </c>
      <c r="I772" s="43" t="s">
        <v>156</v>
      </c>
      <c r="J772" s="43" t="s">
        <v>67</v>
      </c>
      <c r="K772" s="43" t="s">
        <v>1522</v>
      </c>
      <c r="L772" s="44" t="s">
        <v>1523</v>
      </c>
      <c r="M772" s="45">
        <v>8061</v>
      </c>
      <c r="N772" s="44" t="s">
        <v>167</v>
      </c>
      <c r="O772" s="17"/>
      <c r="P772" s="17"/>
      <c r="Q772" s="17"/>
      <c r="R772" s="17"/>
      <c r="S772" s="17"/>
      <c r="T772" s="17"/>
      <c r="U772" s="17"/>
      <c r="V772" s="17"/>
      <c r="W772" s="17"/>
      <c r="X772" s="17"/>
      <c r="Y772" s="46" t="str">
        <f ca="1">IFERROR(VLOOKUP(A772,catalogo!$E:$H,2,0),"-")</f>
        <v>-</v>
      </c>
      <c r="Z772" s="47" t="str">
        <f ca="1">IFERROR(VLOOKUP(A772,catalogo!$E:$G,3,0),"-")</f>
        <v>-</v>
      </c>
      <c r="AA772" s="48"/>
      <c r="AB772" s="48"/>
      <c r="AC772" s="48" t="str">
        <f ca="1">IFERROR(VLOOKUP(A772,catalogo!$E:$H,4,0),"-")</f>
        <v>-</v>
      </c>
      <c r="AD772" s="48"/>
      <c r="AE772" s="48"/>
      <c r="AF772" s="48"/>
      <c r="AG772" s="48"/>
      <c r="AH772" s="48"/>
      <c r="AI772" s="48"/>
    </row>
    <row r="773" spans="1:35" ht="12.5" hidden="1">
      <c r="A773" s="37" t="s">
        <v>370</v>
      </c>
      <c r="B773" s="38" t="str">
        <f>IFERROR(VLOOKUP(J773,catalogo!$B$1:$C$100,2,0),"-")</f>
        <v>#26</v>
      </c>
      <c r="C773" s="39">
        <v>46072.416666666664</v>
      </c>
      <c r="D773" s="52"/>
      <c r="E773" s="17"/>
      <c r="F773" s="17"/>
      <c r="G773" s="42">
        <v>184</v>
      </c>
      <c r="H773" s="42">
        <v>184</v>
      </c>
      <c r="I773" s="43" t="s">
        <v>156</v>
      </c>
      <c r="J773" s="43" t="s">
        <v>67</v>
      </c>
      <c r="K773" s="43" t="s">
        <v>1524</v>
      </c>
      <c r="L773" s="44" t="s">
        <v>1525</v>
      </c>
      <c r="M773" s="44">
        <v>8061</v>
      </c>
      <c r="N773" s="44" t="s">
        <v>167</v>
      </c>
      <c r="O773" s="17"/>
      <c r="P773" s="17"/>
      <c r="Q773" s="17"/>
      <c r="R773" s="17"/>
      <c r="S773" s="17"/>
      <c r="T773" s="17"/>
      <c r="U773" s="17"/>
      <c r="V773" s="17"/>
      <c r="W773" s="17"/>
      <c r="X773" s="17"/>
      <c r="Y773" s="46" t="str">
        <f ca="1">IFERROR(VLOOKUP(A773,catalogo!$E:$H,2,0),"-")</f>
        <v>Office expenses</v>
      </c>
      <c r="Z773" s="47" t="str">
        <f ca="1">IFERROR(VLOOKUP(A773,catalogo!$E:$G,3,0),"-")</f>
        <v>Snacks para la oficina</v>
      </c>
      <c r="AA773" s="48"/>
      <c r="AB773" s="48"/>
      <c r="AC773" s="48" t="str">
        <f ca="1">IFERROR(VLOOKUP(A773,catalogo!$E:$H,4,0),"-")</f>
        <v>.</v>
      </c>
      <c r="AD773" s="48"/>
      <c r="AE773" s="48"/>
      <c r="AF773" s="48"/>
      <c r="AG773" s="48"/>
      <c r="AH773" s="48"/>
      <c r="AI773" s="48"/>
    </row>
    <row r="774" spans="1:35" ht="12.5" hidden="1">
      <c r="A774" s="37" t="s">
        <v>1526</v>
      </c>
      <c r="B774" s="38" t="str">
        <f>IFERROR(VLOOKUP(J774,catalogo!$B$1:$C$100,2,0),"-")</f>
        <v>#6</v>
      </c>
      <c r="C774" s="39">
        <v>46072.416666666664</v>
      </c>
      <c r="D774" s="17"/>
      <c r="E774" s="17"/>
      <c r="F774" s="17"/>
      <c r="G774" s="42">
        <v>190</v>
      </c>
      <c r="H774" s="42">
        <v>190</v>
      </c>
      <c r="I774" s="43" t="s">
        <v>156</v>
      </c>
      <c r="J774" s="43" t="s">
        <v>114</v>
      </c>
      <c r="K774" s="43" t="s">
        <v>570</v>
      </c>
      <c r="L774" s="44" t="s">
        <v>571</v>
      </c>
      <c r="M774" s="45">
        <v>3893</v>
      </c>
      <c r="N774" s="44" t="s">
        <v>167</v>
      </c>
      <c r="O774" s="17"/>
      <c r="P774" s="17"/>
      <c r="Q774" s="17"/>
      <c r="R774" s="17"/>
      <c r="S774" s="17"/>
      <c r="T774" s="17"/>
      <c r="U774" s="17"/>
      <c r="V774" s="17"/>
      <c r="W774" s="17"/>
      <c r="X774" s="17"/>
      <c r="Y774" s="46" t="str">
        <f ca="1">IFERROR(VLOOKUP(A774,catalogo!$E:$G,2,0),"-")</f>
        <v>Transaction cost</v>
      </c>
      <c r="Z774" s="47" t="str">
        <f ca="1">IFERROR(VLOOKUP(A774,catalogo!$E:$G,3,0),"-")</f>
        <v xml:space="preserve">Gasolina entrega en Deacero, PROSI </v>
      </c>
      <c r="AA774" s="48"/>
      <c r="AB774" s="48"/>
      <c r="AC774" s="48">
        <f ca="1">IFERROR(VLOOKUP(A774,catalogo!$E:$H,4,0),"-")</f>
        <v>0</v>
      </c>
      <c r="AD774" s="48"/>
      <c r="AE774" s="48"/>
      <c r="AF774" s="48"/>
      <c r="AG774" s="48"/>
      <c r="AH774" s="48"/>
      <c r="AI774" s="48"/>
    </row>
    <row r="775" spans="1:35" ht="12.5" hidden="1">
      <c r="A775" s="37" t="s">
        <v>1527</v>
      </c>
      <c r="B775" s="38" t="str">
        <f>IFERROR(VLOOKUP(J775,catalogo!$B$1:$C$100,2,0),"-")</f>
        <v>#6</v>
      </c>
      <c r="C775" s="39">
        <v>46072.416666666664</v>
      </c>
      <c r="D775" s="17"/>
      <c r="E775" s="17"/>
      <c r="F775" s="17"/>
      <c r="G775" s="42">
        <v>500</v>
      </c>
      <c r="H775" s="42">
        <v>500</v>
      </c>
      <c r="I775" s="43" t="s">
        <v>156</v>
      </c>
      <c r="J775" s="43" t="s">
        <v>114</v>
      </c>
      <c r="K775" s="43" t="s">
        <v>524</v>
      </c>
      <c r="L775" s="44" t="s">
        <v>525</v>
      </c>
      <c r="M775" s="45">
        <v>3893</v>
      </c>
      <c r="N775" s="44" t="s">
        <v>167</v>
      </c>
      <c r="O775" s="17"/>
      <c r="P775" s="17"/>
      <c r="Q775" s="17"/>
      <c r="R775" s="17"/>
      <c r="S775" s="17"/>
      <c r="T775" s="17"/>
      <c r="U775" s="17"/>
      <c r="V775" s="17"/>
      <c r="W775" s="17"/>
      <c r="X775" s="17"/>
      <c r="Y775" s="46" t="str">
        <f ca="1">IFERROR(VLOOKUP(A775,catalogo!$E:$G,2,0),"-")</f>
        <v>Transaction cost</v>
      </c>
      <c r="Z775" s="47" t="str">
        <f ca="1">IFERROR(VLOOKUP(A775,catalogo!$E:$G,3,0),"-")</f>
        <v>Comida entrega en Deacero</v>
      </c>
      <c r="AA775" s="48"/>
      <c r="AB775" s="48"/>
      <c r="AC775" s="48">
        <f ca="1">IFERROR(VLOOKUP(A775,catalogo!$E:$H,4,0),"-")</f>
        <v>0</v>
      </c>
      <c r="AD775" s="48"/>
      <c r="AE775" s="48"/>
      <c r="AF775" s="48"/>
      <c r="AG775" s="48"/>
      <c r="AH775" s="48"/>
      <c r="AI775" s="48"/>
    </row>
    <row r="776" spans="1:35" ht="12.5" hidden="1">
      <c r="A776" s="37" t="s">
        <v>1528</v>
      </c>
      <c r="B776" s="38" t="str">
        <f>IFERROR(VLOOKUP(J776,catalogo!$B$1:$C$75,2,0),"-")</f>
        <v>-</v>
      </c>
      <c r="C776" s="39">
        <v>46072.416666666664</v>
      </c>
      <c r="D776" s="17"/>
      <c r="E776" s="17"/>
      <c r="F776" s="17"/>
      <c r="G776" s="42">
        <v>300</v>
      </c>
      <c r="H776" s="42">
        <v>300</v>
      </c>
      <c r="I776" s="43" t="s">
        <v>156</v>
      </c>
      <c r="J776" s="43" t="s">
        <v>659</v>
      </c>
      <c r="K776" s="43" t="s">
        <v>664</v>
      </c>
      <c r="L776" s="44" t="s">
        <v>665</v>
      </c>
      <c r="M776" s="45" t="s">
        <v>662</v>
      </c>
      <c r="N776" s="44" t="s">
        <v>144</v>
      </c>
      <c r="O776" s="17"/>
      <c r="P776" s="17"/>
      <c r="Q776" s="17"/>
      <c r="R776" s="17"/>
      <c r="S776" s="17"/>
      <c r="T776" s="17"/>
      <c r="U776" s="17"/>
      <c r="V776" s="17"/>
      <c r="W776" s="17"/>
      <c r="X776" s="17"/>
      <c r="Y776" s="46" t="str">
        <f ca="1">IFERROR(VLOOKUP(A776,catalogo!$E:$H,2,0),"-")</f>
        <v>-</v>
      </c>
      <c r="Z776" s="47" t="str">
        <f ca="1">IFERROR(VLOOKUP(A776,catalogo!$E:$G,3,0),"-")</f>
        <v>-</v>
      </c>
      <c r="AA776" s="48"/>
      <c r="AB776" s="48"/>
      <c r="AC776" s="48" t="str">
        <f ca="1">IFERROR(VLOOKUP(A776,catalogo!$E:$H,4,0),"-")</f>
        <v>-</v>
      </c>
      <c r="AD776" s="48"/>
      <c r="AE776" s="48"/>
      <c r="AF776" s="48"/>
      <c r="AG776" s="48"/>
      <c r="AH776" s="48"/>
      <c r="AI776" s="48"/>
    </row>
    <row r="777" spans="1:35" ht="12.5" hidden="1">
      <c r="A777" s="37" t="s">
        <v>1529</v>
      </c>
      <c r="B777" s="38" t="str">
        <f>IFERROR(VLOOKUP(J777,catalogo!$B$1:$C$75,2,0),"-")</f>
        <v>#26</v>
      </c>
      <c r="C777" s="39">
        <v>46072.416666666664</v>
      </c>
      <c r="D777" s="17"/>
      <c r="E777" s="17"/>
      <c r="F777" s="17"/>
      <c r="G777" s="42">
        <v>140</v>
      </c>
      <c r="H777" s="42">
        <v>140</v>
      </c>
      <c r="I777" s="43" t="s">
        <v>156</v>
      </c>
      <c r="J777" s="43" t="s">
        <v>67</v>
      </c>
      <c r="K777" s="43" t="s">
        <v>1530</v>
      </c>
      <c r="L777" s="44" t="s">
        <v>1531</v>
      </c>
      <c r="M777" s="45">
        <v>8061</v>
      </c>
      <c r="N777" s="44" t="s">
        <v>167</v>
      </c>
      <c r="O777" s="17"/>
      <c r="P777" s="17"/>
      <c r="Q777" s="17"/>
      <c r="R777" s="17"/>
      <c r="S777" s="17"/>
      <c r="T777" s="17"/>
      <c r="U777" s="17"/>
      <c r="V777" s="17"/>
      <c r="W777" s="17"/>
      <c r="X777" s="17"/>
      <c r="Y777" s="46" t="str">
        <f ca="1">IFERROR(VLOOKUP(A777,catalogo!$E:$H,2,0),"-")</f>
        <v>-</v>
      </c>
      <c r="Z777" s="47" t="str">
        <f ca="1">IFERROR(VLOOKUP(A777,catalogo!$E:$G,3,0),"-")</f>
        <v>-</v>
      </c>
      <c r="AA777" s="48"/>
      <c r="AB777" s="48"/>
      <c r="AC777" s="48" t="str">
        <f ca="1">IFERROR(VLOOKUP(A777,catalogo!$E:$H,4,0),"-")</f>
        <v>-</v>
      </c>
      <c r="AD777" s="48"/>
      <c r="AE777" s="48"/>
      <c r="AF777" s="48"/>
      <c r="AG777" s="48"/>
      <c r="AH777" s="48"/>
      <c r="AI777" s="48"/>
    </row>
    <row r="778" spans="1:35" ht="12.5" hidden="1">
      <c r="A778" s="37" t="s">
        <v>1532</v>
      </c>
      <c r="B778" s="38" t="str">
        <f>IFERROR(VLOOKUP(J778,catalogo!$B$1:$C$100,2,0),"-")</f>
        <v>-</v>
      </c>
      <c r="C778" s="39">
        <v>46072.416666666664</v>
      </c>
      <c r="D778" s="17"/>
      <c r="E778" s="17"/>
      <c r="F778" s="17"/>
      <c r="G778" s="42">
        <v>339.98</v>
      </c>
      <c r="H778" s="42">
        <v>339.98</v>
      </c>
      <c r="I778" s="43" t="s">
        <v>156</v>
      </c>
      <c r="J778" s="43" t="s">
        <v>493</v>
      </c>
      <c r="K778" s="43" t="s">
        <v>1533</v>
      </c>
      <c r="L778" s="44" t="s">
        <v>233</v>
      </c>
      <c r="M778" s="44" t="s">
        <v>615</v>
      </c>
      <c r="N778" s="44" t="s">
        <v>144</v>
      </c>
      <c r="O778" s="17"/>
      <c r="P778" s="17"/>
      <c r="Q778" s="17"/>
      <c r="R778" s="17"/>
      <c r="S778" s="17"/>
      <c r="T778" s="17"/>
      <c r="U778" s="17"/>
      <c r="V778" s="17"/>
      <c r="W778" s="17"/>
      <c r="X778" s="17"/>
      <c r="Y778" s="46" t="str">
        <f ca="1">IFERROR(VLOOKUP(A778,catalogo!$E:$G,2,0),"-")</f>
        <v>-</v>
      </c>
      <c r="Z778" s="47" t="str">
        <f ca="1">IFERROR(VLOOKUP(A778,catalogo!$E:$G,3,0),"-")</f>
        <v>-</v>
      </c>
      <c r="AA778" s="48"/>
      <c r="AB778" s="48"/>
      <c r="AC778" s="48" t="str">
        <f ca="1">IFERROR(VLOOKUP(A778,catalogo!$E:$H,4,0),"-")</f>
        <v>-</v>
      </c>
      <c r="AD778" s="48"/>
      <c r="AE778" s="48"/>
      <c r="AF778" s="48"/>
      <c r="AG778" s="48"/>
      <c r="AH778" s="48"/>
      <c r="AI778" s="48"/>
    </row>
    <row r="779" spans="1:35" ht="12.5" hidden="1">
      <c r="A779" s="37" t="s">
        <v>1534</v>
      </c>
      <c r="B779" s="38" t="str">
        <f>IFERROR(VLOOKUP(J779,catalogo!$B$1:$C$75,2,0),"-")</f>
        <v>#58</v>
      </c>
      <c r="C779" s="39">
        <v>46072.416666666664</v>
      </c>
      <c r="D779" s="17"/>
      <c r="E779" s="17"/>
      <c r="F779" s="17"/>
      <c r="G779" s="42">
        <v>99.5</v>
      </c>
      <c r="H779" s="42">
        <v>99.5</v>
      </c>
      <c r="I779" s="43" t="s">
        <v>156</v>
      </c>
      <c r="J779" s="43" t="s">
        <v>118</v>
      </c>
      <c r="K779" s="43" t="s">
        <v>1535</v>
      </c>
      <c r="L779" s="44" t="s">
        <v>1536</v>
      </c>
      <c r="M779" s="44">
        <v>5576</v>
      </c>
      <c r="N779" s="44" t="s">
        <v>167</v>
      </c>
      <c r="O779" s="17"/>
      <c r="P779" s="17"/>
      <c r="Q779" s="17"/>
      <c r="R779" s="17"/>
      <c r="S779" s="17"/>
      <c r="T779" s="17"/>
      <c r="U779" s="17"/>
      <c r="V779" s="17"/>
      <c r="W779" s="17"/>
      <c r="X779" s="17"/>
      <c r="Y779" s="46" t="str">
        <f ca="1">IFERROR(VLOOKUP(A779,catalogo!$E:$H,2,0),"-")</f>
        <v>-</v>
      </c>
      <c r="Z779" s="47" t="str">
        <f ca="1">IFERROR(VLOOKUP(A779,catalogo!$E:$G,3,0),"-")</f>
        <v>-</v>
      </c>
      <c r="AA779" s="48"/>
      <c r="AB779" s="48"/>
      <c r="AC779" s="48" t="str">
        <f ca="1">IFERROR(VLOOKUP(A779,catalogo!$E:$H,4,0),"-")</f>
        <v>-</v>
      </c>
      <c r="AD779" s="48"/>
      <c r="AE779" s="48"/>
      <c r="AF779" s="48"/>
      <c r="AG779" s="48"/>
      <c r="AH779" s="48"/>
      <c r="AI779" s="48"/>
    </row>
    <row r="780" spans="1:35" ht="12.5" hidden="1">
      <c r="A780" s="37" t="s">
        <v>1537</v>
      </c>
      <c r="B780" s="38" t="str">
        <f>IFERROR(VLOOKUP(J780,catalogo!$B$1:$C$85,2,0),"-")</f>
        <v>#77</v>
      </c>
      <c r="C780" s="39">
        <v>46072.416666666664</v>
      </c>
      <c r="D780" s="17"/>
      <c r="E780" s="17"/>
      <c r="F780" s="17"/>
      <c r="G780" s="42">
        <v>204</v>
      </c>
      <c r="H780" s="42">
        <v>204</v>
      </c>
      <c r="I780" s="43" t="s">
        <v>156</v>
      </c>
      <c r="J780" s="43" t="s">
        <v>102</v>
      </c>
      <c r="K780" s="43" t="s">
        <v>1538</v>
      </c>
      <c r="L780" s="44" t="s">
        <v>1539</v>
      </c>
      <c r="M780" s="45">
        <v>6448</v>
      </c>
      <c r="N780" s="44" t="s">
        <v>167</v>
      </c>
      <c r="O780" s="17"/>
      <c r="P780" s="17"/>
      <c r="Q780" s="17"/>
      <c r="R780" s="17"/>
      <c r="S780" s="17"/>
      <c r="T780" s="17"/>
      <c r="U780" s="17"/>
      <c r="V780" s="17"/>
      <c r="W780" s="17"/>
      <c r="X780" s="17"/>
      <c r="Y780" s="46" t="str">
        <f ca="1">IFERROR(VLOOKUP(A780,catalogo!$E:$G,2,0),"-")</f>
        <v>-</v>
      </c>
      <c r="Z780" s="47" t="str">
        <f ca="1">IFERROR(VLOOKUP(A780,catalogo!$E:$G,3,0),"-")</f>
        <v>-</v>
      </c>
      <c r="AA780" s="48"/>
      <c r="AB780" s="48"/>
      <c r="AC780" s="48" t="str">
        <f ca="1">IFERROR(VLOOKUP(A780,catalogo!$E:$H,4,0),"-")</f>
        <v>-</v>
      </c>
      <c r="AD780" s="48"/>
      <c r="AE780" s="48"/>
      <c r="AF780" s="48"/>
      <c r="AG780" s="48"/>
      <c r="AH780" s="48"/>
      <c r="AI780" s="48"/>
    </row>
    <row r="781" spans="1:35" ht="12.5" hidden="1">
      <c r="A781" s="37" t="s">
        <v>1540</v>
      </c>
      <c r="B781" s="38" t="str">
        <f>IFERROR(VLOOKUP(J781,catalogo!$B$1:$C$70,2,0),"-")</f>
        <v>#68</v>
      </c>
      <c r="C781" s="39">
        <v>46072.417361111111</v>
      </c>
      <c r="D781" s="17"/>
      <c r="E781" s="17"/>
      <c r="F781" s="17"/>
      <c r="G781" s="42">
        <v>75.7</v>
      </c>
      <c r="H781" s="42">
        <v>75.7</v>
      </c>
      <c r="I781" s="43" t="s">
        <v>156</v>
      </c>
      <c r="J781" s="43" t="s">
        <v>384</v>
      </c>
      <c r="K781" s="43" t="s">
        <v>371</v>
      </c>
      <c r="L781" s="44" t="s">
        <v>233</v>
      </c>
      <c r="M781" s="45">
        <v>2937</v>
      </c>
      <c r="N781" s="44" t="s">
        <v>167</v>
      </c>
      <c r="O781" s="17"/>
      <c r="P781" s="17"/>
      <c r="Q781" s="17"/>
      <c r="R781" s="17"/>
      <c r="S781" s="17"/>
      <c r="T781" s="17"/>
      <c r="U781" s="17"/>
      <c r="V781" s="17"/>
      <c r="W781" s="17"/>
      <c r="X781" s="17"/>
      <c r="Y781" s="46" t="str">
        <f ca="1">IFERROR(VLOOKUP(A781,catalogo!$E:$G,2,0),"-")</f>
        <v>-</v>
      </c>
      <c r="Z781" s="47" t="str">
        <f ca="1">IFERROR(VLOOKUP(A781,catalogo!$E:$G,3,0),"-")</f>
        <v>-</v>
      </c>
      <c r="AA781" s="48"/>
      <c r="AB781" s="48"/>
      <c r="AC781" s="48" t="str">
        <f ca="1">IFERROR(VLOOKUP(A781,catalogo!$E:$H,4,0),"-")</f>
        <v>-</v>
      </c>
      <c r="AD781" s="48"/>
      <c r="AE781" s="48"/>
      <c r="AF781" s="48"/>
      <c r="AG781" s="48"/>
      <c r="AH781" s="48"/>
      <c r="AI781" s="48"/>
    </row>
    <row r="782" spans="1:35" ht="12.5" hidden="1">
      <c r="A782" s="37" t="s">
        <v>1541</v>
      </c>
      <c r="B782" s="38" t="str">
        <f>IFERROR(VLOOKUP(J782,catalogo!$B$1:$C$75,2,0),"-")</f>
        <v>#58</v>
      </c>
      <c r="C782" s="39">
        <v>46072.417361111111</v>
      </c>
      <c r="D782" s="17"/>
      <c r="E782" s="17"/>
      <c r="F782" s="17"/>
      <c r="G782" s="42">
        <v>151</v>
      </c>
      <c r="H782" s="42">
        <v>151</v>
      </c>
      <c r="I782" s="43" t="s">
        <v>156</v>
      </c>
      <c r="J782" s="43" t="s">
        <v>118</v>
      </c>
      <c r="K782" s="43" t="s">
        <v>1542</v>
      </c>
      <c r="L782" s="44" t="s">
        <v>1543</v>
      </c>
      <c r="M782" s="45">
        <v>5576</v>
      </c>
      <c r="N782" s="44" t="s">
        <v>167</v>
      </c>
      <c r="O782" s="17"/>
      <c r="P782" s="17"/>
      <c r="Q782" s="17"/>
      <c r="R782" s="17"/>
      <c r="S782" s="17"/>
      <c r="T782" s="17"/>
      <c r="U782" s="17"/>
      <c r="V782" s="17"/>
      <c r="W782" s="17"/>
      <c r="X782" s="17"/>
      <c r="Y782" s="46" t="str">
        <f ca="1">IFERROR(VLOOKUP(A782,catalogo!$E:$G,2,0),"-")</f>
        <v>-</v>
      </c>
      <c r="Z782" s="47" t="str">
        <f ca="1">IFERROR(VLOOKUP(A782,catalogo!$E:$G,3,0),"-")</f>
        <v>-</v>
      </c>
      <c r="AA782" s="48"/>
      <c r="AB782" s="48"/>
      <c r="AC782" s="48" t="str">
        <f ca="1">IFERROR(VLOOKUP(A782,catalogo!$E:$H,4,0),"-")</f>
        <v>-</v>
      </c>
      <c r="AD782" s="48"/>
      <c r="AE782" s="48"/>
      <c r="AF782" s="48"/>
      <c r="AG782" s="48"/>
      <c r="AH782" s="48"/>
      <c r="AI782" s="48"/>
    </row>
    <row r="783" spans="1:35" ht="12.5" hidden="1">
      <c r="A783" s="37" t="s">
        <v>489</v>
      </c>
      <c r="B783" s="38" t="str">
        <f>IFERROR(VLOOKUP(J783,catalogo!$B$1:$C$100,2,0),"-")</f>
        <v>#9</v>
      </c>
      <c r="C783" s="39">
        <v>46072.417361111111</v>
      </c>
      <c r="D783" s="52"/>
      <c r="E783" s="17"/>
      <c r="F783" s="17"/>
      <c r="G783" s="42">
        <v>500</v>
      </c>
      <c r="H783" s="42">
        <v>500</v>
      </c>
      <c r="I783" s="43" t="s">
        <v>156</v>
      </c>
      <c r="J783" s="43" t="s">
        <v>134</v>
      </c>
      <c r="K783" s="43" t="s">
        <v>1478</v>
      </c>
      <c r="L783" s="44" t="s">
        <v>1479</v>
      </c>
      <c r="M783" s="45">
        <v>1026</v>
      </c>
      <c r="N783" s="44" t="s">
        <v>167</v>
      </c>
      <c r="O783" s="17"/>
      <c r="P783" s="17"/>
      <c r="Q783" s="17"/>
      <c r="R783" s="17"/>
      <c r="S783" s="17"/>
      <c r="T783" s="17"/>
      <c r="U783" s="17"/>
      <c r="V783" s="17"/>
      <c r="W783" s="17"/>
      <c r="X783" s="17"/>
      <c r="Y783" s="46" t="str">
        <f ca="1">IFERROR(VLOOKUP(A783,catalogo!$E:$H,2,0),"-")</f>
        <v>Sales</v>
      </c>
      <c r="Z783" s="47" t="str">
        <f ca="1">IFERROR(VLOOKUP(A783,catalogo!$E:$G,3,0),"-")</f>
        <v xml:space="preserve">Hotel mty </v>
      </c>
      <c r="AA783" s="48"/>
      <c r="AB783" s="48"/>
      <c r="AC783" s="48" t="str">
        <f ca="1">IFERROR(VLOOKUP(A783,catalogo!$E:$H,4,0),"-")</f>
        <v>.</v>
      </c>
      <c r="AD783" s="48"/>
      <c r="AE783" s="48"/>
      <c r="AF783" s="48"/>
      <c r="AG783" s="48"/>
      <c r="AH783" s="48"/>
      <c r="AI783" s="48"/>
    </row>
    <row r="784" spans="1:35" ht="12.5" hidden="1">
      <c r="A784" s="37" t="s">
        <v>1544</v>
      </c>
      <c r="B784" s="38" t="str">
        <f>IFERROR(VLOOKUP(J784,catalogo!$B$1:$C$70,2,0),"-")</f>
        <v>-</v>
      </c>
      <c r="C784" s="39">
        <v>46072.417361111111</v>
      </c>
      <c r="D784" s="17"/>
      <c r="E784" s="17"/>
      <c r="F784" s="17"/>
      <c r="G784" s="42">
        <v>1312</v>
      </c>
      <c r="H784" s="42">
        <v>1312</v>
      </c>
      <c r="I784" s="43" t="s">
        <v>156</v>
      </c>
      <c r="J784" s="43" t="s">
        <v>321</v>
      </c>
      <c r="K784" s="43" t="s">
        <v>1059</v>
      </c>
      <c r="L784" s="44" t="s">
        <v>1060</v>
      </c>
      <c r="M784" s="45">
        <v>3340</v>
      </c>
      <c r="N784" s="44" t="s">
        <v>167</v>
      </c>
      <c r="O784" s="17"/>
      <c r="P784" s="17"/>
      <c r="Q784" s="17"/>
      <c r="R784" s="17"/>
      <c r="S784" s="17"/>
      <c r="T784" s="17"/>
      <c r="U784" s="17"/>
      <c r="V784" s="17"/>
      <c r="W784" s="17"/>
      <c r="X784" s="17"/>
      <c r="Y784" s="46" t="str">
        <f ca="1">IFERROR(VLOOKUP(A784,catalogo!$E:$G,2,0),"-")</f>
        <v>-</v>
      </c>
      <c r="Z784" s="47" t="str">
        <f ca="1">IFERROR(VLOOKUP(A784,catalogo!$E:$G,3,0),"-")</f>
        <v>-</v>
      </c>
      <c r="AA784" s="48"/>
      <c r="AB784" s="48"/>
      <c r="AC784" s="48" t="str">
        <f ca="1">IFERROR(VLOOKUP(A784,catalogo!$E:$H,4,0),"-")</f>
        <v>-</v>
      </c>
      <c r="AD784" s="48"/>
      <c r="AE784" s="48"/>
      <c r="AF784" s="48"/>
      <c r="AG784" s="48"/>
      <c r="AH784" s="48"/>
      <c r="AI784" s="48"/>
    </row>
    <row r="785" spans="1:35" ht="15.5" hidden="1">
      <c r="A785" s="37" t="s">
        <v>1545</v>
      </c>
      <c r="B785" s="38" t="str">
        <f>IFERROR(VLOOKUP(J785,catalogo!$B$1:$C$75,2,0),"-")</f>
        <v>#8</v>
      </c>
      <c r="C785" s="39">
        <v>46072.417361111111</v>
      </c>
      <c r="D785" s="17"/>
      <c r="E785" s="17"/>
      <c r="F785" s="17"/>
      <c r="G785" s="42">
        <v>23.5</v>
      </c>
      <c r="H785" s="42">
        <v>23.5</v>
      </c>
      <c r="I785" s="43" t="s">
        <v>156</v>
      </c>
      <c r="J785" s="43" t="s">
        <v>128</v>
      </c>
      <c r="K785" s="43" t="s">
        <v>419</v>
      </c>
      <c r="L785" s="44" t="s">
        <v>420</v>
      </c>
      <c r="M785" s="45">
        <v>16</v>
      </c>
      <c r="N785" s="44" t="s">
        <v>167</v>
      </c>
      <c r="O785" s="49"/>
      <c r="P785" s="17"/>
      <c r="Q785" s="17"/>
      <c r="R785" s="17"/>
      <c r="S785" s="17"/>
      <c r="T785" s="17"/>
      <c r="U785" s="17"/>
      <c r="V785" s="17"/>
      <c r="W785" s="17"/>
      <c r="X785" s="17"/>
      <c r="Y785" s="46" t="str">
        <f ca="1">IFERROR(VLOOKUP(A785,catalogo!$E:$H,2,0),"-")</f>
        <v>Transaction cost</v>
      </c>
      <c r="Z785" s="47" t="str">
        <f ca="1">IFERROR(VLOOKUP(A785,catalogo!$E:$G,3,0),"-")</f>
        <v>COMIDA   PO2165 - ENSAMBLE UF/CEB MECANICO</v>
      </c>
      <c r="AA785" s="48"/>
      <c r="AB785" s="48"/>
      <c r="AC785" s="48" t="str">
        <f ca="1">IFERROR(VLOOKUP(A785,catalogo!$E:$H,4,0),"-")</f>
        <v>.</v>
      </c>
      <c r="AD785" s="48"/>
      <c r="AE785" s="48"/>
      <c r="AF785" s="48"/>
      <c r="AG785" s="48"/>
      <c r="AH785" s="48"/>
      <c r="AI785" s="48"/>
    </row>
    <row r="786" spans="1:35" ht="12.5" hidden="1">
      <c r="A786" s="37" t="s">
        <v>1546</v>
      </c>
      <c r="B786" s="38" t="str">
        <f>IFERROR(VLOOKUP(J786,catalogo!$B$1:$C$80,2,0),"-")</f>
        <v>#56</v>
      </c>
      <c r="C786" s="39">
        <v>46072.417361111111</v>
      </c>
      <c r="D786" s="17"/>
      <c r="E786" s="17"/>
      <c r="F786" s="17"/>
      <c r="G786" s="42">
        <v>340.93</v>
      </c>
      <c r="H786" s="42">
        <v>340.93</v>
      </c>
      <c r="I786" s="43" t="s">
        <v>156</v>
      </c>
      <c r="J786" s="43" t="s">
        <v>99</v>
      </c>
      <c r="K786" s="43" t="s">
        <v>705</v>
      </c>
      <c r="L786" s="44" t="s">
        <v>706</v>
      </c>
      <c r="M786" s="44">
        <v>8949</v>
      </c>
      <c r="N786" s="44" t="s">
        <v>167</v>
      </c>
      <c r="O786" s="17"/>
      <c r="P786" s="17"/>
      <c r="Q786" s="17"/>
      <c r="R786" s="17"/>
      <c r="S786" s="17"/>
      <c r="T786" s="17"/>
      <c r="U786" s="17"/>
      <c r="V786" s="17"/>
      <c r="W786" s="17"/>
      <c r="X786" s="17"/>
      <c r="Y786" s="46" t="str">
        <f ca="1">IFERROR(VLOOKUP(A786,catalogo!$E:$G,2,0),"-")</f>
        <v>-</v>
      </c>
      <c r="Z786" s="47" t="str">
        <f ca="1">IFERROR(VLOOKUP(A786,catalogo!$E:$G,3,0),"-")</f>
        <v>-</v>
      </c>
      <c r="AA786" s="48"/>
      <c r="AB786" s="48"/>
      <c r="AC786" s="48" t="str">
        <f ca="1">IFERROR(VLOOKUP(A786,catalogo!$E:$H,4,0),"-")</f>
        <v>-</v>
      </c>
      <c r="AD786" s="48"/>
      <c r="AE786" s="48"/>
      <c r="AF786" s="48"/>
      <c r="AG786" s="48"/>
      <c r="AH786" s="48"/>
      <c r="AI786" s="48"/>
    </row>
    <row r="787" spans="1:35" ht="12.5" hidden="1">
      <c r="A787" s="37" t="s">
        <v>1547</v>
      </c>
      <c r="B787" s="38" t="str">
        <f>IFERROR(VLOOKUP(J787,catalogo!$B$1:$C$75,2,0),"-")</f>
        <v>#9</v>
      </c>
      <c r="C787" s="39">
        <v>46072.417361111111</v>
      </c>
      <c r="D787" s="40"/>
      <c r="E787" s="41"/>
      <c r="F787" s="41"/>
      <c r="G787" s="42">
        <v>1432.9</v>
      </c>
      <c r="H787" s="42">
        <v>1432.9</v>
      </c>
      <c r="I787" s="43" t="s">
        <v>156</v>
      </c>
      <c r="J787" s="43" t="s">
        <v>134</v>
      </c>
      <c r="K787" s="43" t="s">
        <v>1548</v>
      </c>
      <c r="L787" s="44" t="s">
        <v>1549</v>
      </c>
      <c r="M787" s="44">
        <v>1026</v>
      </c>
      <c r="N787" s="44" t="s">
        <v>167</v>
      </c>
      <c r="O787" s="41"/>
      <c r="P787" s="41"/>
      <c r="Q787" s="51"/>
      <c r="R787" s="41"/>
      <c r="S787" s="41"/>
      <c r="T787" s="41"/>
      <c r="U787" s="41"/>
      <c r="V787" s="41"/>
      <c r="W787" s="41"/>
      <c r="X787" s="41"/>
      <c r="Y787" s="46" t="str">
        <f ca="1">IFERROR(VLOOKUP(A787,catalogo!$E:$H,2,0),"-")</f>
        <v>Sales</v>
      </c>
      <c r="Z787" s="47" t="str">
        <f ca="1">IFERROR(VLOOKUP(A787,catalogo!$E:$G,3,0),"-")</f>
        <v>Uber</v>
      </c>
      <c r="AA787" s="48"/>
      <c r="AB787" s="48"/>
      <c r="AC787" s="48" t="str">
        <f ca="1">IFERROR(VLOOKUP(A787,catalogo!$E:$H,4,0),"-")</f>
        <v>.</v>
      </c>
      <c r="AD787" s="48"/>
      <c r="AE787" s="48"/>
      <c r="AF787" s="48"/>
      <c r="AG787" s="48"/>
      <c r="AH787" s="48"/>
      <c r="AI787" s="48"/>
    </row>
    <row r="788" spans="1:35" ht="12.5" hidden="1">
      <c r="A788" s="37" t="s">
        <v>1550</v>
      </c>
      <c r="B788" s="38" t="str">
        <f>IFERROR(VLOOKUP(J788,catalogo!$B$1:$C$75,2,0),"-")</f>
        <v>-</v>
      </c>
      <c r="C788" s="39">
        <v>46072.417361111111</v>
      </c>
      <c r="D788" s="40"/>
      <c r="E788" s="41"/>
      <c r="F788" s="41"/>
      <c r="G788" s="42">
        <v>145</v>
      </c>
      <c r="H788" s="42">
        <v>145</v>
      </c>
      <c r="I788" s="43" t="s">
        <v>156</v>
      </c>
      <c r="J788" s="43" t="s">
        <v>187</v>
      </c>
      <c r="K788" s="43" t="s">
        <v>1551</v>
      </c>
      <c r="L788" s="44" t="s">
        <v>1552</v>
      </c>
      <c r="M788" s="44" t="s">
        <v>190</v>
      </c>
      <c r="N788" s="44" t="s">
        <v>167</v>
      </c>
      <c r="O788" s="41"/>
      <c r="P788" s="41"/>
      <c r="Q788" s="41"/>
      <c r="R788" s="41"/>
      <c r="S788" s="41"/>
      <c r="T788" s="41"/>
      <c r="U788" s="41"/>
      <c r="V788" s="41"/>
      <c r="W788" s="41"/>
      <c r="X788" s="41"/>
      <c r="Y788" s="46" t="str">
        <f ca="1">IFERROR(VLOOKUP(A788,catalogo!$E:$H,2,0),"-")</f>
        <v>-</v>
      </c>
      <c r="Z788" s="47" t="str">
        <f ca="1">IFERROR(VLOOKUP(A788,catalogo!$E:$G,3,0),"-")</f>
        <v>-</v>
      </c>
      <c r="AA788" s="48"/>
      <c r="AB788" s="48"/>
      <c r="AC788" s="48" t="str">
        <f ca="1">IFERROR(VLOOKUP(A788,catalogo!$E:$H,4,0),"-")</f>
        <v>-</v>
      </c>
      <c r="AD788" s="48"/>
      <c r="AE788" s="48"/>
      <c r="AF788" s="48"/>
      <c r="AG788" s="48"/>
      <c r="AH788" s="48"/>
      <c r="AI788" s="48"/>
    </row>
    <row r="789" spans="1:35" ht="12.5" hidden="1">
      <c r="A789" s="37" t="s">
        <v>1553</v>
      </c>
      <c r="B789" s="38" t="str">
        <f>IFERROR(VLOOKUP(J789,catalogo!$B$1:$C$100,2,0),"-")</f>
        <v>#6</v>
      </c>
      <c r="C789" s="39">
        <v>46072.417361111111</v>
      </c>
      <c r="D789" s="17"/>
      <c r="E789" s="17"/>
      <c r="F789" s="17"/>
      <c r="G789" s="42">
        <v>2139.5100000000002</v>
      </c>
      <c r="H789" s="42">
        <v>2139.5100000000002</v>
      </c>
      <c r="I789" s="43" t="s">
        <v>156</v>
      </c>
      <c r="J789" s="43" t="s">
        <v>114</v>
      </c>
      <c r="K789" s="43" t="s">
        <v>628</v>
      </c>
      <c r="L789" s="44" t="s">
        <v>629</v>
      </c>
      <c r="M789" s="45">
        <v>3893</v>
      </c>
      <c r="N789" s="44" t="s">
        <v>167</v>
      </c>
      <c r="O789" s="17"/>
      <c r="P789" s="17"/>
      <c r="Q789" s="17"/>
      <c r="R789" s="17"/>
      <c r="S789" s="17"/>
      <c r="T789" s="17"/>
      <c r="U789" s="17"/>
      <c r="V789" s="17"/>
      <c r="W789" s="17"/>
      <c r="X789" s="17"/>
      <c r="Y789" s="46" t="str">
        <f ca="1">IFERROR(VLOOKUP(A789,catalogo!$E:$H,2,0),"-")</f>
        <v>Transaction cost</v>
      </c>
      <c r="Z789" s="47">
        <f ca="1">IFERROR(VLOOKUP(A789,catalogo!$E:$G,3,0),"-")</f>
        <v>0</v>
      </c>
      <c r="AA789" s="48"/>
      <c r="AB789" s="48"/>
      <c r="AC789" s="48">
        <f ca="1">IFERROR(VLOOKUP(A789,catalogo!$E:$H,4,0),"-")</f>
        <v>0</v>
      </c>
      <c r="AD789" s="48"/>
      <c r="AE789" s="48"/>
      <c r="AF789" s="48"/>
      <c r="AG789" s="48"/>
      <c r="AH789" s="48"/>
      <c r="AI789" s="48"/>
    </row>
    <row r="790" spans="1:35" ht="12.5" hidden="1">
      <c r="A790" s="37" t="s">
        <v>1554</v>
      </c>
      <c r="B790" s="38" t="str">
        <f>IFERROR(VLOOKUP(J790,catalogo!$B$1:$C$85,2,0),"-")</f>
        <v>#6</v>
      </c>
      <c r="C790" s="39">
        <v>46072.417361111111</v>
      </c>
      <c r="D790" s="17"/>
      <c r="E790" s="17"/>
      <c r="F790" s="17"/>
      <c r="G790" s="42">
        <v>1485.35</v>
      </c>
      <c r="H790" s="42">
        <v>1485.35</v>
      </c>
      <c r="I790" s="43" t="s">
        <v>156</v>
      </c>
      <c r="J790" s="43" t="s">
        <v>114</v>
      </c>
      <c r="K790" s="43" t="s">
        <v>1555</v>
      </c>
      <c r="L790" s="44" t="s">
        <v>1556</v>
      </c>
      <c r="M790" s="45">
        <v>3893</v>
      </c>
      <c r="N790" s="44" t="s">
        <v>167</v>
      </c>
      <c r="O790" s="17"/>
      <c r="P790" s="17"/>
      <c r="Q790" s="17"/>
      <c r="R790" s="17"/>
      <c r="S790" s="17"/>
      <c r="T790" s="17"/>
      <c r="U790" s="17"/>
      <c r="V790" s="17"/>
      <c r="W790" s="17"/>
      <c r="X790" s="17"/>
      <c r="Y790" s="46" t="str">
        <f ca="1">IFERROR(VLOOKUP(A790,catalogo!$E:$H,2,0),"-")</f>
        <v>Transaction cost</v>
      </c>
      <c r="Z790" s="47">
        <f ca="1">IFERROR(VLOOKUP(A790,catalogo!$E:$G,3,0),"-")</f>
        <v>0</v>
      </c>
      <c r="AA790" s="48"/>
      <c r="AB790" s="48"/>
      <c r="AC790" s="48">
        <f ca="1">IFERROR(VLOOKUP(A790,catalogo!$E:$H,4,0),"-")</f>
        <v>0</v>
      </c>
      <c r="AD790" s="48"/>
      <c r="AE790" s="48"/>
      <c r="AF790" s="48"/>
      <c r="AG790" s="48"/>
      <c r="AH790" s="48"/>
      <c r="AI790" s="48"/>
    </row>
    <row r="791" spans="1:35" ht="12.5" hidden="1">
      <c r="A791" s="37" t="s">
        <v>1557</v>
      </c>
      <c r="B791" s="38" t="str">
        <f>IFERROR(VLOOKUP(J791,catalogo!$B$1:$C$75,2,0),"-")</f>
        <v>-</v>
      </c>
      <c r="C791" s="39">
        <v>46072.417361111111</v>
      </c>
      <c r="D791" s="17"/>
      <c r="E791" s="17"/>
      <c r="F791" s="17"/>
      <c r="G791" s="42">
        <v>500</v>
      </c>
      <c r="H791" s="42">
        <v>500</v>
      </c>
      <c r="I791" s="43" t="s">
        <v>156</v>
      </c>
      <c r="J791" s="43" t="s">
        <v>493</v>
      </c>
      <c r="K791" s="43" t="s">
        <v>759</v>
      </c>
      <c r="L791" s="44" t="s">
        <v>760</v>
      </c>
      <c r="M791" s="45">
        <v>4682</v>
      </c>
      <c r="N791" s="44" t="s">
        <v>167</v>
      </c>
      <c r="O791" s="17"/>
      <c r="P791" s="17"/>
      <c r="Q791" s="17"/>
      <c r="R791" s="17"/>
      <c r="S791" s="17"/>
      <c r="T791" s="17"/>
      <c r="U791" s="17"/>
      <c r="V791" s="17"/>
      <c r="W791" s="17"/>
      <c r="X791" s="17"/>
      <c r="Y791" s="46" t="str">
        <f ca="1">IFERROR(VLOOKUP(A791,catalogo!$E:$H,2,0),"-")</f>
        <v>-</v>
      </c>
      <c r="Z791" s="47" t="str">
        <f ca="1">IFERROR(VLOOKUP(A791,catalogo!$E:$G,3,0),"-")</f>
        <v>-</v>
      </c>
      <c r="AA791" s="48"/>
      <c r="AB791" s="48"/>
      <c r="AC791" s="48" t="str">
        <f ca="1">IFERROR(VLOOKUP(A791,catalogo!$E:$H,4,0),"-")</f>
        <v>-</v>
      </c>
      <c r="AD791" s="48"/>
      <c r="AE791" s="48"/>
      <c r="AF791" s="48"/>
      <c r="AG791" s="48"/>
      <c r="AH791" s="48"/>
      <c r="AI791" s="48"/>
    </row>
    <row r="792" spans="1:35" ht="12.5" hidden="1">
      <c r="A792" s="37" t="s">
        <v>1558</v>
      </c>
      <c r="B792" s="38" t="str">
        <f>IFERROR(VLOOKUP(J792,catalogo!$B$1:$C$75,2,0),"-")</f>
        <v>#16</v>
      </c>
      <c r="C792" s="39">
        <v>46072.417361111111</v>
      </c>
      <c r="D792" s="17"/>
      <c r="E792" s="17"/>
      <c r="F792" s="17"/>
      <c r="G792" s="42">
        <v>300</v>
      </c>
      <c r="H792" s="42">
        <v>300</v>
      </c>
      <c r="I792" s="43" t="s">
        <v>156</v>
      </c>
      <c r="J792" s="43" t="s">
        <v>85</v>
      </c>
      <c r="K792" s="43" t="s">
        <v>1559</v>
      </c>
      <c r="L792" s="44" t="s">
        <v>1560</v>
      </c>
      <c r="M792" s="45">
        <v>4164</v>
      </c>
      <c r="N792" s="44" t="s">
        <v>167</v>
      </c>
      <c r="O792" s="17"/>
      <c r="P792" s="17"/>
      <c r="Q792" s="17"/>
      <c r="R792" s="17"/>
      <c r="S792" s="17"/>
      <c r="T792" s="17"/>
      <c r="U792" s="17"/>
      <c r="V792" s="17"/>
      <c r="W792" s="17"/>
      <c r="X792" s="17"/>
      <c r="Y792" s="46" t="str">
        <f ca="1">IFERROR(VLOOKUP(A792,catalogo!$E:$H,2,0),"-")</f>
        <v>Tech&amp;Product</v>
      </c>
      <c r="Z792" s="47">
        <f ca="1">IFERROR(VLOOKUP(A792,catalogo!$E:$G,3,0),"-")</f>
        <v>0</v>
      </c>
      <c r="AA792" s="48"/>
      <c r="AB792" s="48"/>
      <c r="AC792" s="48">
        <f ca="1">IFERROR(VLOOKUP(A792,catalogo!$E:$H,4,0),"-")</f>
        <v>0</v>
      </c>
      <c r="AD792" s="48"/>
      <c r="AE792" s="48"/>
      <c r="AF792" s="48"/>
      <c r="AG792" s="48"/>
      <c r="AH792" s="48"/>
      <c r="AI792" s="48"/>
    </row>
    <row r="793" spans="1:35" ht="12.5" hidden="1">
      <c r="A793" s="37" t="s">
        <v>1561</v>
      </c>
      <c r="B793" s="38" t="str">
        <f>IFERROR(VLOOKUP(J793,catalogo!$B$1:$C$75,2,0),"-")</f>
        <v>-</v>
      </c>
      <c r="C793" s="39">
        <v>46072.417361111111</v>
      </c>
      <c r="D793" s="17"/>
      <c r="E793" s="17"/>
      <c r="F793" s="17"/>
      <c r="G793" s="42">
        <v>25</v>
      </c>
      <c r="H793" s="42">
        <v>25</v>
      </c>
      <c r="I793" s="43" t="s">
        <v>156</v>
      </c>
      <c r="J793" s="43" t="s">
        <v>321</v>
      </c>
      <c r="K793" s="43" t="s">
        <v>841</v>
      </c>
      <c r="L793" s="44" t="s">
        <v>842</v>
      </c>
      <c r="M793" s="45">
        <v>3340</v>
      </c>
      <c r="N793" s="44" t="s">
        <v>167</v>
      </c>
      <c r="O793" s="17"/>
      <c r="P793" s="17"/>
      <c r="Q793" s="17"/>
      <c r="R793" s="17"/>
      <c r="S793" s="17"/>
      <c r="T793" s="17"/>
      <c r="U793" s="17"/>
      <c r="V793" s="17"/>
      <c r="W793" s="17"/>
      <c r="X793" s="17"/>
      <c r="Y793" s="46" t="str">
        <f ca="1">IFERROR(VLOOKUP(A793,catalogo!$E:$H,2,0),"-")</f>
        <v>-</v>
      </c>
      <c r="Z793" s="47" t="str">
        <f ca="1">IFERROR(VLOOKUP(A793,catalogo!$E:$G,3,0),"-")</f>
        <v>-</v>
      </c>
      <c r="AA793" s="48"/>
      <c r="AB793" s="48"/>
      <c r="AC793" s="48" t="str">
        <f ca="1">IFERROR(VLOOKUP(A793,catalogo!$E:$H,4,0),"-")</f>
        <v>-</v>
      </c>
      <c r="AD793" s="48"/>
      <c r="AE793" s="48"/>
      <c r="AF793" s="48"/>
      <c r="AG793" s="48"/>
      <c r="AH793" s="48"/>
      <c r="AI793" s="48"/>
    </row>
    <row r="794" spans="1:35" ht="12.5" hidden="1">
      <c r="A794" s="37" t="s">
        <v>1562</v>
      </c>
      <c r="B794" s="38" t="str">
        <f>IFERROR(VLOOKUP(J794,catalogo!$B$1:$C$70,2,0),"-")</f>
        <v>#58</v>
      </c>
      <c r="C794" s="39">
        <v>46072.417361111111</v>
      </c>
      <c r="D794" s="17"/>
      <c r="E794" s="17"/>
      <c r="F794" s="17"/>
      <c r="G794" s="42">
        <v>143.5</v>
      </c>
      <c r="H794" s="42">
        <v>143.5</v>
      </c>
      <c r="I794" s="43" t="s">
        <v>156</v>
      </c>
      <c r="J794" s="50" t="s">
        <v>118</v>
      </c>
      <c r="K794" s="43" t="s">
        <v>419</v>
      </c>
      <c r="L794" s="44" t="s">
        <v>420</v>
      </c>
      <c r="M794" s="45">
        <v>5576</v>
      </c>
      <c r="N794" s="44" t="s">
        <v>167</v>
      </c>
      <c r="O794" s="17"/>
      <c r="P794" s="17"/>
      <c r="Q794" s="17"/>
      <c r="R794" s="17"/>
      <c r="S794" s="17"/>
      <c r="T794" s="17"/>
      <c r="U794" s="17"/>
      <c r="V794" s="17"/>
      <c r="W794" s="17"/>
      <c r="X794" s="17"/>
      <c r="Y794" s="46" t="str">
        <f ca="1">IFERROR(VLOOKUP(A794,catalogo!$E:$G,2,0),"-")</f>
        <v>-</v>
      </c>
      <c r="Z794" s="47" t="str">
        <f ca="1">IFERROR(VLOOKUP(A794,catalogo!$E:$G,3,0),"-")</f>
        <v>-</v>
      </c>
      <c r="AA794" s="48"/>
      <c r="AB794" s="48"/>
      <c r="AC794" s="48" t="str">
        <f ca="1">IFERROR(VLOOKUP(A794,catalogo!$E:$H,4,0),"-")</f>
        <v>-</v>
      </c>
      <c r="AD794" s="48"/>
      <c r="AE794" s="48"/>
      <c r="AF794" s="48"/>
      <c r="AG794" s="48"/>
      <c r="AH794" s="48"/>
      <c r="AI794" s="48"/>
    </row>
    <row r="795" spans="1:35" ht="12.5" hidden="1">
      <c r="A795" s="37" t="s">
        <v>465</v>
      </c>
      <c r="B795" s="38" t="str">
        <f>IFERROR(VLOOKUP(J795,catalogo!$B$1:$C$75,2,0),"-")</f>
        <v>#35</v>
      </c>
      <c r="C795" s="39">
        <v>46072.417361111111</v>
      </c>
      <c r="D795" s="52"/>
      <c r="E795" s="17"/>
      <c r="F795" s="17"/>
      <c r="G795" s="42">
        <v>1799.93</v>
      </c>
      <c r="H795" s="42">
        <v>100</v>
      </c>
      <c r="I795" s="43" t="s">
        <v>172</v>
      </c>
      <c r="J795" s="50" t="s">
        <v>123</v>
      </c>
      <c r="K795" s="43" t="s">
        <v>1563</v>
      </c>
      <c r="L795" s="62" t="s">
        <v>1564</v>
      </c>
      <c r="M795" s="45">
        <v>1771</v>
      </c>
      <c r="N795" s="44" t="s">
        <v>167</v>
      </c>
      <c r="O795" s="17"/>
      <c r="P795" s="17"/>
      <c r="Q795" s="17"/>
      <c r="R795" s="17"/>
      <c r="S795" s="17"/>
      <c r="T795" s="17"/>
      <c r="U795" s="17"/>
      <c r="V795" s="17"/>
      <c r="W795" s="17"/>
      <c r="X795" s="17"/>
      <c r="Y795" s="46" t="str">
        <f ca="1">IFERROR(VLOOKUP(A795,catalogo!$E:$H,2,0),"-")</f>
        <v>-</v>
      </c>
      <c r="Z795" s="47" t="str">
        <f ca="1">IFERROR(VLOOKUP(A795,catalogo!$E:$G,3,0),"-")</f>
        <v>-</v>
      </c>
      <c r="AA795" s="48"/>
      <c r="AB795" s="48"/>
      <c r="AC795" s="48" t="str">
        <f ca="1">IFERROR(VLOOKUP(A795,catalogo!$E:$H,4,0),"-")</f>
        <v>-</v>
      </c>
      <c r="AD795" s="48"/>
      <c r="AE795" s="48"/>
      <c r="AF795" s="48"/>
      <c r="AG795" s="48"/>
      <c r="AH795" s="48"/>
      <c r="AI795" s="48"/>
    </row>
    <row r="796" spans="1:35" ht="12.5" hidden="1">
      <c r="A796" s="37" t="s">
        <v>376</v>
      </c>
      <c r="B796" s="38" t="str">
        <f>IFERROR(VLOOKUP(J796,catalogo!$B$1:$C$75,2,0),"-")</f>
        <v>-</v>
      </c>
      <c r="C796" s="39">
        <v>46072.417361111111</v>
      </c>
      <c r="D796" s="52"/>
      <c r="E796" s="17"/>
      <c r="F796" s="17"/>
      <c r="G796" s="42">
        <v>1701.98</v>
      </c>
      <c r="H796" s="42">
        <v>1701.98</v>
      </c>
      <c r="I796" s="43" t="s">
        <v>156</v>
      </c>
      <c r="J796" s="43" t="s">
        <v>321</v>
      </c>
      <c r="K796" s="43" t="s">
        <v>1565</v>
      </c>
      <c r="L796" s="44" t="s">
        <v>205</v>
      </c>
      <c r="M796" s="45">
        <v>3340</v>
      </c>
      <c r="N796" s="44" t="s">
        <v>167</v>
      </c>
      <c r="O796" s="17"/>
      <c r="P796" s="17"/>
      <c r="Q796" s="17"/>
      <c r="R796" s="17"/>
      <c r="S796" s="17"/>
      <c r="T796" s="17"/>
      <c r="U796" s="17"/>
      <c r="V796" s="17"/>
      <c r="W796" s="17"/>
      <c r="X796" s="17"/>
      <c r="Y796" s="46" t="str">
        <f ca="1">IFERROR(VLOOKUP(A796,catalogo!$E:$H,2,0),"-")</f>
        <v>-</v>
      </c>
      <c r="Z796" s="47" t="str">
        <f ca="1">IFERROR(VLOOKUP(A796,catalogo!$E:$G,3,0),"-")</f>
        <v>-</v>
      </c>
      <c r="AA796" s="48"/>
      <c r="AB796" s="48"/>
      <c r="AC796" s="48" t="str">
        <f ca="1">IFERROR(VLOOKUP(A796,catalogo!$E:$H,4,0),"-")</f>
        <v>-</v>
      </c>
      <c r="AD796" s="48"/>
      <c r="AE796" s="48"/>
      <c r="AF796" s="48"/>
      <c r="AG796" s="48"/>
      <c r="AH796" s="48"/>
      <c r="AI796" s="48"/>
    </row>
    <row r="797" spans="1:35" ht="12.5" hidden="1">
      <c r="A797" s="37" t="s">
        <v>1566</v>
      </c>
      <c r="B797" s="38" t="str">
        <f>IFERROR(VLOOKUP(J797,catalogo!$B$1:$C$75,2,0),"-")</f>
        <v>-</v>
      </c>
      <c r="C797" s="39">
        <v>46073.416666666664</v>
      </c>
      <c r="D797" s="17"/>
      <c r="E797" s="17"/>
      <c r="F797" s="17"/>
      <c r="G797" s="42">
        <v>248.37</v>
      </c>
      <c r="H797" s="42">
        <v>248.37</v>
      </c>
      <c r="I797" s="43" t="s">
        <v>156</v>
      </c>
      <c r="J797" s="43" t="s">
        <v>102</v>
      </c>
      <c r="K797" s="43" t="s">
        <v>284</v>
      </c>
      <c r="L797" s="44" t="s">
        <v>233</v>
      </c>
      <c r="M797" s="45" t="s">
        <v>279</v>
      </c>
      <c r="N797" s="44" t="s">
        <v>144</v>
      </c>
      <c r="O797" s="17"/>
      <c r="P797" s="17"/>
      <c r="Q797" s="17"/>
      <c r="R797" s="17"/>
      <c r="S797" s="17"/>
      <c r="T797" s="17"/>
      <c r="U797" s="17"/>
      <c r="V797" s="17"/>
      <c r="W797" s="17"/>
      <c r="X797" s="17"/>
      <c r="Y797" s="46" t="str">
        <f ca="1">IFERROR(VLOOKUP(A797,catalogo!$E:$H,2,0),"-")</f>
        <v>-</v>
      </c>
      <c r="Z797" s="47" t="str">
        <f ca="1">IFERROR(VLOOKUP(A797,catalogo!$E:$G,3,0),"-")</f>
        <v>-</v>
      </c>
      <c r="AA797" s="48"/>
      <c r="AB797" s="48"/>
      <c r="AC797" s="48" t="str">
        <f ca="1">IFERROR(VLOOKUP(A797,catalogo!$E:$H,4,0),"-")</f>
        <v>-</v>
      </c>
      <c r="AD797" s="48"/>
      <c r="AE797" s="48"/>
      <c r="AF797" s="48"/>
      <c r="AG797" s="48"/>
      <c r="AH797" s="48"/>
      <c r="AI797" s="48"/>
    </row>
    <row r="798" spans="1:35" ht="12.5" hidden="1">
      <c r="A798" s="37" t="s">
        <v>1567</v>
      </c>
      <c r="B798" s="38" t="str">
        <f>IFERROR(VLOOKUP(J798,catalogo!$B$1:$C$75,2,0),"-")</f>
        <v>-</v>
      </c>
      <c r="C798" s="39">
        <v>46073.416666666664</v>
      </c>
      <c r="D798" s="40"/>
      <c r="E798" s="41"/>
      <c r="F798" s="41"/>
      <c r="G798" s="42">
        <v>304.35000000000002</v>
      </c>
      <c r="H798" s="42">
        <v>304.35000000000002</v>
      </c>
      <c r="I798" s="43" t="s">
        <v>156</v>
      </c>
      <c r="J798" s="43" t="s">
        <v>272</v>
      </c>
      <c r="K798" s="43" t="s">
        <v>180</v>
      </c>
      <c r="L798" s="44" t="s">
        <v>181</v>
      </c>
      <c r="M798" s="44" t="s">
        <v>1568</v>
      </c>
      <c r="N798" s="44" t="s">
        <v>144</v>
      </c>
      <c r="O798" s="41"/>
      <c r="P798" s="41"/>
      <c r="Q798" s="41"/>
      <c r="R798" s="41"/>
      <c r="S798" s="41"/>
      <c r="T798" s="41"/>
      <c r="U798" s="41"/>
      <c r="V798" s="41"/>
      <c r="W798" s="41"/>
      <c r="X798" s="41"/>
      <c r="Y798" s="46" t="str">
        <f ca="1">IFERROR(VLOOKUP(A798,catalogo!$E:$H,2,0),"-")</f>
        <v>-</v>
      </c>
      <c r="Z798" s="47" t="str">
        <f ca="1">IFERROR(VLOOKUP(A798,catalogo!$E:$G,3,0),"-")</f>
        <v>-</v>
      </c>
      <c r="AA798" s="48"/>
      <c r="AB798" s="48"/>
      <c r="AC798" s="48" t="str">
        <f ca="1">IFERROR(VLOOKUP(A798,catalogo!$E:$H,4,0),"-")</f>
        <v>-</v>
      </c>
      <c r="AD798" s="48"/>
      <c r="AE798" s="48"/>
      <c r="AF798" s="48"/>
      <c r="AG798" s="48"/>
      <c r="AH798" s="48"/>
      <c r="AI798" s="48"/>
    </row>
    <row r="799" spans="1:35" ht="15.5" hidden="1">
      <c r="A799" s="37" t="s">
        <v>1569</v>
      </c>
      <c r="B799" s="38" t="str">
        <f>IFERROR(VLOOKUP(J799,catalogo!$B$1:$C$75,2,0),"-")</f>
        <v>-</v>
      </c>
      <c r="C799" s="39">
        <v>46073.416666666664</v>
      </c>
      <c r="D799" s="17"/>
      <c r="E799" s="17"/>
      <c r="F799" s="17"/>
      <c r="G799" s="42">
        <v>450</v>
      </c>
      <c r="H799" s="42">
        <v>450</v>
      </c>
      <c r="I799" s="43" t="s">
        <v>156</v>
      </c>
      <c r="J799" s="43" t="s">
        <v>325</v>
      </c>
      <c r="K799" s="43" t="s">
        <v>1570</v>
      </c>
      <c r="L799" s="44" t="s">
        <v>1571</v>
      </c>
      <c r="M799" s="44">
        <v>7984</v>
      </c>
      <c r="N799" s="44" t="s">
        <v>167</v>
      </c>
      <c r="O799" s="49"/>
      <c r="P799" s="17"/>
      <c r="Q799" s="17"/>
      <c r="R799" s="17"/>
      <c r="S799" s="17"/>
      <c r="T799" s="17"/>
      <c r="U799" s="17"/>
      <c r="V799" s="17"/>
      <c r="W799" s="17"/>
      <c r="X799" s="17"/>
      <c r="Y799" s="46" t="str">
        <f ca="1">IFERROR(VLOOKUP(A799,catalogo!$E:$H,2,0),"-")</f>
        <v>-</v>
      </c>
      <c r="Z799" s="47" t="str">
        <f ca="1">IFERROR(VLOOKUP(A799,catalogo!$E:$G,3,0),"-")</f>
        <v>-</v>
      </c>
      <c r="AA799" s="48"/>
      <c r="AB799" s="48"/>
      <c r="AC799" s="48" t="str">
        <f ca="1">IFERROR(VLOOKUP(A799,catalogo!$E:$H,4,0),"-")</f>
        <v>-</v>
      </c>
      <c r="AD799" s="48"/>
      <c r="AE799" s="48"/>
      <c r="AF799" s="48"/>
      <c r="AG799" s="48"/>
      <c r="AH799" s="48"/>
      <c r="AI799" s="48"/>
    </row>
    <row r="800" spans="1:35" ht="15.5" hidden="1">
      <c r="A800" s="37" t="s">
        <v>1572</v>
      </c>
      <c r="B800" s="38" t="str">
        <f>IFERROR(VLOOKUP(J800,catalogo!$B$1:$C$75,2,0),"-")</f>
        <v>#64</v>
      </c>
      <c r="C800" s="39">
        <v>46073.416666666664</v>
      </c>
      <c r="D800" s="17"/>
      <c r="E800" s="17"/>
      <c r="F800" s="17"/>
      <c r="G800" s="42">
        <v>981.22</v>
      </c>
      <c r="H800" s="42">
        <v>981.22</v>
      </c>
      <c r="I800" s="43" t="s">
        <v>156</v>
      </c>
      <c r="J800" s="43" t="s">
        <v>139</v>
      </c>
      <c r="K800" s="43" t="s">
        <v>1315</v>
      </c>
      <c r="L800" s="44" t="s">
        <v>1316</v>
      </c>
      <c r="M800" s="44">
        <v>7142</v>
      </c>
      <c r="N800" s="44" t="s">
        <v>167</v>
      </c>
      <c r="O800" s="49"/>
      <c r="P800" s="17"/>
      <c r="Q800" s="17"/>
      <c r="R800" s="17"/>
      <c r="S800" s="17"/>
      <c r="T800" s="17"/>
      <c r="U800" s="17"/>
      <c r="V800" s="17"/>
      <c r="W800" s="17"/>
      <c r="X800" s="17"/>
      <c r="Y800" s="46" t="str">
        <f ca="1">IFERROR(VLOOKUP(A800,catalogo!$E:$H,2,0),"-")</f>
        <v>-</v>
      </c>
      <c r="Z800" s="47" t="str">
        <f ca="1">IFERROR(VLOOKUP(A800,catalogo!$E:$G,3,0),"-")</f>
        <v>-</v>
      </c>
      <c r="AA800" s="48"/>
      <c r="AB800" s="48"/>
      <c r="AC800" s="48" t="str">
        <f ca="1">IFERROR(VLOOKUP(A800,catalogo!$E:$H,4,0),"-")</f>
        <v>-</v>
      </c>
      <c r="AD800" s="48"/>
      <c r="AE800" s="48"/>
      <c r="AF800" s="48"/>
      <c r="AG800" s="48"/>
      <c r="AH800" s="48"/>
      <c r="AI800" s="48"/>
    </row>
    <row r="801" spans="1:35" ht="12.5" hidden="1">
      <c r="A801" s="37" t="s">
        <v>1573</v>
      </c>
      <c r="B801" s="38" t="str">
        <f>IFERROR(VLOOKUP(J801,catalogo!$B$1:$C$75,2,0),"-")</f>
        <v>#42</v>
      </c>
      <c r="C801" s="39">
        <v>46073.416666666664</v>
      </c>
      <c r="D801" s="52"/>
      <c r="E801" s="17"/>
      <c r="F801" s="17"/>
      <c r="G801" s="42">
        <v>50</v>
      </c>
      <c r="H801" s="42">
        <v>50</v>
      </c>
      <c r="I801" s="43" t="s">
        <v>156</v>
      </c>
      <c r="J801" s="43" t="s">
        <v>78</v>
      </c>
      <c r="K801" s="43" t="s">
        <v>1574</v>
      </c>
      <c r="L801" s="44" t="s">
        <v>1575</v>
      </c>
      <c r="M801" s="45">
        <v>4431</v>
      </c>
      <c r="N801" s="44" t="s">
        <v>167</v>
      </c>
      <c r="O801" s="17"/>
      <c r="P801" s="17"/>
      <c r="Q801" s="17"/>
      <c r="R801" s="17"/>
      <c r="S801" s="17"/>
      <c r="T801" s="17"/>
      <c r="U801" s="17"/>
      <c r="V801" s="17"/>
      <c r="W801" s="17"/>
      <c r="X801" s="17"/>
      <c r="Y801" s="46" t="str">
        <f ca="1">IFERROR(VLOOKUP(A801,catalogo!$E:$H,2,0),"-")</f>
        <v>-</v>
      </c>
      <c r="Z801" s="47" t="str">
        <f ca="1">IFERROR(VLOOKUP(A801,catalogo!$E:$G,3,0),"-")</f>
        <v>-</v>
      </c>
      <c r="AA801" s="48"/>
      <c r="AB801" s="48"/>
      <c r="AC801" s="48" t="str">
        <f ca="1">IFERROR(VLOOKUP(A801,catalogo!$E:$H,4,0),"-")</f>
        <v>-</v>
      </c>
      <c r="AD801" s="48"/>
      <c r="AE801" s="48"/>
      <c r="AF801" s="48"/>
      <c r="AG801" s="48"/>
      <c r="AH801" s="48"/>
      <c r="AI801" s="48"/>
    </row>
    <row r="802" spans="1:35" ht="12.5" hidden="1">
      <c r="A802" s="37" t="s">
        <v>1576</v>
      </c>
      <c r="B802" s="38" t="str">
        <f>IFERROR(VLOOKUP(J802,catalogo!$B$1:$C$75,2,0),"-")</f>
        <v>-</v>
      </c>
      <c r="C802" s="39">
        <v>46073.416666666664</v>
      </c>
      <c r="D802" s="17"/>
      <c r="E802" s="17"/>
      <c r="F802" s="17"/>
      <c r="G802" s="42">
        <v>301</v>
      </c>
      <c r="H802" s="42">
        <v>301</v>
      </c>
      <c r="I802" s="43" t="s">
        <v>156</v>
      </c>
      <c r="J802" s="43" t="s">
        <v>325</v>
      </c>
      <c r="K802" s="43" t="s">
        <v>1577</v>
      </c>
      <c r="L802" s="44" t="s">
        <v>1578</v>
      </c>
      <c r="M802" s="45">
        <v>7984</v>
      </c>
      <c r="N802" s="44" t="s">
        <v>167</v>
      </c>
      <c r="O802" s="17"/>
      <c r="P802" s="17"/>
      <c r="Q802" s="17"/>
      <c r="R802" s="17"/>
      <c r="S802" s="17"/>
      <c r="T802" s="17"/>
      <c r="U802" s="17"/>
      <c r="V802" s="17"/>
      <c r="W802" s="17"/>
      <c r="X802" s="17"/>
      <c r="Y802" s="46" t="str">
        <f ca="1">IFERROR(VLOOKUP(A802,catalogo!$E:$H,2,0),"-")</f>
        <v>-</v>
      </c>
      <c r="Z802" s="47" t="str">
        <f ca="1">IFERROR(VLOOKUP(A802,catalogo!$E:$G,3,0),"-")</f>
        <v>-</v>
      </c>
      <c r="AA802" s="48"/>
      <c r="AB802" s="48"/>
      <c r="AC802" s="48" t="str">
        <f ca="1">IFERROR(VLOOKUP(A802,catalogo!$E:$H,4,0),"-")</f>
        <v>-</v>
      </c>
      <c r="AD802" s="48"/>
      <c r="AE802" s="48"/>
      <c r="AF802" s="48"/>
      <c r="AG802" s="48"/>
      <c r="AH802" s="48"/>
      <c r="AI802" s="48"/>
    </row>
    <row r="803" spans="1:35" ht="15.5" hidden="1">
      <c r="A803" s="37" t="s">
        <v>1579</v>
      </c>
      <c r="B803" s="38" t="str">
        <f>IFERROR(VLOOKUP(J803,catalogo!$B$1:$C$75,2,0),"-")</f>
        <v>#74</v>
      </c>
      <c r="C803" s="39">
        <v>46073.416666666664</v>
      </c>
      <c r="D803" s="17"/>
      <c r="E803" s="17"/>
      <c r="F803" s="17"/>
      <c r="G803" s="42">
        <v>71.11</v>
      </c>
      <c r="H803" s="42">
        <v>71.11</v>
      </c>
      <c r="I803" s="43" t="s">
        <v>156</v>
      </c>
      <c r="J803" s="43" t="s">
        <v>286</v>
      </c>
      <c r="K803" s="43" t="s">
        <v>232</v>
      </c>
      <c r="L803" s="44" t="s">
        <v>233</v>
      </c>
      <c r="M803" s="44">
        <v>5481</v>
      </c>
      <c r="N803" s="44" t="s">
        <v>167</v>
      </c>
      <c r="O803" s="49"/>
      <c r="P803" s="17"/>
      <c r="Q803" s="17"/>
      <c r="R803" s="17"/>
      <c r="S803" s="17"/>
      <c r="T803" s="17"/>
      <c r="U803" s="17"/>
      <c r="V803" s="17"/>
      <c r="W803" s="17"/>
      <c r="X803" s="17"/>
      <c r="Y803" s="46" t="str">
        <f ca="1">IFERROR(VLOOKUP(A803,catalogo!$E:$H,2,0),"-")</f>
        <v>-</v>
      </c>
      <c r="Z803" s="47" t="str">
        <f ca="1">IFERROR(VLOOKUP(A803,catalogo!$E:$G,3,0),"-")</f>
        <v>-</v>
      </c>
      <c r="AA803" s="48"/>
      <c r="AB803" s="48"/>
      <c r="AC803" s="48" t="str">
        <f ca="1">IFERROR(VLOOKUP(A803,catalogo!$E:$H,4,0),"-")</f>
        <v>-</v>
      </c>
      <c r="AD803" s="48"/>
      <c r="AE803" s="48"/>
      <c r="AF803" s="48"/>
      <c r="AG803" s="48"/>
      <c r="AH803" s="48"/>
      <c r="AI803" s="48"/>
    </row>
    <row r="804" spans="1:35" ht="12.5" hidden="1">
      <c r="A804" s="37" t="s">
        <v>1580</v>
      </c>
      <c r="B804" s="38" t="str">
        <f>IFERROR(VLOOKUP(J804,catalogo!$B$1:$C$75,2,0),"-")</f>
        <v>#55</v>
      </c>
      <c r="C804" s="39">
        <v>46073.416666666664</v>
      </c>
      <c r="D804" s="17"/>
      <c r="E804" s="17"/>
      <c r="F804" s="17"/>
      <c r="G804" s="42">
        <v>161.38999999999999</v>
      </c>
      <c r="H804" s="42">
        <v>161.38999999999999</v>
      </c>
      <c r="I804" s="43" t="s">
        <v>156</v>
      </c>
      <c r="J804" s="43" t="s">
        <v>89</v>
      </c>
      <c r="K804" s="43" t="s">
        <v>284</v>
      </c>
      <c r="L804" s="44" t="s">
        <v>233</v>
      </c>
      <c r="M804" s="44">
        <v>3013</v>
      </c>
      <c r="N804" s="44" t="s">
        <v>167</v>
      </c>
      <c r="O804" s="17"/>
      <c r="P804" s="17"/>
      <c r="Q804" s="17"/>
      <c r="R804" s="17"/>
      <c r="S804" s="17"/>
      <c r="T804" s="17"/>
      <c r="U804" s="17"/>
      <c r="V804" s="17"/>
      <c r="W804" s="17"/>
      <c r="X804" s="17"/>
      <c r="Y804" s="46" t="str">
        <f ca="1">IFERROR(VLOOKUP(A804,catalogo!$E:$G,2,0),"-")</f>
        <v>-</v>
      </c>
      <c r="Z804" s="47" t="str">
        <f ca="1">IFERROR(VLOOKUP(A804,catalogo!$E:$G,3,0),"-")</f>
        <v>-</v>
      </c>
      <c r="AA804" s="48"/>
      <c r="AB804" s="48"/>
      <c r="AC804" s="48" t="str">
        <f ca="1">IFERROR(VLOOKUP(A804,catalogo!$E:$H,4,0),"-")</f>
        <v>-</v>
      </c>
      <c r="AD804" s="48"/>
      <c r="AE804" s="48"/>
      <c r="AF804" s="48"/>
      <c r="AG804" s="48"/>
      <c r="AH804" s="48"/>
      <c r="AI804" s="48"/>
    </row>
    <row r="805" spans="1:35" ht="12.5" hidden="1">
      <c r="A805" s="37" t="s">
        <v>1581</v>
      </c>
      <c r="B805" s="38" t="str">
        <f>IFERROR(VLOOKUP(J805,catalogo!$B$1:$C$85,2,0),"-")</f>
        <v>#77</v>
      </c>
      <c r="C805" s="39">
        <v>46073.416666666664</v>
      </c>
      <c r="D805" s="40"/>
      <c r="E805" s="41"/>
      <c r="F805" s="41"/>
      <c r="G805" s="42">
        <v>199.95</v>
      </c>
      <c r="H805" s="42">
        <v>199.95</v>
      </c>
      <c r="I805" s="43" t="s">
        <v>156</v>
      </c>
      <c r="J805" s="43" t="s">
        <v>102</v>
      </c>
      <c r="K805" s="43" t="s">
        <v>232</v>
      </c>
      <c r="L805" s="44" t="s">
        <v>233</v>
      </c>
      <c r="M805" s="44" t="s">
        <v>279</v>
      </c>
      <c r="N805" s="44" t="s">
        <v>144</v>
      </c>
      <c r="O805" s="41"/>
      <c r="P805" s="41"/>
      <c r="Q805" s="41"/>
      <c r="R805" s="41"/>
      <c r="S805" s="41"/>
      <c r="T805" s="41"/>
      <c r="U805" s="41"/>
      <c r="V805" s="41"/>
      <c r="W805" s="41"/>
      <c r="X805" s="41"/>
      <c r="Y805" s="46" t="str">
        <f ca="1">IFERROR(VLOOKUP(A805,catalogo!$E:$H,2,0),"-")</f>
        <v>-</v>
      </c>
      <c r="Z805" s="47" t="str">
        <f ca="1">IFERROR(VLOOKUP(A805,catalogo!$E:$G,3,0),"-")</f>
        <v>-</v>
      </c>
      <c r="AA805" s="48"/>
      <c r="AB805" s="48"/>
      <c r="AC805" s="48" t="str">
        <f ca="1">IFERROR(VLOOKUP(A805,catalogo!$E:$H,4,0),"-")</f>
        <v>-</v>
      </c>
      <c r="AD805" s="48"/>
      <c r="AE805" s="48"/>
      <c r="AF805" s="48"/>
      <c r="AG805" s="48"/>
      <c r="AH805" s="48"/>
      <c r="AI805" s="48"/>
    </row>
    <row r="806" spans="1:35" ht="15.5" hidden="1">
      <c r="A806" s="37" t="s">
        <v>1582</v>
      </c>
      <c r="B806" s="38" t="str">
        <f>IFERROR(VLOOKUP(J806,catalogo!$B$1:$C$75,2,0),"-")</f>
        <v>#74</v>
      </c>
      <c r="C806" s="39">
        <v>46073.416666666664</v>
      </c>
      <c r="D806" s="17"/>
      <c r="E806" s="17"/>
      <c r="F806" s="17"/>
      <c r="G806" s="42">
        <v>99.99</v>
      </c>
      <c r="H806" s="42">
        <v>99.99</v>
      </c>
      <c r="I806" s="43" t="s">
        <v>156</v>
      </c>
      <c r="J806" s="43" t="s">
        <v>286</v>
      </c>
      <c r="K806" s="43" t="s">
        <v>232</v>
      </c>
      <c r="L806" s="44" t="s">
        <v>233</v>
      </c>
      <c r="M806" s="44">
        <v>5481</v>
      </c>
      <c r="N806" s="44" t="s">
        <v>167</v>
      </c>
      <c r="O806" s="49"/>
      <c r="P806" s="17"/>
      <c r="Q806" s="17"/>
      <c r="R806" s="17"/>
      <c r="S806" s="17"/>
      <c r="T806" s="17"/>
      <c r="U806" s="17"/>
      <c r="V806" s="17"/>
      <c r="W806" s="17"/>
      <c r="X806" s="17"/>
      <c r="Y806" s="46" t="str">
        <f ca="1">IFERROR(VLOOKUP(A806,catalogo!$E:$H,2,0),"-")</f>
        <v>-</v>
      </c>
      <c r="Z806" s="47" t="str">
        <f ca="1">IFERROR(VLOOKUP(A806,catalogo!$E:$G,3,0),"-")</f>
        <v>-</v>
      </c>
      <c r="AA806" s="48"/>
      <c r="AB806" s="48"/>
      <c r="AC806" s="48" t="str">
        <f ca="1">IFERROR(VLOOKUP(A806,catalogo!$E:$H,4,0),"-")</f>
        <v>-</v>
      </c>
      <c r="AD806" s="48"/>
      <c r="AE806" s="48"/>
      <c r="AF806" s="48"/>
      <c r="AG806" s="48"/>
      <c r="AH806" s="48"/>
      <c r="AI806" s="48"/>
    </row>
    <row r="807" spans="1:35" ht="12.5" hidden="1">
      <c r="A807" s="37" t="s">
        <v>1583</v>
      </c>
      <c r="B807" s="38" t="str">
        <f>IFERROR(VLOOKUP(J807,catalogo!$B$1:$C$75,2,0),"-")</f>
        <v>#19</v>
      </c>
      <c r="C807" s="39">
        <v>46073.416666666664</v>
      </c>
      <c r="D807" s="40"/>
      <c r="E807" s="41"/>
      <c r="F807" s="41"/>
      <c r="G807" s="42">
        <v>224.11</v>
      </c>
      <c r="H807" s="42">
        <v>224.11</v>
      </c>
      <c r="I807" s="43" t="s">
        <v>156</v>
      </c>
      <c r="J807" s="43" t="s">
        <v>105</v>
      </c>
      <c r="K807" s="43" t="s">
        <v>232</v>
      </c>
      <c r="L807" s="44" t="s">
        <v>233</v>
      </c>
      <c r="M807" s="45" t="s">
        <v>276</v>
      </c>
      <c r="N807" s="44" t="s">
        <v>144</v>
      </c>
      <c r="O807" s="41" t="s">
        <v>1584</v>
      </c>
      <c r="P807" s="41"/>
      <c r="Q807" s="41"/>
      <c r="R807" s="41"/>
      <c r="S807" s="41"/>
      <c r="T807" s="41"/>
      <c r="U807" s="41"/>
      <c r="V807" s="41"/>
      <c r="W807" s="41"/>
      <c r="X807" s="41"/>
      <c r="Y807" s="46" t="str">
        <f ca="1">IFERROR(VLOOKUP(A807,catalogo!$E:$H,2,0),"-")</f>
        <v>Transaction cost</v>
      </c>
      <c r="Z807" s="47" t="str">
        <f ca="1">IFERROR(VLOOKUP(A807,catalogo!$E:$G,3,0),"-")</f>
        <v>PO2165 veolia UFCEB</v>
      </c>
      <c r="AA807" s="48"/>
      <c r="AB807" s="48"/>
      <c r="AC807" s="48" t="str">
        <f ca="1">IFERROR(VLOOKUP(A807,catalogo!$E:$H,4,0),"-")</f>
        <v>-</v>
      </c>
      <c r="AD807" s="48"/>
      <c r="AE807" s="48"/>
      <c r="AF807" s="48"/>
      <c r="AG807" s="48"/>
      <c r="AH807" s="48"/>
      <c r="AI807" s="48"/>
    </row>
    <row r="808" spans="1:35" ht="12.5" hidden="1">
      <c r="A808" s="37" t="s">
        <v>1585</v>
      </c>
      <c r="B808" s="38" t="str">
        <f>IFERROR(VLOOKUP(J808,catalogo!$B$1:$C$75,2,0),"-")</f>
        <v>-</v>
      </c>
      <c r="C808" s="39">
        <v>46073.416666666664</v>
      </c>
      <c r="D808" s="40"/>
      <c r="E808" s="41"/>
      <c r="F808" s="41"/>
      <c r="G808" s="42">
        <v>299.23</v>
      </c>
      <c r="H808" s="42">
        <v>299.23</v>
      </c>
      <c r="I808" s="43" t="s">
        <v>156</v>
      </c>
      <c r="J808" s="43" t="s">
        <v>187</v>
      </c>
      <c r="K808" s="43" t="s">
        <v>180</v>
      </c>
      <c r="L808" s="44" t="s">
        <v>181</v>
      </c>
      <c r="M808" s="45" t="s">
        <v>477</v>
      </c>
      <c r="N808" s="44" t="s">
        <v>144</v>
      </c>
      <c r="O808" s="41"/>
      <c r="P808" s="41"/>
      <c r="Q808" s="41"/>
      <c r="R808" s="41"/>
      <c r="S808" s="41"/>
      <c r="T808" s="41"/>
      <c r="U808" s="41"/>
      <c r="V808" s="41"/>
      <c r="W808" s="41"/>
      <c r="X808" s="41"/>
      <c r="Y808" s="46" t="str">
        <f ca="1">IFERROR(VLOOKUP(A808,catalogo!$E:$H,2,0),"-")</f>
        <v>-</v>
      </c>
      <c r="Z808" s="47" t="str">
        <f ca="1">IFERROR(VLOOKUP(A808,catalogo!$E:$G,3,0),"-")</f>
        <v>-</v>
      </c>
      <c r="AA808" s="48"/>
      <c r="AB808" s="48"/>
      <c r="AC808" s="48" t="str">
        <f ca="1">IFERROR(VLOOKUP(A808,catalogo!$E:$H,4,0),"-")</f>
        <v>-</v>
      </c>
      <c r="AD808" s="48"/>
      <c r="AE808" s="48"/>
      <c r="AF808" s="48"/>
      <c r="AG808" s="48"/>
      <c r="AH808" s="48"/>
      <c r="AI808" s="48"/>
    </row>
    <row r="809" spans="1:35" ht="12.5" hidden="1">
      <c r="A809" s="37" t="s">
        <v>1586</v>
      </c>
      <c r="B809" s="38" t="str">
        <f>IFERROR(VLOOKUP(J809,catalogo!$B$1:$C$70,2,0),"-")</f>
        <v>#42</v>
      </c>
      <c r="C809" s="39">
        <v>46073.416666666664</v>
      </c>
      <c r="D809" s="17"/>
      <c r="E809" s="17"/>
      <c r="F809" s="17"/>
      <c r="G809" s="42">
        <v>143.34</v>
      </c>
      <c r="H809" s="42">
        <v>143.34</v>
      </c>
      <c r="I809" s="43" t="s">
        <v>156</v>
      </c>
      <c r="J809" s="43" t="s">
        <v>78</v>
      </c>
      <c r="K809" s="43" t="s">
        <v>232</v>
      </c>
      <c r="L809" s="44" t="s">
        <v>233</v>
      </c>
      <c r="M809" s="45" t="s">
        <v>1112</v>
      </c>
      <c r="N809" s="44" t="s">
        <v>144</v>
      </c>
      <c r="O809" s="17"/>
      <c r="P809" s="17"/>
      <c r="Q809" s="17"/>
      <c r="R809" s="17"/>
      <c r="S809" s="17"/>
      <c r="T809" s="17"/>
      <c r="U809" s="17"/>
      <c r="V809" s="17"/>
      <c r="W809" s="17"/>
      <c r="X809" s="17"/>
      <c r="Y809" s="46" t="str">
        <f ca="1">IFERROR(VLOOKUP(A809,catalogo!$E:$G,2,0),"-")</f>
        <v>-</v>
      </c>
      <c r="Z809" s="47" t="str">
        <f ca="1">IFERROR(VLOOKUP(A809,catalogo!$E:$G,3,0),"-")</f>
        <v>-</v>
      </c>
      <c r="AA809" s="48"/>
      <c r="AB809" s="48"/>
      <c r="AC809" s="48" t="str">
        <f ca="1">IFERROR(VLOOKUP(A809,catalogo!$E:$H,4,0),"-")</f>
        <v>-</v>
      </c>
      <c r="AD809" s="48"/>
      <c r="AE809" s="48"/>
      <c r="AF809" s="48"/>
      <c r="AG809" s="48"/>
      <c r="AH809" s="48"/>
      <c r="AI809" s="48"/>
    </row>
    <row r="810" spans="1:35" ht="12.5" hidden="1">
      <c r="A810" s="37" t="s">
        <v>342</v>
      </c>
      <c r="B810" s="38" t="str">
        <f>IFERROR(VLOOKUP(J810,catalogo!$B$1:$C$75,2,0),"-")</f>
        <v>#5</v>
      </c>
      <c r="C810" s="39">
        <v>46073.416666666664</v>
      </c>
      <c r="D810" s="17"/>
      <c r="E810" s="17"/>
      <c r="F810" s="17"/>
      <c r="G810" s="42">
        <v>38.68</v>
      </c>
      <c r="H810" s="42">
        <v>38.68</v>
      </c>
      <c r="I810" s="43" t="s">
        <v>156</v>
      </c>
      <c r="J810" s="43" t="s">
        <v>104</v>
      </c>
      <c r="K810" s="43" t="s">
        <v>232</v>
      </c>
      <c r="L810" s="44" t="s">
        <v>233</v>
      </c>
      <c r="M810" s="45">
        <v>3283</v>
      </c>
      <c r="N810" s="44" t="s">
        <v>167</v>
      </c>
      <c r="O810" s="17"/>
      <c r="P810" s="17"/>
      <c r="Q810" s="17"/>
      <c r="R810" s="17"/>
      <c r="S810" s="17"/>
      <c r="T810" s="17"/>
      <c r="U810" s="17"/>
      <c r="V810" s="17"/>
      <c r="W810" s="17"/>
      <c r="X810" s="17"/>
      <c r="Y810" s="46">
        <f ca="1">IFERROR(VLOOKUP(A810,catalogo!$E:$H,2,0),"-")</f>
        <v>0</v>
      </c>
      <c r="Z810" s="47">
        <f ca="1">IFERROR(VLOOKUP(A810,catalogo!$E:$G,3,0),"-")</f>
        <v>0</v>
      </c>
      <c r="AA810" s="48"/>
      <c r="AB810" s="48"/>
      <c r="AC810" s="48" t="str">
        <f ca="1">IFERROR(VLOOKUP(A810,catalogo!$E:$H,4,0),"-")</f>
        <v>.</v>
      </c>
      <c r="AD810" s="48"/>
      <c r="AE810" s="48"/>
      <c r="AF810" s="48"/>
      <c r="AG810" s="48"/>
      <c r="AH810" s="48"/>
      <c r="AI810" s="48"/>
    </row>
    <row r="811" spans="1:35" ht="12.5" hidden="1">
      <c r="A811" s="37" t="s">
        <v>360</v>
      </c>
      <c r="B811" s="38" t="str">
        <f>IFERROR(VLOOKUP(J811,catalogo!$B$1:$C$100,2,0),"-")</f>
        <v>#5</v>
      </c>
      <c r="C811" s="39">
        <v>46073.416666666664</v>
      </c>
      <c r="D811" s="52"/>
      <c r="E811" s="17"/>
      <c r="F811" s="17"/>
      <c r="G811" s="42">
        <v>29.96</v>
      </c>
      <c r="H811" s="42">
        <v>29.96</v>
      </c>
      <c r="I811" s="43" t="s">
        <v>156</v>
      </c>
      <c r="J811" s="43" t="s">
        <v>104</v>
      </c>
      <c r="K811" s="43" t="s">
        <v>232</v>
      </c>
      <c r="L811" s="44" t="s">
        <v>233</v>
      </c>
      <c r="M811" s="44">
        <v>3283</v>
      </c>
      <c r="N811" s="44" t="s">
        <v>167</v>
      </c>
      <c r="O811" s="17"/>
      <c r="P811" s="17"/>
      <c r="Q811" s="17"/>
      <c r="R811" s="17"/>
      <c r="S811" s="17"/>
      <c r="T811" s="17"/>
      <c r="U811" s="17"/>
      <c r="V811" s="17"/>
      <c r="W811" s="17"/>
      <c r="X811" s="17"/>
      <c r="Y811" s="46">
        <f ca="1">IFERROR(VLOOKUP(A811,catalogo!$E:$H,2,0),"-")</f>
        <v>0</v>
      </c>
      <c r="Z811" s="47">
        <f ca="1">IFERROR(VLOOKUP(A811,catalogo!$E:$G,3,0),"-")</f>
        <v>0</v>
      </c>
      <c r="AA811" s="48"/>
      <c r="AB811" s="48"/>
      <c r="AC811" s="48" t="str">
        <f ca="1">IFERROR(VLOOKUP(A811,catalogo!$E:$H,4,0),"-")</f>
        <v>.</v>
      </c>
      <c r="AD811" s="48"/>
      <c r="AE811" s="48"/>
      <c r="AF811" s="48"/>
      <c r="AG811" s="48"/>
      <c r="AH811" s="48"/>
      <c r="AI811" s="48"/>
    </row>
    <row r="812" spans="1:35" ht="12.5" hidden="1">
      <c r="A812" s="37" t="s">
        <v>1587</v>
      </c>
      <c r="B812" s="38" t="str">
        <f>IFERROR(VLOOKUP(J812,catalogo!$B$1:$C$70,2,0),"-")</f>
        <v>#55</v>
      </c>
      <c r="C812" s="39">
        <v>46073.416666666664</v>
      </c>
      <c r="D812" s="17"/>
      <c r="E812" s="17"/>
      <c r="F812" s="17"/>
      <c r="G812" s="42">
        <v>623.54999999999995</v>
      </c>
      <c r="H812" s="42">
        <v>623.54999999999995</v>
      </c>
      <c r="I812" s="43" t="s">
        <v>156</v>
      </c>
      <c r="J812" s="43" t="s">
        <v>89</v>
      </c>
      <c r="K812" s="43" t="s">
        <v>284</v>
      </c>
      <c r="L812" s="44" t="s">
        <v>233</v>
      </c>
      <c r="M812" s="45">
        <v>3013</v>
      </c>
      <c r="N812" s="44" t="s">
        <v>167</v>
      </c>
      <c r="O812" s="17"/>
      <c r="P812" s="17"/>
      <c r="Q812" s="17"/>
      <c r="R812" s="17"/>
      <c r="S812" s="17"/>
      <c r="T812" s="17"/>
      <c r="U812" s="17"/>
      <c r="V812" s="17"/>
      <c r="W812" s="17"/>
      <c r="X812" s="17"/>
      <c r="Y812" s="46" t="str">
        <f ca="1">IFERROR(VLOOKUP(A812,catalogo!$E:$G,2,0),"-")</f>
        <v>-</v>
      </c>
      <c r="Z812" s="47" t="str">
        <f ca="1">IFERROR(VLOOKUP(A812,catalogo!$E:$G,3,0),"-")</f>
        <v>-</v>
      </c>
      <c r="AA812" s="48"/>
      <c r="AB812" s="48"/>
      <c r="AC812" s="48" t="str">
        <f ca="1">IFERROR(VLOOKUP(A812,catalogo!$E:$H,4,0),"-")</f>
        <v>-</v>
      </c>
      <c r="AD812" s="48"/>
      <c r="AE812" s="48"/>
      <c r="AF812" s="48"/>
      <c r="AG812" s="48"/>
      <c r="AH812" s="48"/>
      <c r="AI812" s="48"/>
    </row>
    <row r="813" spans="1:35" ht="12.5" hidden="1">
      <c r="A813" s="37" t="s">
        <v>1588</v>
      </c>
      <c r="B813" s="38" t="str">
        <f>IFERROR(VLOOKUP(J813,catalogo!$B$1:$C$70,2,0),"-")</f>
        <v>#55</v>
      </c>
      <c r="C813" s="39">
        <v>46073.416666666664</v>
      </c>
      <c r="D813" s="17"/>
      <c r="E813" s="17"/>
      <c r="F813" s="17"/>
      <c r="G813" s="42">
        <v>50</v>
      </c>
      <c r="H813" s="42">
        <v>50</v>
      </c>
      <c r="I813" s="43" t="s">
        <v>156</v>
      </c>
      <c r="J813" s="43" t="s">
        <v>89</v>
      </c>
      <c r="K813" s="43" t="s">
        <v>232</v>
      </c>
      <c r="L813" s="44" t="s">
        <v>233</v>
      </c>
      <c r="M813" s="45">
        <v>3013</v>
      </c>
      <c r="N813" s="44" t="s">
        <v>167</v>
      </c>
      <c r="O813" s="17"/>
      <c r="P813" s="17"/>
      <c r="Q813" s="17"/>
      <c r="R813" s="17"/>
      <c r="S813" s="17"/>
      <c r="T813" s="17"/>
      <c r="U813" s="17"/>
      <c r="V813" s="17"/>
      <c r="W813" s="17"/>
      <c r="X813" s="17"/>
      <c r="Y813" s="46" t="str">
        <f ca="1">IFERROR(VLOOKUP(A813,catalogo!$E:$G,2,0),"-")</f>
        <v>-</v>
      </c>
      <c r="Z813" s="47" t="str">
        <f ca="1">IFERROR(VLOOKUP(A813,catalogo!$E:$G,3,0),"-")</f>
        <v>-</v>
      </c>
      <c r="AA813" s="48"/>
      <c r="AB813" s="48"/>
      <c r="AC813" s="48" t="str">
        <f ca="1">IFERROR(VLOOKUP(A813,catalogo!$E:$H,4,0),"-")</f>
        <v>-</v>
      </c>
      <c r="AD813" s="48"/>
      <c r="AE813" s="48"/>
      <c r="AF813" s="48"/>
      <c r="AG813" s="48"/>
      <c r="AH813" s="48"/>
      <c r="AI813" s="48"/>
    </row>
    <row r="814" spans="1:35" ht="12.5" hidden="1">
      <c r="A814" s="37" t="s">
        <v>1589</v>
      </c>
      <c r="B814" s="38" t="str">
        <f>IFERROR(VLOOKUP(J814,catalogo!$B$1:$C$75,2,0),"-")</f>
        <v>#74</v>
      </c>
      <c r="C814" s="39">
        <v>46073.416666666664</v>
      </c>
      <c r="D814" s="52"/>
      <c r="E814" s="17"/>
      <c r="F814" s="17"/>
      <c r="G814" s="42">
        <v>442.96</v>
      </c>
      <c r="H814" s="42">
        <v>442.96</v>
      </c>
      <c r="I814" s="43" t="s">
        <v>156</v>
      </c>
      <c r="J814" s="43" t="s">
        <v>286</v>
      </c>
      <c r="K814" s="43" t="s">
        <v>284</v>
      </c>
      <c r="L814" s="44" t="s">
        <v>233</v>
      </c>
      <c r="M814" s="45">
        <v>5481</v>
      </c>
      <c r="N814" s="44" t="s">
        <v>167</v>
      </c>
      <c r="O814" s="17"/>
      <c r="P814" s="17"/>
      <c r="Q814" s="17"/>
      <c r="R814" s="17"/>
      <c r="S814" s="17"/>
      <c r="T814" s="17"/>
      <c r="U814" s="17"/>
      <c r="V814" s="17"/>
      <c r="W814" s="17"/>
      <c r="X814" s="17"/>
      <c r="Y814" s="46" t="str">
        <f ca="1">IFERROR(VLOOKUP(A814,catalogo!$E:$H,2,0),"-")</f>
        <v>Office expenses</v>
      </c>
      <c r="Z814" s="47" t="str">
        <f ca="1">IFERROR(VLOOKUP(A814,catalogo!$E:$G,3,0),"-")</f>
        <v>Viaje Puebla - Industrias Norm</v>
      </c>
      <c r="AA814" s="48"/>
      <c r="AB814" s="48"/>
      <c r="AC814" s="48" t="str">
        <f ca="1">IFERROR(VLOOKUP(A814,catalogo!$E:$H,4,0),"-")</f>
        <v>.</v>
      </c>
      <c r="AD814" s="48"/>
      <c r="AE814" s="48"/>
      <c r="AF814" s="48"/>
      <c r="AG814" s="48"/>
      <c r="AH814" s="48"/>
      <c r="AI814" s="48"/>
    </row>
    <row r="815" spans="1:35" ht="12.5" hidden="1">
      <c r="A815" s="37" t="s">
        <v>1590</v>
      </c>
      <c r="B815" s="38" t="str">
        <f>IFERROR(VLOOKUP(J815,catalogo!$B$1:$C$100,2,0),"-")</f>
        <v>#64</v>
      </c>
      <c r="C815" s="39">
        <v>46073.416666666664</v>
      </c>
      <c r="D815" s="17"/>
      <c r="E815" s="17"/>
      <c r="F815" s="17"/>
      <c r="G815" s="42">
        <v>321.92</v>
      </c>
      <c r="H815" s="42">
        <v>321.92</v>
      </c>
      <c r="I815" s="43" t="s">
        <v>156</v>
      </c>
      <c r="J815" s="43" t="s">
        <v>139</v>
      </c>
      <c r="K815" s="43" t="s">
        <v>180</v>
      </c>
      <c r="L815" s="44" t="s">
        <v>181</v>
      </c>
      <c r="M815" s="45">
        <v>7142</v>
      </c>
      <c r="N815" s="44" t="s">
        <v>167</v>
      </c>
      <c r="O815" s="17"/>
      <c r="P815" s="17"/>
      <c r="Q815" s="17"/>
      <c r="R815" s="17"/>
      <c r="S815" s="17"/>
      <c r="T815" s="17"/>
      <c r="U815" s="17"/>
      <c r="V815" s="17"/>
      <c r="W815" s="17"/>
      <c r="X815" s="17"/>
      <c r="Y815" s="46" t="str">
        <f ca="1">IFERROR(VLOOKUP(A815,catalogo!$E:$H,2,0),"-")</f>
        <v>-</v>
      </c>
      <c r="Z815" s="47" t="str">
        <f ca="1">IFERROR(VLOOKUP(A815,catalogo!$E:$G,3,0),"-")</f>
        <v>-</v>
      </c>
      <c r="AA815" s="48"/>
      <c r="AB815" s="48"/>
      <c r="AC815" s="48" t="str">
        <f ca="1">IFERROR(VLOOKUP(A815,catalogo!$E:$H,4,0),"-")</f>
        <v>-</v>
      </c>
      <c r="AD815" s="48"/>
      <c r="AE815" s="48"/>
      <c r="AF815" s="48"/>
      <c r="AG815" s="48"/>
      <c r="AH815" s="48"/>
      <c r="AI815" s="48"/>
    </row>
    <row r="816" spans="1:35" ht="12.5" hidden="1">
      <c r="A816" s="37" t="s">
        <v>1591</v>
      </c>
      <c r="B816" s="38" t="str">
        <f>IFERROR(VLOOKUP(J816,catalogo!$B$1:$C$75,2,0),"-")</f>
        <v>-</v>
      </c>
      <c r="C816" s="39">
        <v>46073.416666666664</v>
      </c>
      <c r="D816" s="52"/>
      <c r="E816" s="17"/>
      <c r="F816" s="17"/>
      <c r="G816" s="42">
        <v>1377.87</v>
      </c>
      <c r="H816" s="42">
        <v>1377.87</v>
      </c>
      <c r="I816" s="43" t="s">
        <v>156</v>
      </c>
      <c r="J816" s="43" t="s">
        <v>269</v>
      </c>
      <c r="K816" s="43" t="s">
        <v>338</v>
      </c>
      <c r="L816" s="44" t="s">
        <v>317</v>
      </c>
      <c r="M816" s="45" t="s">
        <v>270</v>
      </c>
      <c r="N816" s="44" t="s">
        <v>144</v>
      </c>
      <c r="O816" s="17"/>
      <c r="P816" s="17"/>
      <c r="Q816" s="17"/>
      <c r="R816" s="17"/>
      <c r="S816" s="17"/>
      <c r="T816" s="17"/>
      <c r="U816" s="17"/>
      <c r="V816" s="17"/>
      <c r="W816" s="17"/>
      <c r="X816" s="17"/>
      <c r="Y816" s="46" t="str">
        <f ca="1">IFERROR(VLOOKUP(A816,catalogo!$E:$H,2,0),"-")</f>
        <v>-</v>
      </c>
      <c r="Z816" s="47" t="str">
        <f ca="1">IFERROR(VLOOKUP(A816,catalogo!$E:$G,3,0),"-")</f>
        <v>-</v>
      </c>
      <c r="AA816" s="48"/>
      <c r="AB816" s="48"/>
      <c r="AC816" s="48" t="str">
        <f ca="1">IFERROR(VLOOKUP(A816,catalogo!$E:$H,4,0),"-")</f>
        <v>-</v>
      </c>
      <c r="AD816" s="48"/>
      <c r="AE816" s="48"/>
      <c r="AF816" s="48"/>
      <c r="AG816" s="48"/>
      <c r="AH816" s="48"/>
      <c r="AI816" s="48"/>
    </row>
    <row r="817" spans="1:35" ht="15.5" hidden="1">
      <c r="A817" s="37" t="s">
        <v>1592</v>
      </c>
      <c r="B817" s="38" t="str">
        <f>IFERROR(VLOOKUP(J817,catalogo!$B$1:$C$75,2,0),"-")</f>
        <v>-</v>
      </c>
      <c r="C817" s="39">
        <v>46073.416666666664</v>
      </c>
      <c r="D817" s="17"/>
      <c r="E817" s="17"/>
      <c r="F817" s="17"/>
      <c r="G817" s="42">
        <v>400</v>
      </c>
      <c r="H817" s="42">
        <v>400</v>
      </c>
      <c r="I817" s="43" t="s">
        <v>156</v>
      </c>
      <c r="J817" s="43" t="s">
        <v>187</v>
      </c>
      <c r="K817" s="43" t="s">
        <v>622</v>
      </c>
      <c r="L817" s="44" t="s">
        <v>623</v>
      </c>
      <c r="M817" s="45" t="s">
        <v>477</v>
      </c>
      <c r="N817" s="44" t="s">
        <v>144</v>
      </c>
      <c r="O817" s="49"/>
      <c r="P817" s="17"/>
      <c r="Q817" s="17"/>
      <c r="R817" s="17"/>
      <c r="S817" s="17"/>
      <c r="T817" s="17"/>
      <c r="U817" s="17"/>
      <c r="V817" s="17"/>
      <c r="W817" s="17"/>
      <c r="X817" s="17"/>
      <c r="Y817" s="46" t="str">
        <f ca="1">IFERROR(VLOOKUP(A817,catalogo!$E:$H,2,0),"-")</f>
        <v>-</v>
      </c>
      <c r="Z817" s="47" t="str">
        <f ca="1">IFERROR(VLOOKUP(A817,catalogo!$E:$G,3,0),"-")</f>
        <v>-</v>
      </c>
      <c r="AA817" s="48"/>
      <c r="AB817" s="48"/>
      <c r="AC817" s="48" t="str">
        <f ca="1">IFERROR(VLOOKUP(A817,catalogo!$E:$H,4,0),"-")</f>
        <v>-</v>
      </c>
      <c r="AD817" s="48"/>
      <c r="AE817" s="48"/>
      <c r="AF817" s="48"/>
      <c r="AG817" s="48"/>
      <c r="AH817" s="48"/>
      <c r="AI817" s="48"/>
    </row>
    <row r="818" spans="1:35" ht="12.5" hidden="1">
      <c r="A818" s="37" t="s">
        <v>333</v>
      </c>
      <c r="B818" s="38" t="str">
        <f>IFERROR(VLOOKUP(J818,catalogo!$B$1:$C$75,2,0),"-")</f>
        <v>-</v>
      </c>
      <c r="C818" s="39">
        <v>46073.416666666664</v>
      </c>
      <c r="D818" s="17"/>
      <c r="E818" s="17"/>
      <c r="F818" s="17"/>
      <c r="G818" s="42">
        <v>65</v>
      </c>
      <c r="H818" s="42">
        <v>65</v>
      </c>
      <c r="I818" s="43" t="s">
        <v>156</v>
      </c>
      <c r="J818" s="43" t="s">
        <v>321</v>
      </c>
      <c r="K818" s="43" t="s">
        <v>1040</v>
      </c>
      <c r="L818" s="44" t="s">
        <v>1041</v>
      </c>
      <c r="M818" s="45">
        <v>3340</v>
      </c>
      <c r="N818" s="44" t="s">
        <v>167</v>
      </c>
      <c r="O818" s="17"/>
      <c r="P818" s="17"/>
      <c r="Q818" s="17"/>
      <c r="R818" s="17"/>
      <c r="S818" s="17"/>
      <c r="T818" s="17"/>
      <c r="U818" s="17"/>
      <c r="V818" s="17"/>
      <c r="W818" s="17"/>
      <c r="X818" s="17"/>
      <c r="Y818" s="46" t="str">
        <f ca="1">IFERROR(VLOOKUP(A818,catalogo!$E:$H,2,0),"-")</f>
        <v>-</v>
      </c>
      <c r="Z818" s="47" t="str">
        <f ca="1">IFERROR(VLOOKUP(A818,catalogo!$E:$G,3,0),"-")</f>
        <v>-</v>
      </c>
      <c r="AA818" s="48"/>
      <c r="AB818" s="48"/>
      <c r="AC818" s="48" t="str">
        <f ca="1">IFERROR(VLOOKUP(A818,catalogo!$E:$H,4,0),"-")</f>
        <v>-</v>
      </c>
      <c r="AD818" s="48"/>
      <c r="AE818" s="48"/>
      <c r="AF818" s="48"/>
      <c r="AG818" s="48"/>
      <c r="AH818" s="48"/>
      <c r="AI818" s="48"/>
    </row>
    <row r="819" spans="1:35" ht="12.5" hidden="1">
      <c r="A819" s="37" t="s">
        <v>1593</v>
      </c>
      <c r="B819" s="38" t="str">
        <f>IFERROR(VLOOKUP(J819,catalogo!$B$1:$C$100,2,0),"-")</f>
        <v>#68</v>
      </c>
      <c r="C819" s="39">
        <v>46073.416666666664</v>
      </c>
      <c r="D819" s="17"/>
      <c r="E819" s="17"/>
      <c r="F819" s="17"/>
      <c r="G819" s="42">
        <v>594.54999999999995</v>
      </c>
      <c r="H819" s="42">
        <v>594.54999999999995</v>
      </c>
      <c r="I819" s="43" t="s">
        <v>156</v>
      </c>
      <c r="J819" s="43" t="s">
        <v>384</v>
      </c>
      <c r="K819" s="43" t="s">
        <v>1594</v>
      </c>
      <c r="L819" s="44" t="s">
        <v>684</v>
      </c>
      <c r="M819" s="45">
        <v>2937</v>
      </c>
      <c r="N819" s="44" t="s">
        <v>167</v>
      </c>
      <c r="O819" s="17"/>
      <c r="P819" s="17"/>
      <c r="Q819" s="17"/>
      <c r="R819" s="17"/>
      <c r="S819" s="17"/>
      <c r="T819" s="17"/>
      <c r="U819" s="17"/>
      <c r="V819" s="17"/>
      <c r="W819" s="17"/>
      <c r="X819" s="17"/>
      <c r="Y819" s="46" t="str">
        <f ca="1">IFERROR(VLOOKUP(A819,catalogo!$E:$H,2,0),"-")</f>
        <v>-</v>
      </c>
      <c r="Z819" s="47" t="str">
        <f ca="1">IFERROR(VLOOKUP(A819,catalogo!$E:$G,3,0),"-")</f>
        <v>-</v>
      </c>
      <c r="AA819" s="48"/>
      <c r="AB819" s="48"/>
      <c r="AC819" s="48" t="str">
        <f ca="1">IFERROR(VLOOKUP(A819,catalogo!$E:$H,4,0),"-")</f>
        <v>-</v>
      </c>
      <c r="AD819" s="48"/>
      <c r="AE819" s="48"/>
      <c r="AF819" s="48"/>
      <c r="AG819" s="48"/>
      <c r="AH819" s="48"/>
      <c r="AI819" s="48"/>
    </row>
    <row r="820" spans="1:35" ht="15.5" hidden="1">
      <c r="A820" s="37" t="s">
        <v>1595</v>
      </c>
      <c r="B820" s="38" t="str">
        <f>IFERROR(VLOOKUP(J820,catalogo!$B$1:$C$75,2,0),"-")</f>
        <v>-</v>
      </c>
      <c r="C820" s="39">
        <v>46073.416666666664</v>
      </c>
      <c r="D820" s="17"/>
      <c r="E820" s="17"/>
      <c r="F820" s="17"/>
      <c r="G820" s="42">
        <v>400.35</v>
      </c>
      <c r="H820" s="42">
        <v>400.35</v>
      </c>
      <c r="I820" s="43" t="s">
        <v>156</v>
      </c>
      <c r="J820" s="43" t="s">
        <v>321</v>
      </c>
      <c r="K820" s="43" t="s">
        <v>1596</v>
      </c>
      <c r="L820" s="44" t="s">
        <v>1597</v>
      </c>
      <c r="M820" s="44">
        <v>3340</v>
      </c>
      <c r="N820" s="44" t="s">
        <v>167</v>
      </c>
      <c r="O820" s="49"/>
      <c r="P820" s="17"/>
      <c r="Q820" s="17"/>
      <c r="R820" s="17"/>
      <c r="S820" s="17"/>
      <c r="T820" s="17"/>
      <c r="U820" s="17"/>
      <c r="V820" s="17"/>
      <c r="W820" s="17"/>
      <c r="X820" s="17"/>
      <c r="Y820" s="46" t="str">
        <f ca="1">IFERROR(VLOOKUP(A820,catalogo!$E:$H,2,0),"-")</f>
        <v>-</v>
      </c>
      <c r="Z820" s="47" t="str">
        <f ca="1">IFERROR(VLOOKUP(A820,catalogo!$E:$G,3,0),"-")</f>
        <v>-</v>
      </c>
      <c r="AA820" s="48"/>
      <c r="AB820" s="48"/>
      <c r="AC820" s="48" t="str">
        <f ca="1">IFERROR(VLOOKUP(A820,catalogo!$E:$H,4,0),"-")</f>
        <v>-</v>
      </c>
      <c r="AD820" s="48"/>
      <c r="AE820" s="48"/>
      <c r="AF820" s="48"/>
      <c r="AG820" s="48"/>
      <c r="AH820" s="48"/>
      <c r="AI820" s="48"/>
    </row>
    <row r="821" spans="1:35" ht="15.5" hidden="1">
      <c r="A821" s="37" t="s">
        <v>1598</v>
      </c>
      <c r="B821" s="38" t="str">
        <f>IFERROR(VLOOKUP(J821,catalogo!$B$1:$C$75,2,0),"-")</f>
        <v>-</v>
      </c>
      <c r="C821" s="39">
        <v>46073.416666666664</v>
      </c>
      <c r="D821" s="17"/>
      <c r="E821" s="17"/>
      <c r="F821" s="17"/>
      <c r="G821" s="42">
        <v>148.4</v>
      </c>
      <c r="H821" s="42">
        <v>148.4</v>
      </c>
      <c r="I821" s="43" t="s">
        <v>156</v>
      </c>
      <c r="J821" s="43" t="s">
        <v>493</v>
      </c>
      <c r="K821" s="43" t="s">
        <v>1599</v>
      </c>
      <c r="L821" s="44" t="s">
        <v>1600</v>
      </c>
      <c r="M821" s="45">
        <v>4682</v>
      </c>
      <c r="N821" s="44" t="s">
        <v>167</v>
      </c>
      <c r="O821" s="49"/>
      <c r="P821" s="17"/>
      <c r="Q821" s="17"/>
      <c r="R821" s="17"/>
      <c r="S821" s="17"/>
      <c r="T821" s="17"/>
      <c r="U821" s="17"/>
      <c r="V821" s="17"/>
      <c r="W821" s="17"/>
      <c r="X821" s="17"/>
      <c r="Y821" s="46" t="str">
        <f ca="1">IFERROR(VLOOKUP(A821,catalogo!$E:$H,2,0),"-")</f>
        <v>-</v>
      </c>
      <c r="Z821" s="47" t="str">
        <f ca="1">IFERROR(VLOOKUP(A821,catalogo!$E:$G,3,0),"-")</f>
        <v>-</v>
      </c>
      <c r="AA821" s="48"/>
      <c r="AB821" s="48"/>
      <c r="AC821" s="48" t="str">
        <f ca="1">IFERROR(VLOOKUP(A821,catalogo!$E:$H,4,0),"-")</f>
        <v>-</v>
      </c>
      <c r="AD821" s="48"/>
      <c r="AE821" s="48"/>
      <c r="AF821" s="48"/>
      <c r="AG821" s="48"/>
      <c r="AH821" s="48"/>
      <c r="AI821" s="48"/>
    </row>
    <row r="822" spans="1:35" ht="12.5" hidden="1">
      <c r="A822" s="37" t="s">
        <v>1601</v>
      </c>
      <c r="B822" s="38" t="str">
        <f>IFERROR(VLOOKUP(J822,catalogo!$B$1:$C$70,2,0),"-")</f>
        <v>-</v>
      </c>
      <c r="C822" s="39">
        <v>46073.416666666664</v>
      </c>
      <c r="D822" s="17"/>
      <c r="E822" s="17"/>
      <c r="F822" s="17"/>
      <c r="G822" s="42">
        <v>23.85</v>
      </c>
      <c r="H822" s="42">
        <v>23.85</v>
      </c>
      <c r="I822" s="43" t="s">
        <v>156</v>
      </c>
      <c r="J822" s="43" t="s">
        <v>493</v>
      </c>
      <c r="K822" s="43" t="s">
        <v>1602</v>
      </c>
      <c r="L822" s="44" t="s">
        <v>1603</v>
      </c>
      <c r="M822" s="44">
        <v>4682</v>
      </c>
      <c r="N822" s="44" t="s">
        <v>167</v>
      </c>
      <c r="O822" s="17"/>
      <c r="P822" s="17"/>
      <c r="Q822" s="17"/>
      <c r="R822" s="17"/>
      <c r="S822" s="17"/>
      <c r="T822" s="17"/>
      <c r="U822" s="17"/>
      <c r="V822" s="17"/>
      <c r="W822" s="17"/>
      <c r="X822" s="17"/>
      <c r="Y822" s="46" t="str">
        <f ca="1">IFERROR(VLOOKUP(A822,catalogo!$E:$G,2,0),"-")</f>
        <v>-</v>
      </c>
      <c r="Z822" s="47" t="str">
        <f ca="1">IFERROR(VLOOKUP(A822,catalogo!$E:$G,3,0),"-")</f>
        <v>-</v>
      </c>
      <c r="AA822" s="48"/>
      <c r="AB822" s="48"/>
      <c r="AC822" s="48" t="str">
        <f ca="1">IFERROR(VLOOKUP(A822,catalogo!$E:$H,4,0),"-")</f>
        <v>-</v>
      </c>
      <c r="AD822" s="48"/>
      <c r="AE822" s="48"/>
      <c r="AF822" s="48"/>
      <c r="AG822" s="48"/>
      <c r="AH822" s="48"/>
      <c r="AI822" s="48"/>
    </row>
    <row r="823" spans="1:35" ht="12.5" hidden="1">
      <c r="A823" s="37" t="s">
        <v>1604</v>
      </c>
      <c r="B823" s="38" t="str">
        <f>IFERROR(VLOOKUP(J823,catalogo!$B$1:$C$75,2,0),"-")</f>
        <v>#19</v>
      </c>
      <c r="C823" s="39">
        <v>46073.416666666664</v>
      </c>
      <c r="D823" s="40"/>
      <c r="E823" s="41"/>
      <c r="F823" s="41"/>
      <c r="G823" s="42">
        <v>209</v>
      </c>
      <c r="H823" s="42">
        <v>209</v>
      </c>
      <c r="I823" s="43" t="s">
        <v>156</v>
      </c>
      <c r="J823" s="43" t="s">
        <v>105</v>
      </c>
      <c r="K823" s="43" t="s">
        <v>755</v>
      </c>
      <c r="L823" s="44" t="s">
        <v>317</v>
      </c>
      <c r="M823" s="45">
        <v>5778</v>
      </c>
      <c r="N823" s="44" t="s">
        <v>167</v>
      </c>
      <c r="O823" s="41"/>
      <c r="P823" s="41"/>
      <c r="Q823" s="41"/>
      <c r="R823" s="41"/>
      <c r="S823" s="41"/>
      <c r="T823" s="41"/>
      <c r="U823" s="41"/>
      <c r="V823" s="41"/>
      <c r="W823" s="41"/>
      <c r="X823" s="41"/>
      <c r="Y823" s="46" t="str">
        <f ca="1">IFERROR(VLOOKUP(A823,catalogo!$E:$H,2,0),"-")</f>
        <v>Transaction cost</v>
      </c>
      <c r="Z823" s="47" t="str">
        <f ca="1">IFERROR(VLOOKUP(A823,catalogo!$E:$G,3,0),"-")</f>
        <v>PO2165 veolia UFCEB</v>
      </c>
      <c r="AA823" s="48"/>
      <c r="AB823" s="48"/>
      <c r="AC823" s="48" t="str">
        <f ca="1">IFERROR(VLOOKUP(A823,catalogo!$E:$H,4,0),"-")</f>
        <v>-</v>
      </c>
      <c r="AD823" s="48"/>
      <c r="AE823" s="48"/>
      <c r="AF823" s="48"/>
      <c r="AG823" s="48"/>
      <c r="AH823" s="48"/>
      <c r="AI823" s="48"/>
    </row>
    <row r="824" spans="1:35" ht="12.5" hidden="1">
      <c r="A824" s="37" t="s">
        <v>1605</v>
      </c>
      <c r="B824" s="38" t="str">
        <f>IFERROR(VLOOKUP(J824,catalogo!$B$1:$C$75,2,0),"-")</f>
        <v>#26</v>
      </c>
      <c r="C824" s="39">
        <v>46073.416666666664</v>
      </c>
      <c r="D824" s="40"/>
      <c r="E824" s="41"/>
      <c r="F824" s="41"/>
      <c r="G824" s="42">
        <v>30</v>
      </c>
      <c r="H824" s="42">
        <v>30</v>
      </c>
      <c r="I824" s="43" t="s">
        <v>156</v>
      </c>
      <c r="J824" s="43" t="s">
        <v>67</v>
      </c>
      <c r="K824" s="43" t="s">
        <v>757</v>
      </c>
      <c r="L824" s="44" t="s">
        <v>336</v>
      </c>
      <c r="M824" s="44" t="s">
        <v>159</v>
      </c>
      <c r="N824" s="44" t="s">
        <v>144</v>
      </c>
      <c r="O824" s="41"/>
      <c r="P824" s="41"/>
      <c r="Q824" s="41"/>
      <c r="R824" s="41"/>
      <c r="S824" s="41"/>
      <c r="T824" s="41"/>
      <c r="U824" s="41"/>
      <c r="V824" s="41"/>
      <c r="W824" s="41"/>
      <c r="X824" s="41"/>
      <c r="Y824" s="46" t="str">
        <f ca="1">IFERROR(VLOOKUP(A824,catalogo!$E:$H,2,0),"-")</f>
        <v>-</v>
      </c>
      <c r="Z824" s="47" t="str">
        <f ca="1">IFERROR(VLOOKUP(A824,catalogo!$E:$G,3,0),"-")</f>
        <v>-</v>
      </c>
      <c r="AA824" s="48"/>
      <c r="AB824" s="48"/>
      <c r="AC824" s="48" t="str">
        <f ca="1">IFERROR(VLOOKUP(A824,catalogo!$E:$H,4,0),"-")</f>
        <v>-</v>
      </c>
      <c r="AD824" s="48"/>
      <c r="AE824" s="48"/>
      <c r="AF824" s="48"/>
      <c r="AG824" s="48"/>
      <c r="AH824" s="48"/>
      <c r="AI824" s="48"/>
    </row>
    <row r="825" spans="1:35" ht="12.5" hidden="1">
      <c r="A825" s="37" t="s">
        <v>372</v>
      </c>
      <c r="B825" s="38" t="str">
        <f>IFERROR(VLOOKUP(J825,catalogo!$B$1:$C$100,2,0),"-")</f>
        <v>#26</v>
      </c>
      <c r="C825" s="39">
        <v>46073.416666666664</v>
      </c>
      <c r="D825" s="52"/>
      <c r="E825" s="17"/>
      <c r="F825" s="17"/>
      <c r="G825" s="42">
        <v>12.09</v>
      </c>
      <c r="H825" s="42">
        <v>12.09</v>
      </c>
      <c r="I825" s="43" t="s">
        <v>156</v>
      </c>
      <c r="J825" s="43" t="s">
        <v>67</v>
      </c>
      <c r="K825" s="43" t="s">
        <v>757</v>
      </c>
      <c r="L825" s="44" t="s">
        <v>336</v>
      </c>
      <c r="M825" s="45" t="s">
        <v>159</v>
      </c>
      <c r="N825" s="44" t="s">
        <v>144</v>
      </c>
      <c r="O825" s="17"/>
      <c r="P825" s="17"/>
      <c r="Q825" s="17"/>
      <c r="R825" s="17"/>
      <c r="S825" s="17"/>
      <c r="T825" s="17"/>
      <c r="U825" s="17"/>
      <c r="V825" s="17"/>
      <c r="W825" s="17"/>
      <c r="X825" s="17"/>
      <c r="Y825" s="46" t="str">
        <f ca="1">IFERROR(VLOOKUP(A825,catalogo!$E:$H,2,0),"-")</f>
        <v>-</v>
      </c>
      <c r="Z825" s="47" t="str">
        <f ca="1">IFERROR(VLOOKUP(A825,catalogo!$E:$G,3,0),"-")</f>
        <v>-</v>
      </c>
      <c r="AA825" s="48"/>
      <c r="AB825" s="48"/>
      <c r="AC825" s="48" t="str">
        <f ca="1">IFERROR(VLOOKUP(A825,catalogo!$E:$H,4,0),"-")</f>
        <v>-</v>
      </c>
      <c r="AD825" s="48"/>
      <c r="AE825" s="48"/>
      <c r="AF825" s="48"/>
      <c r="AG825" s="48"/>
      <c r="AH825" s="48"/>
      <c r="AI825" s="48"/>
    </row>
    <row r="826" spans="1:35" ht="12.5" hidden="1">
      <c r="A826" s="37" t="s">
        <v>497</v>
      </c>
      <c r="B826" s="38" t="str">
        <f>IFERROR(VLOOKUP(J826,catalogo!$B$1:$C$75,2,0),"-")</f>
        <v>#26</v>
      </c>
      <c r="C826" s="39">
        <v>46073.416666666664</v>
      </c>
      <c r="D826" s="52"/>
      <c r="E826" s="17"/>
      <c r="F826" s="17"/>
      <c r="G826" s="42">
        <v>101</v>
      </c>
      <c r="H826" s="42">
        <v>101</v>
      </c>
      <c r="I826" s="43" t="s">
        <v>156</v>
      </c>
      <c r="J826" s="43" t="s">
        <v>67</v>
      </c>
      <c r="K826" s="43" t="s">
        <v>757</v>
      </c>
      <c r="L826" s="44" t="s">
        <v>336</v>
      </c>
      <c r="M826" s="44" t="s">
        <v>159</v>
      </c>
      <c r="N826" s="44" t="s">
        <v>144</v>
      </c>
      <c r="O826" s="17"/>
      <c r="P826" s="17"/>
      <c r="Q826" s="17"/>
      <c r="R826" s="17"/>
      <c r="S826" s="17"/>
      <c r="T826" s="17"/>
      <c r="U826" s="17"/>
      <c r="V826" s="17"/>
      <c r="W826" s="17"/>
      <c r="X826" s="17"/>
      <c r="Y826" s="46" t="str">
        <f ca="1">IFERROR(VLOOKUP(A826,catalogo!$E:$H,2,0),"-")</f>
        <v>-</v>
      </c>
      <c r="Z826" s="47" t="str">
        <f ca="1">IFERROR(VLOOKUP(A826,catalogo!$E:$G,3,0),"-")</f>
        <v>-</v>
      </c>
      <c r="AA826" s="48"/>
      <c r="AB826" s="48"/>
      <c r="AC826" s="48" t="str">
        <f ca="1">IFERROR(VLOOKUP(A826,catalogo!$E:$H,4,0),"-")</f>
        <v>-</v>
      </c>
      <c r="AD826" s="48"/>
      <c r="AE826" s="48"/>
      <c r="AF826" s="48"/>
      <c r="AG826" s="48"/>
      <c r="AH826" s="48"/>
      <c r="AI826" s="48"/>
    </row>
    <row r="827" spans="1:35" ht="12.5" hidden="1">
      <c r="A827" s="37" t="s">
        <v>1606</v>
      </c>
      <c r="B827" s="38" t="str">
        <f>IFERROR(VLOOKUP(J827,catalogo!$B$1:$C$100,2,0),"-")</f>
        <v>#8</v>
      </c>
      <c r="C827" s="39">
        <v>46073.416666666664</v>
      </c>
      <c r="D827" s="17"/>
      <c r="E827" s="17"/>
      <c r="F827" s="17"/>
      <c r="G827" s="42">
        <v>129</v>
      </c>
      <c r="H827" s="42">
        <v>129</v>
      </c>
      <c r="I827" s="43" t="s">
        <v>156</v>
      </c>
      <c r="J827" s="43" t="s">
        <v>128</v>
      </c>
      <c r="K827" s="43" t="s">
        <v>1607</v>
      </c>
      <c r="L827" s="44" t="s">
        <v>1608</v>
      </c>
      <c r="M827" s="44">
        <v>16</v>
      </c>
      <c r="N827" s="44" t="s">
        <v>167</v>
      </c>
      <c r="O827" s="17"/>
      <c r="P827" s="17"/>
      <c r="Q827" s="17"/>
      <c r="R827" s="17"/>
      <c r="S827" s="17"/>
      <c r="T827" s="17"/>
      <c r="U827" s="17"/>
      <c r="V827" s="17"/>
      <c r="W827" s="17"/>
      <c r="X827" s="17"/>
      <c r="Y827" s="46" t="str">
        <f ca="1">IFERROR(VLOOKUP(A827,catalogo!$E:$G,2,0),"-")</f>
        <v>Transaction cost</v>
      </c>
      <c r="Z827" s="47" t="str">
        <f ca="1">IFERROR(VLOOKUP(A827,catalogo!$E:$G,3,0),"-")</f>
        <v>INSUMOS PARA PRUEBA DE ADHEDRENCIA  PO2165 - ENSAMBLE UF/CEB MECANICO</v>
      </c>
      <c r="AA827" s="48"/>
      <c r="AB827" s="48"/>
      <c r="AC827" s="48" t="str">
        <f ca="1">IFERROR(VLOOKUP(A827,catalogo!$E:$H,4,0),"-")</f>
        <v>.</v>
      </c>
      <c r="AD827" s="48"/>
      <c r="AE827" s="48"/>
      <c r="AF827" s="48"/>
      <c r="AG827" s="48"/>
      <c r="AH827" s="48"/>
      <c r="AI827" s="48"/>
    </row>
    <row r="828" spans="1:35" ht="12.5" hidden="1">
      <c r="A828" s="37" t="s">
        <v>1609</v>
      </c>
      <c r="B828" s="38" t="str">
        <f>IFERROR(VLOOKUP(J828,catalogo!$B$1:$C$75,2,0),"-")</f>
        <v>-</v>
      </c>
      <c r="C828" s="39">
        <v>46073.416666666664</v>
      </c>
      <c r="D828" s="52"/>
      <c r="E828" s="17"/>
      <c r="F828" s="17"/>
      <c r="G828" s="42">
        <v>114</v>
      </c>
      <c r="H828" s="42">
        <v>114</v>
      </c>
      <c r="I828" s="43" t="s">
        <v>156</v>
      </c>
      <c r="J828" s="50" t="s">
        <v>325</v>
      </c>
      <c r="K828" s="43" t="s">
        <v>1610</v>
      </c>
      <c r="L828" s="44" t="s">
        <v>1611</v>
      </c>
      <c r="M828" s="45">
        <v>7984</v>
      </c>
      <c r="N828" s="44" t="s">
        <v>167</v>
      </c>
      <c r="O828" s="17"/>
      <c r="P828" s="17"/>
      <c r="Q828" s="17"/>
      <c r="R828" s="17"/>
      <c r="S828" s="17"/>
      <c r="T828" s="17"/>
      <c r="U828" s="17"/>
      <c r="V828" s="17"/>
      <c r="W828" s="17"/>
      <c r="X828" s="17"/>
      <c r="Y828" s="46" t="str">
        <f ca="1">IFERROR(VLOOKUP(A828,catalogo!$E:$H,2,0),"-")</f>
        <v>-</v>
      </c>
      <c r="Z828" s="47" t="str">
        <f ca="1">IFERROR(VLOOKUP(A828,catalogo!$E:$G,3,0),"-")</f>
        <v>-</v>
      </c>
      <c r="AA828" s="48"/>
      <c r="AB828" s="48"/>
      <c r="AC828" s="48" t="str">
        <f ca="1">IFERROR(VLOOKUP(A828,catalogo!$E:$H,4,0),"-")</f>
        <v>-</v>
      </c>
      <c r="AD828" s="48"/>
      <c r="AE828" s="48"/>
      <c r="AF828" s="48"/>
      <c r="AG828" s="48"/>
      <c r="AH828" s="48"/>
      <c r="AI828" s="48"/>
    </row>
    <row r="829" spans="1:35" ht="15.5" hidden="1">
      <c r="A829" s="37" t="s">
        <v>1612</v>
      </c>
      <c r="B829" s="38" t="str">
        <f>IFERROR(VLOOKUP(J829,catalogo!$B$1:$C$75,2,0),"-")</f>
        <v>#74</v>
      </c>
      <c r="C829" s="39">
        <v>46073.416666666664</v>
      </c>
      <c r="D829" s="17"/>
      <c r="E829" s="17"/>
      <c r="F829" s="17"/>
      <c r="G829" s="42">
        <v>189</v>
      </c>
      <c r="H829" s="42">
        <v>189</v>
      </c>
      <c r="I829" s="43" t="s">
        <v>156</v>
      </c>
      <c r="J829" s="43" t="s">
        <v>286</v>
      </c>
      <c r="K829" s="43" t="s">
        <v>1613</v>
      </c>
      <c r="L829" s="44" t="s">
        <v>1614</v>
      </c>
      <c r="M829" s="44">
        <v>5481</v>
      </c>
      <c r="N829" s="44" t="s">
        <v>167</v>
      </c>
      <c r="O829" s="49"/>
      <c r="P829" s="17"/>
      <c r="Q829" s="17"/>
      <c r="R829" s="17"/>
      <c r="S829" s="17"/>
      <c r="T829" s="17"/>
      <c r="U829" s="17"/>
      <c r="V829" s="17"/>
      <c r="W829" s="17"/>
      <c r="X829" s="17"/>
      <c r="Y829" s="46" t="str">
        <f ca="1">IFERROR(VLOOKUP(A829,catalogo!$E:$H,2,0),"-")</f>
        <v>-</v>
      </c>
      <c r="Z829" s="47" t="str">
        <f ca="1">IFERROR(VLOOKUP(A829,catalogo!$E:$G,3,0),"-")</f>
        <v>-</v>
      </c>
      <c r="AA829" s="48"/>
      <c r="AB829" s="48"/>
      <c r="AC829" s="48" t="str">
        <f ca="1">IFERROR(VLOOKUP(A829,catalogo!$E:$H,4,0),"-")</f>
        <v>-</v>
      </c>
      <c r="AD829" s="48"/>
      <c r="AE829" s="48"/>
      <c r="AF829" s="48"/>
      <c r="AG829" s="48"/>
      <c r="AH829" s="48"/>
      <c r="AI829" s="48"/>
    </row>
    <row r="830" spans="1:35" ht="12.5" hidden="1">
      <c r="A830" s="37" t="s">
        <v>1615</v>
      </c>
      <c r="B830" s="38" t="str">
        <f>IFERROR(VLOOKUP(J830,catalogo!$B$1:$C$85,2,0),"-")</f>
        <v>-</v>
      </c>
      <c r="C830" s="39">
        <v>46073.416666666664</v>
      </c>
      <c r="D830" s="40"/>
      <c r="E830" s="41"/>
      <c r="F830" s="41"/>
      <c r="G830" s="42">
        <v>200</v>
      </c>
      <c r="H830" s="42">
        <v>200</v>
      </c>
      <c r="I830" s="43" t="s">
        <v>156</v>
      </c>
      <c r="J830" s="43" t="s">
        <v>272</v>
      </c>
      <c r="K830" s="43" t="s">
        <v>660</v>
      </c>
      <c r="L830" s="44" t="s">
        <v>661</v>
      </c>
      <c r="M830" s="45" t="s">
        <v>1568</v>
      </c>
      <c r="N830" s="44" t="s">
        <v>144</v>
      </c>
      <c r="O830" s="41" t="s">
        <v>1616</v>
      </c>
      <c r="P830" s="41"/>
      <c r="Q830" s="41"/>
      <c r="R830" s="41"/>
      <c r="S830" s="41"/>
      <c r="T830" s="41"/>
      <c r="U830" s="41"/>
      <c r="V830" s="41"/>
      <c r="W830" s="41"/>
      <c r="X830" s="41"/>
      <c r="Y830" s="46" t="str">
        <f ca="1">IFERROR(VLOOKUP(A830,catalogo!$E:$H,2,0),"-")</f>
        <v>-</v>
      </c>
      <c r="Z830" s="47" t="str">
        <f ca="1">IFERROR(VLOOKUP(A830,catalogo!$E:$G,3,0),"-")</f>
        <v>-</v>
      </c>
      <c r="AA830" s="48"/>
      <c r="AB830" s="48"/>
      <c r="AC830" s="48" t="str">
        <f ca="1">IFERROR(VLOOKUP(A830,catalogo!$E:$H,4,0),"-")</f>
        <v>-</v>
      </c>
      <c r="AD830" s="48"/>
      <c r="AE830" s="48"/>
      <c r="AF830" s="48"/>
      <c r="AG830" s="48"/>
      <c r="AH830" s="48"/>
      <c r="AI830" s="48"/>
    </row>
    <row r="831" spans="1:35" ht="12.5" hidden="1">
      <c r="A831" s="37" t="s">
        <v>1617</v>
      </c>
      <c r="B831" s="38" t="str">
        <f>IFERROR(VLOOKUP(J831,catalogo!$B$1:$C$75,2,0),"-")</f>
        <v>#66</v>
      </c>
      <c r="C831" s="39">
        <v>46073.416666666664</v>
      </c>
      <c r="D831" s="17"/>
      <c r="E831" s="17"/>
      <c r="F831" s="17"/>
      <c r="G831" s="42">
        <v>1428.96</v>
      </c>
      <c r="H831" s="42">
        <v>1428.96</v>
      </c>
      <c r="I831" s="43" t="s">
        <v>156</v>
      </c>
      <c r="J831" s="43" t="s">
        <v>80</v>
      </c>
      <c r="K831" s="43" t="s">
        <v>863</v>
      </c>
      <c r="L831" s="44" t="s">
        <v>864</v>
      </c>
      <c r="M831" s="45">
        <v>2406</v>
      </c>
      <c r="N831" s="44" t="s">
        <v>167</v>
      </c>
      <c r="O831" s="17"/>
      <c r="P831" s="17"/>
      <c r="Q831" s="17"/>
      <c r="R831" s="17"/>
      <c r="S831" s="17"/>
      <c r="T831" s="17"/>
      <c r="U831" s="17"/>
      <c r="V831" s="17"/>
      <c r="W831" s="17"/>
      <c r="X831" s="17"/>
      <c r="Y831" s="46" t="str">
        <f ca="1">IFERROR(VLOOKUP(A831,catalogo!$E:$H,2,0),"-")</f>
        <v>-</v>
      </c>
      <c r="Z831" s="47" t="str">
        <f ca="1">IFERROR(VLOOKUP(A831,catalogo!$E:$G,3,0),"-")</f>
        <v>-</v>
      </c>
      <c r="AA831" s="48"/>
      <c r="AB831" s="48"/>
      <c r="AC831" s="48" t="str">
        <f ca="1">IFERROR(VLOOKUP(A831,catalogo!$E:$H,4,0),"-")</f>
        <v>-</v>
      </c>
      <c r="AD831" s="48"/>
      <c r="AE831" s="48"/>
      <c r="AF831" s="48"/>
      <c r="AG831" s="48"/>
      <c r="AH831" s="48"/>
      <c r="AI831" s="48"/>
    </row>
    <row r="832" spans="1:35" ht="12.5" hidden="1">
      <c r="A832" s="37" t="s">
        <v>221</v>
      </c>
      <c r="B832" s="38" t="str">
        <f>IFERROR(VLOOKUP(J832,catalogo!$B$1:$C$75,2,0),"-")</f>
        <v>-</v>
      </c>
      <c r="C832" s="39">
        <v>46073.416666666664</v>
      </c>
      <c r="D832" s="17"/>
      <c r="E832" s="17"/>
      <c r="F832" s="17"/>
      <c r="G832" s="42">
        <v>356</v>
      </c>
      <c r="H832" s="42">
        <v>356</v>
      </c>
      <c r="I832" s="43" t="s">
        <v>156</v>
      </c>
      <c r="J832" s="43" t="s">
        <v>321</v>
      </c>
      <c r="K832" s="43" t="s">
        <v>1035</v>
      </c>
      <c r="L832" s="44" t="s">
        <v>1036</v>
      </c>
      <c r="M832" s="45">
        <v>3340</v>
      </c>
      <c r="N832" s="44" t="s">
        <v>167</v>
      </c>
      <c r="O832" s="17"/>
      <c r="P832" s="17"/>
      <c r="Q832" s="17"/>
      <c r="R832" s="17"/>
      <c r="S832" s="17"/>
      <c r="T832" s="17"/>
      <c r="U832" s="17"/>
      <c r="V832" s="17"/>
      <c r="W832" s="17"/>
      <c r="X832" s="17"/>
      <c r="Y832" s="46" t="str">
        <f ca="1">IFERROR(VLOOKUP(A832,catalogo!$E:$H,2,0),"-")</f>
        <v>-</v>
      </c>
      <c r="Z832" s="47" t="str">
        <f ca="1">IFERROR(VLOOKUP(A832,catalogo!$E:$G,3,0),"-")</f>
        <v>-</v>
      </c>
      <c r="AA832" s="48"/>
      <c r="AB832" s="48"/>
      <c r="AC832" s="48" t="str">
        <f ca="1">IFERROR(VLOOKUP(A832,catalogo!$E:$H,4,0),"-")</f>
        <v>-</v>
      </c>
      <c r="AD832" s="48"/>
      <c r="AE832" s="48"/>
      <c r="AF832" s="48"/>
      <c r="AG832" s="48"/>
      <c r="AH832" s="48"/>
      <c r="AI832" s="48"/>
    </row>
    <row r="833" spans="1:35" ht="12.5" hidden="1">
      <c r="A833" s="37" t="s">
        <v>1618</v>
      </c>
      <c r="B833" s="38" t="str">
        <f>IFERROR(VLOOKUP(J833,catalogo!$B$1:$C$75,2,0),"-")</f>
        <v>-</v>
      </c>
      <c r="C833" s="39">
        <v>46073.416666666664</v>
      </c>
      <c r="D833" s="17"/>
      <c r="E833" s="17"/>
      <c r="F833" s="17"/>
      <c r="G833" s="42">
        <v>108</v>
      </c>
      <c r="H833" s="42">
        <v>108</v>
      </c>
      <c r="I833" s="43" t="s">
        <v>156</v>
      </c>
      <c r="J833" s="43" t="s">
        <v>321</v>
      </c>
      <c r="K833" s="43" t="s">
        <v>1035</v>
      </c>
      <c r="L833" s="44" t="s">
        <v>1036</v>
      </c>
      <c r="M833" s="45">
        <v>3340</v>
      </c>
      <c r="N833" s="44" t="s">
        <v>167</v>
      </c>
      <c r="O833" s="17"/>
      <c r="P833" s="17"/>
      <c r="Q833" s="17"/>
      <c r="R833" s="17"/>
      <c r="S833" s="17"/>
      <c r="T833" s="17"/>
      <c r="U833" s="17"/>
      <c r="V833" s="17"/>
      <c r="W833" s="17"/>
      <c r="X833" s="17"/>
      <c r="Y833" s="46" t="str">
        <f ca="1">IFERROR(VLOOKUP(A833,catalogo!$E:$H,2,0),"-")</f>
        <v>-</v>
      </c>
      <c r="Z833" s="47" t="str">
        <f ca="1">IFERROR(VLOOKUP(A833,catalogo!$E:$G,3,0),"-")</f>
        <v>-</v>
      </c>
      <c r="AA833" s="48"/>
      <c r="AB833" s="48"/>
      <c r="AC833" s="48" t="str">
        <f ca="1">IFERROR(VLOOKUP(A833,catalogo!$E:$H,4,0),"-")</f>
        <v>-</v>
      </c>
      <c r="AD833" s="48"/>
      <c r="AE833" s="48"/>
      <c r="AF833" s="48"/>
      <c r="AG833" s="48"/>
      <c r="AH833" s="48"/>
      <c r="AI833" s="48"/>
    </row>
    <row r="834" spans="1:35" ht="15.5" hidden="1">
      <c r="A834" s="37" t="s">
        <v>1619</v>
      </c>
      <c r="B834" s="38" t="str">
        <f>IFERROR(VLOOKUP(J834,catalogo!$B$1:$C$100,2,0),"-")</f>
        <v>#26</v>
      </c>
      <c r="C834" s="39">
        <v>46073.416666666664</v>
      </c>
      <c r="D834" s="17"/>
      <c r="E834" s="17"/>
      <c r="F834" s="17"/>
      <c r="G834" s="42">
        <v>349</v>
      </c>
      <c r="H834" s="42">
        <v>349</v>
      </c>
      <c r="I834" s="43" t="s">
        <v>156</v>
      </c>
      <c r="J834" s="43" t="s">
        <v>67</v>
      </c>
      <c r="K834" s="43" t="s">
        <v>335</v>
      </c>
      <c r="L834" s="44" t="s">
        <v>336</v>
      </c>
      <c r="M834" s="45" t="s">
        <v>159</v>
      </c>
      <c r="N834" s="44" t="s">
        <v>144</v>
      </c>
      <c r="O834" s="49"/>
      <c r="P834" s="17"/>
      <c r="Q834" s="17"/>
      <c r="R834" s="17"/>
      <c r="S834" s="17"/>
      <c r="T834" s="17"/>
      <c r="U834" s="17"/>
      <c r="V834" s="17"/>
      <c r="W834" s="17"/>
      <c r="X834" s="17"/>
      <c r="Y834" s="46" t="str">
        <f ca="1">IFERROR(VLOOKUP(A834,catalogo!$E:$H,2,0),"-")</f>
        <v>-</v>
      </c>
      <c r="Z834" s="47" t="str">
        <f ca="1">IFERROR(VLOOKUP(A834,catalogo!$E:$G,3,0),"-")</f>
        <v>-</v>
      </c>
      <c r="AA834" s="48"/>
      <c r="AB834" s="48"/>
      <c r="AC834" s="48" t="str">
        <f ca="1">IFERROR(VLOOKUP(A834,catalogo!$E:$H,4,0),"-")</f>
        <v>-</v>
      </c>
      <c r="AD834" s="48"/>
      <c r="AE834" s="48"/>
      <c r="AF834" s="48"/>
      <c r="AG834" s="48"/>
      <c r="AH834" s="48"/>
      <c r="AI834" s="48"/>
    </row>
    <row r="835" spans="1:35" ht="12.5" hidden="1">
      <c r="A835" s="37" t="s">
        <v>1620</v>
      </c>
      <c r="B835" s="38" t="str">
        <f>IFERROR(VLOOKUP(J835,catalogo!$B$1:$C$100,2,0),"-")</f>
        <v>#26</v>
      </c>
      <c r="C835" s="39">
        <v>46073.416666666664</v>
      </c>
      <c r="D835" s="40"/>
      <c r="E835" s="41"/>
      <c r="F835" s="41"/>
      <c r="G835" s="42">
        <v>121.35</v>
      </c>
      <c r="H835" s="42">
        <v>121.35</v>
      </c>
      <c r="I835" s="43" t="s">
        <v>156</v>
      </c>
      <c r="J835" s="43" t="s">
        <v>67</v>
      </c>
      <c r="K835" s="43" t="s">
        <v>180</v>
      </c>
      <c r="L835" s="44" t="s">
        <v>181</v>
      </c>
      <c r="M835" s="44">
        <v>8061</v>
      </c>
      <c r="N835" s="44" t="s">
        <v>167</v>
      </c>
      <c r="O835" s="41"/>
      <c r="P835" s="41"/>
      <c r="Q835" s="41"/>
      <c r="R835" s="41"/>
      <c r="S835" s="41"/>
      <c r="T835" s="41"/>
      <c r="U835" s="41"/>
      <c r="V835" s="41"/>
      <c r="W835" s="41"/>
      <c r="X835" s="41"/>
      <c r="Y835" s="46" t="str">
        <f ca="1">IFERROR(VLOOKUP(A835,catalogo!$E:$H,2,0),"-")</f>
        <v>-</v>
      </c>
      <c r="Z835" s="47" t="str">
        <f ca="1">IFERROR(VLOOKUP(A835,catalogo!$E:$G,3,0),"-")</f>
        <v>-</v>
      </c>
      <c r="AA835" s="48"/>
      <c r="AB835" s="48"/>
      <c r="AC835" s="48" t="str">
        <f ca="1">IFERROR(VLOOKUP(A835,catalogo!$E:$H,4,0),"-")</f>
        <v>-</v>
      </c>
      <c r="AD835" s="48"/>
      <c r="AE835" s="48"/>
      <c r="AF835" s="48"/>
      <c r="AG835" s="48"/>
      <c r="AH835" s="48"/>
      <c r="AI835" s="48"/>
    </row>
    <row r="836" spans="1:35" ht="15.5" hidden="1">
      <c r="A836" s="37" t="s">
        <v>1621</v>
      </c>
      <c r="B836" s="38" t="str">
        <f>IFERROR(VLOOKUP(J836,catalogo!$B$1:$C$100,2,0),"-")</f>
        <v>#56</v>
      </c>
      <c r="C836" s="39">
        <v>46073.416666666664</v>
      </c>
      <c r="D836" s="17"/>
      <c r="E836" s="17"/>
      <c r="F836" s="17"/>
      <c r="G836" s="42">
        <v>159</v>
      </c>
      <c r="H836" s="42">
        <v>159</v>
      </c>
      <c r="I836" s="43" t="s">
        <v>156</v>
      </c>
      <c r="J836" s="43" t="s">
        <v>99</v>
      </c>
      <c r="K836" s="43" t="s">
        <v>757</v>
      </c>
      <c r="L836" s="44" t="s">
        <v>336</v>
      </c>
      <c r="M836" s="45">
        <v>8949</v>
      </c>
      <c r="N836" s="44" t="s">
        <v>167</v>
      </c>
      <c r="O836" s="49"/>
      <c r="P836" s="17"/>
      <c r="Q836" s="17"/>
      <c r="R836" s="17"/>
      <c r="S836" s="17"/>
      <c r="T836" s="17"/>
      <c r="U836" s="17"/>
      <c r="V836" s="17"/>
      <c r="W836" s="17"/>
      <c r="X836" s="17"/>
      <c r="Y836" s="46" t="str">
        <f ca="1">IFERROR(VLOOKUP(A836,catalogo!$E:$H,2,0),"-")</f>
        <v>-</v>
      </c>
      <c r="Z836" s="47" t="str">
        <f ca="1">IFERROR(VLOOKUP(A836,catalogo!$E:$G,3,0),"-")</f>
        <v>-</v>
      </c>
      <c r="AA836" s="48"/>
      <c r="AB836" s="48"/>
      <c r="AC836" s="48" t="str">
        <f ca="1">IFERROR(VLOOKUP(A836,catalogo!$E:$H,4,0),"-")</f>
        <v>-</v>
      </c>
      <c r="AD836" s="48"/>
      <c r="AE836" s="48"/>
      <c r="AF836" s="48"/>
      <c r="AG836" s="48"/>
      <c r="AH836" s="48"/>
      <c r="AI836" s="48"/>
    </row>
    <row r="837" spans="1:35" ht="12.5" hidden="1">
      <c r="A837" s="37" t="s">
        <v>1622</v>
      </c>
      <c r="B837" s="38" t="str">
        <f>IFERROR(VLOOKUP(J837,catalogo!$B$1:$C$70,2,0),"-")</f>
        <v>#26</v>
      </c>
      <c r="C837" s="39">
        <v>46073.416666666664</v>
      </c>
      <c r="D837" s="17"/>
      <c r="E837" s="17"/>
      <c r="F837" s="17"/>
      <c r="G837" s="42">
        <v>250</v>
      </c>
      <c r="H837" s="42">
        <v>250</v>
      </c>
      <c r="I837" s="43" t="s">
        <v>156</v>
      </c>
      <c r="J837" s="43" t="s">
        <v>67</v>
      </c>
      <c r="K837" s="43" t="s">
        <v>335</v>
      </c>
      <c r="L837" s="44" t="s">
        <v>336</v>
      </c>
      <c r="M837" s="44" t="s">
        <v>159</v>
      </c>
      <c r="N837" s="44" t="s">
        <v>144</v>
      </c>
      <c r="O837" s="17"/>
      <c r="P837" s="17"/>
      <c r="Q837" s="17"/>
      <c r="R837" s="17"/>
      <c r="S837" s="17"/>
      <c r="T837" s="17"/>
      <c r="U837" s="17"/>
      <c r="V837" s="17"/>
      <c r="W837" s="17"/>
      <c r="X837" s="17"/>
      <c r="Y837" s="46" t="str">
        <f ca="1">IFERROR(VLOOKUP(A837,catalogo!$E:$G,2,0),"-")</f>
        <v>-</v>
      </c>
      <c r="Z837" s="47" t="str">
        <f ca="1">IFERROR(VLOOKUP(A837,catalogo!$E:$G,3,0),"-")</f>
        <v>-</v>
      </c>
      <c r="AA837" s="48"/>
      <c r="AB837" s="48"/>
      <c r="AC837" s="48" t="str">
        <f ca="1">IFERROR(VLOOKUP(A837,catalogo!$E:$H,4,0),"-")</f>
        <v>-</v>
      </c>
      <c r="AD837" s="48"/>
      <c r="AE837" s="48"/>
      <c r="AF837" s="48"/>
      <c r="AG837" s="48"/>
      <c r="AH837" s="48"/>
      <c r="AI837" s="48"/>
    </row>
    <row r="838" spans="1:35" ht="12.5" hidden="1">
      <c r="A838" s="37" t="s">
        <v>1623</v>
      </c>
      <c r="B838" s="38" t="str">
        <f>IFERROR(VLOOKUP(J838,catalogo!$B$1:$C$80,2,0),"-")</f>
        <v>#40</v>
      </c>
      <c r="C838" s="39">
        <v>46073.416666666664</v>
      </c>
      <c r="D838" s="17"/>
      <c r="E838" s="17"/>
      <c r="F838" s="17"/>
      <c r="G838" s="42">
        <v>2987</v>
      </c>
      <c r="H838" s="42">
        <v>2987</v>
      </c>
      <c r="I838" s="43" t="s">
        <v>156</v>
      </c>
      <c r="J838" s="43" t="s">
        <v>136</v>
      </c>
      <c r="K838" s="43" t="s">
        <v>1624</v>
      </c>
      <c r="L838" s="44" t="s">
        <v>223</v>
      </c>
      <c r="M838" s="44" t="s">
        <v>882</v>
      </c>
      <c r="N838" s="44" t="s">
        <v>144</v>
      </c>
      <c r="O838" s="17"/>
      <c r="P838" s="17"/>
      <c r="Q838" s="17"/>
      <c r="R838" s="17"/>
      <c r="S838" s="17"/>
      <c r="T838" s="17"/>
      <c r="U838" s="17"/>
      <c r="V838" s="17"/>
      <c r="W838" s="17"/>
      <c r="X838" s="17"/>
      <c r="Y838" s="46" t="str">
        <f ca="1">IFERROR(VLOOKUP(A838,catalogo!$E:$G,2,0),"-")</f>
        <v>-</v>
      </c>
      <c r="Z838" s="47" t="str">
        <f ca="1">IFERROR(VLOOKUP(A838,catalogo!$E:$G,3,0),"-")</f>
        <v>-</v>
      </c>
      <c r="AA838" s="48"/>
      <c r="AB838" s="48"/>
      <c r="AC838" s="48" t="str">
        <f ca="1">IFERROR(VLOOKUP(A838,catalogo!$E:$H,4,0),"-")</f>
        <v>-</v>
      </c>
      <c r="AD838" s="48"/>
      <c r="AE838" s="48"/>
      <c r="AF838" s="48"/>
      <c r="AG838" s="48"/>
      <c r="AH838" s="48"/>
      <c r="AI838" s="48"/>
    </row>
    <row r="839" spans="1:35" ht="12.5" hidden="1">
      <c r="A839" s="37" t="s">
        <v>1625</v>
      </c>
      <c r="B839" s="38" t="str">
        <f>IFERROR(VLOOKUP(J839,catalogo!$B$1:$C$70,2,0),"-")</f>
        <v>-</v>
      </c>
      <c r="C839" s="39">
        <v>46073.416666666664</v>
      </c>
      <c r="D839" s="17"/>
      <c r="E839" s="17"/>
      <c r="F839" s="17"/>
      <c r="G839" s="42">
        <v>42</v>
      </c>
      <c r="H839" s="42">
        <v>42</v>
      </c>
      <c r="I839" s="43" t="s">
        <v>156</v>
      </c>
      <c r="J839" s="43" t="s">
        <v>269</v>
      </c>
      <c r="K839" s="43" t="s">
        <v>1355</v>
      </c>
      <c r="L839" s="44" t="s">
        <v>1356</v>
      </c>
      <c r="M839" s="45" t="s">
        <v>270</v>
      </c>
      <c r="N839" s="44" t="s">
        <v>144</v>
      </c>
      <c r="O839" s="17"/>
      <c r="P839" s="17"/>
      <c r="Q839" s="17"/>
      <c r="R839" s="17"/>
      <c r="S839" s="17"/>
      <c r="T839" s="17"/>
      <c r="U839" s="17"/>
      <c r="V839" s="17"/>
      <c r="W839" s="17"/>
      <c r="X839" s="17"/>
      <c r="Y839" s="46" t="str">
        <f ca="1">IFERROR(VLOOKUP(A839,catalogo!$E:$G,2,0),"-")</f>
        <v>-</v>
      </c>
      <c r="Z839" s="47" t="str">
        <f ca="1">IFERROR(VLOOKUP(A839,catalogo!$E:$G,3,0),"-")</f>
        <v>-</v>
      </c>
      <c r="AA839" s="48"/>
      <c r="AB839" s="48"/>
      <c r="AC839" s="48" t="str">
        <f ca="1">IFERROR(VLOOKUP(A839,catalogo!$E:$H,4,0),"-")</f>
        <v>-</v>
      </c>
      <c r="AD839" s="48"/>
      <c r="AE839" s="48"/>
      <c r="AF839" s="48"/>
      <c r="AG839" s="48"/>
      <c r="AH839" s="48"/>
      <c r="AI839" s="48"/>
    </row>
    <row r="840" spans="1:35" ht="12.5" hidden="1">
      <c r="A840" s="37" t="s">
        <v>1626</v>
      </c>
      <c r="B840" s="38" t="str">
        <f>IFERROR(VLOOKUP(J840,catalogo!$B$1:$C$75,2,0),"-")</f>
        <v>#40</v>
      </c>
      <c r="C840" s="39">
        <v>46073.416666666664</v>
      </c>
      <c r="D840" s="40"/>
      <c r="E840" s="41"/>
      <c r="F840" s="41"/>
      <c r="G840" s="42">
        <v>13250</v>
      </c>
      <c r="H840" s="42">
        <v>13250</v>
      </c>
      <c r="I840" s="43" t="s">
        <v>156</v>
      </c>
      <c r="J840" s="43" t="s">
        <v>136</v>
      </c>
      <c r="K840" s="43" t="s">
        <v>1624</v>
      </c>
      <c r="L840" s="44" t="s">
        <v>223</v>
      </c>
      <c r="M840" s="44" t="s">
        <v>882</v>
      </c>
      <c r="N840" s="44" t="s">
        <v>144</v>
      </c>
      <c r="O840" s="41"/>
      <c r="P840" s="41"/>
      <c r="Q840" s="41"/>
      <c r="R840" s="41"/>
      <c r="S840" s="41"/>
      <c r="T840" s="41"/>
      <c r="U840" s="41"/>
      <c r="V840" s="41"/>
      <c r="W840" s="41"/>
      <c r="X840" s="41"/>
      <c r="Y840" s="46" t="str">
        <f ca="1">IFERROR(VLOOKUP(A840,catalogo!$E:$H,2,0),"-")</f>
        <v>-</v>
      </c>
      <c r="Z840" s="47" t="str">
        <f ca="1">IFERROR(VLOOKUP(A840,catalogo!$E:$G,3,0),"-")</f>
        <v>-</v>
      </c>
      <c r="AA840" s="48"/>
      <c r="AB840" s="48"/>
      <c r="AC840" s="48" t="str">
        <f ca="1">IFERROR(VLOOKUP(A840,catalogo!$E:$H,4,0),"-")</f>
        <v>-</v>
      </c>
      <c r="AD840" s="48"/>
      <c r="AE840" s="48"/>
      <c r="AF840" s="48"/>
      <c r="AG840" s="48"/>
      <c r="AH840" s="48"/>
      <c r="AI840" s="48"/>
    </row>
    <row r="841" spans="1:35" ht="15.5" hidden="1">
      <c r="A841" s="37" t="s">
        <v>1627</v>
      </c>
      <c r="B841" s="38" t="str">
        <f>IFERROR(VLOOKUP(J841,catalogo!$B$1:$C$75,2,0),"-")</f>
        <v>#8</v>
      </c>
      <c r="C841" s="39">
        <v>46073.416666666664</v>
      </c>
      <c r="D841" s="17"/>
      <c r="E841" s="17"/>
      <c r="F841" s="17"/>
      <c r="G841" s="42">
        <v>1376</v>
      </c>
      <c r="H841" s="42">
        <v>1376</v>
      </c>
      <c r="I841" s="43" t="s">
        <v>156</v>
      </c>
      <c r="J841" s="43" t="s">
        <v>128</v>
      </c>
      <c r="K841" s="43" t="s">
        <v>1628</v>
      </c>
      <c r="L841" s="44" t="s">
        <v>500</v>
      </c>
      <c r="M841" s="45">
        <v>16</v>
      </c>
      <c r="N841" s="44" t="s">
        <v>167</v>
      </c>
      <c r="O841" s="49"/>
      <c r="P841" s="17"/>
      <c r="Q841" s="17"/>
      <c r="R841" s="17"/>
      <c r="S841" s="17"/>
      <c r="T841" s="17"/>
      <c r="U841" s="17"/>
      <c r="V841" s="17"/>
      <c r="W841" s="17"/>
      <c r="X841" s="17"/>
      <c r="Y841" s="46" t="str">
        <f ca="1">IFERROR(VLOOKUP(A841,catalogo!$E:$H,2,0),"-")</f>
        <v>Transaction cost</v>
      </c>
      <c r="Z841" s="47" t="str">
        <f ca="1">IFERROR(VLOOKUP(A841,catalogo!$E:$G,3,0),"-")</f>
        <v>EPP E INSUMOS PARA PRUEBA DE ESPESORES DE PINTURA PO2165 - ENSAMBLE UF/CEB MECANICO</v>
      </c>
      <c r="AA841" s="48"/>
      <c r="AB841" s="48"/>
      <c r="AC841" s="48" t="str">
        <f ca="1">IFERROR(VLOOKUP(A841,catalogo!$E:$H,4,0),"-")</f>
        <v>.</v>
      </c>
      <c r="AD841" s="48"/>
      <c r="AE841" s="48"/>
      <c r="AF841" s="48"/>
      <c r="AG841" s="48"/>
      <c r="AH841" s="48"/>
      <c r="AI841" s="48"/>
    </row>
    <row r="842" spans="1:35" ht="12.5" hidden="1">
      <c r="A842" s="37" t="s">
        <v>421</v>
      </c>
      <c r="B842" s="38" t="str">
        <f>IFERROR(VLOOKUP(J842,catalogo!$B$1:$C$75,2,0),"-")</f>
        <v>#74</v>
      </c>
      <c r="C842" s="39">
        <v>46073.417361111111</v>
      </c>
      <c r="D842" s="52"/>
      <c r="E842" s="17"/>
      <c r="F842" s="17"/>
      <c r="G842" s="42">
        <v>875.6</v>
      </c>
      <c r="H842" s="42">
        <v>875.6</v>
      </c>
      <c r="I842" s="43" t="s">
        <v>156</v>
      </c>
      <c r="J842" s="43" t="s">
        <v>286</v>
      </c>
      <c r="K842" s="43" t="s">
        <v>954</v>
      </c>
      <c r="L842" s="44" t="s">
        <v>955</v>
      </c>
      <c r="M842" s="44">
        <v>5481</v>
      </c>
      <c r="N842" s="44" t="s">
        <v>167</v>
      </c>
      <c r="O842" s="17"/>
      <c r="P842" s="17"/>
      <c r="Q842" s="17"/>
      <c r="R842" s="17"/>
      <c r="S842" s="17"/>
      <c r="T842" s="17"/>
      <c r="U842" s="17"/>
      <c r="V842" s="17"/>
      <c r="W842" s="17"/>
      <c r="X842" s="17"/>
      <c r="Y842" s="46" t="str">
        <f ca="1">IFERROR(VLOOKUP(A842,catalogo!$E:$H,2,0),"-")</f>
        <v>-</v>
      </c>
      <c r="Z842" s="47" t="str">
        <f ca="1">IFERROR(VLOOKUP(A842,catalogo!$E:$G,3,0),"-")</f>
        <v>-</v>
      </c>
      <c r="AA842" s="48"/>
      <c r="AB842" s="48"/>
      <c r="AC842" s="48" t="str">
        <f ca="1">IFERROR(VLOOKUP(A842,catalogo!$E:$H,4,0),"-")</f>
        <v>-</v>
      </c>
      <c r="AD842" s="48"/>
      <c r="AE842" s="48"/>
      <c r="AF842" s="48"/>
      <c r="AG842" s="48"/>
      <c r="AH842" s="48"/>
      <c r="AI842" s="48"/>
    </row>
    <row r="843" spans="1:35" ht="12.5" hidden="1">
      <c r="A843" s="37" t="s">
        <v>1629</v>
      </c>
      <c r="B843" s="38" t="str">
        <f>IFERROR(VLOOKUP(J843,catalogo!$B$1:$C$75,2,0),"-")</f>
        <v>#26</v>
      </c>
      <c r="C843" s="39">
        <v>46073.417361111111</v>
      </c>
      <c r="D843" s="40"/>
      <c r="E843" s="41"/>
      <c r="F843" s="41"/>
      <c r="G843" s="42">
        <v>188</v>
      </c>
      <c r="H843" s="42">
        <v>188</v>
      </c>
      <c r="I843" s="43" t="s">
        <v>156</v>
      </c>
      <c r="J843" s="43" t="s">
        <v>67</v>
      </c>
      <c r="K843" s="43" t="s">
        <v>1630</v>
      </c>
      <c r="L843" s="44" t="s">
        <v>1631</v>
      </c>
      <c r="M843" s="44">
        <v>8061</v>
      </c>
      <c r="N843" s="44" t="s">
        <v>167</v>
      </c>
      <c r="O843" s="41"/>
      <c r="P843" s="41"/>
      <c r="Q843" s="41"/>
      <c r="R843" s="41"/>
      <c r="S843" s="41"/>
      <c r="T843" s="41"/>
      <c r="U843" s="41"/>
      <c r="V843" s="41"/>
      <c r="W843" s="41"/>
      <c r="X843" s="41"/>
      <c r="Y843" s="46" t="str">
        <f ca="1">IFERROR(VLOOKUP(A843,catalogo!$E:$H,2,0),"-")</f>
        <v>-</v>
      </c>
      <c r="Z843" s="47" t="str">
        <f ca="1">IFERROR(VLOOKUP(A843,catalogo!$E:$G,3,0),"-")</f>
        <v>-</v>
      </c>
      <c r="AA843" s="48"/>
      <c r="AB843" s="48"/>
      <c r="AC843" s="48" t="str">
        <f ca="1">IFERROR(VLOOKUP(A843,catalogo!$E:$H,4,0),"-")</f>
        <v>-</v>
      </c>
      <c r="AD843" s="48"/>
      <c r="AE843" s="48"/>
      <c r="AF843" s="48"/>
      <c r="AG843" s="48"/>
      <c r="AH843" s="48"/>
      <c r="AI843" s="48"/>
    </row>
    <row r="844" spans="1:35" ht="12.5" hidden="1">
      <c r="A844" s="37" t="s">
        <v>1632</v>
      </c>
      <c r="B844" s="38" t="str">
        <f>IFERROR(VLOOKUP(J844,catalogo!$B$1:$C$100,2,0),"-")</f>
        <v>#19</v>
      </c>
      <c r="C844" s="39">
        <v>46073.417361111111</v>
      </c>
      <c r="D844" s="17"/>
      <c r="E844" s="17"/>
      <c r="F844" s="17"/>
      <c r="G844" s="42">
        <v>89</v>
      </c>
      <c r="H844" s="42">
        <v>89</v>
      </c>
      <c r="I844" s="43" t="s">
        <v>156</v>
      </c>
      <c r="J844" s="43" t="s">
        <v>105</v>
      </c>
      <c r="K844" s="43" t="s">
        <v>419</v>
      </c>
      <c r="L844" s="44" t="s">
        <v>420</v>
      </c>
      <c r="M844" s="45">
        <v>5778</v>
      </c>
      <c r="N844" s="44" t="s">
        <v>167</v>
      </c>
      <c r="O844" s="17"/>
      <c r="P844" s="17"/>
      <c r="Q844" s="17"/>
      <c r="R844" s="17"/>
      <c r="S844" s="17"/>
      <c r="T844" s="17"/>
      <c r="U844" s="17"/>
      <c r="V844" s="17"/>
      <c r="W844" s="17"/>
      <c r="X844" s="17"/>
      <c r="Y844" s="46" t="str">
        <f ca="1">IFERROR(VLOOKUP(A844,catalogo!$E:$G,2,0),"-")</f>
        <v>Transaction cost</v>
      </c>
      <c r="Z844" s="47" t="str">
        <f ca="1">IFERROR(VLOOKUP(A844,catalogo!$E:$G,3,0),"-")</f>
        <v>PO2165 veolia UFCEB</v>
      </c>
      <c r="AA844" s="48"/>
      <c r="AB844" s="48"/>
      <c r="AC844" s="48" t="str">
        <f ca="1">IFERROR(VLOOKUP(A844,catalogo!$E:$H,4,0),"-")</f>
        <v>-</v>
      </c>
      <c r="AD844" s="48"/>
      <c r="AE844" s="48"/>
      <c r="AF844" s="48"/>
      <c r="AG844" s="48"/>
      <c r="AH844" s="48"/>
      <c r="AI844" s="48"/>
    </row>
    <row r="845" spans="1:35" ht="12.5" hidden="1">
      <c r="A845" s="37" t="s">
        <v>1633</v>
      </c>
      <c r="B845" s="38" t="str">
        <f>IFERROR(VLOOKUP(J845,catalogo!$B$1:$C$70,2,0),"-")</f>
        <v>#2</v>
      </c>
      <c r="C845" s="39">
        <v>46073.417361111111</v>
      </c>
      <c r="D845" s="17"/>
      <c r="E845" s="17"/>
      <c r="F845" s="17"/>
      <c r="G845" s="42">
        <v>471.63</v>
      </c>
      <c r="H845" s="42">
        <v>26.21</v>
      </c>
      <c r="I845" s="43" t="s">
        <v>172</v>
      </c>
      <c r="J845" s="43" t="s">
        <v>75</v>
      </c>
      <c r="K845" s="43" t="s">
        <v>897</v>
      </c>
      <c r="L845" s="44" t="s">
        <v>898</v>
      </c>
      <c r="M845" s="45" t="s">
        <v>199</v>
      </c>
      <c r="N845" s="44" t="s">
        <v>144</v>
      </c>
      <c r="O845" s="17"/>
      <c r="P845" s="17"/>
      <c r="Q845" s="17"/>
      <c r="R845" s="17"/>
      <c r="S845" s="17"/>
      <c r="T845" s="17"/>
      <c r="U845" s="17"/>
      <c r="V845" s="17"/>
      <c r="W845" s="17"/>
      <c r="X845" s="17"/>
      <c r="Y845" s="46" t="str">
        <f ca="1">IFERROR(VLOOKUP(A845,catalogo!$E:$G,2,0),"-")</f>
        <v>Tech&amp;Product</v>
      </c>
      <c r="Z845" s="47">
        <f ca="1">IFERROR(VLOOKUP(A845,catalogo!$E:$G,3,0),"-")</f>
        <v>0</v>
      </c>
      <c r="AA845" s="48"/>
      <c r="AB845" s="48"/>
      <c r="AC845" s="48" t="str">
        <f ca="1">IFERROR(VLOOKUP(A845,catalogo!$E:$H,4,0),"-")</f>
        <v>.</v>
      </c>
      <c r="AD845" s="48"/>
      <c r="AE845" s="48"/>
      <c r="AF845" s="48"/>
      <c r="AG845" s="48"/>
      <c r="AH845" s="48"/>
      <c r="AI845" s="48"/>
    </row>
    <row r="846" spans="1:35" ht="12.5" hidden="1">
      <c r="A846" s="37" t="s">
        <v>1634</v>
      </c>
      <c r="B846" s="38" t="str">
        <f>IFERROR(VLOOKUP(J846,catalogo!$B$1:$C$75,2,0),"-")</f>
        <v>#66</v>
      </c>
      <c r="C846" s="39">
        <v>46073.417361111111</v>
      </c>
      <c r="D846" s="40"/>
      <c r="E846" s="41"/>
      <c r="F846" s="41"/>
      <c r="G846" s="42">
        <v>111.5</v>
      </c>
      <c r="H846" s="42">
        <v>111.5</v>
      </c>
      <c r="I846" s="43" t="s">
        <v>156</v>
      </c>
      <c r="J846" s="43" t="s">
        <v>80</v>
      </c>
      <c r="K846" s="43" t="s">
        <v>419</v>
      </c>
      <c r="L846" s="44" t="s">
        <v>420</v>
      </c>
      <c r="M846" s="44">
        <v>2406</v>
      </c>
      <c r="N846" s="44" t="s">
        <v>167</v>
      </c>
      <c r="O846" s="41"/>
      <c r="P846" s="41"/>
      <c r="Q846" s="41"/>
      <c r="R846" s="41"/>
      <c r="S846" s="41"/>
      <c r="T846" s="41"/>
      <c r="U846" s="41"/>
      <c r="V846" s="41"/>
      <c r="W846" s="41"/>
      <c r="X846" s="41"/>
      <c r="Y846" s="46" t="str">
        <f ca="1">IFERROR(VLOOKUP(A846,catalogo!$E:$H,2,0),"-")</f>
        <v>-</v>
      </c>
      <c r="Z846" s="47" t="str">
        <f ca="1">IFERROR(VLOOKUP(A846,catalogo!$E:$G,3,0),"-")</f>
        <v>-</v>
      </c>
      <c r="AA846" s="48"/>
      <c r="AB846" s="48"/>
      <c r="AC846" s="48" t="str">
        <f ca="1">IFERROR(VLOOKUP(A846,catalogo!$E:$H,4,0),"-")</f>
        <v>-</v>
      </c>
      <c r="AD846" s="48"/>
      <c r="AE846" s="48"/>
      <c r="AF846" s="48"/>
      <c r="AG846" s="48"/>
      <c r="AH846" s="48"/>
      <c r="AI846" s="48"/>
    </row>
    <row r="847" spans="1:35" ht="12.5" hidden="1">
      <c r="A847" s="37" t="s">
        <v>1635</v>
      </c>
      <c r="B847" s="38" t="str">
        <f>IFERROR(VLOOKUP(J847,catalogo!$B$1:$C$75,2,0),"-")</f>
        <v>#42</v>
      </c>
      <c r="C847" s="39">
        <v>46073.417361111111</v>
      </c>
      <c r="D847" s="52"/>
      <c r="E847" s="17"/>
      <c r="F847" s="17"/>
      <c r="G847" s="42">
        <v>1648.93</v>
      </c>
      <c r="H847" s="42">
        <v>1648.93</v>
      </c>
      <c r="I847" s="43" t="s">
        <v>156</v>
      </c>
      <c r="J847" s="43" t="s">
        <v>78</v>
      </c>
      <c r="K847" s="43" t="s">
        <v>1636</v>
      </c>
      <c r="L847" s="44" t="s">
        <v>1637</v>
      </c>
      <c r="M847" s="45">
        <v>4431</v>
      </c>
      <c r="N847" s="44" t="s">
        <v>167</v>
      </c>
      <c r="O847" s="17"/>
      <c r="P847" s="17"/>
      <c r="Q847" s="17"/>
      <c r="R847" s="17"/>
      <c r="S847" s="17"/>
      <c r="T847" s="17"/>
      <c r="U847" s="17"/>
      <c r="V847" s="17"/>
      <c r="W847" s="17"/>
      <c r="X847" s="17"/>
      <c r="Y847" s="46" t="str">
        <f ca="1">IFERROR(VLOOKUP(A847,catalogo!$E:$H,2,0),"-")</f>
        <v>-</v>
      </c>
      <c r="Z847" s="47" t="str">
        <f ca="1">IFERROR(VLOOKUP(A847,catalogo!$E:$G,3,0),"-")</f>
        <v>-</v>
      </c>
      <c r="AA847" s="48"/>
      <c r="AB847" s="48"/>
      <c r="AC847" s="48" t="str">
        <f ca="1">IFERROR(VLOOKUP(A847,catalogo!$E:$H,4,0),"-")</f>
        <v>-</v>
      </c>
      <c r="AD847" s="48"/>
      <c r="AE847" s="48"/>
      <c r="AF847" s="48"/>
      <c r="AG847" s="48"/>
      <c r="AH847" s="48"/>
      <c r="AI847" s="48"/>
    </row>
    <row r="848" spans="1:35" ht="12.5" hidden="1">
      <c r="A848" s="37" t="s">
        <v>481</v>
      </c>
      <c r="B848" s="38" t="str">
        <f>IFERROR(VLOOKUP(J848,catalogo!$B$1:$C$75,2,0),"-")</f>
        <v>#64</v>
      </c>
      <c r="C848" s="39">
        <v>46073.417361111111</v>
      </c>
      <c r="D848" s="52"/>
      <c r="E848" s="17"/>
      <c r="F848" s="17"/>
      <c r="G848" s="42">
        <v>500</v>
      </c>
      <c r="H848" s="42">
        <v>500</v>
      </c>
      <c r="I848" s="43" t="s">
        <v>156</v>
      </c>
      <c r="J848" s="43" t="s">
        <v>139</v>
      </c>
      <c r="K848" s="43" t="s">
        <v>1638</v>
      </c>
      <c r="L848" s="44" t="s">
        <v>1488</v>
      </c>
      <c r="M848" s="45">
        <v>7142</v>
      </c>
      <c r="N848" s="44" t="s">
        <v>167</v>
      </c>
      <c r="O848" s="17"/>
      <c r="P848" s="17"/>
      <c r="Q848" s="17"/>
      <c r="R848" s="17"/>
      <c r="S848" s="17"/>
      <c r="T848" s="17"/>
      <c r="U848" s="17"/>
      <c r="V848" s="17"/>
      <c r="W848" s="17"/>
      <c r="X848" s="17"/>
      <c r="Y848" s="46" t="str">
        <f ca="1">IFERROR(VLOOKUP(A848,catalogo!$E:$H,2,0),"-")</f>
        <v>-</v>
      </c>
      <c r="Z848" s="47" t="str">
        <f ca="1">IFERROR(VLOOKUP(A848,catalogo!$E:$G,3,0),"-")</f>
        <v>-</v>
      </c>
      <c r="AA848" s="48"/>
      <c r="AB848" s="48"/>
      <c r="AC848" s="48" t="str">
        <f ca="1">IFERROR(VLOOKUP(A848,catalogo!$E:$H,4,0),"-")</f>
        <v>-</v>
      </c>
      <c r="AD848" s="48"/>
      <c r="AE848" s="48"/>
      <c r="AF848" s="48"/>
      <c r="AG848" s="48"/>
      <c r="AH848" s="48"/>
      <c r="AI848" s="48"/>
    </row>
    <row r="849" spans="1:35" ht="15.5" hidden="1">
      <c r="A849" s="37" t="s">
        <v>1639</v>
      </c>
      <c r="B849" s="38" t="str">
        <f>IFERROR(VLOOKUP(J849,catalogo!$B$1:$C$75,2,0),"-")</f>
        <v>#68</v>
      </c>
      <c r="C849" s="39">
        <v>46073.417361111111</v>
      </c>
      <c r="D849" s="17"/>
      <c r="E849" s="17"/>
      <c r="F849" s="17"/>
      <c r="G849" s="42">
        <v>50</v>
      </c>
      <c r="H849" s="42">
        <v>50</v>
      </c>
      <c r="I849" s="43" t="s">
        <v>156</v>
      </c>
      <c r="J849" s="50" t="s">
        <v>384</v>
      </c>
      <c r="K849" s="43" t="s">
        <v>841</v>
      </c>
      <c r="L849" s="44" t="s">
        <v>842</v>
      </c>
      <c r="M849" s="44">
        <v>2937</v>
      </c>
      <c r="N849" s="44" t="s">
        <v>167</v>
      </c>
      <c r="O849" s="49"/>
      <c r="P849" s="17"/>
      <c r="Q849" s="17"/>
      <c r="R849" s="17"/>
      <c r="S849" s="17"/>
      <c r="T849" s="17"/>
      <c r="U849" s="17"/>
      <c r="V849" s="17"/>
      <c r="W849" s="17"/>
      <c r="X849" s="17"/>
      <c r="Y849" s="46" t="str">
        <f ca="1">IFERROR(VLOOKUP(A849,catalogo!$E:$H,2,0),"-")</f>
        <v>-</v>
      </c>
      <c r="Z849" s="47" t="str">
        <f ca="1">IFERROR(VLOOKUP(A849,catalogo!$E:$G,3,0),"-")</f>
        <v>-</v>
      </c>
      <c r="AA849" s="48"/>
      <c r="AB849" s="48"/>
      <c r="AC849" s="48" t="str">
        <f ca="1">IFERROR(VLOOKUP(A849,catalogo!$E:$H,4,0),"-")</f>
        <v>-</v>
      </c>
      <c r="AD849" s="48"/>
      <c r="AE849" s="48"/>
      <c r="AF849" s="48"/>
      <c r="AG849" s="48"/>
      <c r="AH849" s="48"/>
      <c r="AI849" s="48"/>
    </row>
    <row r="850" spans="1:35" ht="15.5" hidden="1">
      <c r="A850" s="37" t="s">
        <v>1640</v>
      </c>
      <c r="B850" s="38" t="str">
        <f>IFERROR(VLOOKUP(J850,catalogo!$B$1:$C$75,2,0),"-")</f>
        <v>#74</v>
      </c>
      <c r="C850" s="39">
        <v>46073.417361111111</v>
      </c>
      <c r="D850" s="17"/>
      <c r="E850" s="17"/>
      <c r="F850" s="17"/>
      <c r="G850" s="42">
        <v>805.5</v>
      </c>
      <c r="H850" s="42">
        <v>805.5</v>
      </c>
      <c r="I850" s="43" t="s">
        <v>156</v>
      </c>
      <c r="J850" s="43" t="s">
        <v>286</v>
      </c>
      <c r="K850" s="43" t="s">
        <v>702</v>
      </c>
      <c r="L850" s="44" t="s">
        <v>703</v>
      </c>
      <c r="M850" s="45">
        <v>5481</v>
      </c>
      <c r="N850" s="44" t="s">
        <v>167</v>
      </c>
      <c r="O850" s="49"/>
      <c r="P850" s="17"/>
      <c r="Q850" s="17"/>
      <c r="R850" s="17"/>
      <c r="S850" s="17"/>
      <c r="T850" s="17"/>
      <c r="U850" s="17"/>
      <c r="V850" s="17"/>
      <c r="W850" s="17"/>
      <c r="X850" s="17"/>
      <c r="Y850" s="46" t="str">
        <f ca="1">IFERROR(VLOOKUP(A850,catalogo!$E:$H,2,0),"-")</f>
        <v>-</v>
      </c>
      <c r="Z850" s="47" t="str">
        <f ca="1">IFERROR(VLOOKUP(A850,catalogo!$E:$G,3,0),"-")</f>
        <v>-</v>
      </c>
      <c r="AA850" s="48"/>
      <c r="AB850" s="48"/>
      <c r="AC850" s="48" t="str">
        <f ca="1">IFERROR(VLOOKUP(A850,catalogo!$E:$H,4,0),"-")</f>
        <v>-</v>
      </c>
      <c r="AD850" s="48"/>
      <c r="AE850" s="48"/>
      <c r="AF850" s="48"/>
      <c r="AG850" s="48"/>
      <c r="AH850" s="48"/>
      <c r="AI850" s="48"/>
    </row>
    <row r="851" spans="1:35" ht="12.5" hidden="1">
      <c r="A851" s="37" t="s">
        <v>1641</v>
      </c>
      <c r="B851" s="38" t="str">
        <f>IFERROR(VLOOKUP(J851,catalogo!$B$1:$C$100,2,0),"-")</f>
        <v>#8</v>
      </c>
      <c r="C851" s="39">
        <v>46073.417361111111</v>
      </c>
      <c r="D851" s="17"/>
      <c r="E851" s="17"/>
      <c r="F851" s="17"/>
      <c r="G851" s="42">
        <v>48.5</v>
      </c>
      <c r="H851" s="42">
        <v>48.5</v>
      </c>
      <c r="I851" s="43" t="s">
        <v>156</v>
      </c>
      <c r="J851" s="43" t="s">
        <v>128</v>
      </c>
      <c r="K851" s="43" t="s">
        <v>419</v>
      </c>
      <c r="L851" s="44" t="s">
        <v>420</v>
      </c>
      <c r="M851" s="45">
        <v>16</v>
      </c>
      <c r="N851" s="44" t="s">
        <v>167</v>
      </c>
      <c r="O851" s="17"/>
      <c r="P851" s="17"/>
      <c r="Q851" s="17"/>
      <c r="R851" s="17"/>
      <c r="S851" s="17"/>
      <c r="T851" s="17"/>
      <c r="U851" s="17"/>
      <c r="V851" s="17"/>
      <c r="W851" s="17"/>
      <c r="X851" s="17"/>
      <c r="Y851" s="46" t="str">
        <f ca="1">IFERROR(VLOOKUP(A851,catalogo!$E:$G,2,0),"-")</f>
        <v>Transaction cost</v>
      </c>
      <c r="Z851" s="47" t="str">
        <f ca="1">IFERROR(VLOOKUP(A851,catalogo!$E:$G,3,0),"-")</f>
        <v>COMIDA   PO2165 - ENSAMBLE UF/CEB MECANICO</v>
      </c>
      <c r="AA851" s="48"/>
      <c r="AB851" s="48"/>
      <c r="AC851" s="48" t="str">
        <f ca="1">IFERROR(VLOOKUP(A851,catalogo!$E:$H,4,0),"-")</f>
        <v>.</v>
      </c>
      <c r="AD851" s="48"/>
      <c r="AE851" s="48"/>
      <c r="AF851" s="48"/>
      <c r="AG851" s="48"/>
      <c r="AH851" s="48"/>
      <c r="AI851" s="48"/>
    </row>
    <row r="852" spans="1:35" ht="12.5" hidden="1">
      <c r="A852" s="37" t="s">
        <v>1642</v>
      </c>
      <c r="B852" s="38" t="str">
        <f>IFERROR(VLOOKUP(J852,catalogo!$B$1:$C$100,2,0),"-")</f>
        <v>#56</v>
      </c>
      <c r="C852" s="39">
        <v>46073.417361111111</v>
      </c>
      <c r="D852" s="17"/>
      <c r="E852" s="17"/>
      <c r="F852" s="17"/>
      <c r="G852" s="53">
        <v>346</v>
      </c>
      <c r="H852" s="53">
        <v>346</v>
      </c>
      <c r="I852" s="43" t="s">
        <v>156</v>
      </c>
      <c r="J852" s="43" t="s">
        <v>99</v>
      </c>
      <c r="K852" s="43" t="s">
        <v>1643</v>
      </c>
      <c r="L852" s="44" t="s">
        <v>1644</v>
      </c>
      <c r="M852" s="45">
        <v>8949</v>
      </c>
      <c r="N852" s="44" t="s">
        <v>167</v>
      </c>
      <c r="O852" s="17"/>
      <c r="P852" s="17"/>
      <c r="Q852" s="17"/>
      <c r="R852" s="17"/>
      <c r="S852" s="17"/>
      <c r="T852" s="17"/>
      <c r="U852" s="17"/>
      <c r="V852" s="17"/>
      <c r="W852" s="17"/>
      <c r="X852" s="17"/>
      <c r="Y852" s="46"/>
      <c r="Z852" s="47"/>
      <c r="AA852" s="48"/>
      <c r="AB852" s="48"/>
      <c r="AC852" s="48"/>
      <c r="AD852" s="48"/>
      <c r="AE852" s="48"/>
      <c r="AF852" s="48"/>
      <c r="AG852" s="48"/>
      <c r="AH852" s="48"/>
      <c r="AI852" s="48"/>
    </row>
    <row r="853" spans="1:35" ht="15.5" hidden="1">
      <c r="A853" s="37" t="s">
        <v>1645</v>
      </c>
      <c r="B853" s="38" t="str">
        <f>IFERROR(VLOOKUP(J853,catalogo!$B$1:$C$75,2,0),"-")</f>
        <v>#64</v>
      </c>
      <c r="C853" s="39">
        <v>46073.417361111111</v>
      </c>
      <c r="D853" s="17"/>
      <c r="E853" s="17"/>
      <c r="F853" s="17"/>
      <c r="G853" s="42">
        <v>89</v>
      </c>
      <c r="H853" s="42">
        <v>89</v>
      </c>
      <c r="I853" s="43" t="s">
        <v>156</v>
      </c>
      <c r="J853" s="43" t="s">
        <v>139</v>
      </c>
      <c r="K853" s="43" t="s">
        <v>1646</v>
      </c>
      <c r="L853" s="44" t="s">
        <v>1647</v>
      </c>
      <c r="M853" s="45">
        <v>7142</v>
      </c>
      <c r="N853" s="44" t="s">
        <v>167</v>
      </c>
      <c r="O853" s="49"/>
      <c r="P853" s="17"/>
      <c r="Q853" s="17"/>
      <c r="R853" s="17"/>
      <c r="S853" s="17"/>
      <c r="T853" s="17"/>
      <c r="U853" s="17"/>
      <c r="V853" s="17"/>
      <c r="W853" s="17"/>
      <c r="X853" s="17"/>
      <c r="Y853" s="46" t="str">
        <f ca="1">IFERROR(VLOOKUP(A853,catalogo!$E:$H,2,0),"-")</f>
        <v>-</v>
      </c>
      <c r="Z853" s="47" t="str">
        <f ca="1">IFERROR(VLOOKUP(A853,catalogo!$E:$G,3,0),"-")</f>
        <v>-</v>
      </c>
      <c r="AA853" s="48"/>
      <c r="AB853" s="48"/>
      <c r="AC853" s="48" t="str">
        <f ca="1">IFERROR(VLOOKUP(A853,catalogo!$E:$H,4,0),"-")</f>
        <v>-</v>
      </c>
      <c r="AD853" s="48"/>
      <c r="AE853" s="48"/>
      <c r="AF853" s="48"/>
      <c r="AG853" s="48"/>
      <c r="AH853" s="48"/>
      <c r="AI853" s="48"/>
    </row>
    <row r="854" spans="1:35" ht="12.5" hidden="1">
      <c r="A854" s="37" t="s">
        <v>1648</v>
      </c>
      <c r="B854" s="38" t="str">
        <f>IFERROR(VLOOKUP(J854,catalogo!$B$1:$C$75,2,0),"-")</f>
        <v>#42</v>
      </c>
      <c r="C854" s="39">
        <v>46073.417361111111</v>
      </c>
      <c r="D854" s="40"/>
      <c r="E854" s="41"/>
      <c r="F854" s="41"/>
      <c r="G854" s="42">
        <v>378.35</v>
      </c>
      <c r="H854" s="42">
        <v>378.35</v>
      </c>
      <c r="I854" s="43" t="s">
        <v>156</v>
      </c>
      <c r="J854" s="43" t="s">
        <v>78</v>
      </c>
      <c r="K854" s="43" t="s">
        <v>1649</v>
      </c>
      <c r="L854" s="44" t="s">
        <v>1650</v>
      </c>
      <c r="M854" s="45">
        <v>4431</v>
      </c>
      <c r="N854" s="44" t="s">
        <v>167</v>
      </c>
      <c r="O854" s="41"/>
      <c r="P854" s="41"/>
      <c r="Q854" s="51"/>
      <c r="R854" s="41"/>
      <c r="S854" s="41"/>
      <c r="T854" s="41"/>
      <c r="U854" s="41"/>
      <c r="V854" s="41"/>
      <c r="W854" s="41"/>
      <c r="X854" s="41"/>
      <c r="Y854" s="46" t="str">
        <f ca="1">IFERROR(VLOOKUP(A854,catalogo!$E:$H,2,0),"-")</f>
        <v>-</v>
      </c>
      <c r="Z854" s="47" t="str">
        <f ca="1">IFERROR(VLOOKUP(A854,catalogo!$E:$G,3,0),"-")</f>
        <v>-</v>
      </c>
      <c r="AA854" s="48"/>
      <c r="AB854" s="48"/>
      <c r="AC854" s="48" t="str">
        <f ca="1">IFERROR(VLOOKUP(A854,catalogo!$E:$H,4,0),"-")</f>
        <v>-</v>
      </c>
      <c r="AD854" s="48"/>
      <c r="AE854" s="48"/>
      <c r="AF854" s="48"/>
      <c r="AG854" s="48"/>
      <c r="AH854" s="48"/>
      <c r="AI854" s="48"/>
    </row>
    <row r="855" spans="1:35" ht="12.5" hidden="1">
      <c r="A855" s="37" t="s">
        <v>1651</v>
      </c>
      <c r="B855" s="38" t="str">
        <f>IFERROR(VLOOKUP(J855,catalogo!$B$1:$C$70,2,0),"-")</f>
        <v>#64</v>
      </c>
      <c r="C855" s="39">
        <v>46073.417361111111</v>
      </c>
      <c r="D855" s="17"/>
      <c r="E855" s="17"/>
      <c r="F855" s="17"/>
      <c r="G855" s="42">
        <v>58</v>
      </c>
      <c r="H855" s="42">
        <v>58</v>
      </c>
      <c r="I855" s="43" t="s">
        <v>156</v>
      </c>
      <c r="J855" s="43" t="s">
        <v>139</v>
      </c>
      <c r="K855" s="43" t="s">
        <v>1652</v>
      </c>
      <c r="L855" s="44" t="s">
        <v>655</v>
      </c>
      <c r="M855" s="45">
        <v>7142</v>
      </c>
      <c r="N855" s="44" t="s">
        <v>167</v>
      </c>
      <c r="O855" s="17"/>
      <c r="P855" s="17"/>
      <c r="Q855" s="17"/>
      <c r="R855" s="17"/>
      <c r="S855" s="17"/>
      <c r="T855" s="17"/>
      <c r="U855" s="17"/>
      <c r="V855" s="17"/>
      <c r="W855" s="17"/>
      <c r="X855" s="17"/>
      <c r="Y855" s="46" t="str">
        <f ca="1">IFERROR(VLOOKUP(A855,catalogo!$E:$G,2,0),"-")</f>
        <v>-</v>
      </c>
      <c r="Z855" s="47" t="str">
        <f ca="1">IFERROR(VLOOKUP(A855,catalogo!$E:$G,3,0),"-")</f>
        <v>-</v>
      </c>
      <c r="AA855" s="48"/>
      <c r="AB855" s="48"/>
      <c r="AC855" s="48" t="str">
        <f ca="1">IFERROR(VLOOKUP(A855,catalogo!$E:$H,4,0),"-")</f>
        <v>-</v>
      </c>
      <c r="AD855" s="48"/>
      <c r="AE855" s="48"/>
      <c r="AF855" s="48"/>
      <c r="AG855" s="48"/>
      <c r="AH855" s="48"/>
      <c r="AI855" s="48"/>
    </row>
    <row r="856" spans="1:35" ht="12.5" hidden="1">
      <c r="A856" s="37" t="s">
        <v>249</v>
      </c>
      <c r="B856" s="38" t="str">
        <f>IFERROR(VLOOKUP(J856,catalogo!$B$1:$C$100,2,0),"-")</f>
        <v>#66</v>
      </c>
      <c r="C856" s="39">
        <v>46073.417361111111</v>
      </c>
      <c r="D856" s="17"/>
      <c r="E856" s="17"/>
      <c r="F856" s="17"/>
      <c r="G856" s="42">
        <v>1014</v>
      </c>
      <c r="H856" s="42">
        <v>1014</v>
      </c>
      <c r="I856" s="43" t="s">
        <v>156</v>
      </c>
      <c r="J856" s="43" t="s">
        <v>80</v>
      </c>
      <c r="K856" s="43" t="s">
        <v>892</v>
      </c>
      <c r="L856" s="44" t="s">
        <v>407</v>
      </c>
      <c r="M856" s="44">
        <v>2406</v>
      </c>
      <c r="N856" s="44" t="s">
        <v>167</v>
      </c>
      <c r="O856" s="17"/>
      <c r="P856" s="17"/>
      <c r="Q856" s="17"/>
      <c r="R856" s="17"/>
      <c r="S856" s="17"/>
      <c r="T856" s="17"/>
      <c r="U856" s="17"/>
      <c r="V856" s="17"/>
      <c r="W856" s="17"/>
      <c r="X856" s="17"/>
      <c r="Y856" s="46" t="str">
        <f ca="1">IFERROR(VLOOKUP(A856,catalogo!$E:$H,2,0),"-")</f>
        <v>-</v>
      </c>
      <c r="Z856" s="47" t="str">
        <f ca="1">IFERROR(VLOOKUP(A856,catalogo!$E:$G,3,0),"-")</f>
        <v>-</v>
      </c>
      <c r="AA856" s="48"/>
      <c r="AB856" s="48"/>
      <c r="AC856" s="48" t="str">
        <f ca="1">IFERROR(VLOOKUP(A856,catalogo!$E:$H,4,0),"-")</f>
        <v>-</v>
      </c>
      <c r="AD856" s="48"/>
      <c r="AE856" s="48"/>
      <c r="AF856" s="48"/>
      <c r="AG856" s="48"/>
      <c r="AH856" s="48"/>
      <c r="AI856" s="48"/>
    </row>
    <row r="857" spans="1:35" ht="12.5" hidden="1">
      <c r="A857" s="37" t="s">
        <v>1653</v>
      </c>
      <c r="B857" s="38" t="str">
        <f>IFERROR(VLOOKUP(J857,catalogo!$B$1:$C$100,2,0),"-")</f>
        <v>#8</v>
      </c>
      <c r="C857" s="39">
        <v>46073.417361111111</v>
      </c>
      <c r="D857" s="17"/>
      <c r="E857" s="17"/>
      <c r="F857" s="17"/>
      <c r="G857" s="53">
        <v>1946</v>
      </c>
      <c r="H857" s="53">
        <v>1946</v>
      </c>
      <c r="I857" s="43" t="s">
        <v>156</v>
      </c>
      <c r="J857" s="43" t="s">
        <v>128</v>
      </c>
      <c r="K857" s="43" t="s">
        <v>1654</v>
      </c>
      <c r="L857" s="44" t="s">
        <v>1655</v>
      </c>
      <c r="M857" s="44">
        <v>16</v>
      </c>
      <c r="N857" s="44" t="s">
        <v>167</v>
      </c>
      <c r="O857" s="17"/>
      <c r="P857" s="17"/>
      <c r="Q857" s="17"/>
      <c r="R857" s="17"/>
      <c r="S857" s="17"/>
      <c r="T857" s="17"/>
      <c r="U857" s="17"/>
      <c r="V857" s="17"/>
      <c r="W857" s="17"/>
      <c r="X857" s="17"/>
      <c r="Y857" s="46"/>
      <c r="Z857" s="47"/>
      <c r="AA857" s="48"/>
      <c r="AB857" s="48"/>
      <c r="AC857" s="48"/>
      <c r="AD857" s="48"/>
      <c r="AE857" s="48"/>
      <c r="AF857" s="48"/>
      <c r="AG857" s="48"/>
      <c r="AH857" s="48"/>
      <c r="AI857" s="48"/>
    </row>
    <row r="858" spans="1:35" ht="12.5" hidden="1">
      <c r="A858" s="37" t="s">
        <v>1656</v>
      </c>
      <c r="B858" s="38" t="str">
        <f>IFERROR(VLOOKUP(J858,catalogo!$B$1:$C$75,2,0),"-")</f>
        <v>#68</v>
      </c>
      <c r="C858" s="39">
        <v>46073.417361111111</v>
      </c>
      <c r="D858" s="40"/>
      <c r="E858" s="41"/>
      <c r="F858" s="41"/>
      <c r="G858" s="42">
        <v>395.45</v>
      </c>
      <c r="H858" s="42">
        <v>21.98</v>
      </c>
      <c r="I858" s="43" t="s">
        <v>172</v>
      </c>
      <c r="J858" s="43" t="s">
        <v>384</v>
      </c>
      <c r="K858" s="43" t="s">
        <v>1657</v>
      </c>
      <c r="L858" s="44" t="s">
        <v>1658</v>
      </c>
      <c r="M858" s="45">
        <v>2937</v>
      </c>
      <c r="N858" s="44" t="s">
        <v>167</v>
      </c>
      <c r="O858" s="41"/>
      <c r="P858" s="41"/>
      <c r="Q858" s="41"/>
      <c r="R858" s="41"/>
      <c r="S858" s="41"/>
      <c r="T858" s="41"/>
      <c r="U858" s="41"/>
      <c r="V858" s="41"/>
      <c r="W858" s="41"/>
      <c r="X858" s="41"/>
      <c r="Y858" s="46" t="str">
        <f ca="1">IFERROR(VLOOKUP(A858,catalogo!$E:$H,2,0),"-")</f>
        <v>-</v>
      </c>
      <c r="Z858" s="47" t="str">
        <f ca="1">IFERROR(VLOOKUP(A858,catalogo!$E:$G,3,0),"-")</f>
        <v>-</v>
      </c>
      <c r="AA858" s="48"/>
      <c r="AB858" s="48"/>
      <c r="AC858" s="48" t="str">
        <f ca="1">IFERROR(VLOOKUP(A858,catalogo!$E:$H,4,0),"-")</f>
        <v>-</v>
      </c>
      <c r="AD858" s="48"/>
      <c r="AE858" s="48"/>
      <c r="AF858" s="48"/>
      <c r="AG858" s="48"/>
      <c r="AH858" s="48"/>
      <c r="AI858" s="48"/>
    </row>
    <row r="859" spans="1:35" ht="12.5" hidden="1">
      <c r="A859" s="37" t="s">
        <v>1659</v>
      </c>
      <c r="B859" s="38" t="str">
        <f>IFERROR(VLOOKUP(J859,catalogo!$B$1:$C$80,2,0),"-")</f>
        <v>-</v>
      </c>
      <c r="C859" s="39">
        <v>46073.417361111111</v>
      </c>
      <c r="D859" s="17"/>
      <c r="E859" s="17"/>
      <c r="F859" s="17"/>
      <c r="G859" s="42">
        <v>863.05</v>
      </c>
      <c r="H859" s="42">
        <v>47.97</v>
      </c>
      <c r="I859" s="43" t="s">
        <v>172</v>
      </c>
      <c r="J859" s="43" t="s">
        <v>1397</v>
      </c>
      <c r="K859" s="43" t="s">
        <v>1660</v>
      </c>
      <c r="L859" s="44" t="s">
        <v>1661</v>
      </c>
      <c r="M859" s="45">
        <v>2348</v>
      </c>
      <c r="N859" s="44" t="s">
        <v>167</v>
      </c>
      <c r="O859" s="17"/>
      <c r="P859" s="17"/>
      <c r="Q859" s="17"/>
      <c r="R859" s="17"/>
      <c r="S859" s="17"/>
      <c r="T859" s="17"/>
      <c r="U859" s="17"/>
      <c r="V859" s="17"/>
      <c r="W859" s="17"/>
      <c r="X859" s="17"/>
      <c r="Y859" s="46" t="str">
        <f ca="1">IFERROR(VLOOKUP(A859,catalogo!$E:$G,2,0),"-")</f>
        <v>-</v>
      </c>
      <c r="Z859" s="47" t="str">
        <f ca="1">IFERROR(VLOOKUP(A859,catalogo!$E:$G,3,0),"-")</f>
        <v>-</v>
      </c>
      <c r="AA859" s="48"/>
      <c r="AB859" s="48"/>
      <c r="AC859" s="48" t="str">
        <f ca="1">IFERROR(VLOOKUP(A859,catalogo!$E:$H,4,0),"-")</f>
        <v>-</v>
      </c>
      <c r="AD859" s="48"/>
      <c r="AE859" s="48"/>
      <c r="AF859" s="48"/>
      <c r="AG859" s="48"/>
      <c r="AH859" s="48"/>
      <c r="AI859" s="48"/>
    </row>
    <row r="860" spans="1:35" ht="15.5" hidden="1">
      <c r="A860" s="37" t="s">
        <v>1662</v>
      </c>
      <c r="B860" s="38" t="str">
        <f>IFERROR(VLOOKUP(J860,catalogo!$B$1:$C$75,2,0),"-")</f>
        <v>#52</v>
      </c>
      <c r="C860" s="39">
        <v>46073.417361111111</v>
      </c>
      <c r="D860" s="17"/>
      <c r="E860" s="17"/>
      <c r="F860" s="17"/>
      <c r="G860" s="42">
        <v>2644.74</v>
      </c>
      <c r="H860" s="42">
        <v>147</v>
      </c>
      <c r="I860" s="43" t="s">
        <v>172</v>
      </c>
      <c r="J860" s="43" t="s">
        <v>253</v>
      </c>
      <c r="K860" s="43" t="s">
        <v>1663</v>
      </c>
      <c r="L860" s="44" t="s">
        <v>1664</v>
      </c>
      <c r="M860" s="44">
        <v>6137</v>
      </c>
      <c r="N860" s="44" t="s">
        <v>167</v>
      </c>
      <c r="O860" s="49"/>
      <c r="P860" s="17"/>
      <c r="Q860" s="17"/>
      <c r="R860" s="17"/>
      <c r="S860" s="17"/>
      <c r="T860" s="17"/>
      <c r="U860" s="17"/>
      <c r="V860" s="17"/>
      <c r="W860" s="17"/>
      <c r="X860" s="17"/>
      <c r="Y860" s="46" t="str">
        <f ca="1">IFERROR(VLOOKUP(A860,catalogo!$E:$H,2,0),"-")</f>
        <v>-</v>
      </c>
      <c r="Z860" s="47" t="str">
        <f ca="1">IFERROR(VLOOKUP(A860,catalogo!$E:$G,3,0),"-")</f>
        <v>-</v>
      </c>
      <c r="AA860" s="48"/>
      <c r="AB860" s="48"/>
      <c r="AC860" s="48" t="str">
        <f ca="1">IFERROR(VLOOKUP(A860,catalogo!$E:$H,4,0),"-")</f>
        <v>-</v>
      </c>
      <c r="AD860" s="48"/>
      <c r="AE860" s="48"/>
      <c r="AF860" s="48"/>
      <c r="AG860" s="48"/>
      <c r="AH860" s="48"/>
      <c r="AI860" s="48"/>
    </row>
    <row r="861" spans="1:35" ht="12.5" hidden="1">
      <c r="A861" s="37" t="s">
        <v>1665</v>
      </c>
      <c r="B861" s="38" t="str">
        <f>IFERROR(VLOOKUP(J861,catalogo!$B$1:$C$80,2,0),"-")</f>
        <v>#35</v>
      </c>
      <c r="C861" s="39">
        <v>46073.417361111111</v>
      </c>
      <c r="D861" s="17"/>
      <c r="E861" s="17"/>
      <c r="F861" s="17"/>
      <c r="G861" s="42">
        <v>4174.74</v>
      </c>
      <c r="H861" s="42">
        <v>232</v>
      </c>
      <c r="I861" s="43" t="s">
        <v>172</v>
      </c>
      <c r="J861" s="50" t="s">
        <v>123</v>
      </c>
      <c r="K861" s="43" t="s">
        <v>1666</v>
      </c>
      <c r="L861" s="44" t="s">
        <v>1667</v>
      </c>
      <c r="M861" s="44">
        <v>1771</v>
      </c>
      <c r="N861" s="44" t="s">
        <v>167</v>
      </c>
      <c r="O861" s="17"/>
      <c r="P861" s="17"/>
      <c r="Q861" s="17"/>
      <c r="R861" s="17"/>
      <c r="S861" s="17"/>
      <c r="T861" s="17"/>
      <c r="U861" s="17"/>
      <c r="V861" s="17"/>
      <c r="W861" s="17"/>
      <c r="X861" s="17"/>
      <c r="Y861" s="46" t="str">
        <f ca="1">IFERROR(VLOOKUP(A861,catalogo!$E:$G,2,0),"-")</f>
        <v>-</v>
      </c>
      <c r="Z861" s="47" t="str">
        <f ca="1">IFERROR(VLOOKUP(A861,catalogo!$E:$G,3,0),"-")</f>
        <v>-</v>
      </c>
      <c r="AA861" s="48"/>
      <c r="AB861" s="48"/>
      <c r="AC861" s="48" t="str">
        <f ca="1">IFERROR(VLOOKUP(A861,catalogo!$E:$H,4,0),"-")</f>
        <v>-</v>
      </c>
      <c r="AD861" s="48"/>
      <c r="AE861" s="48"/>
      <c r="AF861" s="48"/>
      <c r="AG861" s="48"/>
      <c r="AH861" s="48"/>
      <c r="AI861" s="48"/>
    </row>
    <row r="862" spans="1:35" ht="12.5" hidden="1">
      <c r="A862" s="37" t="s">
        <v>1668</v>
      </c>
      <c r="B862" s="38" t="str">
        <f>IFERROR(VLOOKUP(J862,catalogo!$B$1:$C$75,2,0),"-")</f>
        <v>#52</v>
      </c>
      <c r="C862" s="39">
        <v>46073.417361111111</v>
      </c>
      <c r="D862" s="40"/>
      <c r="E862" s="41"/>
      <c r="F862" s="41"/>
      <c r="G862" s="42">
        <v>1709.48</v>
      </c>
      <c r="H862" s="42">
        <v>95</v>
      </c>
      <c r="I862" s="43" t="s">
        <v>172</v>
      </c>
      <c r="J862" s="43" t="s">
        <v>253</v>
      </c>
      <c r="K862" s="43" t="s">
        <v>1669</v>
      </c>
      <c r="L862" s="44" t="s">
        <v>1670</v>
      </c>
      <c r="M862" s="44">
        <v>6137</v>
      </c>
      <c r="N862" s="44" t="s">
        <v>167</v>
      </c>
      <c r="O862" s="41"/>
      <c r="P862" s="41"/>
      <c r="Q862" s="41"/>
      <c r="R862" s="41"/>
      <c r="S862" s="41"/>
      <c r="T862" s="41"/>
      <c r="U862" s="41"/>
      <c r="V862" s="41"/>
      <c r="W862" s="41"/>
      <c r="X862" s="41"/>
      <c r="Y862" s="46" t="str">
        <f ca="1">IFERROR(VLOOKUP(A862,catalogo!$E:$H,2,0),"-")</f>
        <v>-</v>
      </c>
      <c r="Z862" s="47" t="str">
        <f ca="1">IFERROR(VLOOKUP(A862,catalogo!$E:$G,3,0),"-")</f>
        <v>-</v>
      </c>
      <c r="AA862" s="48"/>
      <c r="AB862" s="48"/>
      <c r="AC862" s="48" t="str">
        <f ca="1">IFERROR(VLOOKUP(A862,catalogo!$E:$H,4,0),"-")</f>
        <v>-</v>
      </c>
      <c r="AD862" s="48"/>
      <c r="AE862" s="48"/>
      <c r="AF862" s="48"/>
      <c r="AG862" s="48"/>
      <c r="AH862" s="48"/>
      <c r="AI862" s="48"/>
    </row>
    <row r="863" spans="1:35" ht="12.5" hidden="1">
      <c r="A863" s="37" t="s">
        <v>1671</v>
      </c>
      <c r="B863" s="38" t="str">
        <f>IFERROR(VLOOKUP(J863,catalogo!$B$1:$C$75,2,0),"-")</f>
        <v>#8</v>
      </c>
      <c r="C863" s="39">
        <v>46074.416666666664</v>
      </c>
      <c r="D863" s="52"/>
      <c r="E863" s="17"/>
      <c r="F863" s="17"/>
      <c r="G863" s="42">
        <v>781.02</v>
      </c>
      <c r="H863" s="42">
        <v>781.02</v>
      </c>
      <c r="I863" s="43" t="s">
        <v>156</v>
      </c>
      <c r="J863" s="43" t="s">
        <v>128</v>
      </c>
      <c r="K863" s="43" t="s">
        <v>1672</v>
      </c>
      <c r="L863" s="44" t="s">
        <v>1673</v>
      </c>
      <c r="M863" s="45">
        <v>16</v>
      </c>
      <c r="N863" s="44" t="s">
        <v>167</v>
      </c>
      <c r="O863" s="17"/>
      <c r="P863" s="17"/>
      <c r="Q863" s="17"/>
      <c r="R863" s="17"/>
      <c r="S863" s="17"/>
      <c r="T863" s="17"/>
      <c r="U863" s="17"/>
      <c r="V863" s="17"/>
      <c r="W863" s="17"/>
      <c r="X863" s="17"/>
      <c r="Y863" s="46" t="str">
        <f ca="1">IFERROR(VLOOKUP(A863,catalogo!$E:$H,2,0),"-")</f>
        <v>Transaction cost</v>
      </c>
      <c r="Z863" s="47" t="str">
        <f ca="1">IFERROR(VLOOKUP(A863,catalogo!$E:$G,3,0),"-")</f>
        <v>GASOLINA VISITA A CAMI PO2165 - ENSAMBLE UF/CEB MECANICO</v>
      </c>
      <c r="AA863" s="48"/>
      <c r="AB863" s="48"/>
      <c r="AC863" s="48" t="str">
        <f ca="1">IFERROR(VLOOKUP(A863,catalogo!$E:$H,4,0),"-")</f>
        <v>.</v>
      </c>
      <c r="AD863" s="48"/>
      <c r="AE863" s="48"/>
      <c r="AF863" s="48"/>
      <c r="AG863" s="48"/>
      <c r="AH863" s="48"/>
      <c r="AI863" s="48"/>
    </row>
    <row r="864" spans="1:35" ht="12.5" hidden="1">
      <c r="A864" s="37" t="s">
        <v>1674</v>
      </c>
      <c r="B864" s="38" t="str">
        <f>IFERROR(VLOOKUP(J864,catalogo!$B$1:$C$75,2,0),"-")</f>
        <v>#58</v>
      </c>
      <c r="C864" s="39">
        <v>46074.416666666664</v>
      </c>
      <c r="D864" s="17"/>
      <c r="E864" s="17"/>
      <c r="F864" s="17"/>
      <c r="G864" s="42">
        <v>115</v>
      </c>
      <c r="H864" s="42">
        <v>115</v>
      </c>
      <c r="I864" s="43" t="s">
        <v>156</v>
      </c>
      <c r="J864" s="43" t="s">
        <v>118</v>
      </c>
      <c r="K864" s="43" t="s">
        <v>1675</v>
      </c>
      <c r="L864" s="44" t="s">
        <v>1676</v>
      </c>
      <c r="M864" s="44">
        <v>5576</v>
      </c>
      <c r="N864" s="44" t="s">
        <v>167</v>
      </c>
      <c r="O864" s="17"/>
      <c r="P864" s="17"/>
      <c r="Q864" s="17"/>
      <c r="R864" s="17"/>
      <c r="S864" s="17"/>
      <c r="T864" s="17"/>
      <c r="U864" s="17"/>
      <c r="V864" s="17"/>
      <c r="W864" s="17"/>
      <c r="X864" s="17"/>
      <c r="Y864" s="46" t="str">
        <f ca="1">IFERROR(VLOOKUP(A864,catalogo!$E:$H,2,0),"-")</f>
        <v>-</v>
      </c>
      <c r="Z864" s="47" t="str">
        <f ca="1">IFERROR(VLOOKUP(A864,catalogo!$E:$G,3,0),"-")</f>
        <v>-</v>
      </c>
      <c r="AA864" s="48"/>
      <c r="AB864" s="48"/>
      <c r="AC864" s="48" t="str">
        <f ca="1">IFERROR(VLOOKUP(A864,catalogo!$E:$H,4,0),"-")</f>
        <v>-</v>
      </c>
      <c r="AD864" s="48"/>
      <c r="AE864" s="48"/>
      <c r="AF864" s="48"/>
      <c r="AG864" s="48"/>
      <c r="AH864" s="48"/>
      <c r="AI864" s="48"/>
    </row>
    <row r="865" spans="1:35" ht="12.5" hidden="1">
      <c r="A865" s="37" t="s">
        <v>1677</v>
      </c>
      <c r="B865" s="38" t="str">
        <f>IFERROR(VLOOKUP(J865,catalogo!$B$1:$C$75,2,0),"-")</f>
        <v>#42</v>
      </c>
      <c r="C865" s="39">
        <v>46074.416666666664</v>
      </c>
      <c r="D865" s="40"/>
      <c r="E865" s="41"/>
      <c r="F865" s="41"/>
      <c r="G865" s="42">
        <v>317</v>
      </c>
      <c r="H865" s="42">
        <v>317</v>
      </c>
      <c r="I865" s="43" t="s">
        <v>156</v>
      </c>
      <c r="J865" s="43" t="s">
        <v>78</v>
      </c>
      <c r="K865" s="43" t="s">
        <v>1678</v>
      </c>
      <c r="L865" s="44" t="s">
        <v>1679</v>
      </c>
      <c r="M865" s="44">
        <v>4431</v>
      </c>
      <c r="N865" s="44" t="s">
        <v>167</v>
      </c>
      <c r="O865" s="41"/>
      <c r="P865" s="41"/>
      <c r="Q865" s="41"/>
      <c r="R865" s="41"/>
      <c r="S865" s="41"/>
      <c r="T865" s="41"/>
      <c r="U865" s="41"/>
      <c r="V865" s="41"/>
      <c r="W865" s="41"/>
      <c r="X865" s="41"/>
      <c r="Y865" s="46" t="str">
        <f ca="1">IFERROR(VLOOKUP(A865,catalogo!$E:$H,2,0),"-")</f>
        <v>-</v>
      </c>
      <c r="Z865" s="47" t="str">
        <f ca="1">IFERROR(VLOOKUP(A865,catalogo!$E:$G,3,0),"-")</f>
        <v>-</v>
      </c>
      <c r="AA865" s="48"/>
      <c r="AB865" s="48"/>
      <c r="AC865" s="48" t="str">
        <f ca="1">IFERROR(VLOOKUP(A865,catalogo!$E:$H,4,0),"-")</f>
        <v>-</v>
      </c>
      <c r="AD865" s="48"/>
      <c r="AE865" s="48"/>
      <c r="AF865" s="48"/>
      <c r="AG865" s="48"/>
      <c r="AH865" s="48"/>
      <c r="AI865" s="48"/>
    </row>
    <row r="866" spans="1:35" ht="12.5" hidden="1">
      <c r="A866" s="37" t="s">
        <v>484</v>
      </c>
      <c r="B866" s="38" t="str">
        <f>IFERROR(VLOOKUP(J866,catalogo!$B$1:$C$75,2,0),"-")</f>
        <v>#19</v>
      </c>
      <c r="C866" s="39">
        <v>46074.416666666664</v>
      </c>
      <c r="D866" s="52"/>
      <c r="E866" s="17"/>
      <c r="F866" s="17"/>
      <c r="G866" s="42">
        <v>280.16000000000003</v>
      </c>
      <c r="H866" s="42">
        <v>280.16000000000003</v>
      </c>
      <c r="I866" s="43" t="s">
        <v>156</v>
      </c>
      <c r="J866" s="43" t="s">
        <v>105</v>
      </c>
      <c r="K866" s="43" t="s">
        <v>284</v>
      </c>
      <c r="L866" s="44" t="s">
        <v>233</v>
      </c>
      <c r="M866" s="44" t="s">
        <v>276</v>
      </c>
      <c r="N866" s="44" t="s">
        <v>144</v>
      </c>
      <c r="O866" s="17"/>
      <c r="P866" s="17"/>
      <c r="Q866" s="17"/>
      <c r="R866" s="17"/>
      <c r="S866" s="17"/>
      <c r="T866" s="17"/>
      <c r="U866" s="17"/>
      <c r="V866" s="17"/>
      <c r="W866" s="17"/>
      <c r="X866" s="17"/>
      <c r="Y866" s="46" t="str">
        <f ca="1">IFERROR(VLOOKUP(A866,catalogo!$E:$H,2,0),"-")</f>
        <v>Transaction cost</v>
      </c>
      <c r="Z866" s="47" t="str">
        <f ca="1">IFERROR(VLOOKUP(A866,catalogo!$E:$G,3,0),"-")</f>
        <v>calibracion rugosimetro CC calidad</v>
      </c>
      <c r="AA866" s="48"/>
      <c r="AB866" s="48"/>
      <c r="AC866" s="48" t="str">
        <f ca="1">IFERROR(VLOOKUP(A866,catalogo!$E:$H,4,0),"-")</f>
        <v>-</v>
      </c>
      <c r="AD866" s="48"/>
      <c r="AE866" s="48"/>
      <c r="AF866" s="48"/>
      <c r="AG866" s="48"/>
      <c r="AH866" s="48"/>
      <c r="AI866" s="48"/>
    </row>
    <row r="867" spans="1:35" ht="12.5" hidden="1">
      <c r="A867" s="37" t="s">
        <v>346</v>
      </c>
      <c r="B867" s="38" t="str">
        <f>IFERROR(VLOOKUP(J867,catalogo!$B$1:$C$75,2,0),"-")</f>
        <v>#19</v>
      </c>
      <c r="C867" s="39">
        <v>46074.416666666664</v>
      </c>
      <c r="D867" s="17"/>
      <c r="E867" s="17"/>
      <c r="F867" s="17"/>
      <c r="G867" s="42">
        <v>280.52999999999997</v>
      </c>
      <c r="H867" s="42">
        <v>280.52999999999997</v>
      </c>
      <c r="I867" s="43" t="s">
        <v>156</v>
      </c>
      <c r="J867" s="43" t="s">
        <v>105</v>
      </c>
      <c r="K867" s="43" t="s">
        <v>232</v>
      </c>
      <c r="L867" s="44" t="s">
        <v>233</v>
      </c>
      <c r="M867" s="44" t="s">
        <v>276</v>
      </c>
      <c r="N867" s="44" t="s">
        <v>144</v>
      </c>
      <c r="O867" s="17"/>
      <c r="P867" s="17"/>
      <c r="Q867" s="17"/>
      <c r="R867" s="17"/>
      <c r="S867" s="17"/>
      <c r="T867" s="17"/>
      <c r="U867" s="17"/>
      <c r="V867" s="17"/>
      <c r="W867" s="17"/>
      <c r="X867" s="17"/>
      <c r="Y867" s="46" t="str">
        <f ca="1">IFERROR(VLOOKUP(A867,catalogo!$E:$H,2,0),"-")</f>
        <v>Transaction cost</v>
      </c>
      <c r="Z867" s="47" t="str">
        <f ca="1">IFERROR(VLOOKUP(A867,catalogo!$E:$G,3,0),"-")</f>
        <v>calibracion rugosimetro CC calidad</v>
      </c>
      <c r="AA867" s="48"/>
      <c r="AB867" s="48"/>
      <c r="AC867" s="48" t="str">
        <f ca="1">IFERROR(VLOOKUP(A867,catalogo!$E:$H,4,0),"-")</f>
        <v>-</v>
      </c>
      <c r="AD867" s="48"/>
      <c r="AE867" s="48"/>
      <c r="AF867" s="48"/>
      <c r="AG867" s="48"/>
      <c r="AH867" s="48"/>
      <c r="AI867" s="48"/>
    </row>
    <row r="868" spans="1:35" ht="15.5" hidden="1">
      <c r="A868" s="37" t="s">
        <v>1680</v>
      </c>
      <c r="B868" s="38" t="str">
        <f>IFERROR(VLOOKUP(J868,catalogo!$B$1:$C$75,2,0),"-")</f>
        <v>#56</v>
      </c>
      <c r="C868" s="39">
        <v>46074.416666666664</v>
      </c>
      <c r="D868" s="17"/>
      <c r="E868" s="17"/>
      <c r="F868" s="17"/>
      <c r="G868" s="42">
        <v>449.95</v>
      </c>
      <c r="H868" s="42">
        <v>449.95</v>
      </c>
      <c r="I868" s="43" t="s">
        <v>156</v>
      </c>
      <c r="J868" s="43" t="s">
        <v>99</v>
      </c>
      <c r="K868" s="43" t="s">
        <v>232</v>
      </c>
      <c r="L868" s="44" t="s">
        <v>233</v>
      </c>
      <c r="M868" s="44">
        <v>8949</v>
      </c>
      <c r="N868" s="44" t="s">
        <v>167</v>
      </c>
      <c r="O868" s="49"/>
      <c r="P868" s="17"/>
      <c r="Q868" s="17"/>
      <c r="R868" s="17"/>
      <c r="S868" s="17"/>
      <c r="T868" s="17"/>
      <c r="U868" s="17"/>
      <c r="V868" s="17"/>
      <c r="W868" s="17"/>
      <c r="X868" s="17"/>
      <c r="Y868" s="46" t="str">
        <f ca="1">IFERROR(VLOOKUP(A868,catalogo!$E:$H,2,0),"-")</f>
        <v>-</v>
      </c>
      <c r="Z868" s="47" t="str">
        <f ca="1">IFERROR(VLOOKUP(A868,catalogo!$E:$G,3,0),"-")</f>
        <v>-</v>
      </c>
      <c r="AA868" s="48"/>
      <c r="AB868" s="48"/>
      <c r="AC868" s="48" t="str">
        <f ca="1">IFERROR(VLOOKUP(A868,catalogo!$E:$H,4,0),"-")</f>
        <v>-</v>
      </c>
      <c r="AD868" s="48"/>
      <c r="AE868" s="48"/>
      <c r="AF868" s="48"/>
      <c r="AG868" s="48"/>
      <c r="AH868" s="48"/>
      <c r="AI868" s="48"/>
    </row>
    <row r="869" spans="1:35" ht="12.5" hidden="1">
      <c r="A869" s="37" t="s">
        <v>1681</v>
      </c>
      <c r="B869" s="38" t="str">
        <f>IFERROR(VLOOKUP(J869,catalogo!$B$1:$C$75,2,0),"-")</f>
        <v>#16</v>
      </c>
      <c r="C869" s="39">
        <v>46074.416666666664</v>
      </c>
      <c r="D869" s="17"/>
      <c r="E869" s="17"/>
      <c r="F869" s="17"/>
      <c r="G869" s="42">
        <v>10000</v>
      </c>
      <c r="H869" s="42">
        <v>10000</v>
      </c>
      <c r="I869" s="43" t="s">
        <v>156</v>
      </c>
      <c r="J869" s="43" t="s">
        <v>85</v>
      </c>
      <c r="K869" s="43" t="s">
        <v>330</v>
      </c>
      <c r="L869" s="44" t="s">
        <v>331</v>
      </c>
      <c r="M869" s="44" t="s">
        <v>332</v>
      </c>
      <c r="N869" s="44" t="s">
        <v>144</v>
      </c>
      <c r="O869" s="17"/>
      <c r="P869" s="17"/>
      <c r="Q869" s="17"/>
      <c r="R869" s="17"/>
      <c r="S869" s="17"/>
      <c r="T869" s="17"/>
      <c r="U869" s="17"/>
      <c r="V869" s="17"/>
      <c r="W869" s="17"/>
      <c r="X869" s="17"/>
      <c r="Y869" s="46" t="str">
        <f ca="1">IFERROR(VLOOKUP(A869,catalogo!$E:$H,2,0),"-")</f>
        <v>Office expenses</v>
      </c>
      <c r="Z869" s="47">
        <f ca="1">IFERROR(VLOOKUP(A869,catalogo!$E:$G,3,0),"-")</f>
        <v>0</v>
      </c>
      <c r="AA869" s="48"/>
      <c r="AB869" s="48"/>
      <c r="AC869" s="48">
        <f ca="1">IFERROR(VLOOKUP(A869,catalogo!$E:$H,4,0),"-")</f>
        <v>0</v>
      </c>
      <c r="AD869" s="48"/>
      <c r="AE869" s="48"/>
      <c r="AF869" s="48"/>
      <c r="AG869" s="48"/>
      <c r="AH869" s="48"/>
      <c r="AI869" s="48"/>
    </row>
    <row r="870" spans="1:35" ht="12.5" hidden="1">
      <c r="A870" s="37" t="s">
        <v>1682</v>
      </c>
      <c r="B870" s="38" t="str">
        <f>IFERROR(VLOOKUP(J870,catalogo!$B$1:$C$70,2,0),"-")</f>
        <v>-</v>
      </c>
      <c r="C870" s="39">
        <v>46074.416666666664</v>
      </c>
      <c r="D870" s="17"/>
      <c r="E870" s="17"/>
      <c r="F870" s="17"/>
      <c r="G870" s="42">
        <v>700</v>
      </c>
      <c r="H870" s="42">
        <v>700</v>
      </c>
      <c r="I870" s="43" t="s">
        <v>156</v>
      </c>
      <c r="J870" s="43" t="s">
        <v>187</v>
      </c>
      <c r="K870" s="43" t="s">
        <v>273</v>
      </c>
      <c r="L870" s="44" t="s">
        <v>274</v>
      </c>
      <c r="M870" s="45" t="s">
        <v>190</v>
      </c>
      <c r="N870" s="44" t="s">
        <v>167</v>
      </c>
      <c r="O870" s="17"/>
      <c r="P870" s="17"/>
      <c r="Q870" s="17"/>
      <c r="R870" s="17"/>
      <c r="S870" s="17"/>
      <c r="T870" s="17"/>
      <c r="U870" s="17"/>
      <c r="V870" s="17"/>
      <c r="W870" s="17"/>
      <c r="X870" s="17"/>
      <c r="Y870" s="46" t="str">
        <f ca="1">IFERROR(VLOOKUP(A870,catalogo!$E:$G,2,0),"-")</f>
        <v>-</v>
      </c>
      <c r="Z870" s="47" t="str">
        <f ca="1">IFERROR(VLOOKUP(A870,catalogo!$E:$G,3,0),"-")</f>
        <v>-</v>
      </c>
      <c r="AA870" s="48"/>
      <c r="AB870" s="48"/>
      <c r="AC870" s="48" t="str">
        <f ca="1">IFERROR(VLOOKUP(A870,catalogo!$E:$H,4,0),"-")</f>
        <v>-</v>
      </c>
      <c r="AD870" s="48"/>
      <c r="AE870" s="48"/>
      <c r="AF870" s="48"/>
      <c r="AG870" s="48"/>
      <c r="AH870" s="48"/>
      <c r="AI870" s="48"/>
    </row>
    <row r="871" spans="1:35" ht="15.5" hidden="1">
      <c r="A871" s="37" t="s">
        <v>1683</v>
      </c>
      <c r="B871" s="38" t="str">
        <f>IFERROR(VLOOKUP(J871,catalogo!$B$1:$C$75,2,0),"-")</f>
        <v>#9</v>
      </c>
      <c r="C871" s="39">
        <v>46074.416666666664</v>
      </c>
      <c r="D871" s="17"/>
      <c r="E871" s="17"/>
      <c r="F871" s="17"/>
      <c r="G871" s="42">
        <v>1555.95</v>
      </c>
      <c r="H871" s="42">
        <v>1555.95</v>
      </c>
      <c r="I871" s="43" t="s">
        <v>156</v>
      </c>
      <c r="J871" s="43" t="s">
        <v>134</v>
      </c>
      <c r="K871" s="43" t="s">
        <v>1684</v>
      </c>
      <c r="L871" s="44" t="s">
        <v>1685</v>
      </c>
      <c r="M871" s="44">
        <v>1026</v>
      </c>
      <c r="N871" s="44" t="s">
        <v>167</v>
      </c>
      <c r="O871" s="49"/>
      <c r="P871" s="17"/>
      <c r="Q871" s="17"/>
      <c r="R871" s="17"/>
      <c r="S871" s="17"/>
      <c r="T871" s="17"/>
      <c r="U871" s="17"/>
      <c r="V871" s="17"/>
      <c r="W871" s="17"/>
      <c r="X871" s="17"/>
      <c r="Y871" s="46" t="str">
        <f ca="1">IFERROR(VLOOKUP(A871,catalogo!$E:$H,2,0),"-")</f>
        <v>Sales</v>
      </c>
      <c r="Z871" s="47" t="str">
        <f ca="1">IFERROR(VLOOKUP(A871,catalogo!$E:$G,3,0),"-")</f>
        <v>Comida Mty viatico</v>
      </c>
      <c r="AA871" s="48"/>
      <c r="AB871" s="48"/>
      <c r="AC871" s="48" t="str">
        <f ca="1">IFERROR(VLOOKUP(A871,catalogo!$E:$H,4,0),"-")</f>
        <v>.</v>
      </c>
      <c r="AD871" s="48"/>
      <c r="AE871" s="48"/>
      <c r="AF871" s="48"/>
      <c r="AG871" s="48"/>
      <c r="AH871" s="48"/>
      <c r="AI871" s="48"/>
    </row>
    <row r="872" spans="1:35" ht="12.5" hidden="1">
      <c r="A872" s="37" t="s">
        <v>1686</v>
      </c>
      <c r="B872" s="38" t="str">
        <f>IFERROR(VLOOKUP(J872,catalogo!$B$1:$C$75,2,0),"-")</f>
        <v>#8</v>
      </c>
      <c r="C872" s="39">
        <v>46074.416666666664</v>
      </c>
      <c r="D872" s="52"/>
      <c r="E872" s="17"/>
      <c r="F872" s="17"/>
      <c r="G872" s="42">
        <v>1510</v>
      </c>
      <c r="H872" s="42">
        <v>1510</v>
      </c>
      <c r="I872" s="43" t="s">
        <v>156</v>
      </c>
      <c r="J872" s="43" t="s">
        <v>128</v>
      </c>
      <c r="K872" s="43" t="s">
        <v>319</v>
      </c>
      <c r="L872" s="44" t="s">
        <v>317</v>
      </c>
      <c r="M872" s="45">
        <v>16</v>
      </c>
      <c r="N872" s="44" t="s">
        <v>167</v>
      </c>
      <c r="O872" s="17"/>
      <c r="P872" s="17"/>
      <c r="Q872" s="17"/>
      <c r="R872" s="17"/>
      <c r="S872" s="17"/>
      <c r="T872" s="17"/>
      <c r="U872" s="17"/>
      <c r="V872" s="17"/>
      <c r="W872" s="17"/>
      <c r="X872" s="17"/>
      <c r="Y872" s="46" t="str">
        <f ca="1">IFERROR(VLOOKUP(A872,catalogo!$E:$H,2,0),"-")</f>
        <v>Tech&amp;Product</v>
      </c>
      <c r="Z872" s="47">
        <f ca="1">IFERROR(VLOOKUP(A872,catalogo!$E:$G,3,0),"-")</f>
        <v>0</v>
      </c>
      <c r="AA872" s="48"/>
      <c r="AB872" s="48"/>
      <c r="AC872" s="48" t="str">
        <f ca="1">IFERROR(VLOOKUP(A872,catalogo!$E:$H,4,0),"-")</f>
        <v>.</v>
      </c>
      <c r="AD872" s="48"/>
      <c r="AE872" s="48"/>
      <c r="AF872" s="48"/>
      <c r="AG872" s="48"/>
      <c r="AH872" s="48"/>
      <c r="AI872" s="48"/>
    </row>
    <row r="873" spans="1:35" ht="12.5" hidden="1">
      <c r="A873" s="37" t="s">
        <v>1687</v>
      </c>
      <c r="B873" s="38" t="str">
        <f>IFERROR(VLOOKUP(J873,catalogo!$B$1:$C$75,2,0),"-")</f>
        <v>#56</v>
      </c>
      <c r="C873" s="39">
        <v>46074.416666666664</v>
      </c>
      <c r="D873" s="40"/>
      <c r="E873" s="41"/>
      <c r="F873" s="41"/>
      <c r="G873" s="42">
        <v>254</v>
      </c>
      <c r="H873" s="42">
        <v>254</v>
      </c>
      <c r="I873" s="43" t="s">
        <v>156</v>
      </c>
      <c r="J873" s="43" t="s">
        <v>99</v>
      </c>
      <c r="K873" s="43" t="s">
        <v>1688</v>
      </c>
      <c r="L873" s="44" t="s">
        <v>1689</v>
      </c>
      <c r="M873" s="45">
        <v>8949</v>
      </c>
      <c r="N873" s="44" t="s">
        <v>167</v>
      </c>
      <c r="O873" s="41"/>
      <c r="P873" s="41"/>
      <c r="Q873" s="41"/>
      <c r="R873" s="41"/>
      <c r="S873" s="41"/>
      <c r="T873" s="41"/>
      <c r="U873" s="41"/>
      <c r="V873" s="41"/>
      <c r="W873" s="41"/>
      <c r="X873" s="41"/>
      <c r="Y873" s="46" t="str">
        <f ca="1">IFERROR(VLOOKUP(A873,catalogo!$E:$H,2,0),"-")</f>
        <v>-</v>
      </c>
      <c r="Z873" s="47" t="str">
        <f ca="1">IFERROR(VLOOKUP(A873,catalogo!$E:$G,3,0),"-")</f>
        <v>-</v>
      </c>
      <c r="AA873" s="48"/>
      <c r="AB873" s="48"/>
      <c r="AC873" s="48" t="str">
        <f ca="1">IFERROR(VLOOKUP(A873,catalogo!$E:$H,4,0),"-")</f>
        <v>-</v>
      </c>
      <c r="AD873" s="48"/>
      <c r="AE873" s="48"/>
      <c r="AF873" s="48"/>
      <c r="AG873" s="48"/>
      <c r="AH873" s="48"/>
      <c r="AI873" s="48"/>
    </row>
    <row r="874" spans="1:35" ht="15.5" hidden="1">
      <c r="A874" s="37" t="s">
        <v>1690</v>
      </c>
      <c r="B874" s="38" t="str">
        <f>IFERROR(VLOOKUP(J874,catalogo!$B$1:$C$75,2,0),"-")</f>
        <v>#42</v>
      </c>
      <c r="C874" s="39">
        <v>46074.416666666664</v>
      </c>
      <c r="D874" s="17"/>
      <c r="E874" s="17"/>
      <c r="F874" s="17"/>
      <c r="G874" s="42">
        <v>246.4</v>
      </c>
      <c r="H874" s="42">
        <v>246.4</v>
      </c>
      <c r="I874" s="43" t="s">
        <v>156</v>
      </c>
      <c r="J874" s="43" t="s">
        <v>78</v>
      </c>
      <c r="K874" s="43" t="s">
        <v>1691</v>
      </c>
      <c r="L874" s="44" t="s">
        <v>1692</v>
      </c>
      <c r="M874" s="44">
        <v>4431</v>
      </c>
      <c r="N874" s="44" t="s">
        <v>167</v>
      </c>
      <c r="O874" s="49"/>
      <c r="P874" s="17"/>
      <c r="Q874" s="17"/>
      <c r="R874" s="17"/>
      <c r="S874" s="17"/>
      <c r="T874" s="17"/>
      <c r="U874" s="17"/>
      <c r="V874" s="17"/>
      <c r="W874" s="17"/>
      <c r="X874" s="17"/>
      <c r="Y874" s="46" t="str">
        <f ca="1">IFERROR(VLOOKUP(A874,catalogo!$E:$H,2,0),"-")</f>
        <v>-</v>
      </c>
      <c r="Z874" s="47" t="str">
        <f ca="1">IFERROR(VLOOKUP(A874,catalogo!$E:$G,3,0),"-")</f>
        <v>-</v>
      </c>
      <c r="AA874" s="48"/>
      <c r="AB874" s="48"/>
      <c r="AC874" s="48" t="str">
        <f ca="1">IFERROR(VLOOKUP(A874,catalogo!$E:$H,4,0),"-")</f>
        <v>-</v>
      </c>
      <c r="AD874" s="48"/>
      <c r="AE874" s="48"/>
      <c r="AF874" s="48"/>
      <c r="AG874" s="48"/>
      <c r="AH874" s="48"/>
      <c r="AI874" s="48"/>
    </row>
    <row r="875" spans="1:35" ht="12.5" hidden="1">
      <c r="A875" s="37" t="s">
        <v>1693</v>
      </c>
      <c r="B875" s="38" t="str">
        <f>IFERROR(VLOOKUP(J875,catalogo!$B$1:$C$75,2,0),"-")</f>
        <v>#8</v>
      </c>
      <c r="C875" s="39">
        <v>46074.416666666664</v>
      </c>
      <c r="D875" s="40"/>
      <c r="E875" s="41"/>
      <c r="F875" s="41"/>
      <c r="G875" s="42">
        <v>115</v>
      </c>
      <c r="H875" s="42">
        <v>115</v>
      </c>
      <c r="I875" s="43" t="s">
        <v>156</v>
      </c>
      <c r="J875" s="43" t="s">
        <v>128</v>
      </c>
      <c r="K875" s="43" t="s">
        <v>1694</v>
      </c>
      <c r="L875" s="44" t="s">
        <v>317</v>
      </c>
      <c r="M875" s="45">
        <v>16</v>
      </c>
      <c r="N875" s="44" t="s">
        <v>167</v>
      </c>
      <c r="O875" s="41"/>
      <c r="P875" s="41"/>
      <c r="Q875" s="41"/>
      <c r="R875" s="41"/>
      <c r="S875" s="41"/>
      <c r="T875" s="41"/>
      <c r="U875" s="41"/>
      <c r="V875" s="41"/>
      <c r="W875" s="41"/>
      <c r="X875" s="41"/>
      <c r="Y875" s="46" t="str">
        <f ca="1">IFERROR(VLOOKUP(A875,catalogo!$E:$H,2,0),"-")</f>
        <v>Transaction cost</v>
      </c>
      <c r="Z875" s="47" t="str">
        <f ca="1">IFERROR(VLOOKUP(A875,catalogo!$E:$G,3,0),"-")</f>
        <v>CENA   PO2165 - ENSAMBLE UF/CEB MECANICO</v>
      </c>
      <c r="AA875" s="48"/>
      <c r="AB875" s="48"/>
      <c r="AC875" s="48" t="str">
        <f ca="1">IFERROR(VLOOKUP(A875,catalogo!$E:$H,4,0),"-")</f>
        <v>.</v>
      </c>
      <c r="AD875" s="48"/>
      <c r="AE875" s="48"/>
      <c r="AF875" s="48"/>
      <c r="AG875" s="48"/>
      <c r="AH875" s="48"/>
      <c r="AI875" s="48"/>
    </row>
    <row r="876" spans="1:35" ht="12.5" hidden="1">
      <c r="A876" s="37" t="s">
        <v>1695</v>
      </c>
      <c r="B876" s="38" t="str">
        <f>IFERROR(VLOOKUP(J876,catalogo!$B$1:$C$85,2,0),"-")</f>
        <v>#26</v>
      </c>
      <c r="C876" s="39">
        <v>46074.416666666664</v>
      </c>
      <c r="D876" s="17"/>
      <c r="E876" s="17"/>
      <c r="F876" s="17"/>
      <c r="G876" s="42">
        <v>20</v>
      </c>
      <c r="H876" s="42">
        <v>20</v>
      </c>
      <c r="I876" s="43" t="s">
        <v>156</v>
      </c>
      <c r="J876" s="43" t="s">
        <v>67</v>
      </c>
      <c r="K876" s="43" t="s">
        <v>757</v>
      </c>
      <c r="L876" s="44" t="s">
        <v>336</v>
      </c>
      <c r="M876" s="45" t="s">
        <v>159</v>
      </c>
      <c r="N876" s="44" t="s">
        <v>144</v>
      </c>
      <c r="O876" s="17"/>
      <c r="P876" s="17"/>
      <c r="Q876" s="17"/>
      <c r="R876" s="17"/>
      <c r="S876" s="17"/>
      <c r="T876" s="17"/>
      <c r="U876" s="17"/>
      <c r="V876" s="17"/>
      <c r="W876" s="17"/>
      <c r="X876" s="17"/>
      <c r="Y876" s="46" t="str">
        <f ca="1">IFERROR(VLOOKUP(A876,catalogo!$E:$G,2,0),"-")</f>
        <v>-</v>
      </c>
      <c r="Z876" s="47" t="str">
        <f ca="1">IFERROR(VLOOKUP(A876,catalogo!$E:$G,3,0),"-")</f>
        <v>-</v>
      </c>
      <c r="AA876" s="48"/>
      <c r="AB876" s="48"/>
      <c r="AC876" s="48" t="str">
        <f ca="1">IFERROR(VLOOKUP(A876,catalogo!$E:$H,4,0),"-")</f>
        <v>-</v>
      </c>
      <c r="AD876" s="48"/>
      <c r="AE876" s="48"/>
      <c r="AF876" s="48"/>
      <c r="AG876" s="48"/>
      <c r="AH876" s="48"/>
      <c r="AI876" s="48"/>
    </row>
    <row r="877" spans="1:35" ht="15.5" hidden="1">
      <c r="A877" s="37" t="s">
        <v>1696</v>
      </c>
      <c r="B877" s="38" t="str">
        <f>IFERROR(VLOOKUP(J877,catalogo!$B$1:$C$75,2,0),"-")</f>
        <v>-</v>
      </c>
      <c r="C877" s="39">
        <v>46074.416666666664</v>
      </c>
      <c r="D877" s="17"/>
      <c r="E877" s="17"/>
      <c r="F877" s="17"/>
      <c r="G877" s="42">
        <v>69.3</v>
      </c>
      <c r="H877" s="42">
        <v>69.3</v>
      </c>
      <c r="I877" s="43" t="s">
        <v>156</v>
      </c>
      <c r="J877" s="43" t="s">
        <v>659</v>
      </c>
      <c r="K877" s="43" t="s">
        <v>757</v>
      </c>
      <c r="L877" s="44" t="s">
        <v>336</v>
      </c>
      <c r="M877" s="44" t="s">
        <v>662</v>
      </c>
      <c r="N877" s="44" t="s">
        <v>144</v>
      </c>
      <c r="O877" s="49"/>
      <c r="P877" s="17"/>
      <c r="Q877" s="17"/>
      <c r="R877" s="17"/>
      <c r="S877" s="17"/>
      <c r="T877" s="17"/>
      <c r="U877" s="17"/>
      <c r="V877" s="17"/>
      <c r="W877" s="17"/>
      <c r="X877" s="17"/>
      <c r="Y877" s="46" t="str">
        <f ca="1">IFERROR(VLOOKUP(A877,catalogo!$E:$H,2,0),"-")</f>
        <v>-</v>
      </c>
      <c r="Z877" s="47" t="str">
        <f ca="1">IFERROR(VLOOKUP(A877,catalogo!$E:$G,3,0),"-")</f>
        <v>-</v>
      </c>
      <c r="AA877" s="48"/>
      <c r="AB877" s="48"/>
      <c r="AC877" s="48" t="str">
        <f ca="1">IFERROR(VLOOKUP(A877,catalogo!$E:$H,4,0),"-")</f>
        <v>-</v>
      </c>
      <c r="AD877" s="48"/>
      <c r="AE877" s="48"/>
      <c r="AF877" s="48"/>
      <c r="AG877" s="48"/>
      <c r="AH877" s="48"/>
      <c r="AI877" s="48"/>
    </row>
    <row r="878" spans="1:35" ht="12.5" hidden="1">
      <c r="A878" s="37" t="s">
        <v>1697</v>
      </c>
      <c r="B878" s="38" t="str">
        <f>IFERROR(VLOOKUP(J878,catalogo!$B$1:$C$75,2,0),"-")</f>
        <v>#19</v>
      </c>
      <c r="C878" s="39">
        <v>46074.416666666664</v>
      </c>
      <c r="D878" s="52"/>
      <c r="E878" s="17"/>
      <c r="F878" s="17"/>
      <c r="G878" s="42">
        <v>259.94</v>
      </c>
      <c r="H878" s="42">
        <v>259.94</v>
      </c>
      <c r="I878" s="43" t="s">
        <v>156</v>
      </c>
      <c r="J878" s="43" t="s">
        <v>105</v>
      </c>
      <c r="K878" s="43" t="s">
        <v>232</v>
      </c>
      <c r="L878" s="44" t="s">
        <v>233</v>
      </c>
      <c r="M878" s="44" t="s">
        <v>276</v>
      </c>
      <c r="N878" s="44" t="s">
        <v>144</v>
      </c>
      <c r="O878" s="17" t="s">
        <v>1698</v>
      </c>
      <c r="P878" s="17"/>
      <c r="Q878" s="17"/>
      <c r="R878" s="17"/>
      <c r="S878" s="17"/>
      <c r="T878" s="17"/>
      <c r="U878" s="17"/>
      <c r="V878" s="17"/>
      <c r="W878" s="17"/>
      <c r="X878" s="17"/>
      <c r="Y878" s="46" t="str">
        <f ca="1">IFERROR(VLOOKUP(A878,catalogo!$E:$H,2,0),"-")</f>
        <v>Transaction cost</v>
      </c>
      <c r="Z878" s="47" t="str">
        <f ca="1">IFERROR(VLOOKUP(A878,catalogo!$E:$G,3,0),"-")</f>
        <v>PO1953  ARTEVALLEDEBRAVO</v>
      </c>
      <c r="AA878" s="48"/>
      <c r="AB878" s="48"/>
      <c r="AC878" s="48" t="str">
        <f ca="1">IFERROR(VLOOKUP(A878,catalogo!$E:$H,4,0),"-")</f>
        <v>-</v>
      </c>
      <c r="AD878" s="48"/>
      <c r="AE878" s="48"/>
      <c r="AF878" s="48"/>
      <c r="AG878" s="48"/>
      <c r="AH878" s="48"/>
      <c r="AI878" s="48"/>
    </row>
    <row r="879" spans="1:35" ht="12.5" hidden="1">
      <c r="A879" s="37" t="s">
        <v>1699</v>
      </c>
      <c r="B879" s="38" t="str">
        <f>IFERROR(VLOOKUP(J879,catalogo!$B$1:$C$75,2,0),"-")</f>
        <v>#74</v>
      </c>
      <c r="C879" s="39">
        <v>46074.416666666664</v>
      </c>
      <c r="D879" s="52"/>
      <c r="E879" s="17"/>
      <c r="F879" s="17"/>
      <c r="G879" s="42">
        <v>156</v>
      </c>
      <c r="H879" s="42">
        <v>156</v>
      </c>
      <c r="I879" s="43" t="s">
        <v>156</v>
      </c>
      <c r="J879" s="43" t="s">
        <v>286</v>
      </c>
      <c r="K879" s="43" t="s">
        <v>757</v>
      </c>
      <c r="L879" s="44" t="s">
        <v>336</v>
      </c>
      <c r="M879" s="45">
        <v>5481</v>
      </c>
      <c r="N879" s="44" t="s">
        <v>167</v>
      </c>
      <c r="O879" s="17"/>
      <c r="P879" s="17"/>
      <c r="Q879" s="17"/>
      <c r="R879" s="17"/>
      <c r="S879" s="17"/>
      <c r="T879" s="17"/>
      <c r="U879" s="17"/>
      <c r="V879" s="17"/>
      <c r="W879" s="17"/>
      <c r="X879" s="17"/>
      <c r="Y879" s="46" t="str">
        <f ca="1">IFERROR(VLOOKUP(A879,catalogo!$E:$H,2,0),"-")</f>
        <v>-</v>
      </c>
      <c r="Z879" s="47" t="str">
        <f ca="1">IFERROR(VLOOKUP(A879,catalogo!$E:$G,3,0),"-")</f>
        <v>-</v>
      </c>
      <c r="AA879" s="48"/>
      <c r="AB879" s="48"/>
      <c r="AC879" s="48" t="str">
        <f ca="1">IFERROR(VLOOKUP(A879,catalogo!$E:$H,4,0),"-")</f>
        <v>-</v>
      </c>
      <c r="AD879" s="48"/>
      <c r="AE879" s="48"/>
      <c r="AF879" s="48"/>
      <c r="AG879" s="48"/>
      <c r="AH879" s="48"/>
      <c r="AI879" s="48"/>
    </row>
    <row r="880" spans="1:35" ht="12.5" hidden="1">
      <c r="A880" s="37" t="s">
        <v>1700</v>
      </c>
      <c r="B880" s="38" t="str">
        <f>IFERROR(VLOOKUP(J880,catalogo!$B$1:$C$75,2,0),"-")</f>
        <v>#41</v>
      </c>
      <c r="C880" s="39">
        <v>46074.416666666664</v>
      </c>
      <c r="D880" s="17"/>
      <c r="E880" s="17"/>
      <c r="F880" s="17"/>
      <c r="G880" s="42">
        <v>400</v>
      </c>
      <c r="H880" s="42">
        <v>400</v>
      </c>
      <c r="I880" s="43" t="s">
        <v>156</v>
      </c>
      <c r="J880" s="43" t="s">
        <v>68</v>
      </c>
      <c r="K880" s="43" t="s">
        <v>1701</v>
      </c>
      <c r="L880" s="44" t="s">
        <v>1702</v>
      </c>
      <c r="M880" s="45" t="s">
        <v>1038</v>
      </c>
      <c r="N880" s="44" t="s">
        <v>144</v>
      </c>
      <c r="O880" s="17"/>
      <c r="P880" s="17"/>
      <c r="Q880" s="17"/>
      <c r="R880" s="17"/>
      <c r="S880" s="17"/>
      <c r="T880" s="17"/>
      <c r="U880" s="17"/>
      <c r="V880" s="17"/>
      <c r="W880" s="17"/>
      <c r="X880" s="17"/>
      <c r="Y880" s="46" t="str">
        <f ca="1">IFERROR(VLOOKUP(A880,catalogo!$E:$H,2,0),"-")</f>
        <v>-</v>
      </c>
      <c r="Z880" s="47" t="str">
        <f ca="1">IFERROR(VLOOKUP(A880,catalogo!$E:$G,3,0),"-")</f>
        <v>-</v>
      </c>
      <c r="AA880" s="48"/>
      <c r="AB880" s="48"/>
      <c r="AC880" s="48" t="str">
        <f ca="1">IFERROR(VLOOKUP(A880,catalogo!$E:$H,4,0),"-")</f>
        <v>-</v>
      </c>
      <c r="AD880" s="48"/>
      <c r="AE880" s="48"/>
      <c r="AF880" s="48"/>
      <c r="AG880" s="48"/>
      <c r="AH880" s="48"/>
      <c r="AI880" s="48"/>
    </row>
    <row r="881" spans="1:35" ht="12.5" hidden="1">
      <c r="A881" s="37" t="s">
        <v>1703</v>
      </c>
      <c r="B881" s="38" t="str">
        <f>IFERROR(VLOOKUP(J881,catalogo!$B$1:$C$75,2,0),"-")</f>
        <v>#56</v>
      </c>
      <c r="C881" s="39">
        <v>46074.416666666664</v>
      </c>
      <c r="D881" s="40"/>
      <c r="E881" s="41"/>
      <c r="F881" s="41"/>
      <c r="G881" s="42">
        <v>50</v>
      </c>
      <c r="H881" s="42">
        <v>50</v>
      </c>
      <c r="I881" s="43" t="s">
        <v>156</v>
      </c>
      <c r="J881" s="43" t="s">
        <v>99</v>
      </c>
      <c r="K881" s="43" t="s">
        <v>757</v>
      </c>
      <c r="L881" s="44" t="s">
        <v>336</v>
      </c>
      <c r="M881" s="45">
        <v>8949</v>
      </c>
      <c r="N881" s="44" t="s">
        <v>167</v>
      </c>
      <c r="O881" s="41"/>
      <c r="P881" s="41"/>
      <c r="Q881" s="41"/>
      <c r="R881" s="41"/>
      <c r="S881" s="41"/>
      <c r="T881" s="41"/>
      <c r="U881" s="41"/>
      <c r="V881" s="41"/>
      <c r="W881" s="41"/>
      <c r="X881" s="41"/>
      <c r="Y881" s="46" t="str">
        <f ca="1">IFERROR(VLOOKUP(A881,catalogo!$E:$H,2,0),"-")</f>
        <v>-</v>
      </c>
      <c r="Z881" s="47" t="str">
        <f ca="1">IFERROR(VLOOKUP(A881,catalogo!$E:$G,3,0),"-")</f>
        <v>-</v>
      </c>
      <c r="AA881" s="48"/>
      <c r="AB881" s="48"/>
      <c r="AC881" s="48" t="str">
        <f ca="1">IFERROR(VLOOKUP(A881,catalogo!$E:$H,4,0),"-")</f>
        <v>-</v>
      </c>
      <c r="AD881" s="48"/>
      <c r="AE881" s="48"/>
      <c r="AF881" s="48"/>
      <c r="AG881" s="48"/>
      <c r="AH881" s="48"/>
      <c r="AI881" s="48"/>
    </row>
    <row r="882" spans="1:35" ht="12.5" hidden="1">
      <c r="A882" s="37" t="s">
        <v>1704</v>
      </c>
      <c r="B882" s="38" t="str">
        <f>IFERROR(VLOOKUP(J882,catalogo!$B$1:$C$75,2,0),"-")</f>
        <v>#56</v>
      </c>
      <c r="C882" s="39">
        <v>46074.416666666664</v>
      </c>
      <c r="D882" s="40"/>
      <c r="E882" s="41"/>
      <c r="F882" s="41"/>
      <c r="G882" s="42">
        <v>181</v>
      </c>
      <c r="H882" s="42">
        <v>181</v>
      </c>
      <c r="I882" s="43" t="s">
        <v>156</v>
      </c>
      <c r="J882" s="43" t="s">
        <v>99</v>
      </c>
      <c r="K882" s="43" t="s">
        <v>757</v>
      </c>
      <c r="L882" s="44" t="s">
        <v>336</v>
      </c>
      <c r="M882" s="44">
        <v>8949</v>
      </c>
      <c r="N882" s="44" t="s">
        <v>167</v>
      </c>
      <c r="O882" s="41"/>
      <c r="P882" s="41"/>
      <c r="Q882" s="41"/>
      <c r="R882" s="41"/>
      <c r="S882" s="41"/>
      <c r="T882" s="41"/>
      <c r="U882" s="41"/>
      <c r="V882" s="41"/>
      <c r="W882" s="41"/>
      <c r="X882" s="41"/>
      <c r="Y882" s="46" t="str">
        <f ca="1">IFERROR(VLOOKUP(A882,catalogo!$E:$H,2,0),"-")</f>
        <v>-</v>
      </c>
      <c r="Z882" s="47" t="str">
        <f ca="1">IFERROR(VLOOKUP(A882,catalogo!$E:$G,3,0),"-")</f>
        <v>-</v>
      </c>
      <c r="AA882" s="48"/>
      <c r="AB882" s="48"/>
      <c r="AC882" s="48" t="str">
        <f ca="1">IFERROR(VLOOKUP(A882,catalogo!$E:$H,4,0),"-")</f>
        <v>-</v>
      </c>
      <c r="AD882" s="48"/>
      <c r="AE882" s="48"/>
      <c r="AF882" s="48"/>
      <c r="AG882" s="48"/>
      <c r="AH882" s="48"/>
      <c r="AI882" s="48"/>
    </row>
    <row r="883" spans="1:35" ht="12.5" hidden="1">
      <c r="A883" s="37" t="s">
        <v>1705</v>
      </c>
      <c r="B883" s="38" t="str">
        <f>IFERROR(VLOOKUP(J883,catalogo!$B$1:$C$75,2,0),"-")</f>
        <v>#42</v>
      </c>
      <c r="C883" s="39">
        <v>46074.416666666664</v>
      </c>
      <c r="D883" s="52"/>
      <c r="E883" s="17"/>
      <c r="F883" s="17"/>
      <c r="G883" s="42">
        <v>253.81</v>
      </c>
      <c r="H883" s="42">
        <v>253.81</v>
      </c>
      <c r="I883" s="43" t="s">
        <v>156</v>
      </c>
      <c r="J883" s="43" t="s">
        <v>78</v>
      </c>
      <c r="K883" s="43" t="s">
        <v>485</v>
      </c>
      <c r="L883" s="44" t="s">
        <v>233</v>
      </c>
      <c r="M883" s="44" t="s">
        <v>1112</v>
      </c>
      <c r="N883" s="44" t="s">
        <v>144</v>
      </c>
      <c r="O883" s="17"/>
      <c r="P883" s="17"/>
      <c r="Q883" s="17"/>
      <c r="R883" s="17"/>
      <c r="S883" s="17"/>
      <c r="T883" s="17"/>
      <c r="U883" s="17"/>
      <c r="V883" s="17"/>
      <c r="W883" s="17"/>
      <c r="X883" s="17"/>
      <c r="Y883" s="46" t="str">
        <f ca="1">IFERROR(VLOOKUP(A883,catalogo!$E:$H,2,0),"-")</f>
        <v>-</v>
      </c>
      <c r="Z883" s="47" t="str">
        <f ca="1">IFERROR(VLOOKUP(A883,catalogo!$E:$G,3,0),"-")</f>
        <v>-</v>
      </c>
      <c r="AA883" s="48"/>
      <c r="AB883" s="48"/>
      <c r="AC883" s="48" t="str">
        <f ca="1">IFERROR(VLOOKUP(A883,catalogo!$E:$H,4,0),"-")</f>
        <v>-</v>
      </c>
      <c r="AD883" s="48"/>
      <c r="AE883" s="48"/>
      <c r="AF883" s="48"/>
      <c r="AG883" s="48"/>
      <c r="AH883" s="48"/>
      <c r="AI883" s="48"/>
    </row>
    <row r="884" spans="1:35" ht="12.5" hidden="1">
      <c r="A884" s="37" t="s">
        <v>441</v>
      </c>
      <c r="B884" s="38" t="str">
        <f>IFERROR(VLOOKUP(J884,catalogo!$B$1:$C$75,2,0),"-")</f>
        <v>#42</v>
      </c>
      <c r="C884" s="39">
        <v>46074.416666666664</v>
      </c>
      <c r="D884" s="52"/>
      <c r="E884" s="17"/>
      <c r="F884" s="17"/>
      <c r="G884" s="42">
        <v>51</v>
      </c>
      <c r="H884" s="42">
        <v>51</v>
      </c>
      <c r="I884" s="43" t="s">
        <v>156</v>
      </c>
      <c r="J884" s="43" t="s">
        <v>78</v>
      </c>
      <c r="K884" s="43" t="s">
        <v>1706</v>
      </c>
      <c r="L884" s="44" t="s">
        <v>1707</v>
      </c>
      <c r="M884" s="44">
        <v>4431</v>
      </c>
      <c r="N884" s="44" t="s">
        <v>167</v>
      </c>
      <c r="O884" s="17"/>
      <c r="P884" s="17"/>
      <c r="Q884" s="17"/>
      <c r="R884" s="17"/>
      <c r="S884" s="17"/>
      <c r="T884" s="17"/>
      <c r="U884" s="17"/>
      <c r="V884" s="17"/>
      <c r="W884" s="17"/>
      <c r="X884" s="17"/>
      <c r="Y884" s="46" t="str">
        <f ca="1">IFERROR(VLOOKUP(A884,catalogo!$E:$H,2,0),"-")</f>
        <v>Transaction cost</v>
      </c>
      <c r="Z884" s="47" t="str">
        <f ca="1">IFERROR(VLOOKUP(A884,catalogo!$E:$G,3,0),"-")</f>
        <v>PO4573 escaleras y barandales</v>
      </c>
      <c r="AA884" s="48"/>
      <c r="AB884" s="48"/>
      <c r="AC884" s="48" t="str">
        <f ca="1">IFERROR(VLOOKUP(A884,catalogo!$E:$H,4,0),"-")</f>
        <v>F4445FC1-D14F-4669-BB6B-F5BD1EBC1D19</v>
      </c>
      <c r="AD884" s="48"/>
      <c r="AE884" s="48"/>
      <c r="AF884" s="48"/>
      <c r="AG884" s="48"/>
      <c r="AH884" s="48"/>
      <c r="AI884" s="48"/>
    </row>
    <row r="885" spans="1:35" ht="12.5" hidden="1">
      <c r="A885" s="37" t="s">
        <v>1708</v>
      </c>
      <c r="B885" s="38" t="str">
        <f>IFERROR(VLOOKUP(J885,catalogo!$B$1:$C$80,2,0),"-")</f>
        <v>-</v>
      </c>
      <c r="C885" s="39">
        <v>46074.416666666664</v>
      </c>
      <c r="D885" s="17"/>
      <c r="E885" s="17"/>
      <c r="F885" s="17"/>
      <c r="G885" s="42">
        <v>200</v>
      </c>
      <c r="H885" s="42">
        <v>200</v>
      </c>
      <c r="I885" s="43" t="s">
        <v>156</v>
      </c>
      <c r="J885" s="43" t="s">
        <v>187</v>
      </c>
      <c r="K885" s="43" t="s">
        <v>660</v>
      </c>
      <c r="L885" s="44" t="s">
        <v>661</v>
      </c>
      <c r="M885" s="44" t="s">
        <v>477</v>
      </c>
      <c r="N885" s="44" t="s">
        <v>144</v>
      </c>
      <c r="O885" s="17"/>
      <c r="P885" s="17"/>
      <c r="Q885" s="17"/>
      <c r="R885" s="17"/>
      <c r="S885" s="17"/>
      <c r="T885" s="17"/>
      <c r="U885" s="17"/>
      <c r="V885" s="17"/>
      <c r="W885" s="17"/>
      <c r="X885" s="17"/>
      <c r="Y885" s="46" t="str">
        <f ca="1">IFERROR(VLOOKUP(A885,catalogo!$E:$G,2,0),"-")</f>
        <v>-</v>
      </c>
      <c r="Z885" s="47" t="str">
        <f ca="1">IFERROR(VLOOKUP(A885,catalogo!$E:$G,3,0),"-")</f>
        <v>-</v>
      </c>
      <c r="AA885" s="48"/>
      <c r="AB885" s="48"/>
      <c r="AC885" s="48" t="str">
        <f ca="1">IFERROR(VLOOKUP(A885,catalogo!$E:$H,4,0),"-")</f>
        <v>-</v>
      </c>
      <c r="AD885" s="48"/>
      <c r="AE885" s="48"/>
      <c r="AF885" s="48"/>
      <c r="AG885" s="48"/>
      <c r="AH885" s="48"/>
      <c r="AI885" s="48"/>
    </row>
    <row r="886" spans="1:35" ht="12.5" hidden="1">
      <c r="A886" s="37" t="s">
        <v>1709</v>
      </c>
      <c r="B886" s="38" t="str">
        <f>IFERROR(VLOOKUP(J886,catalogo!$B$1:$C$75,2,0),"-")</f>
        <v>#26</v>
      </c>
      <c r="C886" s="39">
        <v>46074.416666666664</v>
      </c>
      <c r="D886" s="40"/>
      <c r="E886" s="41"/>
      <c r="F886" s="41"/>
      <c r="G886" s="42">
        <v>92</v>
      </c>
      <c r="H886" s="42">
        <v>92</v>
      </c>
      <c r="I886" s="43" t="s">
        <v>156</v>
      </c>
      <c r="J886" s="43" t="s">
        <v>67</v>
      </c>
      <c r="K886" s="43" t="s">
        <v>335</v>
      </c>
      <c r="L886" s="44" t="s">
        <v>336</v>
      </c>
      <c r="M886" s="44" t="s">
        <v>159</v>
      </c>
      <c r="N886" s="44" t="s">
        <v>144</v>
      </c>
      <c r="O886" s="41"/>
      <c r="P886" s="41"/>
      <c r="Q886" s="41"/>
      <c r="R886" s="41"/>
      <c r="S886" s="41"/>
      <c r="T886" s="41"/>
      <c r="U886" s="41"/>
      <c r="V886" s="41"/>
      <c r="W886" s="41"/>
      <c r="X886" s="41"/>
      <c r="Y886" s="46" t="str">
        <f ca="1">IFERROR(VLOOKUP(A886,catalogo!$E:$H,2,0),"-")</f>
        <v>-</v>
      </c>
      <c r="Z886" s="47" t="str">
        <f ca="1">IFERROR(VLOOKUP(A886,catalogo!$E:$G,3,0),"-")</f>
        <v>-</v>
      </c>
      <c r="AA886" s="48"/>
      <c r="AB886" s="48"/>
      <c r="AC886" s="48" t="str">
        <f ca="1">IFERROR(VLOOKUP(A886,catalogo!$E:$H,4,0),"-")</f>
        <v>-</v>
      </c>
      <c r="AD886" s="48"/>
      <c r="AE886" s="48"/>
      <c r="AF886" s="48"/>
      <c r="AG886" s="48"/>
      <c r="AH886" s="48"/>
      <c r="AI886" s="48"/>
    </row>
    <row r="887" spans="1:35" ht="12.5" hidden="1">
      <c r="A887" s="37" t="s">
        <v>1710</v>
      </c>
      <c r="B887" s="38" t="str">
        <f>IFERROR(VLOOKUP(J887,catalogo!$B$1:$C$85,2,0),"-")</f>
        <v>#34</v>
      </c>
      <c r="C887" s="39">
        <v>46074.417361111111</v>
      </c>
      <c r="D887" s="40"/>
      <c r="E887" s="41"/>
      <c r="F887" s="41"/>
      <c r="G887" s="42">
        <v>309.98</v>
      </c>
      <c r="H887" s="42">
        <v>309.98</v>
      </c>
      <c r="I887" s="43" t="s">
        <v>156</v>
      </c>
      <c r="J887" s="43" t="s">
        <v>116</v>
      </c>
      <c r="K887" s="43" t="s">
        <v>232</v>
      </c>
      <c r="L887" s="44" t="s">
        <v>233</v>
      </c>
      <c r="M887" s="44">
        <v>333</v>
      </c>
      <c r="N887" s="44" t="s">
        <v>167</v>
      </c>
      <c r="O887" s="41"/>
      <c r="P887" s="41"/>
      <c r="Q887" s="41"/>
      <c r="R887" s="41"/>
      <c r="S887" s="41"/>
      <c r="T887" s="41"/>
      <c r="U887" s="41"/>
      <c r="V887" s="41"/>
      <c r="W887" s="41"/>
      <c r="X887" s="41"/>
      <c r="Y887" s="46" t="str">
        <f ca="1">IFERROR(VLOOKUP(A887,catalogo!$E:$H,2,0),"-")</f>
        <v>-</v>
      </c>
      <c r="Z887" s="47" t="str">
        <f ca="1">IFERROR(VLOOKUP(A887,catalogo!$E:$G,3,0),"-")</f>
        <v>-</v>
      </c>
      <c r="AA887" s="48"/>
      <c r="AB887" s="48"/>
      <c r="AC887" s="48" t="str">
        <f ca="1">IFERROR(VLOOKUP(A887,catalogo!$E:$H,4,0),"-")</f>
        <v>-</v>
      </c>
      <c r="AD887" s="48"/>
      <c r="AE887" s="48"/>
      <c r="AF887" s="48"/>
      <c r="AG887" s="48"/>
      <c r="AH887" s="48"/>
      <c r="AI887" s="48"/>
    </row>
    <row r="888" spans="1:35" ht="12.5" hidden="1">
      <c r="A888" s="37" t="s">
        <v>1711</v>
      </c>
      <c r="B888" s="38" t="str">
        <f>IFERROR(VLOOKUP(J888,catalogo!$B$1:$C$85,2,0),"-")</f>
        <v>#64</v>
      </c>
      <c r="C888" s="39">
        <v>46074.417361111111</v>
      </c>
      <c r="D888" s="17"/>
      <c r="E888" s="17"/>
      <c r="F888" s="17"/>
      <c r="G888" s="42">
        <v>211</v>
      </c>
      <c r="H888" s="42">
        <v>211</v>
      </c>
      <c r="I888" s="43" t="s">
        <v>156</v>
      </c>
      <c r="J888" s="43" t="s">
        <v>139</v>
      </c>
      <c r="K888" s="43" t="s">
        <v>1712</v>
      </c>
      <c r="L888" s="44" t="s">
        <v>1493</v>
      </c>
      <c r="M888" s="44">
        <v>7142</v>
      </c>
      <c r="N888" s="44" t="s">
        <v>167</v>
      </c>
      <c r="O888" s="17"/>
      <c r="P888" s="17"/>
      <c r="Q888" s="17"/>
      <c r="R888" s="17"/>
      <c r="S888" s="17"/>
      <c r="T888" s="17"/>
      <c r="U888" s="17"/>
      <c r="V888" s="17"/>
      <c r="W888" s="17"/>
      <c r="X888" s="17"/>
      <c r="Y888" s="46" t="str">
        <f ca="1">IFERROR(VLOOKUP(A888,catalogo!$E:$G,2,0),"-")</f>
        <v>-</v>
      </c>
      <c r="Z888" s="47" t="str">
        <f ca="1">IFERROR(VLOOKUP(A888,catalogo!$E:$G,3,0),"-")</f>
        <v>-</v>
      </c>
      <c r="AA888" s="48"/>
      <c r="AB888" s="48"/>
      <c r="AC888" s="48" t="str">
        <f ca="1">IFERROR(VLOOKUP(A888,catalogo!$E:$H,4,0),"-")</f>
        <v>-</v>
      </c>
      <c r="AD888" s="48"/>
      <c r="AE888" s="48"/>
      <c r="AF888" s="48"/>
      <c r="AG888" s="48"/>
      <c r="AH888" s="48"/>
      <c r="AI888" s="48"/>
    </row>
    <row r="889" spans="1:35" ht="12.5" hidden="1">
      <c r="A889" s="37" t="s">
        <v>1713</v>
      </c>
      <c r="B889" s="38" t="str">
        <f>IFERROR(VLOOKUP(J889,catalogo!$B$1:$C$85,2,0),"-")</f>
        <v>#26</v>
      </c>
      <c r="C889" s="39">
        <v>46074.417361111111</v>
      </c>
      <c r="D889" s="40"/>
      <c r="E889" s="41"/>
      <c r="F889" s="41"/>
      <c r="G889" s="42">
        <v>55</v>
      </c>
      <c r="H889" s="42">
        <v>55</v>
      </c>
      <c r="I889" s="43" t="s">
        <v>156</v>
      </c>
      <c r="J889" s="43" t="s">
        <v>67</v>
      </c>
      <c r="K889" s="43" t="s">
        <v>335</v>
      </c>
      <c r="L889" s="44" t="s">
        <v>336</v>
      </c>
      <c r="M889" s="44" t="s">
        <v>159</v>
      </c>
      <c r="N889" s="44" t="s">
        <v>144</v>
      </c>
      <c r="O889" s="41"/>
      <c r="P889" s="41"/>
      <c r="Q889" s="41"/>
      <c r="R889" s="41"/>
      <c r="S889" s="41"/>
      <c r="T889" s="41"/>
      <c r="U889" s="41"/>
      <c r="V889" s="41"/>
      <c r="W889" s="41"/>
      <c r="X889" s="41"/>
      <c r="Y889" s="46" t="str">
        <f ca="1">IFERROR(VLOOKUP(A889,catalogo!$E:$H,2,0),"-")</f>
        <v>-</v>
      </c>
      <c r="Z889" s="47" t="str">
        <f ca="1">IFERROR(VLOOKUP(A889,catalogo!$E:$G,3,0),"-")</f>
        <v>-</v>
      </c>
      <c r="AA889" s="48"/>
      <c r="AB889" s="48"/>
      <c r="AC889" s="48" t="str">
        <f ca="1">IFERROR(VLOOKUP(A889,catalogo!$E:$H,4,0),"-")</f>
        <v>-</v>
      </c>
      <c r="AD889" s="48"/>
      <c r="AE889" s="48"/>
      <c r="AF889" s="48"/>
      <c r="AG889" s="48"/>
      <c r="AH889" s="48"/>
      <c r="AI889" s="48"/>
    </row>
    <row r="890" spans="1:35" ht="12.5" hidden="1">
      <c r="A890" s="37" t="s">
        <v>1710</v>
      </c>
      <c r="B890" s="38" t="str">
        <f>IFERROR(VLOOKUP(J890,catalogo!$B$1:$C$85,2,0),"-")</f>
        <v>#26</v>
      </c>
      <c r="C890" s="39">
        <v>46074.417361111111</v>
      </c>
      <c r="D890" s="40"/>
      <c r="E890" s="41"/>
      <c r="F890" s="41"/>
      <c r="G890" s="42">
        <v>194</v>
      </c>
      <c r="H890" s="42">
        <v>194</v>
      </c>
      <c r="I890" s="43" t="s">
        <v>156</v>
      </c>
      <c r="J890" s="43" t="s">
        <v>67</v>
      </c>
      <c r="K890" s="43" t="s">
        <v>335</v>
      </c>
      <c r="L890" s="44" t="s">
        <v>336</v>
      </c>
      <c r="M890" s="44" t="s">
        <v>159</v>
      </c>
      <c r="N890" s="44" t="s">
        <v>144</v>
      </c>
      <c r="O890" s="17"/>
      <c r="P890" s="17"/>
      <c r="Q890" s="17"/>
      <c r="R890" s="17"/>
      <c r="S890" s="17"/>
      <c r="T890" s="17"/>
      <c r="U890" s="17"/>
      <c r="V890" s="17"/>
      <c r="W890" s="17"/>
      <c r="X890" s="17"/>
      <c r="Y890" s="46"/>
      <c r="Z890" s="47"/>
      <c r="AA890" s="48"/>
      <c r="AB890" s="48"/>
      <c r="AC890" s="48"/>
      <c r="AD890" s="48"/>
      <c r="AE890" s="48"/>
      <c r="AF890" s="48"/>
      <c r="AG890" s="48"/>
      <c r="AH890" s="48"/>
      <c r="AI890" s="48"/>
    </row>
    <row r="891" spans="1:35" ht="12.5" hidden="1">
      <c r="A891" s="37" t="s">
        <v>1082</v>
      </c>
      <c r="B891" s="38" t="str">
        <f>IFERROR(VLOOKUP(J891,catalogo!$B$1:$C$85,2,0),"-")</f>
        <v>#26</v>
      </c>
      <c r="C891" s="39">
        <v>46074.417361111111</v>
      </c>
      <c r="D891" s="40"/>
      <c r="E891" s="41"/>
      <c r="F891" s="41"/>
      <c r="G891" s="42">
        <v>113</v>
      </c>
      <c r="H891" s="42">
        <v>113</v>
      </c>
      <c r="I891" s="43" t="s">
        <v>156</v>
      </c>
      <c r="J891" s="43" t="s">
        <v>67</v>
      </c>
      <c r="K891" s="43" t="s">
        <v>1714</v>
      </c>
      <c r="L891" s="44" t="s">
        <v>407</v>
      </c>
      <c r="M891" s="44">
        <v>8061</v>
      </c>
      <c r="N891" s="44" t="s">
        <v>167</v>
      </c>
      <c r="O891" s="17"/>
      <c r="P891" s="17"/>
      <c r="Q891" s="17"/>
      <c r="R891" s="17"/>
      <c r="S891" s="17"/>
      <c r="T891" s="17"/>
      <c r="U891" s="17"/>
      <c r="V891" s="17"/>
      <c r="W891" s="17"/>
      <c r="X891" s="17"/>
      <c r="Y891" s="46"/>
      <c r="Z891" s="47"/>
      <c r="AA891" s="48"/>
      <c r="AB891" s="48"/>
      <c r="AC891" s="48"/>
      <c r="AD891" s="48"/>
      <c r="AE891" s="48"/>
      <c r="AF891" s="48"/>
      <c r="AG891" s="48"/>
      <c r="AH891" s="48"/>
      <c r="AI891" s="48"/>
    </row>
    <row r="892" spans="1:35" ht="12.5" hidden="1">
      <c r="A892" s="37" t="s">
        <v>568</v>
      </c>
      <c r="B892" s="38" t="str">
        <f>IFERROR(VLOOKUP(J892,catalogo!$B$1:$C$85,2,0),"-")</f>
        <v>#42</v>
      </c>
      <c r="C892" s="39">
        <v>46074.417361111111</v>
      </c>
      <c r="D892" s="40"/>
      <c r="E892" s="41"/>
      <c r="F892" s="41"/>
      <c r="G892" s="42">
        <v>1076.9000000000001</v>
      </c>
      <c r="H892" s="42">
        <v>1076.9000000000001</v>
      </c>
      <c r="I892" s="43" t="s">
        <v>156</v>
      </c>
      <c r="J892" s="43" t="s">
        <v>78</v>
      </c>
      <c r="K892" s="43" t="s">
        <v>403</v>
      </c>
      <c r="L892" s="44" t="s">
        <v>404</v>
      </c>
      <c r="M892" s="44">
        <v>4431</v>
      </c>
      <c r="N892" s="44" t="s">
        <v>167</v>
      </c>
      <c r="O892" s="17"/>
      <c r="P892" s="17"/>
      <c r="Q892" s="17"/>
      <c r="R892" s="17"/>
      <c r="S892" s="17"/>
      <c r="T892" s="17"/>
      <c r="U892" s="17"/>
      <c r="V892" s="17"/>
      <c r="W892" s="17"/>
      <c r="X892" s="17"/>
      <c r="Y892" s="46"/>
      <c r="Z892" s="47"/>
      <c r="AA892" s="48"/>
      <c r="AB892" s="48"/>
      <c r="AC892" s="48"/>
      <c r="AD892" s="48"/>
      <c r="AE892" s="48"/>
      <c r="AF892" s="48"/>
      <c r="AG892" s="48"/>
      <c r="AH892" s="48"/>
      <c r="AI892" s="48"/>
    </row>
    <row r="893" spans="1:35" ht="12.5" hidden="1">
      <c r="A893" s="37" t="s">
        <v>1715</v>
      </c>
      <c r="B893" s="38" t="str">
        <f>IFERROR(VLOOKUP(J893,catalogo!$B$1:$C$85,2,0),"-")</f>
        <v>#64</v>
      </c>
      <c r="C893" s="39">
        <v>46074.417361111111</v>
      </c>
      <c r="D893" s="40"/>
      <c r="E893" s="41"/>
      <c r="F893" s="41"/>
      <c r="G893" s="42">
        <v>299</v>
      </c>
      <c r="H893" s="42">
        <v>299</v>
      </c>
      <c r="I893" s="43" t="s">
        <v>156</v>
      </c>
      <c r="J893" s="43" t="s">
        <v>139</v>
      </c>
      <c r="K893" s="43" t="s">
        <v>1716</v>
      </c>
      <c r="L893" s="44" t="s">
        <v>1717</v>
      </c>
      <c r="M893" s="44" t="s">
        <v>1718</v>
      </c>
      <c r="N893" s="44" t="s">
        <v>144</v>
      </c>
      <c r="O893" s="17"/>
      <c r="P893" s="17"/>
      <c r="Q893" s="17"/>
      <c r="R893" s="17"/>
      <c r="S893" s="17"/>
      <c r="T893" s="17"/>
      <c r="U893" s="17"/>
      <c r="V893" s="17"/>
      <c r="W893" s="17"/>
      <c r="X893" s="17"/>
      <c r="Y893" s="46"/>
      <c r="Z893" s="47"/>
      <c r="AA893" s="48"/>
      <c r="AB893" s="48"/>
      <c r="AC893" s="48"/>
      <c r="AD893" s="48"/>
      <c r="AE893" s="48"/>
      <c r="AF893" s="48"/>
      <c r="AG893" s="48"/>
      <c r="AH893" s="48"/>
      <c r="AI893" s="48"/>
    </row>
    <row r="894" spans="1:35" ht="15.5" hidden="1">
      <c r="A894" s="37" t="s">
        <v>1703</v>
      </c>
      <c r="B894" s="38" t="str">
        <f>IFERROR(VLOOKUP(J894,catalogo!$B$1:$C$85,2,0),"-")</f>
        <v>#49</v>
      </c>
      <c r="C894" s="39">
        <v>46074.417361111111</v>
      </c>
      <c r="D894" s="40"/>
      <c r="E894" s="41"/>
      <c r="F894" s="41"/>
      <c r="G894" s="42">
        <v>329</v>
      </c>
      <c r="H894" s="42">
        <v>329</v>
      </c>
      <c r="I894" s="43" t="s">
        <v>156</v>
      </c>
      <c r="J894" s="43" t="s">
        <v>124</v>
      </c>
      <c r="K894" s="43" t="s">
        <v>1719</v>
      </c>
      <c r="L894" s="44" t="s">
        <v>1720</v>
      </c>
      <c r="M894" s="44">
        <v>4488</v>
      </c>
      <c r="N894" s="44" t="s">
        <v>167</v>
      </c>
      <c r="O894" s="49"/>
      <c r="P894" s="17"/>
      <c r="Q894" s="17"/>
      <c r="R894" s="17"/>
      <c r="S894" s="17"/>
      <c r="T894" s="17"/>
      <c r="U894" s="17"/>
      <c r="V894" s="17"/>
      <c r="W894" s="17"/>
      <c r="X894" s="17"/>
      <c r="Y894" s="46"/>
      <c r="Z894" s="47"/>
      <c r="AA894" s="48"/>
      <c r="AB894" s="48"/>
      <c r="AC894" s="48"/>
      <c r="AD894" s="48"/>
      <c r="AE894" s="48"/>
      <c r="AF894" s="48"/>
      <c r="AG894" s="48"/>
      <c r="AH894" s="48"/>
      <c r="AI894" s="48"/>
    </row>
    <row r="895" spans="1:35" ht="12.5" hidden="1">
      <c r="A895" s="37" t="s">
        <v>1721</v>
      </c>
      <c r="B895" s="38" t="str">
        <f>IFERROR(VLOOKUP(J895,catalogo!$B$1:$C$85,2,0),"-")</f>
        <v>-</v>
      </c>
      <c r="C895" s="39">
        <v>46074.417361111111</v>
      </c>
      <c r="D895" s="40"/>
      <c r="E895" s="41"/>
      <c r="F895" s="41"/>
      <c r="G895" s="42">
        <v>800</v>
      </c>
      <c r="H895" s="42">
        <v>800</v>
      </c>
      <c r="I895" s="43" t="s">
        <v>156</v>
      </c>
      <c r="J895" s="43" t="s">
        <v>710</v>
      </c>
      <c r="K895" s="43" t="s">
        <v>1722</v>
      </c>
      <c r="L895" s="44" t="s">
        <v>1723</v>
      </c>
      <c r="M895" s="44">
        <v>5652</v>
      </c>
      <c r="N895" s="44" t="s">
        <v>167</v>
      </c>
      <c r="O895" s="17"/>
      <c r="P895" s="17"/>
      <c r="Q895" s="17"/>
      <c r="R895" s="17"/>
      <c r="S895" s="17"/>
      <c r="T895" s="17"/>
      <c r="U895" s="17"/>
      <c r="V895" s="17"/>
      <c r="W895" s="17"/>
      <c r="X895" s="17"/>
      <c r="Y895" s="46"/>
      <c r="Z895" s="47"/>
      <c r="AA895" s="48"/>
      <c r="AB895" s="48"/>
      <c r="AC895" s="48"/>
      <c r="AD895" s="48"/>
      <c r="AE895" s="48"/>
      <c r="AF895" s="48"/>
      <c r="AG895" s="48"/>
      <c r="AH895" s="48"/>
      <c r="AI895" s="48"/>
    </row>
    <row r="896" spans="1:35" ht="12.5" hidden="1">
      <c r="A896" s="37" t="s">
        <v>1550</v>
      </c>
      <c r="B896" s="38" t="str">
        <f>IFERROR(VLOOKUP(J896,catalogo!$B$1:$C$85,2,0),"-")</f>
        <v>#42</v>
      </c>
      <c r="C896" s="39">
        <v>46074.417361111111</v>
      </c>
      <c r="D896" s="40"/>
      <c r="E896" s="41"/>
      <c r="F896" s="41"/>
      <c r="G896" s="42">
        <v>35</v>
      </c>
      <c r="H896" s="42">
        <v>35</v>
      </c>
      <c r="I896" s="43" t="s">
        <v>156</v>
      </c>
      <c r="J896" s="43" t="s">
        <v>78</v>
      </c>
      <c r="K896" s="43" t="s">
        <v>1724</v>
      </c>
      <c r="L896" s="44" t="s">
        <v>407</v>
      </c>
      <c r="M896" s="44">
        <v>4431</v>
      </c>
      <c r="N896" s="44" t="s">
        <v>167</v>
      </c>
      <c r="O896" s="17"/>
      <c r="P896" s="17"/>
      <c r="Q896" s="17"/>
      <c r="R896" s="17"/>
      <c r="S896" s="17"/>
      <c r="T896" s="17"/>
      <c r="U896" s="17"/>
      <c r="V896" s="17"/>
      <c r="W896" s="17"/>
      <c r="X896" s="17"/>
      <c r="Y896" s="46"/>
      <c r="Z896" s="47"/>
      <c r="AA896" s="48"/>
      <c r="AB896" s="48"/>
      <c r="AC896" s="48"/>
      <c r="AD896" s="48"/>
      <c r="AE896" s="48"/>
      <c r="AF896" s="48"/>
      <c r="AG896" s="48"/>
      <c r="AH896" s="48"/>
      <c r="AI896" s="48"/>
    </row>
    <row r="897" spans="1:35" ht="12.5" hidden="1">
      <c r="A897" s="37" t="s">
        <v>1152</v>
      </c>
      <c r="B897" s="38" t="str">
        <f>IFERROR(VLOOKUP(J897,catalogo!$B$1:$C$85,2,0),"-")</f>
        <v>#66</v>
      </c>
      <c r="C897" s="39">
        <v>46074.417361111111</v>
      </c>
      <c r="D897" s="40"/>
      <c r="E897" s="41"/>
      <c r="F897" s="41"/>
      <c r="G897" s="42">
        <v>185</v>
      </c>
      <c r="H897" s="42">
        <v>185</v>
      </c>
      <c r="I897" s="43" t="s">
        <v>156</v>
      </c>
      <c r="J897" s="43" t="s">
        <v>80</v>
      </c>
      <c r="K897" s="43" t="s">
        <v>1035</v>
      </c>
      <c r="L897" s="44" t="s">
        <v>1036</v>
      </c>
      <c r="M897" s="44">
        <v>2406</v>
      </c>
      <c r="N897" s="44" t="s">
        <v>167</v>
      </c>
      <c r="O897" s="17"/>
      <c r="P897" s="17"/>
      <c r="Q897" s="17"/>
      <c r="R897" s="17"/>
      <c r="S897" s="17"/>
      <c r="T897" s="17"/>
      <c r="U897" s="17"/>
      <c r="V897" s="17"/>
      <c r="W897" s="17"/>
      <c r="X897" s="17"/>
      <c r="Y897" s="46"/>
      <c r="Z897" s="47"/>
      <c r="AA897" s="48"/>
      <c r="AB897" s="48"/>
      <c r="AC897" s="48"/>
      <c r="AD897" s="48"/>
      <c r="AE897" s="48"/>
      <c r="AF897" s="48"/>
      <c r="AG897" s="48"/>
      <c r="AH897" s="48"/>
      <c r="AI897" s="48"/>
    </row>
    <row r="898" spans="1:35" ht="12.5" hidden="1">
      <c r="A898" s="37" t="s">
        <v>1725</v>
      </c>
      <c r="B898" s="38" t="str">
        <f>IFERROR(VLOOKUP(J898,catalogo!$B$1:$C$85,2,0),"-")</f>
        <v>#68</v>
      </c>
      <c r="C898" s="39">
        <v>46074.417361111111</v>
      </c>
      <c r="D898" s="40"/>
      <c r="E898" s="41"/>
      <c r="F898" s="41"/>
      <c r="G898" s="42">
        <v>37.5</v>
      </c>
      <c r="H898" s="42">
        <v>37.5</v>
      </c>
      <c r="I898" s="43" t="s">
        <v>156</v>
      </c>
      <c r="J898" s="43" t="s">
        <v>384</v>
      </c>
      <c r="K898" s="43" t="s">
        <v>1726</v>
      </c>
      <c r="L898" s="44" t="s">
        <v>407</v>
      </c>
      <c r="M898" s="44">
        <v>2937</v>
      </c>
      <c r="N898" s="44" t="s">
        <v>167</v>
      </c>
      <c r="O898" s="17"/>
      <c r="P898" s="17"/>
      <c r="Q898" s="17"/>
      <c r="R898" s="17"/>
      <c r="S898" s="17"/>
      <c r="T898" s="17"/>
      <c r="U898" s="17"/>
      <c r="V898" s="17"/>
      <c r="W898" s="17"/>
      <c r="X898" s="17"/>
      <c r="Y898" s="46"/>
      <c r="Z898" s="47"/>
      <c r="AA898" s="48"/>
      <c r="AB898" s="48"/>
      <c r="AC898" s="48"/>
      <c r="AD898" s="48"/>
      <c r="AE898" s="48"/>
      <c r="AF898" s="48"/>
      <c r="AG898" s="48"/>
      <c r="AH898" s="48"/>
      <c r="AI898" s="48"/>
    </row>
    <row r="899" spans="1:35" ht="12.5" hidden="1">
      <c r="A899" s="37" t="s">
        <v>1341</v>
      </c>
      <c r="B899" s="38" t="str">
        <f>IFERROR(VLOOKUP(J899,catalogo!$B$1:$C$85,2,0),"-")</f>
        <v>#55</v>
      </c>
      <c r="C899" s="39">
        <v>46074.417361111111</v>
      </c>
      <c r="D899" s="40"/>
      <c r="E899" s="41"/>
      <c r="F899" s="41"/>
      <c r="G899" s="42">
        <v>1028.8399999999999</v>
      </c>
      <c r="H899" s="42">
        <v>1028.8399999999999</v>
      </c>
      <c r="I899" s="43" t="s">
        <v>156</v>
      </c>
      <c r="J899" s="43" t="s">
        <v>89</v>
      </c>
      <c r="K899" s="43" t="s">
        <v>1727</v>
      </c>
      <c r="L899" s="44" t="s">
        <v>1728</v>
      </c>
      <c r="M899" s="44">
        <v>3013</v>
      </c>
      <c r="N899" s="44" t="s">
        <v>167</v>
      </c>
      <c r="O899" s="17"/>
      <c r="P899" s="17"/>
      <c r="Q899" s="17"/>
      <c r="R899" s="17"/>
      <c r="S899" s="17"/>
      <c r="T899" s="17"/>
      <c r="U899" s="17"/>
      <c r="V899" s="17"/>
      <c r="W899" s="17"/>
      <c r="X899" s="17"/>
      <c r="Y899" s="46"/>
      <c r="Z899" s="47"/>
      <c r="AA899" s="48"/>
      <c r="AB899" s="48"/>
      <c r="AC899" s="48"/>
      <c r="AD899" s="48"/>
      <c r="AE899" s="48"/>
      <c r="AF899" s="48"/>
      <c r="AG899" s="48"/>
      <c r="AH899" s="48"/>
      <c r="AI899" s="48"/>
    </row>
    <row r="900" spans="1:35" ht="15.5" hidden="1">
      <c r="A900" s="37" t="s">
        <v>529</v>
      </c>
      <c r="B900" s="38" t="str">
        <f>IFERROR(VLOOKUP(J900,catalogo!$B$1:$C$85,2,0),"-")</f>
        <v>#64</v>
      </c>
      <c r="C900" s="39">
        <v>46074.417361111111</v>
      </c>
      <c r="D900" s="40"/>
      <c r="E900" s="41"/>
      <c r="F900" s="41"/>
      <c r="G900" s="42">
        <v>61</v>
      </c>
      <c r="H900" s="42">
        <v>61</v>
      </c>
      <c r="I900" s="43" t="s">
        <v>156</v>
      </c>
      <c r="J900" s="43" t="s">
        <v>139</v>
      </c>
      <c r="K900" s="43" t="s">
        <v>836</v>
      </c>
      <c r="L900" s="44" t="s">
        <v>655</v>
      </c>
      <c r="M900" s="44">
        <v>7142</v>
      </c>
      <c r="N900" s="44" t="s">
        <v>167</v>
      </c>
      <c r="O900" s="49"/>
      <c r="P900" s="17"/>
      <c r="Q900" s="17"/>
      <c r="R900" s="17"/>
      <c r="S900" s="17"/>
      <c r="T900" s="17"/>
      <c r="U900" s="17"/>
      <c r="V900" s="17"/>
      <c r="W900" s="17"/>
      <c r="X900" s="17"/>
      <c r="Y900" s="46"/>
      <c r="Z900" s="47"/>
      <c r="AA900" s="48"/>
      <c r="AB900" s="48"/>
      <c r="AC900" s="48"/>
      <c r="AD900" s="48"/>
      <c r="AE900" s="48"/>
      <c r="AF900" s="48"/>
      <c r="AG900" s="48"/>
      <c r="AH900" s="48"/>
      <c r="AI900" s="48"/>
    </row>
    <row r="901" spans="1:35" ht="12.5" hidden="1">
      <c r="A901" s="37" t="s">
        <v>1668</v>
      </c>
      <c r="B901" s="38" t="str">
        <f>IFERROR(VLOOKUP(J901,catalogo!$B$1:$C$85,2,0),"-")</f>
        <v>#58</v>
      </c>
      <c r="C901" s="39">
        <v>46074.417361111111</v>
      </c>
      <c r="D901" s="40"/>
      <c r="E901" s="41"/>
      <c r="F901" s="41"/>
      <c r="G901" s="42">
        <v>199</v>
      </c>
      <c r="H901" s="42">
        <v>199</v>
      </c>
      <c r="I901" s="43" t="s">
        <v>156</v>
      </c>
      <c r="J901" s="43" t="s">
        <v>118</v>
      </c>
      <c r="K901" s="43" t="s">
        <v>1729</v>
      </c>
      <c r="L901" s="44" t="s">
        <v>1543</v>
      </c>
      <c r="M901" s="44">
        <v>5576</v>
      </c>
      <c r="N901" s="44" t="s">
        <v>167</v>
      </c>
      <c r="O901" s="17"/>
      <c r="P901" s="17"/>
      <c r="Q901" s="17"/>
      <c r="R901" s="17"/>
      <c r="S901" s="17"/>
      <c r="T901" s="17"/>
      <c r="U901" s="17"/>
      <c r="V901" s="17"/>
      <c r="W901" s="17"/>
      <c r="X901" s="17"/>
      <c r="Y901" s="46"/>
      <c r="Z901" s="47"/>
      <c r="AA901" s="48"/>
      <c r="AB901" s="48"/>
      <c r="AC901" s="48"/>
      <c r="AD901" s="48"/>
      <c r="AE901" s="48"/>
      <c r="AF901" s="48"/>
      <c r="AG901" s="48"/>
      <c r="AH901" s="48"/>
      <c r="AI901" s="48"/>
    </row>
    <row r="902" spans="1:35" ht="12.5" hidden="1">
      <c r="A902" s="37" t="s">
        <v>1604</v>
      </c>
      <c r="B902" s="38" t="str">
        <f>IFERROR(VLOOKUP(J902,catalogo!$B$1:$C$85,2,0),"-")</f>
        <v>-</v>
      </c>
      <c r="C902" s="39">
        <v>46074.417361111111</v>
      </c>
      <c r="D902" s="40"/>
      <c r="E902" s="41"/>
      <c r="F902" s="41"/>
      <c r="G902" s="42">
        <v>23.85</v>
      </c>
      <c r="H902" s="42">
        <v>23.85</v>
      </c>
      <c r="I902" s="43" t="s">
        <v>156</v>
      </c>
      <c r="J902" s="43" t="s">
        <v>493</v>
      </c>
      <c r="K902" s="43" t="s">
        <v>1730</v>
      </c>
      <c r="L902" s="44" t="s">
        <v>1731</v>
      </c>
      <c r="M902" s="44">
        <v>4682</v>
      </c>
      <c r="N902" s="44" t="s">
        <v>167</v>
      </c>
      <c r="O902" s="41"/>
      <c r="P902" s="41"/>
      <c r="Q902" s="41"/>
      <c r="R902" s="41"/>
      <c r="S902" s="41"/>
      <c r="T902" s="41"/>
      <c r="U902" s="41"/>
      <c r="V902" s="41"/>
      <c r="W902" s="41"/>
      <c r="X902" s="41"/>
      <c r="Y902" s="46"/>
      <c r="Z902" s="47"/>
      <c r="AA902" s="48"/>
      <c r="AB902" s="48"/>
      <c r="AC902" s="48"/>
      <c r="AD902" s="48"/>
      <c r="AE902" s="48"/>
      <c r="AF902" s="48"/>
      <c r="AG902" s="48"/>
      <c r="AH902" s="48"/>
      <c r="AI902" s="48"/>
    </row>
    <row r="903" spans="1:35" ht="15.5" hidden="1">
      <c r="A903" s="37" t="s">
        <v>978</v>
      </c>
      <c r="B903" s="38" t="str">
        <f>IFERROR(VLOOKUP(J903,catalogo!$B$1:$C$85,2,0),"-")</f>
        <v>#52</v>
      </c>
      <c r="C903" s="39">
        <v>46074.417361111111</v>
      </c>
      <c r="D903" s="40"/>
      <c r="E903" s="41"/>
      <c r="F903" s="41"/>
      <c r="G903" s="42">
        <v>981.25</v>
      </c>
      <c r="H903" s="42">
        <v>54.54</v>
      </c>
      <c r="I903" s="43" t="s">
        <v>172</v>
      </c>
      <c r="J903" s="43" t="s">
        <v>253</v>
      </c>
      <c r="K903" s="43" t="s">
        <v>1732</v>
      </c>
      <c r="L903" s="44" t="s">
        <v>1733</v>
      </c>
      <c r="M903" s="44">
        <v>6137</v>
      </c>
      <c r="N903" s="44" t="s">
        <v>167</v>
      </c>
      <c r="O903" s="49"/>
      <c r="P903" s="17"/>
      <c r="Q903" s="17"/>
      <c r="R903" s="17"/>
      <c r="S903" s="17"/>
      <c r="T903" s="17"/>
      <c r="U903" s="17"/>
      <c r="V903" s="17"/>
      <c r="W903" s="17"/>
      <c r="X903" s="17"/>
      <c r="Y903" s="46"/>
      <c r="Z903" s="47"/>
      <c r="AA903" s="48"/>
      <c r="AB903" s="48"/>
      <c r="AC903" s="48"/>
      <c r="AD903" s="48"/>
      <c r="AE903" s="48"/>
      <c r="AF903" s="48"/>
      <c r="AG903" s="48"/>
      <c r="AH903" s="48"/>
      <c r="AI903" s="48"/>
    </row>
    <row r="904" spans="1:35" ht="12.5" hidden="1">
      <c r="A904" s="37" t="s">
        <v>1499</v>
      </c>
      <c r="B904" s="38" t="str">
        <f>IFERROR(VLOOKUP(J904,catalogo!$B$1:$C$85,2,0),"-")</f>
        <v>#68</v>
      </c>
      <c r="C904" s="39">
        <v>46074.418055555558</v>
      </c>
      <c r="D904" s="40"/>
      <c r="E904" s="41"/>
      <c r="F904" s="41"/>
      <c r="G904" s="42">
        <v>685.05</v>
      </c>
      <c r="H904" s="42">
        <v>38.07</v>
      </c>
      <c r="I904" s="43" t="s">
        <v>172</v>
      </c>
      <c r="J904" s="43" t="s">
        <v>384</v>
      </c>
      <c r="K904" s="43" t="s">
        <v>1734</v>
      </c>
      <c r="L904" s="44" t="s">
        <v>1735</v>
      </c>
      <c r="M904" s="44">
        <v>2937</v>
      </c>
      <c r="N904" s="44" t="s">
        <v>167</v>
      </c>
      <c r="O904" s="17"/>
      <c r="P904" s="17"/>
      <c r="Q904" s="17"/>
      <c r="R904" s="17"/>
      <c r="S904" s="17"/>
      <c r="T904" s="17"/>
      <c r="U904" s="17"/>
      <c r="V904" s="17"/>
      <c r="W904" s="17"/>
      <c r="X904" s="17"/>
      <c r="Y904" s="46"/>
      <c r="Z904" s="47"/>
      <c r="AA904" s="48"/>
      <c r="AB904" s="48"/>
      <c r="AC904" s="48"/>
      <c r="AD904" s="48"/>
      <c r="AE904" s="48"/>
      <c r="AF904" s="48"/>
      <c r="AG904" s="48"/>
      <c r="AH904" s="48"/>
      <c r="AI904" s="48"/>
    </row>
    <row r="905" spans="1:35" ht="12.5" hidden="1">
      <c r="A905" s="37" t="s">
        <v>1313</v>
      </c>
      <c r="B905" s="38" t="str">
        <f>IFERROR(VLOOKUP(J905,catalogo!$B$1:$C$85,2,0),"-")</f>
        <v>#52</v>
      </c>
      <c r="C905" s="39">
        <v>46074.418055555558</v>
      </c>
      <c r="D905" s="40"/>
      <c r="E905" s="41"/>
      <c r="F905" s="41"/>
      <c r="G905" s="42">
        <v>5086.8999999999996</v>
      </c>
      <c r="H905" s="42">
        <v>282.74</v>
      </c>
      <c r="I905" s="43" t="s">
        <v>172</v>
      </c>
      <c r="J905" s="43" t="s">
        <v>253</v>
      </c>
      <c r="K905" s="43" t="s">
        <v>1736</v>
      </c>
      <c r="L905" s="44" t="s">
        <v>1737</v>
      </c>
      <c r="M905" s="44">
        <v>6137</v>
      </c>
      <c r="N905" s="44" t="s">
        <v>167</v>
      </c>
      <c r="O905" s="17"/>
      <c r="P905" s="17"/>
      <c r="Q905" s="17"/>
      <c r="R905" s="17"/>
      <c r="S905" s="17"/>
      <c r="T905" s="17"/>
      <c r="U905" s="17"/>
      <c r="V905" s="17"/>
      <c r="W905" s="17"/>
      <c r="X905" s="17"/>
      <c r="Y905" s="46"/>
      <c r="Z905" s="47"/>
      <c r="AA905" s="48"/>
      <c r="AB905" s="48"/>
      <c r="AC905" s="48"/>
      <c r="AD905" s="48"/>
      <c r="AE905" s="48"/>
      <c r="AF905" s="48"/>
      <c r="AG905" s="48"/>
      <c r="AH905" s="48"/>
      <c r="AI905" s="48"/>
    </row>
    <row r="906" spans="1:35" ht="12.5" hidden="1">
      <c r="A906" s="37" t="s">
        <v>1274</v>
      </c>
      <c r="B906" s="38" t="str">
        <f>IFERROR(VLOOKUP(J906,catalogo!$B$1:$C$85,2,0),"-")</f>
        <v>#75</v>
      </c>
      <c r="C906" s="39">
        <v>46074.418055555558</v>
      </c>
      <c r="D906" s="40"/>
      <c r="E906" s="41"/>
      <c r="F906" s="41"/>
      <c r="G906" s="42">
        <v>359.9</v>
      </c>
      <c r="H906" s="42">
        <v>20</v>
      </c>
      <c r="I906" s="43" t="s">
        <v>172</v>
      </c>
      <c r="J906" s="43" t="s">
        <v>343</v>
      </c>
      <c r="K906" s="43" t="s">
        <v>1738</v>
      </c>
      <c r="L906" s="44" t="s">
        <v>1739</v>
      </c>
      <c r="M906" s="44">
        <v>6747</v>
      </c>
      <c r="N906" s="44" t="s">
        <v>167</v>
      </c>
      <c r="O906" s="17"/>
      <c r="P906" s="17"/>
      <c r="Q906" s="17"/>
      <c r="R906" s="17"/>
      <c r="S906" s="17"/>
      <c r="T906" s="17"/>
      <c r="U906" s="17"/>
      <c r="V906" s="17"/>
      <c r="W906" s="17"/>
      <c r="X906" s="17"/>
      <c r="Y906" s="46"/>
      <c r="Z906" s="47"/>
      <c r="AA906" s="48"/>
      <c r="AB906" s="48"/>
      <c r="AC906" s="48"/>
      <c r="AD906" s="48"/>
      <c r="AE906" s="48"/>
      <c r="AF906" s="48"/>
      <c r="AG906" s="48"/>
      <c r="AH906" s="48"/>
      <c r="AI906" s="48"/>
    </row>
    <row r="907" spans="1:35" ht="12.5" hidden="1">
      <c r="A907" s="37" t="s">
        <v>1477</v>
      </c>
      <c r="B907" s="38" t="str">
        <f>IFERROR(VLOOKUP(J907,catalogo!$B$1:$C$85,2,0),"-")</f>
        <v>#52</v>
      </c>
      <c r="C907" s="39">
        <v>46074.418055555558</v>
      </c>
      <c r="D907" s="40"/>
      <c r="E907" s="41"/>
      <c r="F907" s="41"/>
      <c r="G907" s="42">
        <v>791.94</v>
      </c>
      <c r="H907" s="42">
        <v>44.01</v>
      </c>
      <c r="I907" s="43" t="s">
        <v>172</v>
      </c>
      <c r="J907" s="43" t="s">
        <v>253</v>
      </c>
      <c r="K907" s="43" t="s">
        <v>257</v>
      </c>
      <c r="L907" s="44" t="s">
        <v>181</v>
      </c>
      <c r="M907" s="44">
        <v>6137</v>
      </c>
      <c r="N907" s="44" t="s">
        <v>167</v>
      </c>
      <c r="O907" s="17"/>
      <c r="P907" s="17"/>
      <c r="Q907" s="17"/>
      <c r="R907" s="17"/>
      <c r="S907" s="17"/>
      <c r="T907" s="17"/>
      <c r="U907" s="17"/>
      <c r="V907" s="17"/>
      <c r="W907" s="17"/>
      <c r="X907" s="17"/>
      <c r="Y907" s="46"/>
      <c r="Z907" s="47"/>
      <c r="AA907" s="48"/>
      <c r="AB907" s="48"/>
      <c r="AC907" s="48"/>
      <c r="AD907" s="48"/>
      <c r="AE907" s="48"/>
      <c r="AF907" s="48"/>
      <c r="AG907" s="48"/>
      <c r="AH907" s="48"/>
      <c r="AI907" s="48"/>
    </row>
    <row r="908" spans="1:35" ht="12.5" hidden="1">
      <c r="A908" s="37" t="s">
        <v>1615</v>
      </c>
      <c r="B908" s="38" t="str">
        <f>IFERROR(VLOOKUP(J908,catalogo!$B$1:$C$85,2,0),"-")</f>
        <v>#52</v>
      </c>
      <c r="C908" s="39">
        <v>46074.418055555558</v>
      </c>
      <c r="D908" s="40"/>
      <c r="E908" s="41"/>
      <c r="F908" s="41"/>
      <c r="G908" s="42">
        <v>531.88</v>
      </c>
      <c r="H908" s="42">
        <v>29.62</v>
      </c>
      <c r="I908" s="43" t="s">
        <v>172</v>
      </c>
      <c r="J908" s="43" t="s">
        <v>253</v>
      </c>
      <c r="K908" s="43" t="s">
        <v>257</v>
      </c>
      <c r="L908" s="44" t="s">
        <v>181</v>
      </c>
      <c r="M908" s="44">
        <v>6137</v>
      </c>
      <c r="N908" s="44" t="s">
        <v>167</v>
      </c>
      <c r="O908" s="17"/>
      <c r="P908" s="17"/>
      <c r="Q908" s="17"/>
      <c r="R908" s="17"/>
      <c r="S908" s="17"/>
      <c r="T908" s="17"/>
      <c r="U908" s="17"/>
      <c r="V908" s="17"/>
      <c r="W908" s="17"/>
      <c r="X908" s="17"/>
      <c r="Y908" s="46"/>
      <c r="Z908" s="47"/>
      <c r="AA908" s="48"/>
      <c r="AB908" s="48"/>
      <c r="AC908" s="48"/>
      <c r="AD908" s="48"/>
      <c r="AE908" s="48"/>
      <c r="AF908" s="48"/>
      <c r="AG908" s="48"/>
      <c r="AH908" s="48"/>
      <c r="AI908" s="48"/>
    </row>
    <row r="909" spans="1:35" ht="12.5" hidden="1">
      <c r="A909" s="37" t="s">
        <v>1295</v>
      </c>
      <c r="B909" s="38" t="str">
        <f>IFERROR(VLOOKUP(J909,catalogo!$B$1:$C$85,2,0),"-")</f>
        <v>#52</v>
      </c>
      <c r="C909" s="39">
        <v>46074.418055555558</v>
      </c>
      <c r="D909" s="40"/>
      <c r="E909" s="41"/>
      <c r="F909" s="41"/>
      <c r="G909" s="42">
        <v>96.45</v>
      </c>
      <c r="H909" s="42">
        <v>5.36</v>
      </c>
      <c r="I909" s="43" t="s">
        <v>172</v>
      </c>
      <c r="J909" s="43" t="s">
        <v>253</v>
      </c>
      <c r="K909" s="43" t="s">
        <v>1740</v>
      </c>
      <c r="L909" s="44" t="s">
        <v>1741</v>
      </c>
      <c r="M909" s="44">
        <v>6137</v>
      </c>
      <c r="N909" s="44" t="s">
        <v>167</v>
      </c>
      <c r="O909" s="17"/>
      <c r="P909" s="17"/>
      <c r="Q909" s="17"/>
      <c r="R909" s="17"/>
      <c r="S909" s="17"/>
      <c r="T909" s="17"/>
      <c r="U909" s="17"/>
      <c r="V909" s="17"/>
      <c r="W909" s="17"/>
      <c r="X909" s="17"/>
      <c r="Y909" s="46"/>
      <c r="Z909" s="47"/>
      <c r="AA909" s="48"/>
      <c r="AB909" s="48"/>
      <c r="AC909" s="48"/>
      <c r="AD909" s="48"/>
      <c r="AE909" s="48"/>
      <c r="AF909" s="48"/>
      <c r="AG909" s="48"/>
      <c r="AH909" s="48"/>
      <c r="AI909" s="48"/>
    </row>
    <row r="910" spans="1:35" ht="12.5" hidden="1">
      <c r="A910" s="37" t="s">
        <v>618</v>
      </c>
      <c r="B910" s="38" t="str">
        <f>IFERROR(VLOOKUP(J910,catalogo!$B$1:$C$85,2,0),"-")</f>
        <v>#52</v>
      </c>
      <c r="C910" s="39">
        <v>46074.418055555558</v>
      </c>
      <c r="D910" s="40"/>
      <c r="E910" s="41"/>
      <c r="F910" s="41"/>
      <c r="G910" s="42">
        <v>215.22</v>
      </c>
      <c r="H910" s="42">
        <v>11.96</v>
      </c>
      <c r="I910" s="43" t="s">
        <v>172</v>
      </c>
      <c r="J910" s="43" t="s">
        <v>253</v>
      </c>
      <c r="K910" s="43" t="s">
        <v>452</v>
      </c>
      <c r="L910" s="44" t="s">
        <v>233</v>
      </c>
      <c r="M910" s="44">
        <v>6137</v>
      </c>
      <c r="N910" s="44" t="s">
        <v>167</v>
      </c>
      <c r="O910" s="17"/>
      <c r="P910" s="17"/>
      <c r="Q910" s="17"/>
      <c r="R910" s="17"/>
      <c r="S910" s="17"/>
      <c r="T910" s="17"/>
      <c r="U910" s="17"/>
      <c r="V910" s="17"/>
      <c r="W910" s="17"/>
      <c r="X910" s="17"/>
      <c r="Y910" s="46"/>
      <c r="Z910" s="47"/>
      <c r="AA910" s="48"/>
      <c r="AB910" s="48"/>
      <c r="AC910" s="48"/>
      <c r="AD910" s="48"/>
      <c r="AE910" s="48"/>
      <c r="AF910" s="48"/>
      <c r="AG910" s="48"/>
      <c r="AH910" s="48"/>
      <c r="AI910" s="48"/>
    </row>
    <row r="911" spans="1:35" ht="12.5" hidden="1">
      <c r="A911" s="37" t="s">
        <v>1742</v>
      </c>
      <c r="B911" s="38" t="str">
        <f>IFERROR(VLOOKUP(J911,catalogo!$B$1:$C$85,2,0),"-")</f>
        <v>#58</v>
      </c>
      <c r="C911" s="39">
        <v>46075.416666666664</v>
      </c>
      <c r="D911" s="40"/>
      <c r="E911" s="41"/>
      <c r="F911" s="41"/>
      <c r="G911" s="42">
        <v>844.85</v>
      </c>
      <c r="H911" s="42">
        <v>844.85</v>
      </c>
      <c r="I911" s="43" t="s">
        <v>156</v>
      </c>
      <c r="J911" s="43" t="s">
        <v>118</v>
      </c>
      <c r="K911" s="43" t="s">
        <v>1743</v>
      </c>
      <c r="L911" s="44" t="s">
        <v>185</v>
      </c>
      <c r="M911" s="44">
        <v>5576</v>
      </c>
      <c r="N911" s="44" t="s">
        <v>167</v>
      </c>
      <c r="O911" s="17"/>
      <c r="P911" s="17"/>
      <c r="Q911" s="17"/>
      <c r="R911" s="17"/>
      <c r="S911" s="17"/>
      <c r="T911" s="17"/>
      <c r="U911" s="17"/>
      <c r="V911" s="17"/>
      <c r="W911" s="17"/>
      <c r="X911" s="17"/>
      <c r="Y911" s="46"/>
      <c r="Z911" s="47"/>
      <c r="AA911" s="48"/>
      <c r="AB911" s="48"/>
      <c r="AC911" s="48"/>
      <c r="AD911" s="48"/>
      <c r="AE911" s="48"/>
      <c r="AF911" s="48"/>
      <c r="AG911" s="48"/>
      <c r="AH911" s="48"/>
      <c r="AI911" s="48"/>
    </row>
    <row r="912" spans="1:35" ht="15.5" hidden="1">
      <c r="A912" s="37" t="s">
        <v>1314</v>
      </c>
      <c r="B912" s="38" t="str">
        <f>IFERROR(VLOOKUP(J912,catalogo!$B$1:$C$85,2,0),"-")</f>
        <v>#26</v>
      </c>
      <c r="C912" s="39">
        <v>46075.416666666664</v>
      </c>
      <c r="D912" s="40"/>
      <c r="E912" s="41"/>
      <c r="F912" s="41"/>
      <c r="G912" s="42">
        <v>37.9</v>
      </c>
      <c r="H912" s="42">
        <v>37.9</v>
      </c>
      <c r="I912" s="43" t="s">
        <v>156</v>
      </c>
      <c r="J912" s="43" t="s">
        <v>67</v>
      </c>
      <c r="K912" s="43" t="s">
        <v>284</v>
      </c>
      <c r="L912" s="44" t="s">
        <v>233</v>
      </c>
      <c r="M912" s="44">
        <v>8061</v>
      </c>
      <c r="N912" s="44" t="s">
        <v>167</v>
      </c>
      <c r="O912" s="49"/>
      <c r="P912" s="17"/>
      <c r="Q912" s="17"/>
      <c r="R912" s="17"/>
      <c r="S912" s="17"/>
      <c r="T912" s="17"/>
      <c r="U912" s="17"/>
      <c r="V912" s="17"/>
      <c r="W912" s="17"/>
      <c r="X912" s="17"/>
      <c r="Y912" s="46"/>
      <c r="Z912" s="47"/>
      <c r="AA912" s="48"/>
      <c r="AB912" s="48"/>
      <c r="AC912" s="48"/>
      <c r="AD912" s="48"/>
      <c r="AE912" s="48"/>
      <c r="AF912" s="48"/>
      <c r="AG912" s="48"/>
      <c r="AH912" s="48"/>
      <c r="AI912" s="48"/>
    </row>
    <row r="913" spans="1:35" ht="12.5" hidden="1">
      <c r="A913" s="37" t="s">
        <v>1260</v>
      </c>
      <c r="B913" s="38" t="str">
        <f>IFERROR(VLOOKUP(J913,catalogo!$B$1:$C$85,2,0),"-")</f>
        <v>-</v>
      </c>
      <c r="C913" s="39">
        <v>46075.416666666664</v>
      </c>
      <c r="D913" s="40"/>
      <c r="E913" s="41"/>
      <c r="F913" s="41"/>
      <c r="G913" s="42">
        <v>160.54</v>
      </c>
      <c r="H913" s="42">
        <v>160.54</v>
      </c>
      <c r="I913" s="43" t="s">
        <v>156</v>
      </c>
      <c r="J913" s="43" t="s">
        <v>269</v>
      </c>
      <c r="K913" s="43" t="s">
        <v>284</v>
      </c>
      <c r="L913" s="44" t="s">
        <v>233</v>
      </c>
      <c r="M913" s="44" t="s">
        <v>270</v>
      </c>
      <c r="N913" s="44" t="s">
        <v>144</v>
      </c>
      <c r="O913" s="17"/>
      <c r="P913" s="17"/>
      <c r="Q913" s="17"/>
      <c r="R913" s="17"/>
      <c r="S913" s="17"/>
      <c r="T913" s="17"/>
      <c r="U913" s="17"/>
      <c r="V913" s="17"/>
      <c r="W913" s="17"/>
      <c r="X913" s="17"/>
      <c r="Y913" s="46"/>
      <c r="Z913" s="47"/>
      <c r="AA913" s="48"/>
      <c r="AB913" s="48"/>
      <c r="AC913" s="48"/>
      <c r="AD913" s="48"/>
      <c r="AE913" s="48"/>
      <c r="AF913" s="48"/>
      <c r="AG913" s="48"/>
      <c r="AH913" s="48"/>
      <c r="AI913" s="48"/>
    </row>
    <row r="914" spans="1:35" ht="12.5" hidden="1">
      <c r="A914" s="37" t="s">
        <v>1383</v>
      </c>
      <c r="B914" s="38" t="str">
        <f>IFERROR(VLOOKUP(J914,catalogo!$B$1:$C$85,2,0),"-")</f>
        <v>#55</v>
      </c>
      <c r="C914" s="39">
        <v>46075.416666666664</v>
      </c>
      <c r="D914" s="40"/>
      <c r="E914" s="41"/>
      <c r="F914" s="41"/>
      <c r="G914" s="42">
        <v>71.790000000000006</v>
      </c>
      <c r="H914" s="42">
        <v>71.790000000000006</v>
      </c>
      <c r="I914" s="43" t="s">
        <v>156</v>
      </c>
      <c r="J914" s="43" t="s">
        <v>89</v>
      </c>
      <c r="K914" s="43" t="s">
        <v>284</v>
      </c>
      <c r="L914" s="44" t="s">
        <v>233</v>
      </c>
      <c r="M914" s="44">
        <v>3013</v>
      </c>
      <c r="N914" s="44" t="s">
        <v>167</v>
      </c>
      <c r="O914" s="17"/>
      <c r="P914" s="17"/>
      <c r="Q914" s="17"/>
      <c r="R914" s="17"/>
      <c r="S914" s="17"/>
      <c r="T914" s="17"/>
      <c r="U914" s="17"/>
      <c r="V914" s="17"/>
      <c r="W914" s="17"/>
      <c r="X914" s="17"/>
      <c r="Y914" s="46"/>
      <c r="Z914" s="47"/>
      <c r="AA914" s="48"/>
      <c r="AB914" s="48"/>
      <c r="AC914" s="48"/>
      <c r="AD914" s="48"/>
      <c r="AE914" s="48"/>
      <c r="AF914" s="48"/>
      <c r="AG914" s="48"/>
      <c r="AH914" s="48"/>
      <c r="AI914" s="48"/>
    </row>
    <row r="915" spans="1:35" ht="15.5" hidden="1">
      <c r="A915" s="37" t="s">
        <v>1567</v>
      </c>
      <c r="B915" s="38" t="str">
        <f>IFERROR(VLOOKUP(J915,catalogo!$B$1:$C$85,2,0),"-")</f>
        <v>#41</v>
      </c>
      <c r="C915" s="39">
        <v>46075.416666666664</v>
      </c>
      <c r="D915" s="40"/>
      <c r="E915" s="41"/>
      <c r="F915" s="41"/>
      <c r="G915" s="42">
        <v>109.95</v>
      </c>
      <c r="H915" s="42">
        <v>109.95</v>
      </c>
      <c r="I915" s="43" t="s">
        <v>156</v>
      </c>
      <c r="J915" s="43" t="s">
        <v>68</v>
      </c>
      <c r="K915" s="43" t="s">
        <v>232</v>
      </c>
      <c r="L915" s="44" t="s">
        <v>233</v>
      </c>
      <c r="M915" s="44" t="s">
        <v>1038</v>
      </c>
      <c r="N915" s="44" t="s">
        <v>144</v>
      </c>
      <c r="O915" s="49"/>
      <c r="P915" s="17"/>
      <c r="Q915" s="17"/>
      <c r="R915" s="17"/>
      <c r="S915" s="17"/>
      <c r="T915" s="17"/>
      <c r="U915" s="17"/>
      <c r="V915" s="17"/>
      <c r="W915" s="17"/>
      <c r="X915" s="17"/>
      <c r="Y915" s="46"/>
      <c r="Z915" s="47"/>
      <c r="AA915" s="48"/>
      <c r="AB915" s="48"/>
      <c r="AC915" s="48"/>
      <c r="AD915" s="48"/>
      <c r="AE915" s="48"/>
      <c r="AF915" s="48"/>
      <c r="AG915" s="48"/>
      <c r="AH915" s="48"/>
      <c r="AI915" s="48"/>
    </row>
    <row r="916" spans="1:35" ht="15.5" hidden="1">
      <c r="A916" s="37" t="s">
        <v>1626</v>
      </c>
      <c r="B916" s="38" t="str">
        <f>IFERROR(VLOOKUP(J916,catalogo!$B$1:$C$85,2,0),"-")</f>
        <v>#74</v>
      </c>
      <c r="C916" s="39">
        <v>46075.416666666664</v>
      </c>
      <c r="D916" s="40"/>
      <c r="E916" s="41"/>
      <c r="F916" s="41"/>
      <c r="G916" s="42">
        <v>111</v>
      </c>
      <c r="H916" s="42">
        <v>111</v>
      </c>
      <c r="I916" s="43" t="s">
        <v>156</v>
      </c>
      <c r="J916" s="43" t="s">
        <v>286</v>
      </c>
      <c r="K916" s="43" t="s">
        <v>284</v>
      </c>
      <c r="L916" s="44" t="s">
        <v>233</v>
      </c>
      <c r="M916" s="44">
        <v>5481</v>
      </c>
      <c r="N916" s="44" t="s">
        <v>167</v>
      </c>
      <c r="O916" s="49"/>
      <c r="P916" s="17"/>
      <c r="Q916" s="17"/>
      <c r="R916" s="17"/>
      <c r="S916" s="17"/>
      <c r="T916" s="17"/>
      <c r="U916" s="17"/>
      <c r="V916" s="17"/>
      <c r="W916" s="17"/>
      <c r="X916" s="17"/>
      <c r="Y916" s="46"/>
      <c r="Z916" s="47"/>
      <c r="AA916" s="48"/>
      <c r="AB916" s="48"/>
      <c r="AC916" s="48"/>
      <c r="AD916" s="48"/>
      <c r="AE916" s="48"/>
      <c r="AF916" s="48"/>
      <c r="AG916" s="48"/>
      <c r="AH916" s="48"/>
      <c r="AI916" s="48"/>
    </row>
    <row r="917" spans="1:35" ht="15.5" hidden="1">
      <c r="A917" s="37" t="s">
        <v>1090</v>
      </c>
      <c r="B917" s="38" t="str">
        <f>IFERROR(VLOOKUP(J917,catalogo!$B$1:$C$85,2,0),"-")</f>
        <v>#74</v>
      </c>
      <c r="C917" s="39">
        <v>46075.416666666664</v>
      </c>
      <c r="D917" s="40"/>
      <c r="E917" s="41"/>
      <c r="F917" s="41"/>
      <c r="G917" s="42">
        <v>80</v>
      </c>
      <c r="H917" s="42">
        <v>80</v>
      </c>
      <c r="I917" s="43" t="s">
        <v>156</v>
      </c>
      <c r="J917" s="43" t="s">
        <v>286</v>
      </c>
      <c r="K917" s="43" t="s">
        <v>284</v>
      </c>
      <c r="L917" s="44" t="s">
        <v>233</v>
      </c>
      <c r="M917" s="44">
        <v>5481</v>
      </c>
      <c r="N917" s="44" t="s">
        <v>167</v>
      </c>
      <c r="O917" s="49"/>
      <c r="P917" s="17"/>
      <c r="Q917" s="17"/>
      <c r="R917" s="17"/>
      <c r="S917" s="17"/>
      <c r="T917" s="17"/>
      <c r="U917" s="17"/>
      <c r="V917" s="17"/>
      <c r="W917" s="17"/>
      <c r="X917" s="17"/>
      <c r="Y917" s="46"/>
      <c r="Z917" s="47"/>
      <c r="AA917" s="48"/>
      <c r="AB917" s="48"/>
      <c r="AC917" s="48"/>
      <c r="AD917" s="48"/>
      <c r="AE917" s="48"/>
      <c r="AF917" s="48"/>
      <c r="AG917" s="48"/>
      <c r="AH917" s="48"/>
      <c r="AI917" s="48"/>
    </row>
    <row r="918" spans="1:35" ht="15.5" hidden="1">
      <c r="A918" s="37" t="s">
        <v>1585</v>
      </c>
      <c r="B918" s="38" t="str">
        <f>IFERROR(VLOOKUP(J918,catalogo!$B$1:$C$85,2,0),"-")</f>
        <v>#26</v>
      </c>
      <c r="C918" s="39">
        <v>46075.416666666664</v>
      </c>
      <c r="D918" s="40"/>
      <c r="E918" s="41"/>
      <c r="F918" s="41"/>
      <c r="G918" s="42">
        <v>134.62</v>
      </c>
      <c r="H918" s="42">
        <v>134.62</v>
      </c>
      <c r="I918" s="43" t="s">
        <v>156</v>
      </c>
      <c r="J918" s="43" t="s">
        <v>67</v>
      </c>
      <c r="K918" s="43" t="s">
        <v>284</v>
      </c>
      <c r="L918" s="44" t="s">
        <v>233</v>
      </c>
      <c r="M918" s="44">
        <v>8061</v>
      </c>
      <c r="N918" s="44" t="s">
        <v>167</v>
      </c>
      <c r="O918" s="49"/>
      <c r="P918" s="17"/>
      <c r="Q918" s="17"/>
      <c r="R918" s="17"/>
      <c r="S918" s="17"/>
      <c r="T918" s="17"/>
      <c r="U918" s="17"/>
      <c r="V918" s="17"/>
      <c r="W918" s="17"/>
      <c r="X918" s="17"/>
      <c r="Y918" s="46"/>
      <c r="Z918" s="47"/>
      <c r="AA918" s="48"/>
      <c r="AB918" s="48"/>
      <c r="AC918" s="48"/>
      <c r="AD918" s="48"/>
      <c r="AE918" s="48"/>
      <c r="AF918" s="48"/>
      <c r="AG918" s="48"/>
      <c r="AH918" s="48"/>
      <c r="AI918" s="48"/>
    </row>
    <row r="919" spans="1:35" ht="12.5" hidden="1">
      <c r="A919" s="37" t="s">
        <v>1278</v>
      </c>
      <c r="B919" s="38" t="str">
        <f>IFERROR(VLOOKUP(J919,catalogo!$B$1:$C$85,2,0),"-")</f>
        <v>#52</v>
      </c>
      <c r="C919" s="39">
        <v>46075.416666666664</v>
      </c>
      <c r="D919" s="40"/>
      <c r="E919" s="41"/>
      <c r="F919" s="41"/>
      <c r="G919" s="42">
        <v>10</v>
      </c>
      <c r="H919" s="42">
        <v>10</v>
      </c>
      <c r="I919" s="43" t="s">
        <v>156</v>
      </c>
      <c r="J919" s="43" t="s">
        <v>253</v>
      </c>
      <c r="K919" s="43" t="s">
        <v>284</v>
      </c>
      <c r="L919" s="44" t="s">
        <v>233</v>
      </c>
      <c r="M919" s="44">
        <v>6137</v>
      </c>
      <c r="N919" s="44" t="s">
        <v>167</v>
      </c>
      <c r="O919" s="17"/>
      <c r="P919" s="17"/>
      <c r="Q919" s="17"/>
      <c r="R919" s="17"/>
      <c r="S919" s="17"/>
      <c r="T919" s="17"/>
      <c r="U919" s="17"/>
      <c r="V919" s="17"/>
      <c r="W919" s="17"/>
      <c r="X919" s="17"/>
      <c r="Y919" s="46"/>
      <c r="Z919" s="47"/>
      <c r="AA919" s="48"/>
      <c r="AB919" s="48"/>
      <c r="AC919" s="48"/>
      <c r="AD919" s="48"/>
      <c r="AE919" s="48"/>
      <c r="AF919" s="48"/>
      <c r="AG919" s="48"/>
      <c r="AH919" s="48"/>
      <c r="AI919" s="48"/>
    </row>
    <row r="920" spans="1:35" ht="12.5" hidden="1">
      <c r="A920" s="37" t="s">
        <v>1744</v>
      </c>
      <c r="B920" s="38" t="str">
        <f>IFERROR(VLOOKUP(J920,catalogo!$B$1:$C$85,2,0),"-")</f>
        <v>#64</v>
      </c>
      <c r="C920" s="39">
        <v>46075.416666666664</v>
      </c>
      <c r="D920" s="40"/>
      <c r="E920" s="41"/>
      <c r="F920" s="41"/>
      <c r="G920" s="42">
        <v>275.43</v>
      </c>
      <c r="H920" s="42">
        <v>275.43</v>
      </c>
      <c r="I920" s="43" t="s">
        <v>156</v>
      </c>
      <c r="J920" s="43" t="s">
        <v>139</v>
      </c>
      <c r="K920" s="43" t="s">
        <v>180</v>
      </c>
      <c r="L920" s="44" t="s">
        <v>181</v>
      </c>
      <c r="M920" s="44">
        <v>7142</v>
      </c>
      <c r="N920" s="44" t="s">
        <v>167</v>
      </c>
      <c r="O920" s="17"/>
      <c r="P920" s="17"/>
      <c r="Q920" s="17"/>
      <c r="R920" s="17"/>
      <c r="S920" s="17"/>
      <c r="T920" s="17"/>
      <c r="U920" s="17"/>
      <c r="V920" s="17"/>
      <c r="W920" s="17"/>
      <c r="X920" s="17"/>
      <c r="Y920" s="46"/>
      <c r="Z920" s="47"/>
      <c r="AA920" s="48"/>
      <c r="AB920" s="48"/>
      <c r="AC920" s="48"/>
      <c r="AD920" s="48"/>
      <c r="AE920" s="48"/>
      <c r="AF920" s="48"/>
      <c r="AG920" s="48"/>
      <c r="AH920" s="48"/>
      <c r="AI920" s="48"/>
    </row>
    <row r="921" spans="1:35" ht="12.5" hidden="1">
      <c r="A921" s="37" t="s">
        <v>1745</v>
      </c>
      <c r="B921" s="38" t="str">
        <f>IFERROR(VLOOKUP(J921,catalogo!$B$1:$C$85,2,0),"-")</f>
        <v>#52</v>
      </c>
      <c r="C921" s="39">
        <v>46075.416666666664</v>
      </c>
      <c r="D921" s="40"/>
      <c r="E921" s="41"/>
      <c r="F921" s="41"/>
      <c r="G921" s="42">
        <v>599.94000000000005</v>
      </c>
      <c r="H921" s="42">
        <v>599.94000000000005</v>
      </c>
      <c r="I921" s="43" t="s">
        <v>156</v>
      </c>
      <c r="J921" s="43" t="s">
        <v>253</v>
      </c>
      <c r="K921" s="43" t="s">
        <v>232</v>
      </c>
      <c r="L921" s="44" t="s">
        <v>233</v>
      </c>
      <c r="M921" s="44">
        <v>6137</v>
      </c>
      <c r="N921" s="44" t="s">
        <v>167</v>
      </c>
      <c r="O921" s="17"/>
      <c r="P921" s="17"/>
      <c r="Q921" s="17"/>
      <c r="R921" s="17"/>
      <c r="S921" s="17"/>
      <c r="T921" s="17"/>
      <c r="U921" s="17"/>
      <c r="V921" s="17"/>
      <c r="W921" s="17"/>
      <c r="X921" s="17"/>
      <c r="Y921" s="46"/>
      <c r="Z921" s="47"/>
      <c r="AA921" s="48"/>
      <c r="AB921" s="48"/>
      <c r="AC921" s="48"/>
      <c r="AD921" s="48"/>
      <c r="AE921" s="48"/>
      <c r="AF921" s="48"/>
      <c r="AG921" s="48"/>
      <c r="AH921" s="48"/>
      <c r="AI921" s="48"/>
    </row>
    <row r="922" spans="1:35" ht="12.5" hidden="1">
      <c r="A922" s="37" t="s">
        <v>596</v>
      </c>
      <c r="B922" s="38" t="str">
        <f>IFERROR(VLOOKUP(J922,catalogo!$B$1:$C$85,2,0),"-")</f>
        <v>-</v>
      </c>
      <c r="C922" s="39">
        <v>46075.416666666664</v>
      </c>
      <c r="D922" s="40"/>
      <c r="E922" s="41"/>
      <c r="F922" s="41"/>
      <c r="G922" s="42">
        <v>282.33</v>
      </c>
      <c r="H922" s="42">
        <v>282.33</v>
      </c>
      <c r="I922" s="43" t="s">
        <v>156</v>
      </c>
      <c r="J922" s="43" t="s">
        <v>272</v>
      </c>
      <c r="K922" s="43" t="s">
        <v>1746</v>
      </c>
      <c r="L922" s="44" t="s">
        <v>233</v>
      </c>
      <c r="M922" s="44" t="s">
        <v>1568</v>
      </c>
      <c r="N922" s="44" t="s">
        <v>144</v>
      </c>
      <c r="O922" s="17"/>
      <c r="P922" s="17"/>
      <c r="Q922" s="17"/>
      <c r="R922" s="17"/>
      <c r="S922" s="17"/>
      <c r="T922" s="17"/>
      <c r="U922" s="17"/>
      <c r="V922" s="17"/>
      <c r="W922" s="17"/>
      <c r="X922" s="17"/>
      <c r="Y922" s="46"/>
      <c r="Z922" s="47"/>
      <c r="AA922" s="48"/>
      <c r="AB922" s="48"/>
      <c r="AC922" s="48"/>
      <c r="AD922" s="48"/>
      <c r="AE922" s="48"/>
      <c r="AF922" s="48"/>
      <c r="AG922" s="48"/>
      <c r="AH922" s="48"/>
      <c r="AI922" s="48"/>
    </row>
    <row r="923" spans="1:35" ht="12.5" hidden="1">
      <c r="A923" s="37" t="s">
        <v>914</v>
      </c>
      <c r="B923" s="38" t="str">
        <f>IFERROR(VLOOKUP(J923,catalogo!$B$1:$C$85,2,0),"-")</f>
        <v>#69</v>
      </c>
      <c r="C923" s="39">
        <v>46075.416666666664</v>
      </c>
      <c r="D923" s="40"/>
      <c r="E923" s="41"/>
      <c r="F923" s="41"/>
      <c r="G923" s="42">
        <v>2335.65</v>
      </c>
      <c r="H923" s="42">
        <v>2335.65</v>
      </c>
      <c r="I923" s="43" t="s">
        <v>156</v>
      </c>
      <c r="J923" s="43" t="s">
        <v>110</v>
      </c>
      <c r="K923" s="43" t="s">
        <v>1747</v>
      </c>
      <c r="L923" s="44" t="s">
        <v>1748</v>
      </c>
      <c r="M923" s="44">
        <v>8231</v>
      </c>
      <c r="N923" s="44" t="s">
        <v>167</v>
      </c>
      <c r="O923" s="17"/>
      <c r="P923" s="17"/>
      <c r="Q923" s="17"/>
      <c r="R923" s="17"/>
      <c r="S923" s="17"/>
      <c r="T923" s="17"/>
      <c r="U923" s="17"/>
      <c r="V923" s="17"/>
      <c r="W923" s="17"/>
      <c r="X923" s="17"/>
      <c r="Y923" s="46"/>
      <c r="Z923" s="47"/>
      <c r="AA923" s="48"/>
      <c r="AB923" s="48"/>
      <c r="AC923" s="48"/>
      <c r="AD923" s="48"/>
      <c r="AE923" s="48"/>
      <c r="AF923" s="48"/>
      <c r="AG923" s="48"/>
      <c r="AH923" s="48"/>
      <c r="AI923" s="48"/>
    </row>
    <row r="924" spans="1:35" ht="12.5" hidden="1">
      <c r="A924" s="37" t="s">
        <v>911</v>
      </c>
      <c r="B924" s="38" t="str">
        <f>IFERROR(VLOOKUP(J924,catalogo!$B$1:$C$85,2,0),"-")</f>
        <v>#26</v>
      </c>
      <c r="C924" s="39">
        <v>46075.416666666664</v>
      </c>
      <c r="D924" s="40"/>
      <c r="E924" s="41"/>
      <c r="F924" s="41"/>
      <c r="G924" s="42">
        <v>244</v>
      </c>
      <c r="H924" s="42">
        <v>244</v>
      </c>
      <c r="I924" s="43" t="s">
        <v>156</v>
      </c>
      <c r="J924" s="43" t="s">
        <v>67</v>
      </c>
      <c r="K924" s="43" t="s">
        <v>1035</v>
      </c>
      <c r="L924" s="44" t="s">
        <v>1036</v>
      </c>
      <c r="M924" s="44">
        <v>8061</v>
      </c>
      <c r="N924" s="44" t="s">
        <v>167</v>
      </c>
      <c r="O924" s="17"/>
      <c r="P924" s="17"/>
      <c r="Q924" s="17"/>
      <c r="R924" s="17"/>
      <c r="S924" s="17"/>
      <c r="T924" s="17"/>
      <c r="U924" s="17"/>
      <c r="V924" s="17"/>
      <c r="W924" s="17"/>
      <c r="X924" s="17"/>
      <c r="Y924" s="46"/>
      <c r="Z924" s="47"/>
      <c r="AA924" s="48"/>
      <c r="AB924" s="48"/>
      <c r="AC924" s="48"/>
      <c r="AD924" s="48"/>
      <c r="AE924" s="48"/>
      <c r="AF924" s="48"/>
      <c r="AG924" s="48"/>
      <c r="AH924" s="48"/>
      <c r="AI924" s="48"/>
    </row>
    <row r="925" spans="1:35" ht="12.5" hidden="1">
      <c r="A925" s="37" t="s">
        <v>1629</v>
      </c>
      <c r="B925" s="38" t="str">
        <f>IFERROR(VLOOKUP(J925,catalogo!$B$1:$C$85,2,0),"-")</f>
        <v>#26</v>
      </c>
      <c r="C925" s="39">
        <v>46075.416666666664</v>
      </c>
      <c r="D925" s="40"/>
      <c r="E925" s="41"/>
      <c r="F925" s="41"/>
      <c r="G925" s="42">
        <v>510</v>
      </c>
      <c r="H925" s="42">
        <v>510</v>
      </c>
      <c r="I925" s="43" t="s">
        <v>156</v>
      </c>
      <c r="J925" s="43" t="s">
        <v>67</v>
      </c>
      <c r="K925" s="43" t="s">
        <v>319</v>
      </c>
      <c r="L925" s="44" t="s">
        <v>317</v>
      </c>
      <c r="M925" s="44" t="s">
        <v>159</v>
      </c>
      <c r="N925" s="44" t="s">
        <v>144</v>
      </c>
      <c r="O925" s="17"/>
      <c r="P925" s="17"/>
      <c r="Q925" s="17"/>
      <c r="R925" s="17"/>
      <c r="S925" s="17"/>
      <c r="T925" s="17"/>
      <c r="U925" s="17"/>
      <c r="V925" s="17"/>
      <c r="W925" s="17"/>
      <c r="X925" s="17"/>
      <c r="Y925" s="46"/>
      <c r="Z925" s="47"/>
      <c r="AA925" s="48"/>
      <c r="AB925" s="48"/>
      <c r="AC925" s="48"/>
      <c r="AD925" s="48"/>
      <c r="AE925" s="48"/>
      <c r="AF925" s="48"/>
      <c r="AG925" s="48"/>
      <c r="AH925" s="48"/>
      <c r="AI925" s="48"/>
    </row>
    <row r="926" spans="1:35" ht="15.5" hidden="1">
      <c r="A926" s="37" t="s">
        <v>1331</v>
      </c>
      <c r="B926" s="38" t="str">
        <f>IFERROR(VLOOKUP(J926,catalogo!$B$1:$C$85,2,0),"-")</f>
        <v>#55</v>
      </c>
      <c r="C926" s="39">
        <v>46075.416666666664</v>
      </c>
      <c r="D926" s="40"/>
      <c r="E926" s="41"/>
      <c r="F926" s="41"/>
      <c r="G926" s="42">
        <v>2417.9299999999998</v>
      </c>
      <c r="H926" s="42">
        <v>2417.9299999999998</v>
      </c>
      <c r="I926" s="43" t="s">
        <v>156</v>
      </c>
      <c r="J926" s="43" t="s">
        <v>89</v>
      </c>
      <c r="K926" s="43" t="s">
        <v>454</v>
      </c>
      <c r="L926" s="44" t="s">
        <v>455</v>
      </c>
      <c r="M926" s="44" t="s">
        <v>488</v>
      </c>
      <c r="N926" s="44" t="s">
        <v>144</v>
      </c>
      <c r="O926" s="49"/>
      <c r="P926" s="17"/>
      <c r="Q926" s="17"/>
      <c r="R926" s="17"/>
      <c r="S926" s="17"/>
      <c r="T926" s="17"/>
      <c r="U926" s="17"/>
      <c r="V926" s="17"/>
      <c r="W926" s="17"/>
      <c r="X926" s="17"/>
      <c r="Y926" s="46"/>
      <c r="Z926" s="47"/>
      <c r="AA926" s="48"/>
      <c r="AB926" s="48"/>
      <c r="AC926" s="48"/>
      <c r="AD926" s="48"/>
      <c r="AE926" s="48"/>
      <c r="AF926" s="48"/>
      <c r="AG926" s="48"/>
      <c r="AH926" s="48"/>
      <c r="AI926" s="48"/>
    </row>
    <row r="927" spans="1:35" ht="12.5" hidden="1">
      <c r="A927" s="37" t="s">
        <v>1677</v>
      </c>
      <c r="B927" s="38" t="str">
        <f>IFERROR(VLOOKUP(J927,catalogo!$B$1:$C$85,2,0),"-")</f>
        <v>#26</v>
      </c>
      <c r="C927" s="39">
        <v>46075.416666666664</v>
      </c>
      <c r="D927" s="40"/>
      <c r="E927" s="41"/>
      <c r="F927" s="41"/>
      <c r="G927" s="42">
        <v>440</v>
      </c>
      <c r="H927" s="42">
        <v>440</v>
      </c>
      <c r="I927" s="43" t="s">
        <v>156</v>
      </c>
      <c r="J927" s="43" t="s">
        <v>67</v>
      </c>
      <c r="K927" s="43" t="s">
        <v>1749</v>
      </c>
      <c r="L927" s="44" t="s">
        <v>317</v>
      </c>
      <c r="M927" s="44">
        <v>8061</v>
      </c>
      <c r="N927" s="44" t="s">
        <v>167</v>
      </c>
      <c r="O927" s="17"/>
      <c r="P927" s="17"/>
      <c r="Q927" s="17"/>
      <c r="R927" s="17"/>
      <c r="S927" s="17"/>
      <c r="T927" s="17"/>
      <c r="U927" s="17"/>
      <c r="V927" s="17"/>
      <c r="W927" s="17"/>
      <c r="X927" s="17"/>
      <c r="Y927" s="46"/>
      <c r="Z927" s="47"/>
      <c r="AA927" s="48"/>
      <c r="AB927" s="48"/>
      <c r="AC927" s="48"/>
      <c r="AD927" s="48"/>
      <c r="AE927" s="48"/>
      <c r="AF927" s="48"/>
      <c r="AG927" s="48"/>
      <c r="AH927" s="48"/>
      <c r="AI927" s="48"/>
    </row>
    <row r="928" spans="1:35" ht="12.5" hidden="1">
      <c r="A928" s="37" t="s">
        <v>1583</v>
      </c>
      <c r="B928" s="38" t="str">
        <f>IFERROR(VLOOKUP(J928,catalogo!$B$1:$C$85,2,0),"-")</f>
        <v>#26</v>
      </c>
      <c r="C928" s="39">
        <v>46075.416666666664</v>
      </c>
      <c r="D928" s="40"/>
      <c r="E928" s="41"/>
      <c r="F928" s="41"/>
      <c r="G928" s="42">
        <v>510</v>
      </c>
      <c r="H928" s="42">
        <v>510</v>
      </c>
      <c r="I928" s="43" t="s">
        <v>156</v>
      </c>
      <c r="J928" s="43" t="s">
        <v>67</v>
      </c>
      <c r="K928" s="43" t="s">
        <v>319</v>
      </c>
      <c r="L928" s="44" t="s">
        <v>317</v>
      </c>
      <c r="M928" s="44" t="s">
        <v>159</v>
      </c>
      <c r="N928" s="44" t="s">
        <v>144</v>
      </c>
      <c r="O928" s="17"/>
      <c r="P928" s="17"/>
      <c r="Q928" s="17"/>
      <c r="R928" s="17"/>
      <c r="S928" s="17"/>
      <c r="T928" s="17"/>
      <c r="U928" s="17"/>
      <c r="V928" s="17"/>
      <c r="W928" s="17"/>
      <c r="X928" s="17"/>
      <c r="Y928" s="46"/>
      <c r="Z928" s="47"/>
      <c r="AA928" s="48"/>
      <c r="AB928" s="48"/>
      <c r="AC928" s="48"/>
      <c r="AD928" s="48"/>
      <c r="AE928" s="48"/>
      <c r="AF928" s="48"/>
      <c r="AG928" s="48"/>
      <c r="AH928" s="48"/>
      <c r="AI928" s="48"/>
    </row>
    <row r="929" spans="1:35" ht="12.5" hidden="1">
      <c r="A929" s="37" t="s">
        <v>1221</v>
      </c>
      <c r="B929" s="38" t="str">
        <f>IFERROR(VLOOKUP(J929,catalogo!$B$1:$C$85,2,0),"-")</f>
        <v>#28</v>
      </c>
      <c r="C929" s="39">
        <v>46075.416666666664</v>
      </c>
      <c r="D929" s="40"/>
      <c r="E929" s="41"/>
      <c r="F929" s="41"/>
      <c r="G929" s="42">
        <v>600</v>
      </c>
      <c r="H929" s="42">
        <v>600</v>
      </c>
      <c r="I929" s="43" t="s">
        <v>156</v>
      </c>
      <c r="J929" s="43" t="s">
        <v>77</v>
      </c>
      <c r="K929" s="43" t="s">
        <v>622</v>
      </c>
      <c r="L929" s="44" t="s">
        <v>623</v>
      </c>
      <c r="M929" s="44" t="s">
        <v>289</v>
      </c>
      <c r="N929" s="44" t="s">
        <v>144</v>
      </c>
      <c r="O929" s="17"/>
      <c r="P929" s="17"/>
      <c r="Q929" s="17"/>
      <c r="R929" s="17"/>
      <c r="S929" s="17"/>
      <c r="T929" s="17"/>
      <c r="U929" s="17"/>
      <c r="V929" s="17"/>
      <c r="W929" s="17"/>
      <c r="X929" s="17"/>
      <c r="Y929" s="46"/>
      <c r="Z929" s="47"/>
      <c r="AA929" s="48"/>
      <c r="AB929" s="48"/>
      <c r="AC929" s="48"/>
      <c r="AD929" s="48"/>
      <c r="AE929" s="48"/>
      <c r="AF929" s="48"/>
      <c r="AG929" s="48"/>
      <c r="AH929" s="48"/>
      <c r="AI929" s="48"/>
    </row>
    <row r="930" spans="1:35" ht="12.5" hidden="1">
      <c r="A930" s="37" t="s">
        <v>1432</v>
      </c>
      <c r="B930" s="38" t="str">
        <f>IFERROR(VLOOKUP(J930,catalogo!$B$1:$C$85,2,0),"-")</f>
        <v>#26</v>
      </c>
      <c r="C930" s="39">
        <v>46075.416666666664</v>
      </c>
      <c r="D930" s="40"/>
      <c r="E930" s="41"/>
      <c r="F930" s="41"/>
      <c r="G930" s="42">
        <v>79</v>
      </c>
      <c r="H930" s="42">
        <v>79</v>
      </c>
      <c r="I930" s="43" t="s">
        <v>156</v>
      </c>
      <c r="J930" s="43" t="s">
        <v>67</v>
      </c>
      <c r="K930" s="43" t="s">
        <v>1035</v>
      </c>
      <c r="L930" s="44" t="s">
        <v>1036</v>
      </c>
      <c r="M930" s="44">
        <v>8061</v>
      </c>
      <c r="N930" s="44" t="s">
        <v>167</v>
      </c>
      <c r="O930" s="17"/>
      <c r="P930" s="17"/>
      <c r="Q930" s="17"/>
      <c r="R930" s="17"/>
      <c r="S930" s="17"/>
      <c r="T930" s="17"/>
      <c r="U930" s="17"/>
      <c r="V930" s="17"/>
      <c r="W930" s="17"/>
      <c r="X930" s="17"/>
      <c r="Y930" s="46"/>
      <c r="Z930" s="47"/>
      <c r="AA930" s="48"/>
      <c r="AB930" s="48"/>
      <c r="AC930" s="48"/>
      <c r="AD930" s="48"/>
      <c r="AE930" s="48"/>
      <c r="AF930" s="48"/>
      <c r="AG930" s="48"/>
      <c r="AH930" s="48"/>
      <c r="AI930" s="48"/>
    </row>
    <row r="931" spans="1:35" ht="12.5" hidden="1">
      <c r="A931" s="37" t="s">
        <v>1750</v>
      </c>
      <c r="B931" s="38" t="str">
        <f>IFERROR(VLOOKUP(J931,catalogo!$B$1:$C$85,2,0),"-")</f>
        <v>#66</v>
      </c>
      <c r="C931" s="39">
        <v>46075.416666666664</v>
      </c>
      <c r="D931" s="40"/>
      <c r="E931" s="41"/>
      <c r="F931" s="41"/>
      <c r="G931" s="42">
        <v>1700</v>
      </c>
      <c r="H931" s="42">
        <v>1700</v>
      </c>
      <c r="I931" s="43" t="s">
        <v>156</v>
      </c>
      <c r="J931" s="43" t="s">
        <v>80</v>
      </c>
      <c r="K931" s="43" t="s">
        <v>1751</v>
      </c>
      <c r="L931" s="44" t="s">
        <v>1752</v>
      </c>
      <c r="M931" s="44">
        <v>2406</v>
      </c>
      <c r="N931" s="44" t="s">
        <v>167</v>
      </c>
      <c r="O931" s="17"/>
      <c r="P931" s="17"/>
      <c r="Q931" s="17"/>
      <c r="R931" s="17"/>
      <c r="S931" s="17"/>
      <c r="T931" s="17"/>
      <c r="U931" s="17"/>
      <c r="V931" s="17"/>
      <c r="W931" s="17"/>
      <c r="X931" s="17"/>
      <c r="Y931" s="46"/>
      <c r="Z931" s="47"/>
      <c r="AA931" s="48"/>
      <c r="AB931" s="48"/>
      <c r="AC931" s="48"/>
      <c r="AD931" s="48"/>
      <c r="AE931" s="48"/>
      <c r="AF931" s="48"/>
      <c r="AG931" s="48"/>
      <c r="AH931" s="48"/>
      <c r="AI931" s="48"/>
    </row>
    <row r="932" spans="1:35" ht="12.5" hidden="1">
      <c r="A932" s="37" t="s">
        <v>1087</v>
      </c>
      <c r="B932" s="38" t="str">
        <f>IFERROR(VLOOKUP(J932,catalogo!$B$1:$C$85,2,0),"-")</f>
        <v>#3</v>
      </c>
      <c r="C932" s="39">
        <v>46075.416666666664</v>
      </c>
      <c r="D932" s="40"/>
      <c r="E932" s="41"/>
      <c r="F932" s="41"/>
      <c r="G932" s="42">
        <v>344.4</v>
      </c>
      <c r="H932" s="42">
        <v>344.4</v>
      </c>
      <c r="I932" s="43" t="s">
        <v>156</v>
      </c>
      <c r="J932" s="43" t="s">
        <v>84</v>
      </c>
      <c r="K932" s="43" t="s">
        <v>1753</v>
      </c>
      <c r="L932" s="44" t="s">
        <v>1754</v>
      </c>
      <c r="M932" s="44">
        <v>8657</v>
      </c>
      <c r="N932" s="44" t="s">
        <v>167</v>
      </c>
      <c r="O932" s="17"/>
      <c r="P932" s="17"/>
      <c r="Q932" s="17"/>
      <c r="R932" s="17"/>
      <c r="S932" s="17"/>
      <c r="T932" s="17"/>
      <c r="U932" s="17"/>
      <c r="V932" s="17"/>
      <c r="W932" s="17"/>
      <c r="X932" s="17"/>
      <c r="Y932" s="46"/>
      <c r="Z932" s="47"/>
      <c r="AA932" s="48"/>
      <c r="AB932" s="48"/>
      <c r="AC932" s="48"/>
      <c r="AD932" s="48"/>
      <c r="AE932" s="48"/>
      <c r="AF932" s="48"/>
      <c r="AG932" s="48"/>
      <c r="AH932" s="48"/>
      <c r="AI932" s="48"/>
    </row>
    <row r="933" spans="1:35" ht="12.5" hidden="1">
      <c r="A933" s="37" t="s">
        <v>538</v>
      </c>
      <c r="B933" s="38" t="str">
        <f>IFERROR(VLOOKUP(J933,catalogo!$B$1:$C$85,2,0),"-")</f>
        <v>#19</v>
      </c>
      <c r="C933" s="39">
        <v>46075.416666666664</v>
      </c>
      <c r="D933" s="40"/>
      <c r="E933" s="41"/>
      <c r="F933" s="41"/>
      <c r="G933" s="42">
        <v>76.5</v>
      </c>
      <c r="H933" s="42">
        <v>76.5</v>
      </c>
      <c r="I933" s="43" t="s">
        <v>156</v>
      </c>
      <c r="J933" s="43" t="s">
        <v>105</v>
      </c>
      <c r="K933" s="43" t="s">
        <v>1443</v>
      </c>
      <c r="L933" s="44" t="s">
        <v>407</v>
      </c>
      <c r="M933" s="44">
        <v>5778</v>
      </c>
      <c r="N933" s="44" t="s">
        <v>167</v>
      </c>
      <c r="O933" s="17"/>
      <c r="P933" s="17"/>
      <c r="Q933" s="17"/>
      <c r="R933" s="17"/>
      <c r="S933" s="17"/>
      <c r="T933" s="17"/>
      <c r="U933" s="17"/>
      <c r="V933" s="17"/>
      <c r="W933" s="17"/>
      <c r="X933" s="17"/>
      <c r="Y933" s="46"/>
      <c r="Z933" s="47"/>
      <c r="AA933" s="48"/>
      <c r="AB933" s="48"/>
      <c r="AC933" s="48"/>
      <c r="AD933" s="48"/>
      <c r="AE933" s="48"/>
      <c r="AF933" s="48"/>
      <c r="AG933" s="48"/>
      <c r="AH933" s="48"/>
      <c r="AI933" s="48"/>
    </row>
    <row r="934" spans="1:35" ht="12.5" hidden="1">
      <c r="A934" s="37" t="s">
        <v>1547</v>
      </c>
      <c r="B934" s="38" t="str">
        <f>IFERROR(VLOOKUP(J934,catalogo!$B$1:$C$85,2,0),"-")</f>
        <v>#58</v>
      </c>
      <c r="C934" s="39">
        <v>46075.416666666664</v>
      </c>
      <c r="D934" s="40"/>
      <c r="E934" s="41"/>
      <c r="F934" s="41"/>
      <c r="G934" s="42">
        <v>67</v>
      </c>
      <c r="H934" s="42">
        <v>67</v>
      </c>
      <c r="I934" s="43" t="s">
        <v>156</v>
      </c>
      <c r="J934" s="43" t="s">
        <v>118</v>
      </c>
      <c r="K934" s="43" t="s">
        <v>1355</v>
      </c>
      <c r="L934" s="44" t="s">
        <v>1356</v>
      </c>
      <c r="M934" s="44" t="s">
        <v>163</v>
      </c>
      <c r="N934" s="44" t="s">
        <v>144</v>
      </c>
      <c r="O934" s="17"/>
      <c r="P934" s="17"/>
      <c r="Q934" s="17"/>
      <c r="R934" s="17"/>
      <c r="S934" s="17"/>
      <c r="T934" s="17"/>
      <c r="U934" s="17"/>
      <c r="V934" s="17"/>
      <c r="W934" s="17"/>
      <c r="X934" s="17"/>
      <c r="Y934" s="46"/>
      <c r="Z934" s="47"/>
      <c r="AA934" s="48"/>
      <c r="AB934" s="48"/>
      <c r="AC934" s="48"/>
      <c r="AD934" s="48"/>
      <c r="AE934" s="48"/>
      <c r="AF934" s="48"/>
      <c r="AG934" s="48"/>
      <c r="AH934" s="48"/>
      <c r="AI934" s="48"/>
    </row>
    <row r="935" spans="1:35" ht="12.5" hidden="1">
      <c r="A935" s="37" t="s">
        <v>591</v>
      </c>
      <c r="B935" s="38" t="str">
        <f>IFERROR(VLOOKUP(J935,catalogo!$B$1:$C$85,2,0),"-")</f>
        <v>#64</v>
      </c>
      <c r="C935" s="39">
        <v>46075.416666666664</v>
      </c>
      <c r="D935" s="40"/>
      <c r="E935" s="41"/>
      <c r="F935" s="41"/>
      <c r="G935" s="42">
        <v>307.41000000000003</v>
      </c>
      <c r="H935" s="42">
        <v>307.41000000000003</v>
      </c>
      <c r="I935" s="43" t="s">
        <v>156</v>
      </c>
      <c r="J935" s="43" t="s">
        <v>139</v>
      </c>
      <c r="K935" s="43" t="s">
        <v>1746</v>
      </c>
      <c r="L935" s="44" t="s">
        <v>233</v>
      </c>
      <c r="M935" s="44">
        <v>7142</v>
      </c>
      <c r="N935" s="44" t="s">
        <v>167</v>
      </c>
      <c r="O935" s="17"/>
      <c r="P935" s="17"/>
      <c r="Q935" s="17"/>
      <c r="R935" s="17"/>
      <c r="S935" s="17"/>
      <c r="T935" s="17"/>
      <c r="U935" s="17"/>
      <c r="V935" s="17"/>
      <c r="W935" s="17"/>
      <c r="X935" s="17"/>
      <c r="Y935" s="46"/>
      <c r="Z935" s="47"/>
      <c r="AA935" s="48"/>
      <c r="AB935" s="48"/>
      <c r="AC935" s="48"/>
      <c r="AD935" s="48"/>
      <c r="AE935" s="48"/>
      <c r="AF935" s="48"/>
      <c r="AG935" s="48"/>
      <c r="AH935" s="48"/>
      <c r="AI935" s="48"/>
    </row>
    <row r="936" spans="1:35" ht="12.5" hidden="1">
      <c r="A936" s="37" t="s">
        <v>1408</v>
      </c>
      <c r="B936" s="38" t="str">
        <f>IFERROR(VLOOKUP(J936,catalogo!$B$1:$C$85,2,0),"-")</f>
        <v>#58</v>
      </c>
      <c r="C936" s="39">
        <v>46075.416666666664</v>
      </c>
      <c r="D936" s="40"/>
      <c r="E936" s="41"/>
      <c r="F936" s="41"/>
      <c r="G936" s="42">
        <v>190</v>
      </c>
      <c r="H936" s="42">
        <v>190</v>
      </c>
      <c r="I936" s="43" t="s">
        <v>156</v>
      </c>
      <c r="J936" s="43" t="s">
        <v>118</v>
      </c>
      <c r="K936" s="43" t="s">
        <v>1755</v>
      </c>
      <c r="L936" s="44" t="s">
        <v>1493</v>
      </c>
      <c r="M936" s="44">
        <v>5576</v>
      </c>
      <c r="N936" s="44" t="s">
        <v>167</v>
      </c>
      <c r="O936" s="17"/>
      <c r="P936" s="17"/>
      <c r="Q936" s="17"/>
      <c r="R936" s="17"/>
      <c r="S936" s="17"/>
      <c r="T936" s="17"/>
      <c r="U936" s="17"/>
      <c r="V936" s="17"/>
      <c r="W936" s="17"/>
      <c r="X936" s="17"/>
      <c r="Y936" s="46"/>
      <c r="Z936" s="47"/>
      <c r="AA936" s="48"/>
      <c r="AB936" s="48"/>
      <c r="AC936" s="48"/>
      <c r="AD936" s="48"/>
      <c r="AE936" s="48"/>
      <c r="AF936" s="48"/>
      <c r="AG936" s="48"/>
      <c r="AH936" s="48"/>
      <c r="AI936" s="48"/>
    </row>
    <row r="937" spans="1:35" ht="12.5" hidden="1">
      <c r="A937" s="37" t="s">
        <v>1414</v>
      </c>
      <c r="B937" s="38" t="str">
        <f>IFERROR(VLOOKUP(J937,catalogo!$B$1:$C$85,2,0),"-")</f>
        <v>#19</v>
      </c>
      <c r="C937" s="39">
        <v>46075.417361111111</v>
      </c>
      <c r="D937" s="40"/>
      <c r="E937" s="41"/>
      <c r="F937" s="41"/>
      <c r="G937" s="42">
        <v>319.95</v>
      </c>
      <c r="H937" s="42">
        <v>319.95</v>
      </c>
      <c r="I937" s="43" t="s">
        <v>156</v>
      </c>
      <c r="J937" s="43" t="s">
        <v>105</v>
      </c>
      <c r="K937" s="43" t="s">
        <v>485</v>
      </c>
      <c r="L937" s="44" t="s">
        <v>233</v>
      </c>
      <c r="M937" s="44" t="s">
        <v>276</v>
      </c>
      <c r="N937" s="44" t="s">
        <v>144</v>
      </c>
      <c r="O937" s="17"/>
      <c r="P937" s="17"/>
      <c r="Q937" s="17"/>
      <c r="R937" s="17"/>
      <c r="S937" s="17"/>
      <c r="T937" s="17"/>
      <c r="U937" s="17"/>
      <c r="V937" s="17"/>
      <c r="W937" s="17"/>
      <c r="X937" s="17"/>
      <c r="Y937" s="46"/>
      <c r="Z937" s="47"/>
      <c r="AA937" s="48"/>
      <c r="AB937" s="48"/>
      <c r="AC937" s="48"/>
      <c r="AD937" s="48"/>
      <c r="AE937" s="48"/>
      <c r="AF937" s="48"/>
      <c r="AG937" s="48"/>
      <c r="AH937" s="48"/>
      <c r="AI937" s="48"/>
    </row>
    <row r="938" spans="1:35" ht="12.5" hidden="1">
      <c r="A938" s="37" t="s">
        <v>745</v>
      </c>
      <c r="B938" s="38" t="str">
        <f>IFERROR(VLOOKUP(J938,catalogo!$B$1:$C$85,2,0),"-")</f>
        <v>#56</v>
      </c>
      <c r="C938" s="39">
        <v>46075.417361111111</v>
      </c>
      <c r="D938" s="40"/>
      <c r="E938" s="41"/>
      <c r="F938" s="41"/>
      <c r="G938" s="42">
        <v>327.8</v>
      </c>
      <c r="H938" s="42">
        <v>327.8</v>
      </c>
      <c r="I938" s="43" t="s">
        <v>156</v>
      </c>
      <c r="J938" s="43" t="s">
        <v>99</v>
      </c>
      <c r="K938" s="43" t="s">
        <v>1756</v>
      </c>
      <c r="L938" s="44" t="s">
        <v>1757</v>
      </c>
      <c r="M938" s="44">
        <v>8949</v>
      </c>
      <c r="N938" s="44" t="s">
        <v>167</v>
      </c>
      <c r="O938" s="17"/>
      <c r="P938" s="17"/>
      <c r="Q938" s="17"/>
      <c r="R938" s="17"/>
      <c r="S938" s="17"/>
      <c r="T938" s="17"/>
      <c r="U938" s="17"/>
      <c r="V938" s="17"/>
      <c r="W938" s="17"/>
      <c r="X938" s="17"/>
      <c r="Y938" s="46"/>
      <c r="Z938" s="47"/>
      <c r="AA938" s="48"/>
      <c r="AB938" s="48"/>
      <c r="AC938" s="48"/>
      <c r="AD938" s="48"/>
      <c r="AE938" s="48"/>
      <c r="AF938" s="48"/>
      <c r="AG938" s="48"/>
      <c r="AH938" s="48"/>
      <c r="AI938" s="48"/>
    </row>
    <row r="939" spans="1:35" ht="12.5" hidden="1">
      <c r="A939" s="37" t="s">
        <v>1312</v>
      </c>
      <c r="B939" s="38" t="str">
        <f>IFERROR(VLOOKUP(J939,catalogo!$B$1:$C$85,2,0),"-")</f>
        <v>#8</v>
      </c>
      <c r="C939" s="39">
        <v>46075.417361111111</v>
      </c>
      <c r="D939" s="40"/>
      <c r="E939" s="41"/>
      <c r="F939" s="41"/>
      <c r="G939" s="42">
        <v>55</v>
      </c>
      <c r="H939" s="42">
        <v>55</v>
      </c>
      <c r="I939" s="43" t="s">
        <v>156</v>
      </c>
      <c r="J939" s="43" t="s">
        <v>128</v>
      </c>
      <c r="K939" s="43" t="s">
        <v>485</v>
      </c>
      <c r="L939" s="44" t="s">
        <v>233</v>
      </c>
      <c r="M939" s="44">
        <v>16</v>
      </c>
      <c r="N939" s="44" t="s">
        <v>167</v>
      </c>
      <c r="O939" s="17"/>
      <c r="P939" s="17"/>
      <c r="Q939" s="17"/>
      <c r="R939" s="17"/>
      <c r="S939" s="17"/>
      <c r="T939" s="17"/>
      <c r="U939" s="17"/>
      <c r="V939" s="17"/>
      <c r="W939" s="17"/>
      <c r="X939" s="17"/>
      <c r="Y939" s="46"/>
      <c r="Z939" s="47"/>
      <c r="AA939" s="48"/>
      <c r="AB939" s="48"/>
      <c r="AC939" s="48"/>
      <c r="AD939" s="48"/>
      <c r="AE939" s="48"/>
      <c r="AF939" s="48"/>
      <c r="AG939" s="48"/>
      <c r="AH939" s="48"/>
      <c r="AI939" s="48"/>
    </row>
    <row r="940" spans="1:35" ht="12.5" hidden="1">
      <c r="A940" s="37" t="s">
        <v>1110</v>
      </c>
      <c r="B940" s="38" t="str">
        <f>IFERROR(VLOOKUP(J940,catalogo!$B$1:$C$85,2,0),"-")</f>
        <v>-</v>
      </c>
      <c r="C940" s="39">
        <v>46075.417361111111</v>
      </c>
      <c r="D940" s="40"/>
      <c r="E940" s="41"/>
      <c r="F940" s="41"/>
      <c r="G940" s="42">
        <v>400.35</v>
      </c>
      <c r="H940" s="42">
        <v>400.35</v>
      </c>
      <c r="I940" s="43" t="s">
        <v>156</v>
      </c>
      <c r="J940" s="43" t="s">
        <v>321</v>
      </c>
      <c r="K940" s="43" t="s">
        <v>1596</v>
      </c>
      <c r="L940" s="44" t="s">
        <v>1597</v>
      </c>
      <c r="M940" s="44">
        <v>3340</v>
      </c>
      <c r="N940" s="44" t="s">
        <v>167</v>
      </c>
      <c r="O940" s="17"/>
      <c r="P940" s="17"/>
      <c r="Q940" s="17"/>
      <c r="R940" s="17"/>
      <c r="S940" s="17"/>
      <c r="T940" s="17"/>
      <c r="U940" s="17"/>
      <c r="V940" s="17"/>
      <c r="W940" s="17"/>
      <c r="X940" s="17"/>
      <c r="Y940" s="46"/>
      <c r="Z940" s="47"/>
      <c r="AA940" s="48"/>
      <c r="AB940" s="48"/>
      <c r="AC940" s="48"/>
      <c r="AD940" s="48"/>
      <c r="AE940" s="48"/>
      <c r="AF940" s="48"/>
      <c r="AG940" s="48"/>
      <c r="AH940" s="48"/>
      <c r="AI940" s="48"/>
    </row>
    <row r="941" spans="1:35" ht="15.5" hidden="1">
      <c r="A941" s="37" t="s">
        <v>1025</v>
      </c>
      <c r="B941" s="38" t="str">
        <f>IFERROR(VLOOKUP(J941,catalogo!$B$1:$C$85,2,0),"-")</f>
        <v>#16</v>
      </c>
      <c r="C941" s="39">
        <v>46075.417361111111</v>
      </c>
      <c r="D941" s="40"/>
      <c r="E941" s="41"/>
      <c r="F941" s="41"/>
      <c r="G941" s="42">
        <v>377.09</v>
      </c>
      <c r="H941" s="42">
        <v>21</v>
      </c>
      <c r="I941" s="43" t="s">
        <v>172</v>
      </c>
      <c r="J941" s="43" t="s">
        <v>85</v>
      </c>
      <c r="K941" s="43" t="s">
        <v>1758</v>
      </c>
      <c r="L941" s="44" t="s">
        <v>1759</v>
      </c>
      <c r="M941" s="44" t="s">
        <v>332</v>
      </c>
      <c r="N941" s="44" t="s">
        <v>144</v>
      </c>
      <c r="O941" s="49"/>
      <c r="P941" s="17"/>
      <c r="Q941" s="17"/>
      <c r="R941" s="17"/>
      <c r="S941" s="17"/>
      <c r="T941" s="17"/>
      <c r="U941" s="17"/>
      <c r="V941" s="17"/>
      <c r="W941" s="17"/>
      <c r="X941" s="17"/>
      <c r="Y941" s="46"/>
      <c r="Z941" s="47"/>
      <c r="AA941" s="48"/>
      <c r="AB941" s="48"/>
      <c r="AC941" s="48"/>
      <c r="AD941" s="48"/>
      <c r="AE941" s="48"/>
      <c r="AF941" s="48"/>
      <c r="AG941" s="48"/>
      <c r="AH941" s="48"/>
      <c r="AI941" s="48"/>
    </row>
    <row r="942" spans="1:35" ht="12.5" hidden="1">
      <c r="A942" s="37" t="s">
        <v>1760</v>
      </c>
      <c r="B942" s="38" t="str">
        <f>IFERROR(VLOOKUP(J942,catalogo!$B$1:$C$85,2,0),"-")</f>
        <v>#8</v>
      </c>
      <c r="C942" s="39">
        <v>46075.417361111111</v>
      </c>
      <c r="D942" s="40"/>
      <c r="E942" s="41"/>
      <c r="F942" s="41"/>
      <c r="G942" s="42">
        <v>182</v>
      </c>
      <c r="H942" s="42">
        <v>182</v>
      </c>
      <c r="I942" s="43" t="s">
        <v>156</v>
      </c>
      <c r="J942" s="43" t="s">
        <v>128</v>
      </c>
      <c r="K942" s="43" t="s">
        <v>485</v>
      </c>
      <c r="L942" s="44" t="s">
        <v>233</v>
      </c>
      <c r="M942" s="44">
        <v>16</v>
      </c>
      <c r="N942" s="44" t="s">
        <v>167</v>
      </c>
      <c r="O942" s="17"/>
      <c r="P942" s="17"/>
      <c r="Q942" s="17"/>
      <c r="R942" s="17"/>
      <c r="S942" s="17"/>
      <c r="T942" s="17"/>
      <c r="U942" s="17"/>
      <c r="V942" s="17"/>
      <c r="W942" s="17"/>
      <c r="X942" s="17"/>
      <c r="Y942" s="46"/>
      <c r="Z942" s="47"/>
      <c r="AA942" s="48"/>
      <c r="AB942" s="48"/>
      <c r="AC942" s="48"/>
      <c r="AD942" s="48"/>
      <c r="AE942" s="48"/>
      <c r="AF942" s="48"/>
      <c r="AG942" s="48"/>
      <c r="AH942" s="48"/>
      <c r="AI942" s="48"/>
    </row>
    <row r="943" spans="1:35" ht="12.5" hidden="1">
      <c r="A943" s="37" t="s">
        <v>741</v>
      </c>
      <c r="B943" s="38" t="str">
        <f>IFERROR(VLOOKUP(J943,catalogo!$B$1:$C$85,2,0),"-")</f>
        <v>#64</v>
      </c>
      <c r="C943" s="39">
        <v>46075.417361111111</v>
      </c>
      <c r="D943" s="40"/>
      <c r="E943" s="41"/>
      <c r="F943" s="41"/>
      <c r="G943" s="42">
        <v>352.3</v>
      </c>
      <c r="H943" s="42">
        <v>352.3</v>
      </c>
      <c r="I943" s="43" t="s">
        <v>156</v>
      </c>
      <c r="J943" s="43" t="s">
        <v>139</v>
      </c>
      <c r="K943" s="43" t="s">
        <v>169</v>
      </c>
      <c r="L943" s="44" t="s">
        <v>170</v>
      </c>
      <c r="M943" s="44">
        <v>7142</v>
      </c>
      <c r="N943" s="44" t="s">
        <v>167</v>
      </c>
      <c r="O943" s="17"/>
      <c r="P943" s="17"/>
      <c r="Q943" s="17"/>
      <c r="R943" s="17"/>
      <c r="S943" s="17"/>
      <c r="T943" s="17"/>
      <c r="U943" s="17"/>
      <c r="V943" s="17"/>
      <c r="W943" s="17"/>
      <c r="X943" s="17"/>
      <c r="Y943" s="46"/>
      <c r="Z943" s="47"/>
      <c r="AA943" s="48"/>
      <c r="AB943" s="48"/>
      <c r="AC943" s="48"/>
      <c r="AD943" s="48"/>
      <c r="AE943" s="48"/>
      <c r="AF943" s="48"/>
      <c r="AG943" s="48"/>
      <c r="AH943" s="48"/>
      <c r="AI943" s="48"/>
    </row>
    <row r="944" spans="1:35" ht="12.5" hidden="1">
      <c r="A944" s="37" t="s">
        <v>1437</v>
      </c>
      <c r="B944" s="38" t="str">
        <f>IFERROR(VLOOKUP(J944,catalogo!$B$1:$C$85,2,0),"-")</f>
        <v>#2</v>
      </c>
      <c r="C944" s="39">
        <v>46075.417361111111</v>
      </c>
      <c r="D944" s="40"/>
      <c r="E944" s="41"/>
      <c r="F944" s="41"/>
      <c r="G944" s="42">
        <v>2619.98</v>
      </c>
      <c r="H944" s="42">
        <v>144.80000000000001</v>
      </c>
      <c r="I944" s="43" t="s">
        <v>172</v>
      </c>
      <c r="J944" s="43" t="s">
        <v>75</v>
      </c>
      <c r="K944" s="43" t="s">
        <v>1761</v>
      </c>
      <c r="L944" s="44" t="s">
        <v>1762</v>
      </c>
      <c r="M944" s="44" t="s">
        <v>199</v>
      </c>
      <c r="N944" s="44" t="s">
        <v>144</v>
      </c>
      <c r="O944" s="17"/>
      <c r="P944" s="17"/>
      <c r="Q944" s="17"/>
      <c r="R944" s="17"/>
      <c r="S944" s="17"/>
      <c r="T944" s="17"/>
      <c r="U944" s="17"/>
      <c r="V944" s="17"/>
      <c r="W944" s="17"/>
      <c r="X944" s="17"/>
      <c r="Y944" s="46"/>
      <c r="Z944" s="47"/>
      <c r="AA944" s="48"/>
      <c r="AB944" s="48"/>
      <c r="AC944" s="48"/>
      <c r="AD944" s="48"/>
      <c r="AE944" s="48"/>
      <c r="AF944" s="48"/>
      <c r="AG944" s="48"/>
      <c r="AH944" s="48"/>
      <c r="AI944" s="48"/>
    </row>
    <row r="945" spans="1:35" ht="12.5" hidden="1">
      <c r="A945" s="37" t="s">
        <v>874</v>
      </c>
      <c r="B945" s="38" t="str">
        <f>IFERROR(VLOOKUP(J945,catalogo!$B$1:$C$85,2,0),"-")</f>
        <v>#26</v>
      </c>
      <c r="C945" s="39">
        <v>46075.417361111111</v>
      </c>
      <c r="D945" s="40"/>
      <c r="E945" s="41"/>
      <c r="F945" s="41"/>
      <c r="G945" s="42">
        <v>357</v>
      </c>
      <c r="H945" s="42">
        <v>357</v>
      </c>
      <c r="I945" s="43" t="s">
        <v>156</v>
      </c>
      <c r="J945" s="43" t="s">
        <v>67</v>
      </c>
      <c r="K945" s="43" t="s">
        <v>1763</v>
      </c>
      <c r="L945" s="44" t="s">
        <v>1764</v>
      </c>
      <c r="M945" s="44">
        <v>8061</v>
      </c>
      <c r="N945" s="44" t="s">
        <v>167</v>
      </c>
      <c r="O945" s="17"/>
      <c r="P945" s="17"/>
      <c r="Q945" s="17"/>
      <c r="R945" s="17"/>
      <c r="S945" s="17"/>
      <c r="T945" s="17"/>
      <c r="U945" s="17"/>
      <c r="V945" s="17"/>
      <c r="W945" s="17"/>
      <c r="X945" s="17"/>
      <c r="Y945" s="46"/>
      <c r="Z945" s="47"/>
      <c r="AA945" s="48"/>
      <c r="AB945" s="48"/>
      <c r="AC945" s="48"/>
      <c r="AD945" s="48"/>
      <c r="AE945" s="48"/>
      <c r="AF945" s="48"/>
      <c r="AG945" s="48"/>
      <c r="AH945" s="48"/>
      <c r="AI945" s="48"/>
    </row>
    <row r="946" spans="1:35" ht="12.5" hidden="1">
      <c r="A946" s="37" t="s">
        <v>644</v>
      </c>
      <c r="B946" s="38" t="str">
        <f>IFERROR(VLOOKUP(J946,catalogo!$B$1:$C$85,2,0),"-")</f>
        <v>#68</v>
      </c>
      <c r="C946" s="39">
        <v>46075.417361111111</v>
      </c>
      <c r="D946" s="40"/>
      <c r="E946" s="41"/>
      <c r="F946" s="41"/>
      <c r="G946" s="42">
        <v>1350</v>
      </c>
      <c r="H946" s="42">
        <v>1350</v>
      </c>
      <c r="I946" s="43" t="s">
        <v>156</v>
      </c>
      <c r="J946" s="43" t="s">
        <v>384</v>
      </c>
      <c r="K946" s="43" t="s">
        <v>759</v>
      </c>
      <c r="L946" s="44" t="s">
        <v>760</v>
      </c>
      <c r="M946" s="44">
        <v>2937</v>
      </c>
      <c r="N946" s="44" t="s">
        <v>167</v>
      </c>
      <c r="O946" s="17"/>
      <c r="P946" s="17"/>
      <c r="Q946" s="17"/>
      <c r="R946" s="17"/>
      <c r="S946" s="17"/>
      <c r="T946" s="17"/>
      <c r="U946" s="17"/>
      <c r="V946" s="17"/>
      <c r="W946" s="17"/>
      <c r="X946" s="17"/>
      <c r="Y946" s="46"/>
      <c r="Z946" s="47"/>
      <c r="AA946" s="48"/>
      <c r="AB946" s="48"/>
      <c r="AC946" s="48"/>
      <c r="AD946" s="48"/>
      <c r="AE946" s="48"/>
      <c r="AF946" s="48"/>
      <c r="AG946" s="48"/>
      <c r="AH946" s="48"/>
      <c r="AI946" s="48"/>
    </row>
    <row r="947" spans="1:35" ht="12.5" hidden="1">
      <c r="A947" s="37" t="s">
        <v>1033</v>
      </c>
      <c r="B947" s="38" t="str">
        <f>IFERROR(VLOOKUP(J947,catalogo!$B$1:$C$85,2,0),"-")</f>
        <v>#6</v>
      </c>
      <c r="C947" s="39">
        <v>46075.417361111111</v>
      </c>
      <c r="D947" s="40"/>
      <c r="E947" s="41"/>
      <c r="F947" s="41"/>
      <c r="G947" s="42">
        <v>1479</v>
      </c>
      <c r="H947" s="42">
        <v>1479</v>
      </c>
      <c r="I947" s="43" t="s">
        <v>156</v>
      </c>
      <c r="J947" s="43" t="s">
        <v>114</v>
      </c>
      <c r="K947" s="43" t="s">
        <v>1765</v>
      </c>
      <c r="L947" s="44" t="s">
        <v>1766</v>
      </c>
      <c r="M947" s="44">
        <v>3893</v>
      </c>
      <c r="N947" s="44" t="s">
        <v>167</v>
      </c>
      <c r="O947" s="17"/>
      <c r="P947" s="17"/>
      <c r="Q947" s="17"/>
      <c r="R947" s="17"/>
      <c r="S947" s="17"/>
      <c r="T947" s="17"/>
      <c r="U947" s="17"/>
      <c r="V947" s="17"/>
      <c r="W947" s="17"/>
      <c r="X947" s="17"/>
      <c r="Y947" s="46"/>
      <c r="Z947" s="47"/>
      <c r="AA947" s="48"/>
      <c r="AB947" s="48"/>
      <c r="AC947" s="48"/>
      <c r="AD947" s="48"/>
      <c r="AE947" s="48"/>
      <c r="AF947" s="48"/>
      <c r="AG947" s="48"/>
      <c r="AH947" s="48"/>
      <c r="AI947" s="48"/>
    </row>
    <row r="948" spans="1:35" ht="12.5" hidden="1">
      <c r="A948" s="37" t="s">
        <v>1648</v>
      </c>
      <c r="B948" s="38" t="str">
        <f>IFERROR(VLOOKUP(J948,catalogo!$B$1:$C$85,2,0),"-")</f>
        <v>#26</v>
      </c>
      <c r="C948" s="39">
        <v>46075.417361111111</v>
      </c>
      <c r="D948" s="40"/>
      <c r="E948" s="41"/>
      <c r="F948" s="41"/>
      <c r="G948" s="42">
        <v>61</v>
      </c>
      <c r="H948" s="42">
        <v>61</v>
      </c>
      <c r="I948" s="43" t="s">
        <v>156</v>
      </c>
      <c r="J948" s="43" t="s">
        <v>67</v>
      </c>
      <c r="K948" s="43" t="s">
        <v>1767</v>
      </c>
      <c r="L948" s="44" t="s">
        <v>407</v>
      </c>
      <c r="M948" s="44">
        <v>8061</v>
      </c>
      <c r="N948" s="44" t="s">
        <v>167</v>
      </c>
      <c r="O948" s="17"/>
      <c r="P948" s="17"/>
      <c r="Q948" s="17"/>
      <c r="R948" s="17"/>
      <c r="S948" s="17"/>
      <c r="T948" s="17"/>
      <c r="U948" s="17"/>
      <c r="V948" s="17"/>
      <c r="W948" s="17"/>
      <c r="X948" s="17"/>
      <c r="Y948" s="46"/>
      <c r="Z948" s="47"/>
      <c r="AA948" s="48"/>
      <c r="AB948" s="48"/>
      <c r="AC948" s="48"/>
      <c r="AD948" s="48"/>
      <c r="AE948" s="48"/>
      <c r="AF948" s="48"/>
      <c r="AG948" s="48"/>
      <c r="AH948" s="48"/>
      <c r="AI948" s="48"/>
    </row>
    <row r="949" spans="1:35" ht="12.5" hidden="1">
      <c r="A949" s="37" t="s">
        <v>1693</v>
      </c>
      <c r="B949" s="38" t="str">
        <f>IFERROR(VLOOKUP(J949,catalogo!$B$1:$C$85,2,0),"-")</f>
        <v>#19</v>
      </c>
      <c r="C949" s="39">
        <v>46075.417361111111</v>
      </c>
      <c r="D949" s="40"/>
      <c r="E949" s="41"/>
      <c r="F949" s="41"/>
      <c r="G949" s="42">
        <v>416.9</v>
      </c>
      <c r="H949" s="42">
        <v>416.9</v>
      </c>
      <c r="I949" s="43" t="s">
        <v>156</v>
      </c>
      <c r="J949" s="43" t="s">
        <v>105</v>
      </c>
      <c r="K949" s="43" t="s">
        <v>1768</v>
      </c>
      <c r="L949" s="44" t="s">
        <v>1769</v>
      </c>
      <c r="M949" s="44">
        <v>5778</v>
      </c>
      <c r="N949" s="44" t="s">
        <v>167</v>
      </c>
      <c r="O949" s="41"/>
      <c r="P949" s="41"/>
      <c r="Q949" s="41"/>
      <c r="R949" s="41"/>
      <c r="S949" s="41"/>
      <c r="T949" s="41"/>
      <c r="U949" s="41"/>
      <c r="V949" s="41"/>
      <c r="W949" s="41"/>
      <c r="X949" s="41"/>
      <c r="Y949" s="46"/>
      <c r="Z949" s="47"/>
      <c r="AA949" s="48"/>
      <c r="AB949" s="48"/>
      <c r="AC949" s="48"/>
      <c r="AD949" s="48"/>
      <c r="AE949" s="48"/>
      <c r="AF949" s="48"/>
      <c r="AG949" s="48"/>
      <c r="AH949" s="48"/>
      <c r="AI949" s="48"/>
    </row>
    <row r="950" spans="1:35" ht="12.5" hidden="1">
      <c r="A950" s="37" t="s">
        <v>1022</v>
      </c>
      <c r="B950" s="38" t="str">
        <f>IFERROR(VLOOKUP(J950,catalogo!$B$1:$C$85,2,0),"-")</f>
        <v>#75</v>
      </c>
      <c r="C950" s="39">
        <v>46075.417361111111</v>
      </c>
      <c r="D950" s="40"/>
      <c r="E950" s="41"/>
      <c r="F950" s="41"/>
      <c r="G950" s="42">
        <v>7774.91</v>
      </c>
      <c r="H950" s="42">
        <v>432.98</v>
      </c>
      <c r="I950" s="43" t="s">
        <v>172</v>
      </c>
      <c r="J950" s="43" t="s">
        <v>343</v>
      </c>
      <c r="K950" s="43" t="s">
        <v>1770</v>
      </c>
      <c r="L950" s="44" t="s">
        <v>1771</v>
      </c>
      <c r="M950" s="44">
        <v>6747</v>
      </c>
      <c r="N950" s="44" t="s">
        <v>167</v>
      </c>
      <c r="O950" s="17"/>
      <c r="P950" s="17"/>
      <c r="Q950" s="17"/>
      <c r="R950" s="17"/>
      <c r="S950" s="17"/>
      <c r="T950" s="17"/>
      <c r="U950" s="17"/>
      <c r="V950" s="17"/>
      <c r="W950" s="17"/>
      <c r="X950" s="17"/>
      <c r="Y950" s="46"/>
      <c r="Z950" s="47"/>
      <c r="AA950" s="48"/>
      <c r="AB950" s="48"/>
      <c r="AC950" s="48"/>
      <c r="AD950" s="48"/>
      <c r="AE950" s="48"/>
      <c r="AF950" s="48"/>
      <c r="AG950" s="48"/>
      <c r="AH950" s="48"/>
      <c r="AI950" s="48"/>
    </row>
    <row r="951" spans="1:35" ht="15.5" hidden="1">
      <c r="A951" s="37" t="s">
        <v>1772</v>
      </c>
      <c r="B951" s="38" t="str">
        <f>IFERROR(VLOOKUP(J951,catalogo!$B$1:$C$85,2,0),"-")</f>
        <v>#75</v>
      </c>
      <c r="C951" s="39">
        <v>46075.417361111111</v>
      </c>
      <c r="D951" s="40"/>
      <c r="E951" s="41"/>
      <c r="F951" s="41"/>
      <c r="G951" s="42">
        <v>10827.55</v>
      </c>
      <c r="H951" s="42">
        <v>602.98</v>
      </c>
      <c r="I951" s="43" t="s">
        <v>172</v>
      </c>
      <c r="J951" s="43" t="s">
        <v>343</v>
      </c>
      <c r="K951" s="43" t="s">
        <v>1770</v>
      </c>
      <c r="L951" s="44" t="s">
        <v>1771</v>
      </c>
      <c r="M951" s="44">
        <v>6747</v>
      </c>
      <c r="N951" s="44" t="s">
        <v>167</v>
      </c>
      <c r="O951" s="49"/>
      <c r="P951" s="17"/>
      <c r="Q951" s="17"/>
      <c r="R951" s="17"/>
      <c r="S951" s="17"/>
      <c r="T951" s="17"/>
      <c r="U951" s="17"/>
      <c r="V951" s="17"/>
      <c r="W951" s="17"/>
      <c r="X951" s="17"/>
      <c r="Y951" s="46"/>
      <c r="Z951" s="47"/>
      <c r="AA951" s="48"/>
      <c r="AB951" s="48"/>
      <c r="AC951" s="48"/>
      <c r="AD951" s="48"/>
      <c r="AE951" s="48"/>
      <c r="AF951" s="48"/>
      <c r="AG951" s="48"/>
      <c r="AH951" s="48"/>
      <c r="AI951" s="48"/>
    </row>
    <row r="952" spans="1:35" ht="12.5" hidden="1">
      <c r="A952" s="37" t="s">
        <v>1409</v>
      </c>
      <c r="B952" s="38" t="str">
        <f>IFERROR(VLOOKUP(J952,catalogo!$B$1:$C$85,2,0),"-")</f>
        <v>#68</v>
      </c>
      <c r="C952" s="39">
        <v>46075.417361111111</v>
      </c>
      <c r="D952" s="40"/>
      <c r="E952" s="41"/>
      <c r="F952" s="41"/>
      <c r="G952" s="42">
        <v>643.03</v>
      </c>
      <c r="H952" s="42">
        <v>35.81</v>
      </c>
      <c r="I952" s="43" t="s">
        <v>172</v>
      </c>
      <c r="J952" s="43" t="s">
        <v>384</v>
      </c>
      <c r="K952" s="43" t="s">
        <v>1734</v>
      </c>
      <c r="L952" s="44" t="s">
        <v>1735</v>
      </c>
      <c r="M952" s="44">
        <v>2937</v>
      </c>
      <c r="N952" s="44" t="s">
        <v>167</v>
      </c>
      <c r="O952" s="17"/>
      <c r="P952" s="17"/>
      <c r="Q952" s="17"/>
      <c r="R952" s="17"/>
      <c r="S952" s="17"/>
      <c r="T952" s="17"/>
      <c r="U952" s="17"/>
      <c r="V952" s="17"/>
      <c r="W952" s="17"/>
      <c r="X952" s="17"/>
      <c r="Y952" s="46"/>
      <c r="Z952" s="47"/>
      <c r="AA952" s="48"/>
      <c r="AB952" s="48"/>
      <c r="AC952" s="48"/>
      <c r="AD952" s="48"/>
      <c r="AE952" s="48"/>
      <c r="AF952" s="48"/>
      <c r="AG952" s="48"/>
      <c r="AH952" s="48"/>
      <c r="AI952" s="48"/>
    </row>
    <row r="953" spans="1:35" ht="15.5" hidden="1">
      <c r="A953" s="37" t="s">
        <v>587</v>
      </c>
      <c r="B953" s="38" t="str">
        <f>IFERROR(VLOOKUP(J953,catalogo!$B$1:$C$85,2,0),"-")</f>
        <v>#75</v>
      </c>
      <c r="C953" s="39">
        <v>46075.417361111111</v>
      </c>
      <c r="D953" s="40"/>
      <c r="E953" s="41"/>
      <c r="F953" s="41"/>
      <c r="G953" s="42">
        <v>719.78</v>
      </c>
      <c r="H953" s="42">
        <v>40</v>
      </c>
      <c r="I953" s="43" t="s">
        <v>172</v>
      </c>
      <c r="J953" s="43" t="s">
        <v>343</v>
      </c>
      <c r="K953" s="43" t="s">
        <v>1773</v>
      </c>
      <c r="L953" s="44" t="s">
        <v>1774</v>
      </c>
      <c r="M953" s="44">
        <v>6747</v>
      </c>
      <c r="N953" s="44" t="s">
        <v>167</v>
      </c>
      <c r="O953" s="49"/>
      <c r="P953" s="17"/>
      <c r="Q953" s="17"/>
      <c r="R953" s="17"/>
      <c r="S953" s="17"/>
      <c r="T953" s="17"/>
      <c r="U953" s="17"/>
      <c r="V953" s="17"/>
      <c r="W953" s="17"/>
      <c r="X953" s="17"/>
      <c r="Y953" s="46"/>
      <c r="Z953" s="47"/>
      <c r="AA953" s="48"/>
      <c r="AB953" s="48"/>
      <c r="AC953" s="48"/>
      <c r="AD953" s="48"/>
      <c r="AE953" s="48"/>
      <c r="AF953" s="48"/>
      <c r="AG953" s="48"/>
      <c r="AH953" s="48"/>
      <c r="AI953" s="48"/>
    </row>
    <row r="954" spans="1:35" ht="12.5" hidden="1">
      <c r="A954" s="37" t="s">
        <v>1775</v>
      </c>
      <c r="B954" s="38" t="str">
        <f>IFERROR(VLOOKUP(J954,catalogo!$B$1:$C$85,2,0),"-")</f>
        <v>#52</v>
      </c>
      <c r="C954" s="39">
        <v>46075.417361111111</v>
      </c>
      <c r="D954" s="40"/>
      <c r="E954" s="41"/>
      <c r="F954" s="41"/>
      <c r="G954" s="42">
        <v>55.49</v>
      </c>
      <c r="H954" s="42">
        <v>3.09</v>
      </c>
      <c r="I954" s="43" t="s">
        <v>172</v>
      </c>
      <c r="J954" s="43" t="s">
        <v>253</v>
      </c>
      <c r="K954" s="43" t="s">
        <v>537</v>
      </c>
      <c r="L954" s="44" t="s">
        <v>233</v>
      </c>
      <c r="M954" s="44">
        <v>6137</v>
      </c>
      <c r="N954" s="44" t="s">
        <v>167</v>
      </c>
      <c r="O954" s="17"/>
      <c r="P954" s="17"/>
      <c r="Q954" s="17"/>
      <c r="R954" s="17"/>
      <c r="S954" s="17"/>
      <c r="T954" s="17"/>
      <c r="U954" s="17"/>
      <c r="V954" s="17"/>
      <c r="W954" s="17"/>
      <c r="X954" s="17"/>
      <c r="Y954" s="46"/>
      <c r="Z954" s="47"/>
      <c r="AA954" s="48"/>
      <c r="AB954" s="48"/>
      <c r="AC954" s="48"/>
      <c r="AD954" s="48"/>
      <c r="AE954" s="48"/>
      <c r="AF954" s="48"/>
      <c r="AG954" s="48"/>
      <c r="AH954" s="48"/>
      <c r="AI954" s="48"/>
    </row>
    <row r="955" spans="1:35" ht="12.5" hidden="1">
      <c r="A955" s="37" t="s">
        <v>1281</v>
      </c>
      <c r="B955" s="38" t="str">
        <f>IFERROR(VLOOKUP(J955,catalogo!$B$1:$C$85,2,0),"-")</f>
        <v>#52</v>
      </c>
      <c r="C955" s="39">
        <v>46075.417361111111</v>
      </c>
      <c r="D955" s="40"/>
      <c r="E955" s="41"/>
      <c r="F955" s="41"/>
      <c r="G955" s="42">
        <v>580.01</v>
      </c>
      <c r="H955" s="42">
        <v>32.299999999999997</v>
      </c>
      <c r="I955" s="43" t="s">
        <v>172</v>
      </c>
      <c r="J955" s="43" t="s">
        <v>253</v>
      </c>
      <c r="K955" s="43" t="s">
        <v>537</v>
      </c>
      <c r="L955" s="44" t="s">
        <v>233</v>
      </c>
      <c r="M955" s="44">
        <v>6137</v>
      </c>
      <c r="N955" s="44" t="s">
        <v>167</v>
      </c>
      <c r="O955" s="17"/>
      <c r="P955" s="17"/>
      <c r="Q955" s="17"/>
      <c r="R955" s="17"/>
      <c r="S955" s="17"/>
      <c r="T955" s="17"/>
      <c r="U955" s="17"/>
      <c r="V955" s="17"/>
      <c r="W955" s="17"/>
      <c r="X955" s="17"/>
      <c r="Y955" s="46"/>
      <c r="Z955" s="47"/>
      <c r="AA955" s="48"/>
      <c r="AB955" s="48"/>
      <c r="AC955" s="48"/>
      <c r="AD955" s="48"/>
      <c r="AE955" s="48"/>
      <c r="AF955" s="48"/>
      <c r="AG955" s="48"/>
      <c r="AH955" s="48"/>
      <c r="AI955" s="48"/>
    </row>
    <row r="956" spans="1:35" ht="12.5" hidden="1">
      <c r="A956" s="37" t="s">
        <v>1776</v>
      </c>
      <c r="B956" s="38" t="str">
        <f>IFERROR(VLOOKUP(J956,catalogo!$B$1:$C$85,2,0),"-")</f>
        <v>#68</v>
      </c>
      <c r="C956" s="39">
        <v>46075.417361111111</v>
      </c>
      <c r="D956" s="40"/>
      <c r="E956" s="41"/>
      <c r="F956" s="41"/>
      <c r="G956" s="42">
        <v>343.42</v>
      </c>
      <c r="H956" s="42">
        <v>18.98</v>
      </c>
      <c r="I956" s="43" t="s">
        <v>172</v>
      </c>
      <c r="J956" s="43" t="s">
        <v>384</v>
      </c>
      <c r="K956" s="43" t="s">
        <v>537</v>
      </c>
      <c r="L956" s="44" t="s">
        <v>233</v>
      </c>
      <c r="M956" s="44">
        <v>2937</v>
      </c>
      <c r="N956" s="44" t="s">
        <v>167</v>
      </c>
      <c r="O956" s="17"/>
      <c r="P956" s="17"/>
      <c r="Q956" s="17"/>
      <c r="R956" s="17"/>
      <c r="S956" s="17"/>
      <c r="T956" s="17"/>
      <c r="U956" s="17"/>
      <c r="V956" s="17"/>
      <c r="W956" s="17"/>
      <c r="X956" s="17"/>
      <c r="Y956" s="46"/>
      <c r="Z956" s="47"/>
      <c r="AA956" s="48"/>
      <c r="AB956" s="48"/>
      <c r="AC956" s="48"/>
      <c r="AD956" s="48"/>
      <c r="AE956" s="48"/>
      <c r="AF956" s="48"/>
      <c r="AG956" s="48"/>
      <c r="AH956" s="48"/>
      <c r="AI956" s="48"/>
    </row>
    <row r="957" spans="1:35" ht="15.5" hidden="1">
      <c r="A957" s="37" t="s">
        <v>1704</v>
      </c>
      <c r="B957" s="38" t="str">
        <f>IFERROR(VLOOKUP(J957,catalogo!$B$1:$C$85,2,0),"-")</f>
        <v>#26</v>
      </c>
      <c r="C957" s="39">
        <v>46076.416666666664</v>
      </c>
      <c r="D957" s="40"/>
      <c r="E957" s="41"/>
      <c r="F957" s="41"/>
      <c r="G957" s="42">
        <v>181.32</v>
      </c>
      <c r="H957" s="42">
        <v>181.32</v>
      </c>
      <c r="I957" s="43" t="s">
        <v>156</v>
      </c>
      <c r="J957" s="43" t="s">
        <v>67</v>
      </c>
      <c r="K957" s="43" t="s">
        <v>284</v>
      </c>
      <c r="L957" s="44" t="s">
        <v>233</v>
      </c>
      <c r="M957" s="44">
        <v>8061</v>
      </c>
      <c r="N957" s="44" t="s">
        <v>167</v>
      </c>
      <c r="O957" s="49"/>
      <c r="P957" s="17"/>
      <c r="Q957" s="17"/>
      <c r="R957" s="17"/>
      <c r="S957" s="17"/>
      <c r="T957" s="17"/>
      <c r="U957" s="17"/>
      <c r="V957" s="17"/>
      <c r="W957" s="17"/>
      <c r="X957" s="17"/>
      <c r="Y957" s="46"/>
      <c r="Z957" s="47"/>
      <c r="AA957" s="48"/>
      <c r="AB957" s="48"/>
      <c r="AC957" s="48"/>
      <c r="AD957" s="48"/>
      <c r="AE957" s="48"/>
      <c r="AF957" s="48"/>
      <c r="AG957" s="48"/>
      <c r="AH957" s="48"/>
      <c r="AI957" s="48"/>
    </row>
    <row r="958" spans="1:35" ht="12.5" hidden="1">
      <c r="A958" s="37" t="s">
        <v>803</v>
      </c>
      <c r="B958" s="38" t="str">
        <f>IFERROR(VLOOKUP(J958,catalogo!$B$1:$C$85,2,0),"-")</f>
        <v>#26</v>
      </c>
      <c r="C958" s="39">
        <v>46076.416666666664</v>
      </c>
      <c r="D958" s="40"/>
      <c r="E958" s="41"/>
      <c r="F958" s="41"/>
      <c r="G958" s="42">
        <v>110</v>
      </c>
      <c r="H958" s="42">
        <v>110</v>
      </c>
      <c r="I958" s="43" t="s">
        <v>156</v>
      </c>
      <c r="J958" s="43" t="s">
        <v>67</v>
      </c>
      <c r="K958" s="43" t="s">
        <v>1777</v>
      </c>
      <c r="L958" s="44" t="s">
        <v>1778</v>
      </c>
      <c r="M958" s="44" t="s">
        <v>159</v>
      </c>
      <c r="N958" s="44" t="s">
        <v>144</v>
      </c>
      <c r="O958" s="17"/>
      <c r="P958" s="17"/>
      <c r="Q958" s="17"/>
      <c r="R958" s="17"/>
      <c r="S958" s="17"/>
      <c r="T958" s="17"/>
      <c r="U958" s="17"/>
      <c r="V958" s="17"/>
      <c r="W958" s="17"/>
      <c r="X958" s="17"/>
      <c r="Y958" s="46"/>
      <c r="Z958" s="47"/>
      <c r="AA958" s="48"/>
      <c r="AB958" s="48"/>
      <c r="AC958" s="48"/>
      <c r="AD958" s="48"/>
      <c r="AE958" s="48"/>
      <c r="AF958" s="48"/>
      <c r="AG958" s="48"/>
      <c r="AH958" s="48"/>
      <c r="AI958" s="48"/>
    </row>
    <row r="959" spans="1:35" ht="12.5" hidden="1">
      <c r="A959" s="37" t="s">
        <v>1779</v>
      </c>
      <c r="B959" s="38" t="str">
        <f>IFERROR(VLOOKUP(J959,catalogo!$B$1:$C$85,2,0),"-")</f>
        <v>#58</v>
      </c>
      <c r="C959" s="39">
        <v>46076.416666666664</v>
      </c>
      <c r="D959" s="40"/>
      <c r="E959" s="41"/>
      <c r="F959" s="41"/>
      <c r="G959" s="42">
        <v>429.9</v>
      </c>
      <c r="H959" s="42">
        <v>429.9</v>
      </c>
      <c r="I959" s="43" t="s">
        <v>156</v>
      </c>
      <c r="J959" s="43" t="s">
        <v>118</v>
      </c>
      <c r="K959" s="43" t="s">
        <v>1533</v>
      </c>
      <c r="L959" s="44" t="s">
        <v>233</v>
      </c>
      <c r="M959" s="44" t="s">
        <v>163</v>
      </c>
      <c r="N959" s="44" t="s">
        <v>144</v>
      </c>
      <c r="O959" s="17"/>
      <c r="P959" s="17"/>
      <c r="Q959" s="17"/>
      <c r="R959" s="17"/>
      <c r="S959" s="17"/>
      <c r="T959" s="17"/>
      <c r="U959" s="17"/>
      <c r="V959" s="17"/>
      <c r="W959" s="17"/>
      <c r="X959" s="17"/>
      <c r="Y959" s="46"/>
      <c r="Z959" s="47"/>
      <c r="AA959" s="48"/>
      <c r="AB959" s="48"/>
      <c r="AC959" s="48"/>
      <c r="AD959" s="48"/>
      <c r="AE959" s="48"/>
      <c r="AF959" s="48"/>
      <c r="AG959" s="48"/>
      <c r="AH959" s="48"/>
      <c r="AI959" s="48"/>
    </row>
    <row r="960" spans="1:35" ht="12.5" hidden="1">
      <c r="A960" s="37" t="s">
        <v>1344</v>
      </c>
      <c r="B960" s="38" t="str">
        <f>IFERROR(VLOOKUP(J960,catalogo!$B$1:$C$85,2,0),"-")</f>
        <v>#64</v>
      </c>
      <c r="C960" s="39">
        <v>46076.416666666664</v>
      </c>
      <c r="D960" s="40"/>
      <c r="E960" s="41"/>
      <c r="F960" s="41"/>
      <c r="G960" s="42">
        <v>37.9</v>
      </c>
      <c r="H960" s="42">
        <v>37.9</v>
      </c>
      <c r="I960" s="43" t="s">
        <v>156</v>
      </c>
      <c r="J960" s="43" t="s">
        <v>139</v>
      </c>
      <c r="K960" s="43" t="s">
        <v>169</v>
      </c>
      <c r="L960" s="44" t="s">
        <v>170</v>
      </c>
      <c r="M960" s="44">
        <v>7142</v>
      </c>
      <c r="N960" s="44" t="s">
        <v>167</v>
      </c>
      <c r="O960" s="17"/>
      <c r="P960" s="17"/>
      <c r="Q960" s="17"/>
      <c r="R960" s="17"/>
      <c r="S960" s="17"/>
      <c r="T960" s="17"/>
      <c r="U960" s="17"/>
      <c r="V960" s="17"/>
      <c r="W960" s="17"/>
      <c r="X960" s="17"/>
      <c r="Y960" s="46"/>
      <c r="Z960" s="47"/>
      <c r="AA960" s="48"/>
      <c r="AB960" s="48"/>
      <c r="AC960" s="48"/>
      <c r="AD960" s="48"/>
      <c r="AE960" s="48"/>
      <c r="AF960" s="48"/>
      <c r="AG960" s="48"/>
      <c r="AH960" s="48"/>
      <c r="AI960" s="48"/>
    </row>
    <row r="961" spans="1:35" ht="12.5" hidden="1">
      <c r="A961" s="37" t="s">
        <v>801</v>
      </c>
      <c r="B961" s="38" t="str">
        <f>IFERROR(VLOOKUP(J961,catalogo!$B$1:$C$85,2,0),"-")</f>
        <v>#16</v>
      </c>
      <c r="C961" s="39">
        <v>46076.416666666664</v>
      </c>
      <c r="D961" s="40"/>
      <c r="E961" s="41"/>
      <c r="F961" s="41"/>
      <c r="G961" s="42">
        <v>320.52999999999997</v>
      </c>
      <c r="H961" s="42">
        <v>15</v>
      </c>
      <c r="I961" s="43" t="s">
        <v>1780</v>
      </c>
      <c r="J961" s="43" t="s">
        <v>85</v>
      </c>
      <c r="K961" s="43" t="s">
        <v>1781</v>
      </c>
      <c r="L961" s="44" t="s">
        <v>1782</v>
      </c>
      <c r="M961" s="44" t="s">
        <v>332</v>
      </c>
      <c r="N961" s="44" t="s">
        <v>144</v>
      </c>
      <c r="O961" s="17"/>
      <c r="P961" s="17"/>
      <c r="Q961" s="17"/>
      <c r="R961" s="17"/>
      <c r="S961" s="17"/>
      <c r="T961" s="17"/>
      <c r="U961" s="17"/>
      <c r="V961" s="17"/>
      <c r="W961" s="17"/>
      <c r="X961" s="17"/>
      <c r="Y961" s="46"/>
      <c r="Z961" s="47"/>
      <c r="AA961" s="48"/>
      <c r="AB961" s="48"/>
      <c r="AC961" s="48"/>
      <c r="AD961" s="48"/>
      <c r="AE961" s="48"/>
      <c r="AF961" s="48"/>
      <c r="AG961" s="48"/>
      <c r="AH961" s="48"/>
      <c r="AI961" s="48"/>
    </row>
    <row r="962" spans="1:35" ht="12.5" hidden="1">
      <c r="A962" s="37" t="s">
        <v>1783</v>
      </c>
      <c r="B962" s="38" t="str">
        <f>IFERROR(VLOOKUP(J962,catalogo!$B$1:$C$85,2,0),"-")</f>
        <v>#3</v>
      </c>
      <c r="C962" s="39">
        <v>46076.416666666664</v>
      </c>
      <c r="D962" s="40"/>
      <c r="E962" s="41"/>
      <c r="F962" s="41"/>
      <c r="G962" s="42">
        <v>142.19</v>
      </c>
      <c r="H962" s="42">
        <v>142.19</v>
      </c>
      <c r="I962" s="43" t="s">
        <v>156</v>
      </c>
      <c r="J962" s="43" t="s">
        <v>84</v>
      </c>
      <c r="K962" s="43" t="s">
        <v>705</v>
      </c>
      <c r="L962" s="44" t="s">
        <v>706</v>
      </c>
      <c r="M962" s="44">
        <v>8657</v>
      </c>
      <c r="N962" s="44" t="s">
        <v>167</v>
      </c>
      <c r="O962" s="17"/>
      <c r="P962" s="17"/>
      <c r="Q962" s="17"/>
      <c r="R962" s="17"/>
      <c r="S962" s="17"/>
      <c r="T962" s="17"/>
      <c r="U962" s="17"/>
      <c r="V962" s="17"/>
      <c r="W962" s="17"/>
      <c r="X962" s="17"/>
      <c r="Y962" s="46"/>
      <c r="Z962" s="47"/>
      <c r="AA962" s="48"/>
      <c r="AB962" s="48"/>
      <c r="AC962" s="48"/>
      <c r="AD962" s="48"/>
      <c r="AE962" s="48"/>
      <c r="AF962" s="48"/>
      <c r="AG962" s="48"/>
      <c r="AH962" s="48"/>
      <c r="AI962" s="48"/>
    </row>
    <row r="963" spans="1:35" ht="12.5" hidden="1">
      <c r="A963" s="37" t="s">
        <v>1448</v>
      </c>
      <c r="B963" s="38" t="str">
        <f>IFERROR(VLOOKUP(J963,catalogo!$B$1:$C$85,2,0),"-")</f>
        <v>#64</v>
      </c>
      <c r="C963" s="39">
        <v>46076.416666666664</v>
      </c>
      <c r="D963" s="40"/>
      <c r="E963" s="41"/>
      <c r="F963" s="41"/>
      <c r="G963" s="42">
        <v>174</v>
      </c>
      <c r="H963" s="42">
        <v>174</v>
      </c>
      <c r="I963" s="43" t="s">
        <v>156</v>
      </c>
      <c r="J963" s="43" t="s">
        <v>139</v>
      </c>
      <c r="K963" s="43" t="s">
        <v>1784</v>
      </c>
      <c r="L963" s="44" t="s">
        <v>655</v>
      </c>
      <c r="M963" s="44">
        <v>7142</v>
      </c>
      <c r="N963" s="44" t="s">
        <v>167</v>
      </c>
      <c r="O963" s="41"/>
      <c r="P963" s="41"/>
      <c r="Q963" s="41"/>
      <c r="R963" s="41"/>
      <c r="S963" s="41"/>
      <c r="T963" s="41"/>
      <c r="U963" s="41"/>
      <c r="V963" s="41"/>
      <c r="W963" s="41"/>
      <c r="X963" s="41"/>
      <c r="Y963" s="46"/>
      <c r="Z963" s="47"/>
      <c r="AA963" s="48"/>
      <c r="AB963" s="48"/>
      <c r="AC963" s="48"/>
      <c r="AD963" s="48"/>
      <c r="AE963" s="48"/>
      <c r="AF963" s="48"/>
      <c r="AG963" s="48"/>
      <c r="AH963" s="48"/>
      <c r="AI963" s="48"/>
    </row>
    <row r="964" spans="1:35" ht="12.5" hidden="1">
      <c r="A964" s="37" t="s">
        <v>924</v>
      </c>
      <c r="B964" s="38" t="str">
        <f>IFERROR(VLOOKUP(J964,catalogo!$B$1:$C$85,2,0),"-")</f>
        <v>#26</v>
      </c>
      <c r="C964" s="39">
        <v>46076.416666666664</v>
      </c>
      <c r="D964" s="40"/>
      <c r="E964" s="41"/>
      <c r="F964" s="41"/>
      <c r="G964" s="42">
        <v>600</v>
      </c>
      <c r="H964" s="42">
        <v>600</v>
      </c>
      <c r="I964" s="43" t="s">
        <v>156</v>
      </c>
      <c r="J964" s="43" t="s">
        <v>67</v>
      </c>
      <c r="K964" s="43" t="s">
        <v>1785</v>
      </c>
      <c r="L964" s="44" t="s">
        <v>1786</v>
      </c>
      <c r="M964" s="44">
        <v>8061</v>
      </c>
      <c r="N964" s="44" t="s">
        <v>167</v>
      </c>
      <c r="O964" s="17"/>
      <c r="P964" s="17"/>
      <c r="Q964" s="17"/>
      <c r="R964" s="17"/>
      <c r="S964" s="17"/>
      <c r="T964" s="17"/>
      <c r="U964" s="17"/>
      <c r="V964" s="17"/>
      <c r="W964" s="17"/>
      <c r="X964" s="17"/>
      <c r="Y964" s="46"/>
      <c r="Z964" s="47"/>
      <c r="AA964" s="48"/>
      <c r="AB964" s="48"/>
      <c r="AC964" s="48"/>
      <c r="AD964" s="48"/>
      <c r="AE964" s="48"/>
      <c r="AF964" s="48"/>
      <c r="AG964" s="48"/>
      <c r="AH964" s="48"/>
      <c r="AI964" s="48"/>
    </row>
    <row r="965" spans="1:35" ht="12.5" hidden="1">
      <c r="A965" s="37" t="s">
        <v>1787</v>
      </c>
      <c r="B965" s="38" t="str">
        <f>IFERROR(VLOOKUP(J965,catalogo!$B$1:$C$85,2,0),"-")</f>
        <v>#49</v>
      </c>
      <c r="C965" s="39">
        <v>46076.416666666664</v>
      </c>
      <c r="D965" s="40"/>
      <c r="E965" s="41"/>
      <c r="F965" s="41"/>
      <c r="G965" s="42">
        <v>1033.01</v>
      </c>
      <c r="H965" s="42">
        <v>1033.01</v>
      </c>
      <c r="I965" s="43" t="s">
        <v>156</v>
      </c>
      <c r="J965" s="43" t="s">
        <v>124</v>
      </c>
      <c r="K965" s="43" t="s">
        <v>771</v>
      </c>
      <c r="L965" s="44" t="s">
        <v>407</v>
      </c>
      <c r="M965" s="44">
        <v>4488</v>
      </c>
      <c r="N965" s="44" t="s">
        <v>167</v>
      </c>
      <c r="O965" s="17"/>
      <c r="P965" s="17"/>
      <c r="Q965" s="17"/>
      <c r="R965" s="17"/>
      <c r="S965" s="17"/>
      <c r="T965" s="17"/>
      <c r="U965" s="17"/>
      <c r="V965" s="17"/>
      <c r="W965" s="17"/>
      <c r="X965" s="17"/>
      <c r="Y965" s="46"/>
      <c r="Z965" s="47"/>
      <c r="AA965" s="48"/>
      <c r="AB965" s="48"/>
      <c r="AC965" s="48"/>
      <c r="AD965" s="48"/>
      <c r="AE965" s="48"/>
      <c r="AF965" s="48"/>
      <c r="AG965" s="48"/>
      <c r="AH965" s="48"/>
      <c r="AI965" s="48"/>
    </row>
    <row r="966" spans="1:35" ht="12.5" hidden="1">
      <c r="A966" s="37" t="s">
        <v>1450</v>
      </c>
      <c r="B966" s="38" t="str">
        <f>IFERROR(VLOOKUP(J966,catalogo!$B$1:$C$85,2,0),"-")</f>
        <v>#52</v>
      </c>
      <c r="C966" s="39">
        <v>46076.416666666664</v>
      </c>
      <c r="D966" s="40"/>
      <c r="E966" s="41"/>
      <c r="F966" s="41"/>
      <c r="G966" s="42">
        <v>2268.4</v>
      </c>
      <c r="H966" s="42">
        <v>126.06</v>
      </c>
      <c r="I966" s="43" t="s">
        <v>172</v>
      </c>
      <c r="J966" s="43" t="s">
        <v>253</v>
      </c>
      <c r="K966" s="43" t="s">
        <v>1788</v>
      </c>
      <c r="L966" s="44" t="s">
        <v>1789</v>
      </c>
      <c r="M966" s="44">
        <v>6137</v>
      </c>
      <c r="N966" s="44" t="s">
        <v>167</v>
      </c>
      <c r="O966" s="17"/>
      <c r="P966" s="17"/>
      <c r="Q966" s="17"/>
      <c r="R966" s="17"/>
      <c r="S966" s="17"/>
      <c r="T966" s="17"/>
      <c r="U966" s="17"/>
      <c r="V966" s="17"/>
      <c r="W966" s="17"/>
      <c r="X966" s="17"/>
      <c r="Y966" s="46"/>
      <c r="Z966" s="47"/>
      <c r="AA966" s="48"/>
      <c r="AB966" s="48"/>
      <c r="AC966" s="48"/>
      <c r="AD966" s="48"/>
      <c r="AE966" s="48"/>
      <c r="AF966" s="48"/>
      <c r="AG966" s="48"/>
      <c r="AH966" s="48"/>
      <c r="AI966" s="48"/>
    </row>
    <row r="967" spans="1:35" ht="12.5" hidden="1">
      <c r="A967" s="37" t="s">
        <v>1790</v>
      </c>
      <c r="B967" s="38" t="str">
        <f>IFERROR(VLOOKUP(J967,catalogo!$B$1:$C$85,2,0),"-")</f>
        <v>#68</v>
      </c>
      <c r="C967" s="39">
        <v>46076.416666666664</v>
      </c>
      <c r="D967" s="40"/>
      <c r="E967" s="41"/>
      <c r="F967" s="41"/>
      <c r="G967" s="42">
        <v>361.88</v>
      </c>
      <c r="H967" s="42">
        <v>20</v>
      </c>
      <c r="I967" s="43" t="s">
        <v>172</v>
      </c>
      <c r="J967" s="43" t="s">
        <v>384</v>
      </c>
      <c r="K967" s="43" t="s">
        <v>1791</v>
      </c>
      <c r="L967" s="44" t="s">
        <v>1792</v>
      </c>
      <c r="M967" s="44">
        <v>2937</v>
      </c>
      <c r="N967" s="44" t="s">
        <v>167</v>
      </c>
      <c r="O967" s="17"/>
      <c r="P967" s="17"/>
      <c r="Q967" s="17"/>
      <c r="R967" s="17"/>
      <c r="S967" s="17"/>
      <c r="T967" s="17"/>
      <c r="U967" s="17"/>
      <c r="V967" s="17"/>
      <c r="W967" s="17"/>
      <c r="X967" s="17"/>
      <c r="Y967" s="46"/>
      <c r="Z967" s="47"/>
      <c r="AA967" s="48"/>
      <c r="AB967" s="48"/>
      <c r="AC967" s="48"/>
      <c r="AD967" s="48"/>
      <c r="AE967" s="48"/>
      <c r="AF967" s="48"/>
      <c r="AG967" s="48"/>
      <c r="AH967" s="48"/>
      <c r="AI967" s="48"/>
    </row>
    <row r="968" spans="1:35" ht="12.5" hidden="1">
      <c r="A968" s="37" t="s">
        <v>1793</v>
      </c>
      <c r="B968" s="38" t="str">
        <f>IFERROR(VLOOKUP(J968,catalogo!$B$1:$C$85,2,0),"-")</f>
        <v>#68</v>
      </c>
      <c r="C968" s="39">
        <v>46076.416666666664</v>
      </c>
      <c r="D968" s="40"/>
      <c r="E968" s="41"/>
      <c r="F968" s="41"/>
      <c r="G968" s="42">
        <v>1284.29</v>
      </c>
      <c r="H968" s="42">
        <v>70.98</v>
      </c>
      <c r="I968" s="43" t="s">
        <v>172</v>
      </c>
      <c r="J968" s="43" t="s">
        <v>384</v>
      </c>
      <c r="K968" s="43" t="s">
        <v>1734</v>
      </c>
      <c r="L968" s="44" t="s">
        <v>1735</v>
      </c>
      <c r="M968" s="44">
        <v>2937</v>
      </c>
      <c r="N968" s="44" t="s">
        <v>167</v>
      </c>
      <c r="O968" s="17"/>
      <c r="P968" s="17"/>
      <c r="Q968" s="17"/>
      <c r="R968" s="17"/>
      <c r="S968" s="17"/>
      <c r="T968" s="17"/>
      <c r="U968" s="17"/>
      <c r="V968" s="17"/>
      <c r="W968" s="17"/>
      <c r="X968" s="17"/>
      <c r="Y968" s="46"/>
      <c r="Z968" s="47"/>
      <c r="AA968" s="48"/>
      <c r="AB968" s="48"/>
      <c r="AC968" s="48"/>
      <c r="AD968" s="48"/>
      <c r="AE968" s="48"/>
      <c r="AF968" s="48"/>
      <c r="AG968" s="48"/>
      <c r="AH968" s="48"/>
      <c r="AI968" s="48"/>
    </row>
    <row r="969" spans="1:35" ht="12.5" hidden="1">
      <c r="A969" s="37" t="s">
        <v>1794</v>
      </c>
      <c r="B969" s="38" t="str">
        <f>IFERROR(VLOOKUP(J969,catalogo!$B$1:$C$85,2,0),"-")</f>
        <v>#34</v>
      </c>
      <c r="C969" s="39">
        <v>46076.416666666664</v>
      </c>
      <c r="D969" s="40"/>
      <c r="E969" s="41"/>
      <c r="F969" s="41"/>
      <c r="G969" s="42">
        <v>777.13</v>
      </c>
      <c r="H969" s="42">
        <v>42.95</v>
      </c>
      <c r="I969" s="43" t="s">
        <v>172</v>
      </c>
      <c r="J969" s="43" t="s">
        <v>116</v>
      </c>
      <c r="K969" s="43" t="s">
        <v>452</v>
      </c>
      <c r="L969" s="44" t="s">
        <v>233</v>
      </c>
      <c r="M969" s="44">
        <v>333</v>
      </c>
      <c r="N969" s="44" t="s">
        <v>167</v>
      </c>
      <c r="O969" s="17"/>
      <c r="P969" s="17"/>
      <c r="Q969" s="17"/>
      <c r="R969" s="17"/>
      <c r="S969" s="17"/>
      <c r="T969" s="17"/>
      <c r="U969" s="17"/>
      <c r="V969" s="17"/>
      <c r="W969" s="17"/>
      <c r="X969" s="17"/>
      <c r="Y969" s="46"/>
      <c r="Z969" s="47"/>
      <c r="AA969" s="48"/>
      <c r="AB969" s="48"/>
      <c r="AC969" s="48"/>
      <c r="AD969" s="48"/>
      <c r="AE969" s="48"/>
      <c r="AF969" s="48"/>
      <c r="AG969" s="48"/>
      <c r="AH969" s="48"/>
      <c r="AI969" s="48"/>
    </row>
    <row r="970" spans="1:35" ht="15.5" hidden="1">
      <c r="A970" s="37" t="s">
        <v>1795</v>
      </c>
      <c r="B970" s="38" t="str">
        <f>IFERROR(VLOOKUP(J970,catalogo!$B$1:$C$85,2,0),"-")</f>
        <v>#64</v>
      </c>
      <c r="C970" s="39">
        <v>46076.416666666664</v>
      </c>
      <c r="D970" s="40"/>
      <c r="E970" s="41"/>
      <c r="F970" s="41"/>
      <c r="G970" s="42">
        <v>7068.03</v>
      </c>
      <c r="H970" s="42">
        <v>7068.03</v>
      </c>
      <c r="I970" s="43" t="s">
        <v>156</v>
      </c>
      <c r="J970" s="43" t="s">
        <v>139</v>
      </c>
      <c r="K970" s="43" t="s">
        <v>204</v>
      </c>
      <c r="L970" s="44" t="s">
        <v>205</v>
      </c>
      <c r="M970" s="44">
        <v>7142</v>
      </c>
      <c r="N970" s="44" t="s">
        <v>167</v>
      </c>
      <c r="O970" s="49"/>
      <c r="P970" s="17"/>
      <c r="Q970" s="17"/>
      <c r="R970" s="17"/>
      <c r="S970" s="17"/>
      <c r="T970" s="17"/>
      <c r="U970" s="17"/>
      <c r="V970" s="17"/>
      <c r="W970" s="17"/>
      <c r="X970" s="17"/>
      <c r="Y970" s="46"/>
      <c r="Z970" s="47"/>
      <c r="AA970" s="48"/>
      <c r="AB970" s="48"/>
      <c r="AC970" s="48"/>
      <c r="AD970" s="48"/>
      <c r="AE970" s="48"/>
      <c r="AF970" s="48"/>
      <c r="AG970" s="48"/>
      <c r="AH970" s="48"/>
      <c r="AI970" s="48"/>
    </row>
    <row r="971" spans="1:35" ht="12.5" hidden="1">
      <c r="A971" s="37" t="s">
        <v>872</v>
      </c>
      <c r="B971" s="38" t="str">
        <f>IFERROR(VLOOKUP(J971,catalogo!$B$1:$C$85,2,0),"-")</f>
        <v>-</v>
      </c>
      <c r="C971" s="39">
        <v>46077.416666666664</v>
      </c>
      <c r="D971" s="40"/>
      <c r="E971" s="41"/>
      <c r="F971" s="41"/>
      <c r="G971" s="42">
        <v>439.97</v>
      </c>
      <c r="H971" s="42">
        <v>439.97</v>
      </c>
      <c r="I971" s="43" t="s">
        <v>156</v>
      </c>
      <c r="J971" s="43" t="s">
        <v>269</v>
      </c>
      <c r="K971" s="43" t="s">
        <v>232</v>
      </c>
      <c r="L971" s="44" t="s">
        <v>233</v>
      </c>
      <c r="M971" s="44" t="s">
        <v>270</v>
      </c>
      <c r="N971" s="44" t="s">
        <v>144</v>
      </c>
      <c r="O971" s="17"/>
      <c r="P971" s="17"/>
      <c r="Q971" s="17"/>
      <c r="R971" s="17"/>
      <c r="S971" s="17"/>
      <c r="T971" s="17"/>
      <c r="U971" s="17"/>
      <c r="V971" s="17"/>
      <c r="W971" s="17"/>
      <c r="X971" s="17"/>
      <c r="Y971" s="46"/>
      <c r="Z971" s="47"/>
      <c r="AA971" s="48"/>
      <c r="AB971" s="48"/>
      <c r="AC971" s="48"/>
      <c r="AD971" s="48"/>
      <c r="AE971" s="48"/>
      <c r="AF971" s="48"/>
      <c r="AG971" s="48"/>
      <c r="AH971" s="48"/>
      <c r="AI971" s="48"/>
    </row>
    <row r="972" spans="1:35" ht="12.5" hidden="1">
      <c r="A972" s="37" t="s">
        <v>648</v>
      </c>
      <c r="B972" s="38" t="str">
        <f>IFERROR(VLOOKUP(J972,catalogo!$B$1:$C$85,2,0),"-")</f>
        <v>-</v>
      </c>
      <c r="C972" s="39">
        <v>46077.416666666664</v>
      </c>
      <c r="D972" s="40"/>
      <c r="E972" s="41"/>
      <c r="F972" s="41"/>
      <c r="G972" s="42">
        <v>674.81</v>
      </c>
      <c r="H972" s="42">
        <v>674.81</v>
      </c>
      <c r="I972" s="43" t="s">
        <v>156</v>
      </c>
      <c r="J972" s="43" t="s">
        <v>272</v>
      </c>
      <c r="K972" s="43" t="s">
        <v>1796</v>
      </c>
      <c r="L972" s="44" t="s">
        <v>1797</v>
      </c>
      <c r="M972" s="44">
        <v>2409</v>
      </c>
      <c r="N972" s="44" t="s">
        <v>167</v>
      </c>
      <c r="O972" s="17"/>
      <c r="P972" s="17"/>
      <c r="Q972" s="17"/>
      <c r="R972" s="17"/>
      <c r="S972" s="17"/>
      <c r="T972" s="17"/>
      <c r="U972" s="17"/>
      <c r="V972" s="17"/>
      <c r="W972" s="17"/>
      <c r="X972" s="17"/>
      <c r="Y972" s="46"/>
      <c r="Z972" s="47"/>
      <c r="AA972" s="48"/>
      <c r="AB972" s="48"/>
      <c r="AC972" s="48"/>
      <c r="AD972" s="48"/>
      <c r="AE972" s="48"/>
      <c r="AF972" s="48"/>
      <c r="AG972" s="48"/>
      <c r="AH972" s="48"/>
      <c r="AI972" s="48"/>
    </row>
    <row r="973" spans="1:35" ht="12.5" hidden="1">
      <c r="A973" s="37" t="s">
        <v>899</v>
      </c>
      <c r="B973" s="38" t="str">
        <f>IFERROR(VLOOKUP(J973,catalogo!$B$1:$C$85,2,0),"-")</f>
        <v>#26</v>
      </c>
      <c r="C973" s="39">
        <v>46077.416666666664</v>
      </c>
      <c r="D973" s="40"/>
      <c r="E973" s="41"/>
      <c r="F973" s="41"/>
      <c r="G973" s="42">
        <v>210</v>
      </c>
      <c r="H973" s="42">
        <v>210</v>
      </c>
      <c r="I973" s="43" t="s">
        <v>156</v>
      </c>
      <c r="J973" s="43" t="s">
        <v>67</v>
      </c>
      <c r="K973" s="43" t="s">
        <v>319</v>
      </c>
      <c r="L973" s="44" t="s">
        <v>317</v>
      </c>
      <c r="M973" s="44" t="s">
        <v>159</v>
      </c>
      <c r="N973" s="44" t="s">
        <v>144</v>
      </c>
      <c r="O973" s="17"/>
      <c r="P973" s="17"/>
      <c r="Q973" s="17"/>
      <c r="R973" s="17"/>
      <c r="S973" s="17"/>
      <c r="T973" s="17"/>
      <c r="U973" s="17"/>
      <c r="V973" s="17"/>
      <c r="W973" s="17"/>
      <c r="X973" s="17"/>
      <c r="Y973" s="46"/>
      <c r="Z973" s="47"/>
      <c r="AA973" s="48"/>
      <c r="AB973" s="48"/>
      <c r="AC973" s="48"/>
      <c r="AD973" s="48"/>
      <c r="AE973" s="48"/>
      <c r="AF973" s="48"/>
      <c r="AG973" s="48"/>
      <c r="AH973" s="48"/>
      <c r="AI973" s="48"/>
    </row>
    <row r="974" spans="1:35" ht="12.5" hidden="1">
      <c r="A974" s="37" t="s">
        <v>582</v>
      </c>
      <c r="B974" s="38" t="str">
        <f>IFERROR(VLOOKUP(J974,catalogo!$B$1:$C$85,2,0),"-")</f>
        <v>#26</v>
      </c>
      <c r="C974" s="39">
        <v>46077.416666666664</v>
      </c>
      <c r="D974" s="40"/>
      <c r="E974" s="41"/>
      <c r="F974" s="41"/>
      <c r="G974" s="42">
        <v>410</v>
      </c>
      <c r="H974" s="42">
        <v>410</v>
      </c>
      <c r="I974" s="43" t="s">
        <v>156</v>
      </c>
      <c r="J974" s="43" t="s">
        <v>67</v>
      </c>
      <c r="K974" s="43" t="s">
        <v>319</v>
      </c>
      <c r="L974" s="44" t="s">
        <v>317</v>
      </c>
      <c r="M974" s="44" t="s">
        <v>159</v>
      </c>
      <c r="N974" s="44" t="s">
        <v>144</v>
      </c>
      <c r="O974" s="17"/>
      <c r="P974" s="17"/>
      <c r="Q974" s="17"/>
      <c r="R974" s="17"/>
      <c r="S974" s="17"/>
      <c r="T974" s="17"/>
      <c r="U974" s="17"/>
      <c r="V974" s="17"/>
      <c r="W974" s="17"/>
      <c r="X974" s="17"/>
      <c r="Y974" s="46"/>
      <c r="Z974" s="47"/>
      <c r="AA974" s="48"/>
      <c r="AB974" s="48"/>
      <c r="AC974" s="48"/>
      <c r="AD974" s="48"/>
      <c r="AE974" s="48"/>
      <c r="AF974" s="48"/>
      <c r="AG974" s="48"/>
      <c r="AH974" s="48"/>
      <c r="AI974" s="48"/>
    </row>
    <row r="975" spans="1:35" ht="12.5" hidden="1">
      <c r="A975" s="37" t="s">
        <v>1410</v>
      </c>
      <c r="B975" s="38" t="str">
        <f>IFERROR(VLOOKUP(J975,catalogo!$B$1:$C$85,2,0),"-")</f>
        <v>#55</v>
      </c>
      <c r="C975" s="39">
        <v>46077.416666666664</v>
      </c>
      <c r="D975" s="40"/>
      <c r="E975" s="41"/>
      <c r="F975" s="41"/>
      <c r="G975" s="42">
        <v>3111.25</v>
      </c>
      <c r="H975" s="42">
        <v>3111.25</v>
      </c>
      <c r="I975" s="43" t="s">
        <v>156</v>
      </c>
      <c r="J975" s="43" t="s">
        <v>89</v>
      </c>
      <c r="K975" s="43" t="s">
        <v>157</v>
      </c>
      <c r="L975" s="44" t="s">
        <v>158</v>
      </c>
      <c r="M975" s="44" t="s">
        <v>488</v>
      </c>
      <c r="N975" s="44" t="s">
        <v>144</v>
      </c>
      <c r="O975" s="17"/>
      <c r="P975" s="17"/>
      <c r="Q975" s="17"/>
      <c r="R975" s="17"/>
      <c r="S975" s="17"/>
      <c r="T975" s="17"/>
      <c r="U975" s="17"/>
      <c r="V975" s="17"/>
      <c r="W975" s="17"/>
      <c r="X975" s="17"/>
      <c r="Y975" s="46"/>
      <c r="Z975" s="47"/>
      <c r="AA975" s="48"/>
      <c r="AB975" s="48"/>
      <c r="AC975" s="48"/>
      <c r="AD975" s="48"/>
      <c r="AE975" s="48"/>
      <c r="AF975" s="48"/>
      <c r="AG975" s="48"/>
      <c r="AH975" s="48"/>
      <c r="AI975" s="48"/>
    </row>
    <row r="976" spans="1:35" ht="12.5" hidden="1">
      <c r="A976" s="37" t="s">
        <v>1068</v>
      </c>
      <c r="B976" s="38" t="str">
        <f>IFERROR(VLOOKUP(J976,catalogo!$B$1:$C$85,2,0),"-")</f>
        <v>#26</v>
      </c>
      <c r="C976" s="39">
        <v>46077.416666666664</v>
      </c>
      <c r="D976" s="40"/>
      <c r="E976" s="41"/>
      <c r="F976" s="41"/>
      <c r="G976" s="42">
        <v>500</v>
      </c>
      <c r="H976" s="42">
        <v>500</v>
      </c>
      <c r="I976" s="43" t="s">
        <v>156</v>
      </c>
      <c r="J976" s="43" t="s">
        <v>67</v>
      </c>
      <c r="K976" s="43" t="s">
        <v>1798</v>
      </c>
      <c r="L976" s="44" t="s">
        <v>1799</v>
      </c>
      <c r="M976" s="44">
        <v>8061</v>
      </c>
      <c r="N976" s="44" t="s">
        <v>167</v>
      </c>
      <c r="O976" s="17"/>
      <c r="P976" s="17"/>
      <c r="Q976" s="17"/>
      <c r="R976" s="17"/>
      <c r="S976" s="17"/>
      <c r="T976" s="17"/>
      <c r="U976" s="17"/>
      <c r="V976" s="17"/>
      <c r="W976" s="17"/>
      <c r="X976" s="17"/>
      <c r="Y976" s="46"/>
      <c r="Z976" s="47"/>
      <c r="AA976" s="48"/>
      <c r="AB976" s="48"/>
      <c r="AC976" s="48"/>
      <c r="AD976" s="48"/>
      <c r="AE976" s="48"/>
      <c r="AF976" s="48"/>
      <c r="AG976" s="48"/>
      <c r="AH976" s="48"/>
      <c r="AI976" s="48"/>
    </row>
    <row r="977" spans="1:35" ht="12.5" hidden="1">
      <c r="A977" s="37" t="s">
        <v>814</v>
      </c>
      <c r="B977" s="38" t="str">
        <f>IFERROR(VLOOKUP(J977,catalogo!$B$1:$C$85,2,0),"-")</f>
        <v>#7</v>
      </c>
      <c r="C977" s="39">
        <v>46077.416666666664</v>
      </c>
      <c r="D977" s="40"/>
      <c r="E977" s="41"/>
      <c r="F977" s="41"/>
      <c r="G977" s="42">
        <v>69.98</v>
      </c>
      <c r="H977" s="42">
        <v>69.98</v>
      </c>
      <c r="I977" s="43" t="s">
        <v>156</v>
      </c>
      <c r="J977" s="43" t="s">
        <v>121</v>
      </c>
      <c r="K977" s="43" t="s">
        <v>485</v>
      </c>
      <c r="L977" s="44" t="s">
        <v>233</v>
      </c>
      <c r="M977" s="44" t="s">
        <v>182</v>
      </c>
      <c r="N977" s="44" t="s">
        <v>144</v>
      </c>
      <c r="O977" s="17"/>
      <c r="P977" s="17"/>
      <c r="Q977" s="17"/>
      <c r="R977" s="17"/>
      <c r="S977" s="17"/>
      <c r="T977" s="17"/>
      <c r="U977" s="17"/>
      <c r="V977" s="17"/>
      <c r="W977" s="17"/>
      <c r="X977" s="17"/>
      <c r="Y977" s="46"/>
      <c r="Z977" s="47"/>
      <c r="AA977" s="48"/>
      <c r="AB977" s="48"/>
      <c r="AC977" s="48"/>
      <c r="AD977" s="48"/>
      <c r="AE977" s="48"/>
      <c r="AF977" s="48"/>
      <c r="AG977" s="48"/>
      <c r="AH977" s="48"/>
      <c r="AI977" s="48"/>
    </row>
    <row r="978" spans="1:35" ht="15.5" hidden="1">
      <c r="A978" s="37" t="s">
        <v>1573</v>
      </c>
      <c r="B978" s="38" t="str">
        <f>IFERROR(VLOOKUP(J978,catalogo!$B$1:$C$85,2,0),"-")</f>
        <v>#53</v>
      </c>
      <c r="C978" s="39">
        <v>46077.416666666664</v>
      </c>
      <c r="D978" s="40"/>
      <c r="E978" s="41"/>
      <c r="F978" s="41"/>
      <c r="G978" s="42">
        <v>4269</v>
      </c>
      <c r="H978" s="42">
        <v>4269</v>
      </c>
      <c r="I978" s="43" t="s">
        <v>156</v>
      </c>
      <c r="J978" s="43" t="s">
        <v>69</v>
      </c>
      <c r="K978" s="43" t="s">
        <v>880</v>
      </c>
      <c r="L978" s="44" t="s">
        <v>881</v>
      </c>
      <c r="M978" s="44" t="s">
        <v>1800</v>
      </c>
      <c r="N978" s="44" t="s">
        <v>144</v>
      </c>
      <c r="O978" s="49"/>
      <c r="P978" s="17"/>
      <c r="Q978" s="17"/>
      <c r="R978" s="17"/>
      <c r="S978" s="17"/>
      <c r="T978" s="17"/>
      <c r="U978" s="17"/>
      <c r="V978" s="17"/>
      <c r="W978" s="17"/>
      <c r="X978" s="17"/>
      <c r="Y978" s="46"/>
      <c r="Z978" s="47"/>
      <c r="AA978" s="48"/>
      <c r="AB978" s="48"/>
      <c r="AC978" s="48"/>
      <c r="AD978" s="48"/>
      <c r="AE978" s="48"/>
      <c r="AF978" s="48"/>
      <c r="AG978" s="48"/>
      <c r="AH978" s="48"/>
      <c r="AI978" s="48"/>
    </row>
    <row r="979" spans="1:35" ht="12.5" hidden="1">
      <c r="A979" s="37" t="s">
        <v>1801</v>
      </c>
      <c r="B979" s="38" t="str">
        <f>IFERROR(VLOOKUP(J979,catalogo!$B$1:$C$85,2,0),"-")</f>
        <v>-</v>
      </c>
      <c r="C979" s="39">
        <v>46077.416666666664</v>
      </c>
      <c r="D979" s="40"/>
      <c r="E979" s="41"/>
      <c r="F979" s="41"/>
      <c r="G979" s="42">
        <v>100</v>
      </c>
      <c r="H979" s="42">
        <v>100</v>
      </c>
      <c r="I979" s="43" t="s">
        <v>156</v>
      </c>
      <c r="J979" s="43" t="s">
        <v>659</v>
      </c>
      <c r="K979" s="43" t="s">
        <v>660</v>
      </c>
      <c r="L979" s="44" t="s">
        <v>661</v>
      </c>
      <c r="M979" s="44" t="s">
        <v>662</v>
      </c>
      <c r="N979" s="44" t="s">
        <v>144</v>
      </c>
      <c r="O979" s="17"/>
      <c r="P979" s="17"/>
      <c r="Q979" s="17"/>
      <c r="R979" s="17"/>
      <c r="S979" s="17"/>
      <c r="T979" s="17"/>
      <c r="U979" s="17"/>
      <c r="V979" s="17"/>
      <c r="W979" s="17"/>
      <c r="X979" s="17"/>
      <c r="Y979" s="46"/>
      <c r="Z979" s="47"/>
      <c r="AA979" s="48"/>
      <c r="AB979" s="48"/>
      <c r="AC979" s="48"/>
      <c r="AD979" s="48"/>
      <c r="AE979" s="48"/>
      <c r="AF979" s="48"/>
      <c r="AG979" s="48"/>
      <c r="AH979" s="48"/>
      <c r="AI979" s="48"/>
    </row>
    <row r="980" spans="1:35" ht="12.5" hidden="1">
      <c r="A980" s="37" t="s">
        <v>812</v>
      </c>
      <c r="B980" s="38" t="str">
        <f>IFERROR(VLOOKUP(J980,catalogo!$B$1:$C$85,2,0),"-")</f>
        <v>#64</v>
      </c>
      <c r="C980" s="39">
        <v>46077.416666666664</v>
      </c>
      <c r="D980" s="40"/>
      <c r="E980" s="41"/>
      <c r="F980" s="41"/>
      <c r="G980" s="42">
        <v>1122.18</v>
      </c>
      <c r="H980" s="42">
        <v>1122.18</v>
      </c>
      <c r="I980" s="43" t="s">
        <v>156</v>
      </c>
      <c r="J980" s="43" t="s">
        <v>139</v>
      </c>
      <c r="K980" s="43" t="s">
        <v>1802</v>
      </c>
      <c r="L980" s="44" t="s">
        <v>1803</v>
      </c>
      <c r="M980" s="44">
        <v>7142</v>
      </c>
      <c r="N980" s="44" t="s">
        <v>167</v>
      </c>
      <c r="O980" s="17"/>
      <c r="P980" s="17"/>
      <c r="Q980" s="17"/>
      <c r="R980" s="17"/>
      <c r="S980" s="17"/>
      <c r="T980" s="17"/>
      <c r="U980" s="17"/>
      <c r="V980" s="17"/>
      <c r="W980" s="17"/>
      <c r="X980" s="17"/>
      <c r="Y980" s="46"/>
      <c r="Z980" s="47"/>
      <c r="AA980" s="48"/>
      <c r="AB980" s="48"/>
      <c r="AC980" s="48"/>
      <c r="AD980" s="48"/>
      <c r="AE980" s="48"/>
      <c r="AF980" s="48"/>
      <c r="AG980" s="48"/>
      <c r="AH980" s="48"/>
      <c r="AI980" s="48"/>
    </row>
    <row r="981" spans="1:35" ht="12.5" hidden="1">
      <c r="A981" s="37" t="s">
        <v>1671</v>
      </c>
      <c r="B981" s="38" t="str">
        <f>IFERROR(VLOOKUP(J981,catalogo!$B$1:$C$85,2,0),"-")</f>
        <v>#64</v>
      </c>
      <c r="C981" s="39">
        <v>46077.416666666664</v>
      </c>
      <c r="D981" s="40"/>
      <c r="E981" s="41"/>
      <c r="F981" s="41"/>
      <c r="G981" s="42">
        <v>138.05000000000001</v>
      </c>
      <c r="H981" s="42">
        <v>138.05000000000001</v>
      </c>
      <c r="I981" s="43" t="s">
        <v>156</v>
      </c>
      <c r="J981" s="43" t="s">
        <v>139</v>
      </c>
      <c r="K981" s="43" t="s">
        <v>1802</v>
      </c>
      <c r="L981" s="44" t="s">
        <v>1803</v>
      </c>
      <c r="M981" s="44">
        <v>7142</v>
      </c>
      <c r="N981" s="44" t="s">
        <v>167</v>
      </c>
      <c r="O981" s="17"/>
      <c r="P981" s="17"/>
      <c r="Q981" s="17"/>
      <c r="R981" s="17"/>
      <c r="S981" s="17"/>
      <c r="T981" s="17"/>
      <c r="U981" s="17"/>
      <c r="V981" s="17"/>
      <c r="W981" s="17"/>
      <c r="X981" s="17"/>
      <c r="Y981" s="46"/>
      <c r="Z981" s="47"/>
      <c r="AA981" s="48"/>
      <c r="AB981" s="48"/>
      <c r="AC981" s="48"/>
      <c r="AD981" s="48"/>
      <c r="AE981" s="48"/>
      <c r="AF981" s="48"/>
      <c r="AG981" s="48"/>
      <c r="AH981" s="48"/>
      <c r="AI981" s="48"/>
    </row>
    <row r="982" spans="1:35" ht="15.5" hidden="1">
      <c r="A982" s="37" t="s">
        <v>1804</v>
      </c>
      <c r="B982" s="38" t="str">
        <f>IFERROR(VLOOKUP(J982,catalogo!$B$1:$C$85,2,0),"-")</f>
        <v>#68</v>
      </c>
      <c r="C982" s="39">
        <v>46077.416666666664</v>
      </c>
      <c r="D982" s="40"/>
      <c r="E982" s="41"/>
      <c r="F982" s="41"/>
      <c r="G982" s="42">
        <v>8586.2000000000007</v>
      </c>
      <c r="H982" s="42">
        <v>8586.2000000000007</v>
      </c>
      <c r="I982" s="43" t="s">
        <v>156</v>
      </c>
      <c r="J982" s="43" t="s">
        <v>384</v>
      </c>
      <c r="K982" s="43" t="s">
        <v>347</v>
      </c>
      <c r="L982" s="44" t="s">
        <v>348</v>
      </c>
      <c r="M982" s="44">
        <v>2937</v>
      </c>
      <c r="N982" s="44" t="s">
        <v>167</v>
      </c>
      <c r="O982" s="49"/>
      <c r="P982" s="17"/>
      <c r="Q982" s="17"/>
      <c r="R982" s="17"/>
      <c r="S982" s="17"/>
      <c r="T982" s="17"/>
      <c r="U982" s="17"/>
      <c r="V982" s="17"/>
      <c r="W982" s="17"/>
      <c r="X982" s="17"/>
      <c r="Y982" s="46"/>
      <c r="Z982" s="47"/>
      <c r="AA982" s="48"/>
      <c r="AB982" s="48"/>
      <c r="AC982" s="48"/>
      <c r="AD982" s="48"/>
      <c r="AE982" s="48"/>
      <c r="AF982" s="48"/>
      <c r="AG982" s="48"/>
      <c r="AH982" s="48"/>
      <c r="AI982" s="48"/>
    </row>
    <row r="983" spans="1:35" ht="12.5" hidden="1">
      <c r="A983" s="37" t="s">
        <v>1117</v>
      </c>
      <c r="B983" s="38" t="str">
        <f>IFERROR(VLOOKUP(J983,catalogo!$B$1:$C$85,2,0),"-")</f>
        <v>#2</v>
      </c>
      <c r="C983" s="39">
        <v>46077.416666666664</v>
      </c>
      <c r="D983" s="40"/>
      <c r="E983" s="41"/>
      <c r="F983" s="41"/>
      <c r="G983" s="42">
        <v>3853.97</v>
      </c>
      <c r="H983" s="42">
        <v>213</v>
      </c>
      <c r="I983" s="43" t="s">
        <v>172</v>
      </c>
      <c r="J983" s="43" t="s">
        <v>75</v>
      </c>
      <c r="K983" s="43" t="s">
        <v>1805</v>
      </c>
      <c r="L983" s="44" t="s">
        <v>1806</v>
      </c>
      <c r="M983" s="44" t="s">
        <v>199</v>
      </c>
      <c r="N983" s="44" t="s">
        <v>144</v>
      </c>
      <c r="O983" s="17"/>
      <c r="P983" s="17"/>
      <c r="Q983" s="17"/>
      <c r="R983" s="17"/>
      <c r="S983" s="17"/>
      <c r="T983" s="17"/>
      <c r="U983" s="17"/>
      <c r="V983" s="17"/>
      <c r="W983" s="17"/>
      <c r="X983" s="17"/>
      <c r="Y983" s="46"/>
      <c r="Z983" s="47"/>
      <c r="AA983" s="48"/>
      <c r="AB983" s="48"/>
      <c r="AC983" s="48"/>
      <c r="AD983" s="48"/>
      <c r="AE983" s="48"/>
      <c r="AF983" s="48"/>
      <c r="AG983" s="48"/>
      <c r="AH983" s="48"/>
      <c r="AI983" s="48"/>
    </row>
    <row r="984" spans="1:35" ht="15.5" hidden="1">
      <c r="A984" s="37" t="s">
        <v>1699</v>
      </c>
      <c r="B984" s="38" t="str">
        <f>IFERROR(VLOOKUP(J984,catalogo!$B$1:$C$85,2,0),"-")</f>
        <v>#64</v>
      </c>
      <c r="C984" s="39">
        <v>46077.416666666664</v>
      </c>
      <c r="D984" s="40"/>
      <c r="E984" s="41"/>
      <c r="F984" s="41"/>
      <c r="G984" s="42">
        <v>5600</v>
      </c>
      <c r="H984" s="42">
        <v>5600</v>
      </c>
      <c r="I984" s="43" t="s">
        <v>156</v>
      </c>
      <c r="J984" s="43" t="s">
        <v>139</v>
      </c>
      <c r="K984" s="43" t="s">
        <v>165</v>
      </c>
      <c r="L984" s="44" t="s">
        <v>166</v>
      </c>
      <c r="M984" s="44">
        <v>7142</v>
      </c>
      <c r="N984" s="44" t="s">
        <v>167</v>
      </c>
      <c r="O984" s="49"/>
      <c r="P984" s="17"/>
      <c r="Q984" s="17"/>
      <c r="R984" s="17"/>
      <c r="S984" s="17"/>
      <c r="T984" s="17"/>
      <c r="U984" s="17"/>
      <c r="V984" s="17"/>
      <c r="W984" s="17"/>
      <c r="X984" s="17"/>
      <c r="Y984" s="46"/>
      <c r="Z984" s="47"/>
      <c r="AA984" s="48"/>
      <c r="AB984" s="48"/>
      <c r="AC984" s="48"/>
      <c r="AD984" s="48"/>
      <c r="AE984" s="48"/>
      <c r="AF984" s="48"/>
      <c r="AG984" s="48"/>
      <c r="AH984" s="48"/>
      <c r="AI984" s="48"/>
    </row>
    <row r="985" spans="1:35" ht="12.5" hidden="1">
      <c r="A985" s="37" t="s">
        <v>690</v>
      </c>
      <c r="B985" s="38" t="str">
        <f>IFERROR(VLOOKUP(J985,catalogo!$B$1:$C$85,2,0),"-")</f>
        <v>#64</v>
      </c>
      <c r="C985" s="39">
        <v>46077.416666666664</v>
      </c>
      <c r="D985" s="40"/>
      <c r="E985" s="41"/>
      <c r="F985" s="41"/>
      <c r="G985" s="42">
        <v>380</v>
      </c>
      <c r="H985" s="42">
        <v>380</v>
      </c>
      <c r="I985" s="43" t="s">
        <v>156</v>
      </c>
      <c r="J985" s="43" t="s">
        <v>139</v>
      </c>
      <c r="K985" s="43" t="s">
        <v>789</v>
      </c>
      <c r="L985" s="44" t="s">
        <v>790</v>
      </c>
      <c r="M985" s="44">
        <v>7142</v>
      </c>
      <c r="N985" s="44" t="s">
        <v>167</v>
      </c>
      <c r="O985" s="17"/>
      <c r="P985" s="17"/>
      <c r="Q985" s="17"/>
      <c r="R985" s="17"/>
      <c r="S985" s="17"/>
      <c r="T985" s="17"/>
      <c r="U985" s="17"/>
      <c r="V985" s="17"/>
      <c r="W985" s="17"/>
      <c r="X985" s="17"/>
      <c r="Y985" s="46"/>
      <c r="Z985" s="47"/>
      <c r="AA985" s="48"/>
      <c r="AB985" s="48"/>
      <c r="AC985" s="48"/>
      <c r="AD985" s="48"/>
      <c r="AE985" s="48"/>
      <c r="AF985" s="48"/>
      <c r="AG985" s="48"/>
      <c r="AH985" s="48"/>
      <c r="AI985" s="48"/>
    </row>
    <row r="986" spans="1:35" ht="12.5" hidden="1">
      <c r="A986" s="37" t="s">
        <v>1705</v>
      </c>
      <c r="B986" s="38" t="str">
        <f>IFERROR(VLOOKUP(J986,catalogo!$B$1:$C$85,2,0),"-")</f>
        <v>-</v>
      </c>
      <c r="C986" s="39">
        <v>46077.416666666664</v>
      </c>
      <c r="D986" s="40"/>
      <c r="E986" s="41"/>
      <c r="F986" s="41"/>
      <c r="G986" s="42">
        <v>165</v>
      </c>
      <c r="H986" s="42">
        <v>165</v>
      </c>
      <c r="I986" s="43" t="s">
        <v>156</v>
      </c>
      <c r="J986" s="43" t="s">
        <v>269</v>
      </c>
      <c r="K986" s="43" t="s">
        <v>1807</v>
      </c>
      <c r="L986" s="44" t="s">
        <v>1808</v>
      </c>
      <c r="M986" s="44">
        <v>6130</v>
      </c>
      <c r="N986" s="44" t="s">
        <v>167</v>
      </c>
      <c r="O986" s="41"/>
      <c r="P986" s="41"/>
      <c r="Q986" s="51"/>
      <c r="R986" s="41"/>
      <c r="S986" s="41"/>
      <c r="T986" s="41"/>
      <c r="U986" s="41"/>
      <c r="V986" s="41"/>
      <c r="W986" s="41"/>
      <c r="X986" s="41"/>
      <c r="Y986" s="46"/>
      <c r="Z986" s="47"/>
      <c r="AA986" s="48"/>
      <c r="AB986" s="48"/>
      <c r="AC986" s="48"/>
      <c r="AD986" s="48"/>
      <c r="AE986" s="48"/>
      <c r="AF986" s="48"/>
      <c r="AG986" s="48"/>
      <c r="AH986" s="48"/>
      <c r="AI986" s="48"/>
    </row>
    <row r="987" spans="1:35" ht="12.5" hidden="1">
      <c r="A987" s="37" t="s">
        <v>1635</v>
      </c>
      <c r="B987" s="38" t="str">
        <f>IFERROR(VLOOKUP(J987,catalogo!$B$1:$C$85,2,0),"-")</f>
        <v>#64</v>
      </c>
      <c r="C987" s="39">
        <v>46077.416666666664</v>
      </c>
      <c r="D987" s="40"/>
      <c r="E987" s="41"/>
      <c r="F987" s="41"/>
      <c r="G987" s="42">
        <v>380</v>
      </c>
      <c r="H987" s="42">
        <v>380</v>
      </c>
      <c r="I987" s="43" t="s">
        <v>156</v>
      </c>
      <c r="J987" s="43" t="s">
        <v>139</v>
      </c>
      <c r="K987" s="43" t="s">
        <v>184</v>
      </c>
      <c r="L987" s="44" t="s">
        <v>185</v>
      </c>
      <c r="M987" s="44">
        <v>7142</v>
      </c>
      <c r="N987" s="44" t="s">
        <v>167</v>
      </c>
      <c r="O987" s="17"/>
      <c r="P987" s="17"/>
      <c r="Q987" s="17"/>
      <c r="R987" s="17"/>
      <c r="S987" s="17"/>
      <c r="T987" s="17"/>
      <c r="U987" s="17"/>
      <c r="V987" s="17"/>
      <c r="W987" s="17"/>
      <c r="X987" s="17"/>
      <c r="Y987" s="46"/>
      <c r="Z987" s="47"/>
      <c r="AA987" s="48"/>
      <c r="AB987" s="48"/>
      <c r="AC987" s="48"/>
      <c r="AD987" s="48"/>
      <c r="AE987" s="48"/>
      <c r="AF987" s="48"/>
      <c r="AG987" s="48"/>
      <c r="AH987" s="48"/>
      <c r="AI987" s="48"/>
    </row>
    <row r="988" spans="1:35" ht="12.5" hidden="1">
      <c r="A988" s="37" t="s">
        <v>1404</v>
      </c>
      <c r="B988" s="38" t="str">
        <f>IFERROR(VLOOKUP(J988,catalogo!$B$1:$C$85,2,0),"-")</f>
        <v>#2</v>
      </c>
      <c r="C988" s="39">
        <v>46077.416666666664</v>
      </c>
      <c r="D988" s="40"/>
      <c r="E988" s="41"/>
      <c r="F988" s="41"/>
      <c r="G988" s="42">
        <v>8235.56</v>
      </c>
      <c r="H988" s="42">
        <v>455.16</v>
      </c>
      <c r="I988" s="43" t="s">
        <v>172</v>
      </c>
      <c r="J988" s="43" t="s">
        <v>75</v>
      </c>
      <c r="K988" s="43" t="s">
        <v>1809</v>
      </c>
      <c r="L988" s="44" t="s">
        <v>1810</v>
      </c>
      <c r="M988" s="44" t="s">
        <v>199</v>
      </c>
      <c r="N988" s="44" t="s">
        <v>144</v>
      </c>
      <c r="O988" s="17"/>
      <c r="P988" s="17"/>
      <c r="Q988" s="17"/>
      <c r="R988" s="17"/>
      <c r="S988" s="17"/>
      <c r="T988" s="17"/>
      <c r="U988" s="17"/>
      <c r="V988" s="17"/>
      <c r="W988" s="17"/>
      <c r="X988" s="17"/>
      <c r="Y988" s="46"/>
      <c r="Z988" s="47"/>
      <c r="AA988" s="48"/>
      <c r="AB988" s="48"/>
      <c r="AC988" s="48"/>
      <c r="AD988" s="48"/>
      <c r="AE988" s="48"/>
      <c r="AF988" s="48"/>
      <c r="AG988" s="48"/>
      <c r="AH988" s="48"/>
      <c r="AI988" s="48"/>
    </row>
    <row r="989" spans="1:35" ht="12.5" hidden="1">
      <c r="A989" s="37" t="s">
        <v>891</v>
      </c>
      <c r="B989" s="38" t="str">
        <f>IFERROR(VLOOKUP(J989,catalogo!$B$1:$C$85,2,0),"-")</f>
        <v>#64</v>
      </c>
      <c r="C989" s="39">
        <v>46077.416666666664</v>
      </c>
      <c r="D989" s="40"/>
      <c r="E989" s="41"/>
      <c r="F989" s="41"/>
      <c r="G989" s="42">
        <v>4800</v>
      </c>
      <c r="H989" s="42">
        <v>4800</v>
      </c>
      <c r="I989" s="43" t="s">
        <v>156</v>
      </c>
      <c r="J989" s="43" t="s">
        <v>139</v>
      </c>
      <c r="K989" s="43" t="s">
        <v>165</v>
      </c>
      <c r="L989" s="44" t="s">
        <v>166</v>
      </c>
      <c r="M989" s="44">
        <v>7142</v>
      </c>
      <c r="N989" s="44" t="s">
        <v>167</v>
      </c>
      <c r="O989" s="17"/>
      <c r="P989" s="17"/>
      <c r="Q989" s="17"/>
      <c r="R989" s="17"/>
      <c r="S989" s="17"/>
      <c r="T989" s="17"/>
      <c r="U989" s="17"/>
      <c r="V989" s="17"/>
      <c r="W989" s="17"/>
      <c r="X989" s="17"/>
      <c r="Y989" s="46"/>
      <c r="Z989" s="47"/>
      <c r="AA989" s="48"/>
      <c r="AB989" s="48"/>
      <c r="AC989" s="48"/>
      <c r="AD989" s="48"/>
      <c r="AE989" s="48"/>
      <c r="AF989" s="48"/>
      <c r="AG989" s="48"/>
      <c r="AH989" s="48"/>
      <c r="AI989" s="48"/>
    </row>
    <row r="990" spans="1:35" ht="12.5" hidden="1">
      <c r="A990" s="37" t="s">
        <v>929</v>
      </c>
      <c r="B990" s="38" t="str">
        <f>IFERROR(VLOOKUP(J990,catalogo!$B$1:$C$85,2,0),"-")</f>
        <v>#64</v>
      </c>
      <c r="C990" s="39">
        <v>46077.416666666664</v>
      </c>
      <c r="D990" s="40"/>
      <c r="E990" s="41"/>
      <c r="F990" s="41"/>
      <c r="G990" s="42">
        <v>385</v>
      </c>
      <c r="H990" s="42">
        <v>385</v>
      </c>
      <c r="I990" s="43" t="s">
        <v>156</v>
      </c>
      <c r="J990" s="43" t="s">
        <v>139</v>
      </c>
      <c r="K990" s="43" t="s">
        <v>1811</v>
      </c>
      <c r="L990" s="44" t="s">
        <v>1812</v>
      </c>
      <c r="M990" s="44">
        <v>7142</v>
      </c>
      <c r="N990" s="44" t="s">
        <v>167</v>
      </c>
      <c r="O990" s="41"/>
      <c r="P990" s="41"/>
      <c r="Q990" s="41"/>
      <c r="R990" s="41"/>
      <c r="S990" s="41"/>
      <c r="T990" s="41"/>
      <c r="U990" s="41"/>
      <c r="V990" s="41"/>
      <c r="W990" s="41"/>
      <c r="X990" s="41"/>
      <c r="Y990" s="46"/>
      <c r="Z990" s="47"/>
      <c r="AA990" s="48"/>
      <c r="AB990" s="48"/>
      <c r="AC990" s="48"/>
      <c r="AD990" s="48"/>
      <c r="AE990" s="48"/>
      <c r="AF990" s="48"/>
      <c r="AG990" s="48"/>
      <c r="AH990" s="48"/>
      <c r="AI990" s="48"/>
    </row>
    <row r="991" spans="1:35" ht="12.5" hidden="1">
      <c r="A991" s="37" t="s">
        <v>1686</v>
      </c>
      <c r="B991" s="38" t="str">
        <f>IFERROR(VLOOKUP(J991,catalogo!$B$1:$C$85,2,0),"-")</f>
        <v>#2</v>
      </c>
      <c r="C991" s="39">
        <v>46077.416666666664</v>
      </c>
      <c r="D991" s="40"/>
      <c r="E991" s="41"/>
      <c r="F991" s="41"/>
      <c r="G991" s="42">
        <v>7106.33</v>
      </c>
      <c r="H991" s="42">
        <v>392.7</v>
      </c>
      <c r="I991" s="43" t="s">
        <v>172</v>
      </c>
      <c r="J991" s="43" t="s">
        <v>75</v>
      </c>
      <c r="K991" s="43" t="s">
        <v>1813</v>
      </c>
      <c r="L991" s="44" t="s">
        <v>1343</v>
      </c>
      <c r="M991" s="44" t="s">
        <v>199</v>
      </c>
      <c r="N991" s="44" t="s">
        <v>144</v>
      </c>
      <c r="O991" s="17"/>
      <c r="P991" s="17"/>
      <c r="Q991" s="17"/>
      <c r="R991" s="17"/>
      <c r="S991" s="17"/>
      <c r="T991" s="17"/>
      <c r="U991" s="17"/>
      <c r="V991" s="17"/>
      <c r="W991" s="17"/>
      <c r="X991" s="17"/>
      <c r="Y991" s="46"/>
      <c r="Z991" s="47"/>
      <c r="AA991" s="48"/>
      <c r="AB991" s="48"/>
      <c r="AC991" s="48"/>
      <c r="AD991" s="48"/>
      <c r="AE991" s="48"/>
      <c r="AF991" s="48"/>
      <c r="AG991" s="48"/>
      <c r="AH991" s="48"/>
      <c r="AI991" s="48"/>
    </row>
    <row r="992" spans="1:35" ht="12.5" hidden="1">
      <c r="A992" s="37" t="s">
        <v>1591</v>
      </c>
      <c r="B992" s="38" t="str">
        <f>IFERROR(VLOOKUP(J992,catalogo!$B$1:$C$85,2,0),"-")</f>
        <v>-</v>
      </c>
      <c r="C992" s="39">
        <v>46077.416666666664</v>
      </c>
      <c r="D992" s="40"/>
      <c r="E992" s="41"/>
      <c r="F992" s="41"/>
      <c r="G992" s="42">
        <v>2381.14</v>
      </c>
      <c r="H992" s="42">
        <v>2381.14</v>
      </c>
      <c r="I992" s="43" t="s">
        <v>156</v>
      </c>
      <c r="J992" s="43" t="s">
        <v>321</v>
      </c>
      <c r="K992" s="43" t="s">
        <v>1814</v>
      </c>
      <c r="L992" s="44" t="s">
        <v>205</v>
      </c>
      <c r="M992" s="44">
        <v>3340</v>
      </c>
      <c r="N992" s="44" t="s">
        <v>167</v>
      </c>
      <c r="O992" s="17"/>
      <c r="P992" s="17"/>
      <c r="Q992" s="17"/>
      <c r="R992" s="17"/>
      <c r="S992" s="17"/>
      <c r="T992" s="17"/>
      <c r="U992" s="17"/>
      <c r="V992" s="17"/>
      <c r="W992" s="17"/>
      <c r="X992" s="17"/>
      <c r="Y992" s="46"/>
      <c r="Z992" s="47"/>
      <c r="AA992" s="48"/>
      <c r="AB992" s="48"/>
      <c r="AC992" s="48"/>
      <c r="AD992" s="48"/>
      <c r="AE992" s="48"/>
      <c r="AF992" s="48"/>
      <c r="AG992" s="48"/>
      <c r="AH992" s="48"/>
      <c r="AI992" s="48"/>
    </row>
    <row r="993" spans="1:35" ht="15.5" hidden="1">
      <c r="A993" s="37" t="s">
        <v>1589</v>
      </c>
      <c r="B993" s="38" t="str">
        <f>IFERROR(VLOOKUP(J993,catalogo!$B$1:$C$85,2,0),"-")</f>
        <v>#7</v>
      </c>
      <c r="C993" s="39">
        <v>46078.416666666664</v>
      </c>
      <c r="D993" s="40"/>
      <c r="E993" s="41"/>
      <c r="F993" s="41"/>
      <c r="G993" s="42">
        <v>79.95</v>
      </c>
      <c r="H993" s="42">
        <v>79.95</v>
      </c>
      <c r="I993" s="43" t="s">
        <v>156</v>
      </c>
      <c r="J993" s="43" t="s">
        <v>121</v>
      </c>
      <c r="K993" s="43" t="s">
        <v>232</v>
      </c>
      <c r="L993" s="44" t="s">
        <v>233</v>
      </c>
      <c r="M993" s="44" t="s">
        <v>182</v>
      </c>
      <c r="N993" s="44" t="s">
        <v>144</v>
      </c>
      <c r="O993" s="49"/>
      <c r="P993" s="17"/>
      <c r="Q993" s="17"/>
      <c r="R993" s="17"/>
      <c r="S993" s="17"/>
      <c r="T993" s="17"/>
      <c r="U993" s="17"/>
      <c r="V993" s="17"/>
      <c r="W993" s="17"/>
      <c r="X993" s="17"/>
      <c r="Y993" s="46"/>
      <c r="Z993" s="47"/>
      <c r="AA993" s="48"/>
      <c r="AB993" s="48"/>
      <c r="AC993" s="48"/>
      <c r="AD993" s="48"/>
      <c r="AE993" s="48"/>
      <c r="AF993" s="48"/>
      <c r="AG993" s="48"/>
      <c r="AH993" s="48"/>
      <c r="AI993" s="48"/>
    </row>
    <row r="994" spans="1:35" ht="15.5" hidden="1">
      <c r="A994" s="37" t="s">
        <v>686</v>
      </c>
      <c r="B994" s="38" t="str">
        <f>IFERROR(VLOOKUP(J994,catalogo!$B$1:$C$85,2,0),"-")</f>
        <v>#77</v>
      </c>
      <c r="C994" s="39">
        <v>46078.416666666664</v>
      </c>
      <c r="D994" s="40"/>
      <c r="E994" s="41"/>
      <c r="F994" s="41"/>
      <c r="G994" s="42">
        <v>11</v>
      </c>
      <c r="H994" s="42">
        <v>11</v>
      </c>
      <c r="I994" s="43" t="s">
        <v>156</v>
      </c>
      <c r="J994" s="43" t="s">
        <v>102</v>
      </c>
      <c r="K994" s="43" t="s">
        <v>284</v>
      </c>
      <c r="L994" s="44" t="s">
        <v>233</v>
      </c>
      <c r="M994" s="44" t="s">
        <v>279</v>
      </c>
      <c r="N994" s="44" t="s">
        <v>144</v>
      </c>
      <c r="O994" s="49"/>
      <c r="P994" s="17"/>
      <c r="Q994" s="17"/>
      <c r="R994" s="17"/>
      <c r="S994" s="17"/>
      <c r="T994" s="17"/>
      <c r="U994" s="17"/>
      <c r="V994" s="17"/>
      <c r="W994" s="17"/>
      <c r="X994" s="17"/>
      <c r="Y994" s="46"/>
      <c r="Z994" s="47"/>
      <c r="AA994" s="48"/>
      <c r="AB994" s="48"/>
      <c r="AC994" s="48"/>
      <c r="AD994" s="48"/>
      <c r="AE994" s="48"/>
      <c r="AF994" s="48"/>
      <c r="AG994" s="48"/>
      <c r="AH994" s="48"/>
      <c r="AI994" s="48"/>
    </row>
    <row r="995" spans="1:35" ht="12.5" hidden="1">
      <c r="A995" s="37" t="s">
        <v>567</v>
      </c>
      <c r="B995" s="38" t="str">
        <f>IFERROR(VLOOKUP(J995,catalogo!$B$1:$C$85,2,0),"-")</f>
        <v>#56</v>
      </c>
      <c r="C995" s="39">
        <v>46078.416666666664</v>
      </c>
      <c r="D995" s="40"/>
      <c r="E995" s="41"/>
      <c r="F995" s="41"/>
      <c r="G995" s="42">
        <v>239.99</v>
      </c>
      <c r="H995" s="42">
        <v>239.99</v>
      </c>
      <c r="I995" s="43" t="s">
        <v>156</v>
      </c>
      <c r="J995" s="43" t="s">
        <v>99</v>
      </c>
      <c r="K995" s="43" t="s">
        <v>232</v>
      </c>
      <c r="L995" s="44" t="s">
        <v>233</v>
      </c>
      <c r="M995" s="44">
        <v>8949</v>
      </c>
      <c r="N995" s="44" t="s">
        <v>167</v>
      </c>
      <c r="O995" s="17"/>
      <c r="P995" s="17"/>
      <c r="Q995" s="17"/>
      <c r="R995" s="17"/>
      <c r="S995" s="17"/>
      <c r="T995" s="17"/>
      <c r="U995" s="17"/>
      <c r="V995" s="17"/>
      <c r="W995" s="17"/>
      <c r="X995" s="17"/>
      <c r="Y995" s="46"/>
      <c r="Z995" s="47"/>
      <c r="AA995" s="48"/>
      <c r="AB995" s="48"/>
      <c r="AC995" s="48"/>
      <c r="AD995" s="48"/>
      <c r="AE995" s="48"/>
      <c r="AF995" s="48"/>
      <c r="AG995" s="48"/>
      <c r="AH995" s="48"/>
      <c r="AI995" s="48"/>
    </row>
    <row r="996" spans="1:35" ht="15.5" hidden="1">
      <c r="A996" s="37" t="s">
        <v>1815</v>
      </c>
      <c r="B996" s="38" t="str">
        <f>IFERROR(VLOOKUP(J996,catalogo!$B$1:$C$85,2,0),"-")</f>
        <v>#9</v>
      </c>
      <c r="C996" s="39">
        <v>46078.416666666664</v>
      </c>
      <c r="D996" s="40"/>
      <c r="E996" s="41"/>
      <c r="F996" s="41"/>
      <c r="G996" s="42">
        <v>500</v>
      </c>
      <c r="H996" s="42">
        <v>500</v>
      </c>
      <c r="I996" s="43" t="s">
        <v>156</v>
      </c>
      <c r="J996" s="43" t="s">
        <v>134</v>
      </c>
      <c r="K996" s="43" t="s">
        <v>1816</v>
      </c>
      <c r="L996" s="44" t="s">
        <v>1817</v>
      </c>
      <c r="M996" s="44">
        <v>1026</v>
      </c>
      <c r="N996" s="44" t="s">
        <v>167</v>
      </c>
      <c r="O996" s="49"/>
      <c r="P996" s="17"/>
      <c r="Q996" s="17"/>
      <c r="R996" s="17"/>
      <c r="S996" s="17"/>
      <c r="T996" s="17"/>
      <c r="U996" s="17"/>
      <c r="V996" s="17"/>
      <c r="W996" s="17"/>
      <c r="X996" s="17"/>
      <c r="Y996" s="46"/>
      <c r="Z996" s="47"/>
      <c r="AA996" s="48"/>
      <c r="AB996" s="48"/>
      <c r="AC996" s="48"/>
      <c r="AD996" s="48"/>
      <c r="AE996" s="48"/>
      <c r="AF996" s="48"/>
      <c r="AG996" s="48"/>
      <c r="AH996" s="48"/>
      <c r="AI996" s="48"/>
    </row>
    <row r="997" spans="1:35" ht="12.5" hidden="1">
      <c r="A997" s="37" t="s">
        <v>1818</v>
      </c>
      <c r="B997" s="38" t="str">
        <f>IFERROR(VLOOKUP(J997,catalogo!$B$1:$C$85,2,0),"-")</f>
        <v>#64</v>
      </c>
      <c r="C997" s="39">
        <v>46078.416666666664</v>
      </c>
      <c r="D997" s="40"/>
      <c r="E997" s="41"/>
      <c r="F997" s="41"/>
      <c r="G997" s="42">
        <v>48.62</v>
      </c>
      <c r="H997" s="42">
        <v>48.62</v>
      </c>
      <c r="I997" s="43" t="s">
        <v>156</v>
      </c>
      <c r="J997" s="43" t="s">
        <v>139</v>
      </c>
      <c r="K997" s="43" t="s">
        <v>284</v>
      </c>
      <c r="L997" s="44" t="s">
        <v>233</v>
      </c>
      <c r="M997" s="44" t="s">
        <v>1718</v>
      </c>
      <c r="N997" s="44" t="s">
        <v>144</v>
      </c>
      <c r="O997" s="17"/>
      <c r="P997" s="17"/>
      <c r="Q997" s="17"/>
      <c r="R997" s="17"/>
      <c r="S997" s="17"/>
      <c r="T997" s="17"/>
      <c r="U997" s="17"/>
      <c r="V997" s="17"/>
      <c r="W997" s="17"/>
      <c r="X997" s="17"/>
      <c r="Y997" s="46"/>
      <c r="Z997" s="47"/>
      <c r="AA997" s="48"/>
      <c r="AB997" s="48"/>
      <c r="AC997" s="48"/>
      <c r="AD997" s="48"/>
      <c r="AE997" s="48"/>
      <c r="AF997" s="48"/>
      <c r="AG997" s="48"/>
      <c r="AH997" s="48"/>
      <c r="AI997" s="48"/>
    </row>
    <row r="998" spans="1:35" ht="12.5" hidden="1">
      <c r="A998" s="37" t="s">
        <v>1819</v>
      </c>
      <c r="B998" s="38" t="str">
        <f>IFERROR(VLOOKUP(J998,catalogo!$B$1:$C$85,2,0),"-")</f>
        <v>#56</v>
      </c>
      <c r="C998" s="39">
        <v>46078.416666666664</v>
      </c>
      <c r="D998" s="40"/>
      <c r="E998" s="41"/>
      <c r="F998" s="41"/>
      <c r="G998" s="42">
        <v>189.99</v>
      </c>
      <c r="H998" s="42">
        <v>189.99</v>
      </c>
      <c r="I998" s="43" t="s">
        <v>156</v>
      </c>
      <c r="J998" s="43" t="s">
        <v>99</v>
      </c>
      <c r="K998" s="43" t="s">
        <v>232</v>
      </c>
      <c r="L998" s="44" t="s">
        <v>233</v>
      </c>
      <c r="M998" s="44">
        <v>8949</v>
      </c>
      <c r="N998" s="44" t="s">
        <v>167</v>
      </c>
      <c r="O998" s="17"/>
      <c r="P998" s="17"/>
      <c r="Q998" s="17"/>
      <c r="R998" s="17"/>
      <c r="S998" s="17"/>
      <c r="T998" s="17"/>
      <c r="U998" s="17"/>
      <c r="V998" s="17"/>
      <c r="W998" s="17"/>
      <c r="X998" s="17"/>
      <c r="Y998" s="46"/>
      <c r="Z998" s="47"/>
      <c r="AA998" s="48"/>
      <c r="AB998" s="48"/>
      <c r="AC998" s="48"/>
      <c r="AD998" s="48"/>
      <c r="AE998" s="48"/>
      <c r="AF998" s="48"/>
      <c r="AG998" s="48"/>
      <c r="AH998" s="48"/>
      <c r="AI998" s="48"/>
    </row>
    <row r="999" spans="1:35" ht="15.5" hidden="1">
      <c r="A999" s="37" t="s">
        <v>1820</v>
      </c>
      <c r="B999" s="38" t="str">
        <f>IFERROR(VLOOKUP(J999,catalogo!$B$1:$C$85,2,0),"-")</f>
        <v>#64</v>
      </c>
      <c r="C999" s="39">
        <v>46078.416666666664</v>
      </c>
      <c r="D999" s="40"/>
      <c r="E999" s="41"/>
      <c r="F999" s="41"/>
      <c r="G999" s="42">
        <v>475.43</v>
      </c>
      <c r="H999" s="42">
        <v>475.43</v>
      </c>
      <c r="I999" s="43" t="s">
        <v>156</v>
      </c>
      <c r="J999" s="43" t="s">
        <v>139</v>
      </c>
      <c r="K999" s="43" t="s">
        <v>180</v>
      </c>
      <c r="L999" s="44" t="s">
        <v>181</v>
      </c>
      <c r="M999" s="44" t="s">
        <v>1718</v>
      </c>
      <c r="N999" s="44" t="s">
        <v>144</v>
      </c>
      <c r="O999" s="49"/>
      <c r="P999" s="17"/>
      <c r="Q999" s="17"/>
      <c r="R999" s="17"/>
      <c r="S999" s="17"/>
      <c r="T999" s="17"/>
      <c r="U999" s="17"/>
      <c r="V999" s="17"/>
      <c r="W999" s="17"/>
      <c r="X999" s="17"/>
      <c r="Y999" s="46"/>
      <c r="Z999" s="47"/>
      <c r="AA999" s="48"/>
      <c r="AB999" s="48"/>
      <c r="AC999" s="48"/>
      <c r="AD999" s="48"/>
      <c r="AE999" s="48"/>
      <c r="AF999" s="48"/>
      <c r="AG999" s="48"/>
      <c r="AH999" s="48"/>
      <c r="AI999" s="48"/>
    </row>
    <row r="1000" spans="1:35" ht="12.5" hidden="1">
      <c r="A1000" s="37" t="s">
        <v>1821</v>
      </c>
      <c r="B1000" s="38" t="str">
        <f>IFERROR(VLOOKUP(J1000,catalogo!$B$1:$C$85,2,0),"-")</f>
        <v>-</v>
      </c>
      <c r="C1000" s="39">
        <v>46078.416666666664</v>
      </c>
      <c r="D1000" s="40"/>
      <c r="E1000" s="41"/>
      <c r="F1000" s="41"/>
      <c r="G1000" s="42">
        <v>339</v>
      </c>
      <c r="H1000" s="42">
        <v>339</v>
      </c>
      <c r="I1000" s="43" t="s">
        <v>156</v>
      </c>
      <c r="J1000" s="43" t="s">
        <v>269</v>
      </c>
      <c r="K1000" s="43" t="s">
        <v>1822</v>
      </c>
      <c r="L1000" s="44" t="s">
        <v>294</v>
      </c>
      <c r="M1000" s="44">
        <v>6130</v>
      </c>
      <c r="N1000" s="44" t="s">
        <v>167</v>
      </c>
      <c r="O1000" s="17"/>
      <c r="P1000" s="17"/>
      <c r="Q1000" s="17"/>
      <c r="R1000" s="17"/>
      <c r="S1000" s="17"/>
      <c r="T1000" s="17"/>
      <c r="U1000" s="17"/>
      <c r="V1000" s="17"/>
      <c r="W1000" s="17"/>
      <c r="X1000" s="17"/>
      <c r="Y1000" s="46"/>
      <c r="Z1000" s="47"/>
      <c r="AA1000" s="48"/>
      <c r="AB1000" s="48"/>
      <c r="AC1000" s="48"/>
      <c r="AD1000" s="48"/>
      <c r="AE1000" s="48"/>
      <c r="AF1000" s="48"/>
      <c r="AG1000" s="48"/>
      <c r="AH1000" s="48"/>
      <c r="AI1000" s="48"/>
    </row>
    <row r="1001" spans="1:35" ht="12.5" hidden="1">
      <c r="A1001" s="37" t="s">
        <v>1303</v>
      </c>
      <c r="B1001" s="38" t="str">
        <f>IFERROR(VLOOKUP(J1001,catalogo!$B$1:$C$85,2,0),"-")</f>
        <v>#68</v>
      </c>
      <c r="C1001" s="39">
        <v>46078.416666666664</v>
      </c>
      <c r="D1001" s="40"/>
      <c r="E1001" s="41"/>
      <c r="F1001" s="41"/>
      <c r="G1001" s="42">
        <v>2244.69</v>
      </c>
      <c r="H1001" s="42">
        <v>2244.69</v>
      </c>
      <c r="I1001" s="43" t="s">
        <v>156</v>
      </c>
      <c r="J1001" s="43" t="s">
        <v>384</v>
      </c>
      <c r="K1001" s="43" t="s">
        <v>1823</v>
      </c>
      <c r="L1001" s="44" t="s">
        <v>162</v>
      </c>
      <c r="M1001" s="44">
        <v>2937</v>
      </c>
      <c r="N1001" s="44" t="s">
        <v>167</v>
      </c>
      <c r="O1001" s="17"/>
      <c r="P1001" s="17"/>
      <c r="Q1001" s="17"/>
      <c r="R1001" s="17"/>
      <c r="S1001" s="17"/>
      <c r="T1001" s="17"/>
      <c r="U1001" s="17"/>
      <c r="V1001" s="17"/>
      <c r="W1001" s="17"/>
      <c r="X1001" s="17"/>
      <c r="Y1001" s="46"/>
      <c r="Z1001" s="47"/>
      <c r="AA1001" s="48"/>
      <c r="AB1001" s="48"/>
      <c r="AC1001" s="48"/>
      <c r="AD1001" s="48"/>
      <c r="AE1001" s="48"/>
      <c r="AF1001" s="48"/>
      <c r="AG1001" s="48"/>
      <c r="AH1001" s="48"/>
      <c r="AI1001" s="48"/>
    </row>
    <row r="1002" spans="1:35" ht="12.5" hidden="1">
      <c r="A1002" s="37" t="s">
        <v>1352</v>
      </c>
      <c r="B1002" s="38" t="str">
        <f>IFERROR(VLOOKUP(J1002,catalogo!$B$1:$C$85,2,0),"-")</f>
        <v>#26</v>
      </c>
      <c r="C1002" s="39">
        <v>46078.416666666664</v>
      </c>
      <c r="D1002" s="40"/>
      <c r="E1002" s="41"/>
      <c r="F1002" s="41"/>
      <c r="G1002" s="42">
        <v>210</v>
      </c>
      <c r="H1002" s="42">
        <v>210</v>
      </c>
      <c r="I1002" s="43" t="s">
        <v>156</v>
      </c>
      <c r="J1002" s="43" t="s">
        <v>67</v>
      </c>
      <c r="K1002" s="43" t="s">
        <v>319</v>
      </c>
      <c r="L1002" s="44" t="s">
        <v>317</v>
      </c>
      <c r="M1002" s="44" t="s">
        <v>159</v>
      </c>
      <c r="N1002" s="44" t="s">
        <v>144</v>
      </c>
      <c r="O1002" s="17"/>
      <c r="P1002" s="17"/>
      <c r="Q1002" s="17"/>
      <c r="R1002" s="17"/>
      <c r="S1002" s="17"/>
      <c r="T1002" s="17"/>
      <c r="U1002" s="17"/>
      <c r="V1002" s="17"/>
      <c r="W1002" s="17"/>
      <c r="X1002" s="17"/>
      <c r="Y1002" s="46"/>
      <c r="Z1002" s="47"/>
      <c r="AA1002" s="48"/>
      <c r="AB1002" s="48"/>
      <c r="AC1002" s="48"/>
      <c r="AD1002" s="48"/>
      <c r="AE1002" s="48"/>
      <c r="AF1002" s="48"/>
      <c r="AG1002" s="48"/>
      <c r="AH1002" s="48"/>
      <c r="AI1002" s="48"/>
    </row>
    <row r="1003" spans="1:35" ht="12.5" hidden="1">
      <c r="A1003" s="37" t="s">
        <v>1451</v>
      </c>
      <c r="B1003" s="38" t="str">
        <f>IFERROR(VLOOKUP(J1003,catalogo!$B$1:$C$85,2,0),"-")</f>
        <v>#26</v>
      </c>
      <c r="C1003" s="39">
        <v>46078.416666666664</v>
      </c>
      <c r="D1003" s="40"/>
      <c r="E1003" s="41"/>
      <c r="F1003" s="41"/>
      <c r="G1003" s="42">
        <v>310</v>
      </c>
      <c r="H1003" s="42">
        <v>310</v>
      </c>
      <c r="I1003" s="43" t="s">
        <v>156</v>
      </c>
      <c r="J1003" s="43" t="s">
        <v>67</v>
      </c>
      <c r="K1003" s="43" t="s">
        <v>319</v>
      </c>
      <c r="L1003" s="44" t="s">
        <v>317</v>
      </c>
      <c r="M1003" s="44" t="s">
        <v>159</v>
      </c>
      <c r="N1003" s="44" t="s">
        <v>144</v>
      </c>
      <c r="O1003" s="17"/>
      <c r="P1003" s="17"/>
      <c r="Q1003" s="17"/>
      <c r="R1003" s="17"/>
      <c r="S1003" s="17"/>
      <c r="T1003" s="17"/>
      <c r="U1003" s="17"/>
      <c r="V1003" s="17"/>
      <c r="W1003" s="17"/>
      <c r="X1003" s="17"/>
      <c r="Y1003" s="46"/>
      <c r="Z1003" s="47"/>
      <c r="AA1003" s="48"/>
      <c r="AB1003" s="48"/>
      <c r="AC1003" s="48"/>
      <c r="AD1003" s="48"/>
      <c r="AE1003" s="48"/>
      <c r="AF1003" s="48"/>
      <c r="AG1003" s="48"/>
      <c r="AH1003" s="48"/>
      <c r="AI1003" s="48"/>
    </row>
    <row r="1004" spans="1:35" ht="12.5" hidden="1">
      <c r="A1004" s="37" t="s">
        <v>611</v>
      </c>
      <c r="B1004" s="38" t="str">
        <f>IFERROR(VLOOKUP(J1004,catalogo!$B$1:$C$85,2,0),"-")</f>
        <v>#55</v>
      </c>
      <c r="C1004" s="39">
        <v>46078.416666666664</v>
      </c>
      <c r="D1004" s="40"/>
      <c r="E1004" s="41"/>
      <c r="F1004" s="41"/>
      <c r="G1004" s="42">
        <v>282</v>
      </c>
      <c r="H1004" s="42">
        <v>282</v>
      </c>
      <c r="I1004" s="43" t="s">
        <v>156</v>
      </c>
      <c r="J1004" s="43" t="s">
        <v>89</v>
      </c>
      <c r="K1004" s="43" t="s">
        <v>1533</v>
      </c>
      <c r="L1004" s="44" t="s">
        <v>233</v>
      </c>
      <c r="M1004" s="44">
        <v>3013</v>
      </c>
      <c r="N1004" s="44" t="s">
        <v>167</v>
      </c>
      <c r="O1004" s="17"/>
      <c r="P1004" s="17"/>
      <c r="Q1004" s="17"/>
      <c r="R1004" s="17"/>
      <c r="S1004" s="17"/>
      <c r="T1004" s="17"/>
      <c r="U1004" s="17"/>
      <c r="V1004" s="17"/>
      <c r="W1004" s="17"/>
      <c r="X1004" s="17"/>
      <c r="Y1004" s="46"/>
      <c r="Z1004" s="47"/>
      <c r="AA1004" s="48"/>
      <c r="AB1004" s="48"/>
      <c r="AC1004" s="48"/>
      <c r="AD1004" s="48"/>
      <c r="AE1004" s="48"/>
      <c r="AF1004" s="48"/>
      <c r="AG1004" s="48"/>
      <c r="AH1004" s="48"/>
      <c r="AI1004" s="48"/>
    </row>
    <row r="1005" spans="1:35" ht="12.5" hidden="1">
      <c r="A1005" s="37" t="s">
        <v>854</v>
      </c>
      <c r="B1005" s="38" t="str">
        <f>IFERROR(VLOOKUP(J1005,catalogo!$B$1:$C$85,2,0),"-")</f>
        <v>-</v>
      </c>
      <c r="C1005" s="39">
        <v>46078.416666666664</v>
      </c>
      <c r="D1005" s="40"/>
      <c r="E1005" s="41"/>
      <c r="F1005" s="41"/>
      <c r="G1005" s="42">
        <v>1510</v>
      </c>
      <c r="H1005" s="42">
        <v>1510</v>
      </c>
      <c r="I1005" s="43" t="s">
        <v>156</v>
      </c>
      <c r="J1005" s="43" t="s">
        <v>321</v>
      </c>
      <c r="K1005" s="43" t="s">
        <v>319</v>
      </c>
      <c r="L1005" s="44" t="s">
        <v>317</v>
      </c>
      <c r="M1005" s="44">
        <v>3340</v>
      </c>
      <c r="N1005" s="44" t="s">
        <v>167</v>
      </c>
      <c r="O1005" s="17"/>
      <c r="P1005" s="17"/>
      <c r="Q1005" s="17"/>
      <c r="R1005" s="17"/>
      <c r="S1005" s="17"/>
      <c r="T1005" s="17"/>
      <c r="U1005" s="17"/>
      <c r="V1005" s="17"/>
      <c r="W1005" s="17"/>
      <c r="X1005" s="17"/>
      <c r="Y1005" s="46"/>
      <c r="Z1005" s="47"/>
      <c r="AA1005" s="48"/>
      <c r="AB1005" s="48"/>
      <c r="AC1005" s="48"/>
      <c r="AD1005" s="48"/>
      <c r="AE1005" s="48"/>
      <c r="AF1005" s="48"/>
      <c r="AG1005" s="48"/>
      <c r="AH1005" s="48"/>
      <c r="AI1005" s="48"/>
    </row>
    <row r="1006" spans="1:35" ht="15.5" hidden="1">
      <c r="A1006" s="37" t="s">
        <v>641</v>
      </c>
      <c r="B1006" s="38" t="str">
        <f>IFERROR(VLOOKUP(J1006,catalogo!$B$1:$C$85,2,0),"-")</f>
        <v>#56</v>
      </c>
      <c r="C1006" s="39">
        <v>46078.416666666664</v>
      </c>
      <c r="D1006" s="40"/>
      <c r="E1006" s="41"/>
      <c r="F1006" s="41"/>
      <c r="G1006" s="42">
        <v>175.73</v>
      </c>
      <c r="H1006" s="42">
        <v>175.73</v>
      </c>
      <c r="I1006" s="43" t="s">
        <v>156</v>
      </c>
      <c r="J1006" s="43" t="s">
        <v>99</v>
      </c>
      <c r="K1006" s="43" t="s">
        <v>180</v>
      </c>
      <c r="L1006" s="44" t="s">
        <v>181</v>
      </c>
      <c r="M1006" s="44">
        <v>8949</v>
      </c>
      <c r="N1006" s="44" t="s">
        <v>167</v>
      </c>
      <c r="O1006" s="49"/>
      <c r="P1006" s="17"/>
      <c r="Q1006" s="17"/>
      <c r="R1006" s="17"/>
      <c r="S1006" s="17"/>
      <c r="T1006" s="17"/>
      <c r="U1006" s="17"/>
      <c r="V1006" s="17"/>
      <c r="W1006" s="17"/>
      <c r="X1006" s="17"/>
      <c r="Y1006" s="46"/>
      <c r="Z1006" s="47"/>
      <c r="AA1006" s="48"/>
      <c r="AB1006" s="48"/>
      <c r="AC1006" s="48"/>
      <c r="AD1006" s="48"/>
      <c r="AE1006" s="48"/>
      <c r="AF1006" s="48"/>
      <c r="AG1006" s="48"/>
      <c r="AH1006" s="48"/>
      <c r="AI1006" s="48"/>
    </row>
    <row r="1007" spans="1:35" ht="12.5" hidden="1">
      <c r="A1007" s="37" t="s">
        <v>1824</v>
      </c>
      <c r="B1007" s="38" t="str">
        <f>IFERROR(VLOOKUP(J1007,catalogo!$B$1:$C$85,2,0),"-")</f>
        <v>#66</v>
      </c>
      <c r="C1007" s="39">
        <v>46078.416666666664</v>
      </c>
      <c r="D1007" s="40"/>
      <c r="E1007" s="41"/>
      <c r="F1007" s="41"/>
      <c r="G1007" s="42">
        <v>659</v>
      </c>
      <c r="H1007" s="42">
        <v>659</v>
      </c>
      <c r="I1007" s="43" t="s">
        <v>156</v>
      </c>
      <c r="J1007" s="43" t="s">
        <v>80</v>
      </c>
      <c r="K1007" s="43" t="s">
        <v>1825</v>
      </c>
      <c r="L1007" s="44" t="s">
        <v>637</v>
      </c>
      <c r="M1007" s="44">
        <v>2406</v>
      </c>
      <c r="N1007" s="44" t="s">
        <v>167</v>
      </c>
      <c r="O1007" s="17"/>
      <c r="P1007" s="17"/>
      <c r="Q1007" s="17"/>
      <c r="R1007" s="17"/>
      <c r="S1007" s="17"/>
      <c r="T1007" s="17"/>
      <c r="U1007" s="17"/>
      <c r="V1007" s="17"/>
      <c r="W1007" s="17"/>
      <c r="X1007" s="17"/>
      <c r="Y1007" s="46"/>
      <c r="Z1007" s="47"/>
      <c r="AA1007" s="48"/>
      <c r="AB1007" s="48"/>
      <c r="AC1007" s="48"/>
      <c r="AD1007" s="48"/>
      <c r="AE1007" s="48"/>
      <c r="AF1007" s="48"/>
      <c r="AG1007" s="48"/>
      <c r="AH1007" s="48"/>
      <c r="AI1007" s="48"/>
    </row>
    <row r="1008" spans="1:35" ht="12.5" hidden="1">
      <c r="A1008" s="37" t="s">
        <v>1697</v>
      </c>
      <c r="B1008" s="38" t="str">
        <f>IFERROR(VLOOKUP(J1008,catalogo!$B$1:$C$85,2,0),"-")</f>
        <v>-</v>
      </c>
      <c r="C1008" s="39">
        <v>46078.416666666664</v>
      </c>
      <c r="D1008" s="40"/>
      <c r="E1008" s="41"/>
      <c r="F1008" s="41"/>
      <c r="G1008" s="42">
        <v>110</v>
      </c>
      <c r="H1008" s="42">
        <v>110</v>
      </c>
      <c r="I1008" s="43" t="s">
        <v>156</v>
      </c>
      <c r="J1008" s="43" t="s">
        <v>321</v>
      </c>
      <c r="K1008" s="43" t="s">
        <v>1035</v>
      </c>
      <c r="L1008" s="44" t="s">
        <v>1036</v>
      </c>
      <c r="M1008" s="44">
        <v>3340</v>
      </c>
      <c r="N1008" s="44" t="s">
        <v>167</v>
      </c>
      <c r="O1008" s="41"/>
      <c r="P1008" s="41"/>
      <c r="Q1008" s="51"/>
      <c r="R1008" s="41"/>
      <c r="S1008" s="41"/>
      <c r="T1008" s="41"/>
      <c r="U1008" s="41"/>
      <c r="V1008" s="41"/>
      <c r="W1008" s="41"/>
      <c r="X1008" s="41"/>
      <c r="Y1008" s="46"/>
      <c r="Z1008" s="47"/>
      <c r="AA1008" s="48"/>
      <c r="AB1008" s="48"/>
      <c r="AC1008" s="48"/>
      <c r="AD1008" s="48"/>
      <c r="AE1008" s="48"/>
      <c r="AF1008" s="48"/>
      <c r="AG1008" s="48"/>
      <c r="AH1008" s="48"/>
      <c r="AI1008" s="48"/>
    </row>
    <row r="1009" spans="1:35" ht="15.5" hidden="1">
      <c r="A1009" s="37" t="s">
        <v>915</v>
      </c>
      <c r="B1009" s="38" t="str">
        <f>IFERROR(VLOOKUP(J1009,catalogo!$B$1:$C$85,2,0),"-")</f>
        <v>-</v>
      </c>
      <c r="C1009" s="39">
        <v>46078.416666666664</v>
      </c>
      <c r="D1009" s="40"/>
      <c r="E1009" s="41"/>
      <c r="F1009" s="41"/>
      <c r="G1009" s="42">
        <v>400.35</v>
      </c>
      <c r="H1009" s="42">
        <v>400.35</v>
      </c>
      <c r="I1009" s="43" t="s">
        <v>156</v>
      </c>
      <c r="J1009" s="43" t="s">
        <v>321</v>
      </c>
      <c r="K1009" s="43" t="s">
        <v>1596</v>
      </c>
      <c r="L1009" s="44" t="s">
        <v>1597</v>
      </c>
      <c r="M1009" s="44">
        <v>3340</v>
      </c>
      <c r="N1009" s="44" t="s">
        <v>167</v>
      </c>
      <c r="O1009" s="49"/>
      <c r="P1009" s="17"/>
      <c r="Q1009" s="17"/>
      <c r="R1009" s="17"/>
      <c r="S1009" s="17"/>
      <c r="T1009" s="17"/>
      <c r="U1009" s="17"/>
      <c r="V1009" s="17"/>
      <c r="W1009" s="17"/>
      <c r="X1009" s="17"/>
      <c r="Y1009" s="46"/>
      <c r="Z1009" s="47"/>
      <c r="AA1009" s="48"/>
      <c r="AB1009" s="48"/>
      <c r="AC1009" s="48"/>
      <c r="AD1009" s="48"/>
      <c r="AE1009" s="48"/>
      <c r="AF1009" s="48"/>
      <c r="AG1009" s="48"/>
      <c r="AH1009" s="48"/>
      <c r="AI1009" s="48"/>
    </row>
    <row r="1010" spans="1:35" ht="15.5" hidden="1">
      <c r="A1010" s="37" t="s">
        <v>1826</v>
      </c>
      <c r="B1010" s="38" t="str">
        <f>IFERROR(VLOOKUP(J1010,catalogo!$B$1:$C$85,2,0),"-")</f>
        <v>#64</v>
      </c>
      <c r="C1010" s="39">
        <v>46078.416666666664</v>
      </c>
      <c r="D1010" s="40"/>
      <c r="E1010" s="41"/>
      <c r="F1010" s="41"/>
      <c r="G1010" s="42">
        <v>184.99</v>
      </c>
      <c r="H1010" s="42">
        <v>184.99</v>
      </c>
      <c r="I1010" s="43" t="s">
        <v>156</v>
      </c>
      <c r="J1010" s="43" t="s">
        <v>139</v>
      </c>
      <c r="K1010" s="43" t="s">
        <v>1342</v>
      </c>
      <c r="L1010" s="44" t="s">
        <v>1343</v>
      </c>
      <c r="M1010" s="44" t="s">
        <v>1718</v>
      </c>
      <c r="N1010" s="44" t="s">
        <v>144</v>
      </c>
      <c r="O1010" s="49"/>
      <c r="P1010" s="17"/>
      <c r="Q1010" s="17"/>
      <c r="R1010" s="17"/>
      <c r="S1010" s="17"/>
      <c r="T1010" s="17"/>
      <c r="U1010" s="17"/>
      <c r="V1010" s="17"/>
      <c r="W1010" s="17"/>
      <c r="X1010" s="17"/>
      <c r="Y1010" s="46"/>
      <c r="Z1010" s="47"/>
      <c r="AA1010" s="48"/>
      <c r="AB1010" s="48"/>
      <c r="AC1010" s="48"/>
      <c r="AD1010" s="48"/>
      <c r="AE1010" s="48"/>
      <c r="AF1010" s="48"/>
      <c r="AG1010" s="48"/>
      <c r="AH1010" s="48"/>
      <c r="AI1010" s="48"/>
    </row>
    <row r="1011" spans="1:35" ht="12.5" hidden="1">
      <c r="A1011" s="37" t="s">
        <v>1609</v>
      </c>
      <c r="B1011" s="38" t="str">
        <f>IFERROR(VLOOKUP(J1011,catalogo!$B$1:$C$85,2,0),"-")</f>
        <v>-</v>
      </c>
      <c r="C1011" s="39">
        <v>46078.416666666664</v>
      </c>
      <c r="D1011" s="40"/>
      <c r="E1011" s="41"/>
      <c r="F1011" s="41"/>
      <c r="G1011" s="42">
        <v>779.4</v>
      </c>
      <c r="H1011" s="42">
        <v>779.4</v>
      </c>
      <c r="I1011" s="43" t="s">
        <v>156</v>
      </c>
      <c r="J1011" s="43" t="s">
        <v>269</v>
      </c>
      <c r="K1011" s="43" t="s">
        <v>1827</v>
      </c>
      <c r="L1011" s="44" t="s">
        <v>820</v>
      </c>
      <c r="M1011" s="44">
        <v>6130</v>
      </c>
      <c r="N1011" s="44" t="s">
        <v>167</v>
      </c>
      <c r="O1011" s="17"/>
      <c r="P1011" s="17"/>
      <c r="Q1011" s="17"/>
      <c r="R1011" s="17"/>
      <c r="S1011" s="17"/>
      <c r="T1011" s="17"/>
      <c r="U1011" s="17"/>
      <c r="V1011" s="17"/>
      <c r="W1011" s="17"/>
      <c r="X1011" s="17"/>
      <c r="Y1011" s="46"/>
      <c r="Z1011" s="47"/>
      <c r="AA1011" s="48"/>
      <c r="AB1011" s="48"/>
      <c r="AC1011" s="48"/>
      <c r="AD1011" s="48"/>
      <c r="AE1011" s="48"/>
      <c r="AF1011" s="48"/>
      <c r="AG1011" s="48"/>
      <c r="AH1011" s="48"/>
      <c r="AI1011" s="48"/>
    </row>
    <row r="1012" spans="1:35" ht="12.5" hidden="1">
      <c r="A1012" s="37" t="s">
        <v>526</v>
      </c>
      <c r="B1012" s="38" t="str">
        <f>IFERROR(VLOOKUP(J1012,catalogo!$B$1:$C$85,2,0),"-")</f>
        <v>-</v>
      </c>
      <c r="C1012" s="39">
        <v>46078.416666666664</v>
      </c>
      <c r="D1012" s="40"/>
      <c r="E1012" s="41"/>
      <c r="F1012" s="41"/>
      <c r="G1012" s="42">
        <v>400</v>
      </c>
      <c r="H1012" s="42">
        <v>400</v>
      </c>
      <c r="I1012" s="43" t="s">
        <v>156</v>
      </c>
      <c r="J1012" s="43" t="s">
        <v>272</v>
      </c>
      <c r="K1012" s="43" t="s">
        <v>622</v>
      </c>
      <c r="L1012" s="44" t="s">
        <v>623</v>
      </c>
      <c r="M1012" s="44" t="s">
        <v>1568</v>
      </c>
      <c r="N1012" s="44" t="s">
        <v>144</v>
      </c>
      <c r="O1012" s="17"/>
      <c r="P1012" s="17"/>
      <c r="Q1012" s="17"/>
      <c r="R1012" s="17"/>
      <c r="S1012" s="17"/>
      <c r="T1012" s="17"/>
      <c r="U1012" s="17"/>
      <c r="V1012" s="17"/>
      <c r="W1012" s="17"/>
      <c r="X1012" s="17"/>
      <c r="Y1012" s="46"/>
      <c r="Z1012" s="47"/>
      <c r="AA1012" s="48"/>
      <c r="AB1012" s="48"/>
      <c r="AC1012" s="48"/>
      <c r="AD1012" s="48"/>
      <c r="AE1012" s="48"/>
      <c r="AF1012" s="48"/>
      <c r="AG1012" s="48"/>
      <c r="AH1012" s="48"/>
      <c r="AI1012" s="48"/>
    </row>
    <row r="1013" spans="1:35" ht="12.5" hidden="1">
      <c r="A1013" s="37" t="s">
        <v>523</v>
      </c>
      <c r="B1013" s="38" t="str">
        <f>IFERROR(VLOOKUP(J1013,catalogo!$B$1:$C$85,2,0),"-")</f>
        <v>#26</v>
      </c>
      <c r="C1013" s="39">
        <v>46078.416666666664</v>
      </c>
      <c r="D1013" s="40"/>
      <c r="E1013" s="41"/>
      <c r="F1013" s="41"/>
      <c r="G1013" s="42">
        <v>31.5</v>
      </c>
      <c r="H1013" s="42">
        <v>31.5</v>
      </c>
      <c r="I1013" s="43" t="s">
        <v>156</v>
      </c>
      <c r="J1013" s="43" t="s">
        <v>67</v>
      </c>
      <c r="K1013" s="43" t="s">
        <v>232</v>
      </c>
      <c r="L1013" s="44" t="s">
        <v>233</v>
      </c>
      <c r="M1013" s="44">
        <v>8061</v>
      </c>
      <c r="N1013" s="44" t="s">
        <v>167</v>
      </c>
      <c r="O1013" s="17"/>
      <c r="P1013" s="17"/>
      <c r="Q1013" s="17"/>
      <c r="R1013" s="17"/>
      <c r="S1013" s="17"/>
      <c r="T1013" s="17"/>
      <c r="U1013" s="17"/>
      <c r="V1013" s="17"/>
      <c r="W1013" s="17"/>
      <c r="X1013" s="17"/>
      <c r="Y1013" s="46"/>
      <c r="Z1013" s="47"/>
      <c r="AA1013" s="48"/>
      <c r="AB1013" s="48"/>
      <c r="AC1013" s="48"/>
      <c r="AD1013" s="48"/>
      <c r="AE1013" s="48"/>
      <c r="AF1013" s="48"/>
      <c r="AG1013" s="48"/>
      <c r="AH1013" s="48"/>
      <c r="AI1013" s="48"/>
    </row>
    <row r="1014" spans="1:35" ht="12.5" hidden="1">
      <c r="A1014" s="37" t="s">
        <v>520</v>
      </c>
      <c r="B1014" s="38" t="str">
        <f>IFERROR(VLOOKUP(J1014,catalogo!$B$1:$C$85,2,0),"-")</f>
        <v>#8</v>
      </c>
      <c r="C1014" s="39">
        <v>46078.416666666664</v>
      </c>
      <c r="D1014" s="40"/>
      <c r="E1014" s="41"/>
      <c r="F1014" s="41"/>
      <c r="G1014" s="42">
        <v>1796</v>
      </c>
      <c r="H1014" s="42">
        <v>1796</v>
      </c>
      <c r="I1014" s="43" t="s">
        <v>156</v>
      </c>
      <c r="J1014" s="43" t="s">
        <v>128</v>
      </c>
      <c r="K1014" s="43" t="s">
        <v>1051</v>
      </c>
      <c r="L1014" s="44" t="s">
        <v>820</v>
      </c>
      <c r="M1014" s="44">
        <v>16</v>
      </c>
      <c r="N1014" s="44" t="s">
        <v>167</v>
      </c>
      <c r="O1014" s="17"/>
      <c r="P1014" s="17"/>
      <c r="Q1014" s="17"/>
      <c r="R1014" s="17"/>
      <c r="S1014" s="17"/>
      <c r="T1014" s="17"/>
      <c r="U1014" s="17"/>
      <c r="V1014" s="17"/>
      <c r="W1014" s="17"/>
      <c r="X1014" s="17"/>
      <c r="Y1014" s="46"/>
      <c r="Z1014" s="47"/>
      <c r="AA1014" s="48"/>
      <c r="AB1014" s="48"/>
      <c r="AC1014" s="48"/>
      <c r="AD1014" s="48"/>
      <c r="AE1014" s="48"/>
      <c r="AF1014" s="48"/>
      <c r="AG1014" s="48"/>
      <c r="AH1014" s="48"/>
      <c r="AI1014" s="48"/>
    </row>
    <row r="1015" spans="1:35" ht="12.5" hidden="1">
      <c r="A1015" s="37" t="s">
        <v>517</v>
      </c>
      <c r="B1015" s="38" t="str">
        <f>IFERROR(VLOOKUP(J1015,catalogo!$B$1:$C$85,2,0),"-")</f>
        <v>#26</v>
      </c>
      <c r="C1015" s="39">
        <v>46078.416666666664</v>
      </c>
      <c r="D1015" s="40"/>
      <c r="E1015" s="41"/>
      <c r="F1015" s="41"/>
      <c r="G1015" s="42">
        <v>17</v>
      </c>
      <c r="H1015" s="42">
        <v>17</v>
      </c>
      <c r="I1015" s="43" t="s">
        <v>156</v>
      </c>
      <c r="J1015" s="43" t="s">
        <v>67</v>
      </c>
      <c r="K1015" s="43" t="s">
        <v>266</v>
      </c>
      <c r="L1015" s="44" t="s">
        <v>267</v>
      </c>
      <c r="M1015" s="44" t="s">
        <v>159</v>
      </c>
      <c r="N1015" s="44" t="s">
        <v>144</v>
      </c>
      <c r="O1015" s="17"/>
      <c r="P1015" s="17"/>
      <c r="Q1015" s="17"/>
      <c r="R1015" s="17"/>
      <c r="S1015" s="17"/>
      <c r="T1015" s="17"/>
      <c r="U1015" s="17"/>
      <c r="V1015" s="17"/>
      <c r="W1015" s="17"/>
      <c r="X1015" s="17"/>
      <c r="Y1015" s="46"/>
      <c r="Z1015" s="47"/>
      <c r="AA1015" s="48"/>
      <c r="AB1015" s="48"/>
      <c r="AC1015" s="48"/>
      <c r="AD1015" s="48"/>
      <c r="AE1015" s="48"/>
      <c r="AF1015" s="48"/>
      <c r="AG1015" s="48"/>
      <c r="AH1015" s="48"/>
      <c r="AI1015" s="48"/>
    </row>
    <row r="1016" spans="1:35" ht="15.5" hidden="1">
      <c r="A1016" s="37" t="s">
        <v>516</v>
      </c>
      <c r="B1016" s="38" t="str">
        <f>IFERROR(VLOOKUP(J1016,catalogo!$B$1:$C$85,2,0),"-")</f>
        <v>#19</v>
      </c>
      <c r="C1016" s="39">
        <v>46078.416666666664</v>
      </c>
      <c r="D1016" s="40"/>
      <c r="E1016" s="41"/>
      <c r="F1016" s="41"/>
      <c r="G1016" s="42">
        <v>266</v>
      </c>
      <c r="H1016" s="42">
        <v>266</v>
      </c>
      <c r="I1016" s="43" t="s">
        <v>156</v>
      </c>
      <c r="J1016" s="43" t="s">
        <v>105</v>
      </c>
      <c r="K1016" s="43" t="s">
        <v>371</v>
      </c>
      <c r="L1016" s="44" t="s">
        <v>233</v>
      </c>
      <c r="M1016" s="44" t="s">
        <v>276</v>
      </c>
      <c r="N1016" s="44" t="s">
        <v>144</v>
      </c>
      <c r="O1016" s="49"/>
      <c r="P1016" s="17"/>
      <c r="Q1016" s="17"/>
      <c r="R1016" s="17"/>
      <c r="S1016" s="17"/>
      <c r="T1016" s="17"/>
      <c r="U1016" s="17"/>
      <c r="V1016" s="17"/>
      <c r="W1016" s="17"/>
      <c r="X1016" s="17"/>
      <c r="Y1016" s="46"/>
      <c r="Z1016" s="47"/>
      <c r="AA1016" s="48"/>
      <c r="AB1016" s="48"/>
      <c r="AC1016" s="48"/>
      <c r="AD1016" s="48"/>
      <c r="AE1016" s="48"/>
      <c r="AF1016" s="48"/>
      <c r="AG1016" s="48"/>
      <c r="AH1016" s="48"/>
      <c r="AI1016" s="48"/>
    </row>
    <row r="1017" spans="1:35" ht="15.5" hidden="1">
      <c r="A1017" s="37" t="s">
        <v>515</v>
      </c>
      <c r="B1017" s="38" t="str">
        <f>IFERROR(VLOOKUP(J1017,catalogo!$B$1:$C$85,2,0),"-")</f>
        <v>#8</v>
      </c>
      <c r="C1017" s="39">
        <v>46078.416666666664</v>
      </c>
      <c r="D1017" s="40"/>
      <c r="E1017" s="41"/>
      <c r="F1017" s="41"/>
      <c r="G1017" s="42">
        <v>1614.52</v>
      </c>
      <c r="H1017" s="42">
        <v>1614.52</v>
      </c>
      <c r="I1017" s="43" t="s">
        <v>156</v>
      </c>
      <c r="J1017" s="43" t="s">
        <v>128</v>
      </c>
      <c r="K1017" s="43" t="s">
        <v>1828</v>
      </c>
      <c r="L1017" s="44" t="s">
        <v>1829</v>
      </c>
      <c r="M1017" s="44">
        <v>16</v>
      </c>
      <c r="N1017" s="44" t="s">
        <v>167</v>
      </c>
      <c r="O1017" s="49"/>
      <c r="P1017" s="17"/>
      <c r="Q1017" s="17"/>
      <c r="R1017" s="17"/>
      <c r="S1017" s="17"/>
      <c r="T1017" s="17"/>
      <c r="U1017" s="17"/>
      <c r="V1017" s="17"/>
      <c r="W1017" s="17"/>
      <c r="X1017" s="17"/>
      <c r="Y1017" s="46"/>
      <c r="Z1017" s="47"/>
      <c r="AA1017" s="48"/>
      <c r="AB1017" s="48"/>
      <c r="AC1017" s="48"/>
      <c r="AD1017" s="48"/>
      <c r="AE1017" s="48"/>
      <c r="AF1017" s="48"/>
      <c r="AG1017" s="48"/>
      <c r="AH1017" s="48"/>
      <c r="AI1017" s="48"/>
    </row>
    <row r="1018" spans="1:35" ht="12.5" hidden="1">
      <c r="A1018" s="37" t="s">
        <v>514</v>
      </c>
      <c r="B1018" s="38" t="str">
        <f>IFERROR(VLOOKUP(J1018,catalogo!$B$1:$C$85,2,0),"-")</f>
        <v>-</v>
      </c>
      <c r="C1018" s="39">
        <v>46078.416666666664</v>
      </c>
      <c r="D1018" s="40"/>
      <c r="E1018" s="41"/>
      <c r="F1018" s="41"/>
      <c r="G1018" s="42">
        <v>50</v>
      </c>
      <c r="H1018" s="42">
        <v>50</v>
      </c>
      <c r="I1018" s="43" t="s">
        <v>156</v>
      </c>
      <c r="J1018" s="43" t="s">
        <v>659</v>
      </c>
      <c r="K1018" s="43" t="s">
        <v>660</v>
      </c>
      <c r="L1018" s="44" t="s">
        <v>661</v>
      </c>
      <c r="M1018" s="44" t="s">
        <v>662</v>
      </c>
      <c r="N1018" s="44" t="s">
        <v>144</v>
      </c>
      <c r="O1018" s="17"/>
      <c r="P1018" s="17"/>
      <c r="Q1018" s="17"/>
      <c r="R1018" s="17"/>
      <c r="S1018" s="17"/>
      <c r="T1018" s="17"/>
      <c r="U1018" s="17"/>
      <c r="V1018" s="17"/>
      <c r="W1018" s="17"/>
      <c r="X1018" s="17"/>
      <c r="Y1018" s="46"/>
      <c r="Z1018" s="47"/>
      <c r="AA1018" s="48"/>
      <c r="AB1018" s="48"/>
      <c r="AC1018" s="48"/>
      <c r="AD1018" s="48"/>
      <c r="AE1018" s="48"/>
      <c r="AF1018" s="48"/>
      <c r="AG1018" s="48"/>
      <c r="AH1018" s="48"/>
      <c r="AI1018" s="48"/>
    </row>
    <row r="1019" spans="1:35" ht="12.5" hidden="1">
      <c r="A1019" s="37" t="s">
        <v>512</v>
      </c>
      <c r="B1019" s="38" t="str">
        <f>IFERROR(VLOOKUP(J1019,catalogo!$B$1:$C$85,2,0),"-")</f>
        <v>-</v>
      </c>
      <c r="C1019" s="39">
        <v>46078.416666666664</v>
      </c>
      <c r="D1019" s="40"/>
      <c r="E1019" s="41"/>
      <c r="F1019" s="41"/>
      <c r="G1019" s="42">
        <v>300</v>
      </c>
      <c r="H1019" s="42">
        <v>300</v>
      </c>
      <c r="I1019" s="43" t="s">
        <v>156</v>
      </c>
      <c r="J1019" s="43" t="s">
        <v>659</v>
      </c>
      <c r="K1019" s="43" t="s">
        <v>1830</v>
      </c>
      <c r="L1019" s="44" t="s">
        <v>1831</v>
      </c>
      <c r="M1019" s="44" t="s">
        <v>662</v>
      </c>
      <c r="N1019" s="44" t="s">
        <v>144</v>
      </c>
      <c r="O1019" s="17"/>
      <c r="P1019" s="17"/>
      <c r="Q1019" s="17"/>
      <c r="R1019" s="17"/>
      <c r="S1019" s="17"/>
      <c r="T1019" s="17"/>
      <c r="U1019" s="17"/>
      <c r="V1019" s="17"/>
      <c r="W1019" s="17"/>
      <c r="X1019" s="17"/>
      <c r="Y1019" s="46"/>
      <c r="Z1019" s="47"/>
      <c r="AA1019" s="48"/>
      <c r="AB1019" s="48"/>
      <c r="AC1019" s="48"/>
      <c r="AD1019" s="48"/>
      <c r="AE1019" s="48"/>
      <c r="AF1019" s="48"/>
      <c r="AG1019" s="48"/>
      <c r="AH1019" s="48"/>
      <c r="AI1019" s="48"/>
    </row>
    <row r="1020" spans="1:35" ht="12.5" hidden="1">
      <c r="A1020" s="37" t="s">
        <v>509</v>
      </c>
      <c r="B1020" s="38" t="str">
        <f>IFERROR(VLOOKUP(J1020,catalogo!$B$1:$C$85,2,0),"-")</f>
        <v>#26</v>
      </c>
      <c r="C1020" s="39">
        <v>46078.416666666664</v>
      </c>
      <c r="D1020" s="40"/>
      <c r="E1020" s="41"/>
      <c r="F1020" s="41"/>
      <c r="G1020" s="42">
        <v>163</v>
      </c>
      <c r="H1020" s="42">
        <v>163</v>
      </c>
      <c r="I1020" s="43" t="s">
        <v>156</v>
      </c>
      <c r="J1020" s="43" t="s">
        <v>67</v>
      </c>
      <c r="K1020" s="43" t="s">
        <v>335</v>
      </c>
      <c r="L1020" s="44" t="s">
        <v>336</v>
      </c>
      <c r="M1020" s="44" t="s">
        <v>159</v>
      </c>
      <c r="N1020" s="44" t="s">
        <v>144</v>
      </c>
      <c r="O1020" s="17"/>
      <c r="P1020" s="17"/>
      <c r="Q1020" s="17"/>
      <c r="R1020" s="17"/>
      <c r="S1020" s="17"/>
      <c r="T1020" s="17"/>
      <c r="U1020" s="17"/>
      <c r="V1020" s="17"/>
      <c r="W1020" s="17"/>
      <c r="X1020" s="17"/>
      <c r="Y1020" s="46"/>
      <c r="Z1020" s="47"/>
      <c r="AA1020" s="48"/>
      <c r="AB1020" s="48"/>
      <c r="AC1020" s="48"/>
      <c r="AD1020" s="48"/>
      <c r="AE1020" s="48"/>
      <c r="AF1020" s="48"/>
      <c r="AG1020" s="48"/>
      <c r="AH1020" s="48"/>
      <c r="AI1020" s="48"/>
    </row>
    <row r="1021" spans="1:35" ht="12.5" hidden="1">
      <c r="A1021" s="37" t="s">
        <v>506</v>
      </c>
      <c r="B1021" s="38" t="str">
        <f>IFERROR(VLOOKUP(J1021,catalogo!$B$1:$C$85,2,0),"-")</f>
        <v>#64</v>
      </c>
      <c r="C1021" s="39">
        <v>46078.417361111111</v>
      </c>
      <c r="D1021" s="40"/>
      <c r="E1021" s="41"/>
      <c r="F1021" s="41"/>
      <c r="G1021" s="42">
        <v>444</v>
      </c>
      <c r="H1021" s="42">
        <v>444</v>
      </c>
      <c r="I1021" s="43" t="s">
        <v>156</v>
      </c>
      <c r="J1021" s="43" t="s">
        <v>139</v>
      </c>
      <c r="K1021" s="43" t="s">
        <v>1270</v>
      </c>
      <c r="L1021" s="44" t="s">
        <v>1271</v>
      </c>
      <c r="M1021" s="44">
        <v>7142</v>
      </c>
      <c r="N1021" s="44" t="s">
        <v>167</v>
      </c>
      <c r="O1021" s="17"/>
      <c r="P1021" s="17"/>
      <c r="Q1021" s="17"/>
      <c r="R1021" s="17"/>
      <c r="S1021" s="17"/>
      <c r="T1021" s="17"/>
      <c r="U1021" s="17"/>
      <c r="V1021" s="17"/>
      <c r="W1021" s="17"/>
      <c r="X1021" s="17"/>
      <c r="Y1021" s="46"/>
      <c r="Z1021" s="47"/>
      <c r="AA1021" s="48"/>
      <c r="AB1021" s="48"/>
      <c r="AC1021" s="48"/>
      <c r="AD1021" s="48"/>
      <c r="AE1021" s="48"/>
      <c r="AF1021" s="48"/>
      <c r="AG1021" s="48"/>
      <c r="AH1021" s="48"/>
      <c r="AI1021" s="48"/>
    </row>
    <row r="1022" spans="1:35" ht="12.5" hidden="1">
      <c r="A1022" s="37" t="s">
        <v>503</v>
      </c>
      <c r="B1022" s="38" t="str">
        <f>IFERROR(VLOOKUP(J1022,catalogo!$B$1:$C$85,2,0),"-")</f>
        <v>#26</v>
      </c>
      <c r="C1022" s="39">
        <v>46078.417361111111</v>
      </c>
      <c r="D1022" s="40"/>
      <c r="E1022" s="41"/>
      <c r="F1022" s="41"/>
      <c r="G1022" s="42">
        <v>115.5</v>
      </c>
      <c r="H1022" s="42">
        <v>115.5</v>
      </c>
      <c r="I1022" s="43" t="s">
        <v>156</v>
      </c>
      <c r="J1022" s="43" t="s">
        <v>67</v>
      </c>
      <c r="K1022" s="43" t="s">
        <v>970</v>
      </c>
      <c r="L1022" s="44" t="s">
        <v>971</v>
      </c>
      <c r="M1022" s="44">
        <v>8061</v>
      </c>
      <c r="N1022" s="44" t="s">
        <v>167</v>
      </c>
      <c r="O1022" s="17"/>
      <c r="P1022" s="17"/>
      <c r="Q1022" s="17"/>
      <c r="R1022" s="17"/>
      <c r="S1022" s="17"/>
      <c r="T1022" s="17"/>
      <c r="U1022" s="17"/>
      <c r="V1022" s="17"/>
      <c r="W1022" s="17"/>
      <c r="X1022" s="17"/>
      <c r="Y1022" s="46"/>
      <c r="Z1022" s="47"/>
      <c r="AA1022" s="48"/>
      <c r="AB1022" s="48"/>
      <c r="AC1022" s="48"/>
      <c r="AD1022" s="48"/>
      <c r="AE1022" s="48"/>
      <c r="AF1022" s="48"/>
      <c r="AG1022" s="48"/>
      <c r="AH1022" s="48"/>
      <c r="AI1022" s="48"/>
    </row>
    <row r="1023" spans="1:35" ht="12.5">
      <c r="A1023" s="37" t="s">
        <v>502</v>
      </c>
      <c r="B1023" s="38" t="str">
        <f>IFERROR(VLOOKUP(J1023,catalogo!$B$1:$C$85,2,0),"-")</f>
        <v>-</v>
      </c>
      <c r="C1023" s="39">
        <v>46078.417361111111</v>
      </c>
      <c r="D1023" s="40"/>
      <c r="E1023" s="41"/>
      <c r="F1023" s="41"/>
      <c r="G1023" s="42">
        <v>399</v>
      </c>
      <c r="H1023" s="42">
        <v>399</v>
      </c>
      <c r="I1023" s="43" t="s">
        <v>156</v>
      </c>
      <c r="J1023" s="43" t="s">
        <v>659</v>
      </c>
      <c r="K1023" s="43" t="s">
        <v>173</v>
      </c>
      <c r="L1023" s="44" t="s">
        <v>174</v>
      </c>
      <c r="M1023" s="44" t="s">
        <v>662</v>
      </c>
      <c r="N1023" s="44" t="s">
        <v>144</v>
      </c>
      <c r="O1023" s="17"/>
      <c r="P1023" s="17"/>
      <c r="Q1023" s="17"/>
      <c r="R1023" s="17"/>
      <c r="S1023" s="17"/>
      <c r="T1023" s="17"/>
      <c r="U1023" s="17"/>
      <c r="V1023" s="17"/>
      <c r="W1023" s="17"/>
      <c r="X1023" s="17"/>
      <c r="Y1023" s="46"/>
      <c r="Z1023" s="47"/>
      <c r="AA1023" s="48"/>
      <c r="AB1023" s="48"/>
      <c r="AC1023" s="48"/>
      <c r="AD1023" s="48"/>
      <c r="AE1023" s="48"/>
      <c r="AF1023" s="48"/>
      <c r="AG1023" s="48"/>
      <c r="AH1023" s="48"/>
      <c r="AI1023" s="48"/>
    </row>
    <row r="1024" spans="1:35" ht="12.5" hidden="1">
      <c r="A1024" s="37" t="s">
        <v>501</v>
      </c>
      <c r="B1024" s="38" t="str">
        <f>IFERROR(VLOOKUP(J1024,catalogo!$B$1:$C$85,2,0),"-")</f>
        <v>#64</v>
      </c>
      <c r="C1024" s="39">
        <v>46078.417361111111</v>
      </c>
      <c r="D1024" s="40"/>
      <c r="E1024" s="41"/>
      <c r="F1024" s="41"/>
      <c r="G1024" s="42">
        <v>53.5</v>
      </c>
      <c r="H1024" s="42">
        <v>53.5</v>
      </c>
      <c r="I1024" s="43" t="s">
        <v>156</v>
      </c>
      <c r="J1024" s="43" t="s">
        <v>139</v>
      </c>
      <c r="K1024" s="43" t="s">
        <v>836</v>
      </c>
      <c r="L1024" s="44" t="s">
        <v>655</v>
      </c>
      <c r="M1024" s="44">
        <v>7142</v>
      </c>
      <c r="N1024" s="44" t="s">
        <v>167</v>
      </c>
      <c r="O1024" s="17"/>
      <c r="P1024" s="17"/>
      <c r="Q1024" s="17"/>
      <c r="R1024" s="17"/>
      <c r="S1024" s="17"/>
      <c r="T1024" s="17"/>
      <c r="U1024" s="17"/>
      <c r="V1024" s="17"/>
      <c r="W1024" s="17"/>
      <c r="X1024" s="17"/>
      <c r="Y1024" s="46"/>
      <c r="Z1024" s="47"/>
      <c r="AA1024" s="48"/>
      <c r="AB1024" s="48"/>
      <c r="AC1024" s="48"/>
      <c r="AD1024" s="48"/>
      <c r="AE1024" s="48"/>
      <c r="AF1024" s="48"/>
      <c r="AG1024" s="48"/>
      <c r="AH1024" s="48"/>
      <c r="AI1024" s="48"/>
    </row>
    <row r="1025" spans="1:35" ht="15.5" hidden="1">
      <c r="A1025" s="37" t="s">
        <v>498</v>
      </c>
      <c r="B1025" s="38" t="str">
        <f>IFERROR(VLOOKUP(J1025,catalogo!$B$1:$C$85,2,0),"-")</f>
        <v>-</v>
      </c>
      <c r="C1025" s="39">
        <v>46078.417361111111</v>
      </c>
      <c r="D1025" s="40"/>
      <c r="E1025" s="41"/>
      <c r="F1025" s="41"/>
      <c r="G1025" s="42">
        <v>134.55000000000001</v>
      </c>
      <c r="H1025" s="42">
        <v>134.55000000000001</v>
      </c>
      <c r="I1025" s="43" t="s">
        <v>156</v>
      </c>
      <c r="J1025" s="43" t="s">
        <v>187</v>
      </c>
      <c r="K1025" s="43" t="s">
        <v>1832</v>
      </c>
      <c r="L1025" s="44" t="s">
        <v>1833</v>
      </c>
      <c r="M1025" s="44" t="s">
        <v>190</v>
      </c>
      <c r="N1025" s="44" t="s">
        <v>167</v>
      </c>
      <c r="O1025" s="49"/>
      <c r="P1025" s="17"/>
      <c r="Q1025" s="17"/>
      <c r="R1025" s="17"/>
      <c r="S1025" s="17"/>
      <c r="T1025" s="17"/>
      <c r="U1025" s="17"/>
      <c r="V1025" s="17"/>
      <c r="W1025" s="17"/>
      <c r="X1025" s="17"/>
      <c r="Y1025" s="46"/>
      <c r="Z1025" s="47"/>
      <c r="AA1025" s="48"/>
      <c r="AB1025" s="48"/>
      <c r="AC1025" s="48"/>
      <c r="AD1025" s="48"/>
      <c r="AE1025" s="48"/>
      <c r="AF1025" s="48"/>
      <c r="AG1025" s="48"/>
      <c r="AH1025" s="48"/>
      <c r="AI1025" s="48"/>
    </row>
    <row r="1026" spans="1:35" ht="12.5" hidden="1">
      <c r="A1026" s="37" t="s">
        <v>497</v>
      </c>
      <c r="B1026" s="38" t="str">
        <f>IFERROR(VLOOKUP(J1026,catalogo!$B$1:$C$85,2,0),"-")</f>
        <v>#5</v>
      </c>
      <c r="C1026" s="39">
        <v>46078.417361111111</v>
      </c>
      <c r="D1026" s="40"/>
      <c r="E1026" s="41"/>
      <c r="F1026" s="41"/>
      <c r="G1026" s="42">
        <v>399</v>
      </c>
      <c r="H1026" s="42">
        <v>399</v>
      </c>
      <c r="I1026" s="43" t="s">
        <v>156</v>
      </c>
      <c r="J1026" s="43" t="s">
        <v>104</v>
      </c>
      <c r="K1026" s="43" t="s">
        <v>1834</v>
      </c>
      <c r="L1026" s="44" t="s">
        <v>1835</v>
      </c>
      <c r="M1026" s="44">
        <v>3283</v>
      </c>
      <c r="N1026" s="44" t="s">
        <v>167</v>
      </c>
      <c r="O1026" s="17"/>
      <c r="P1026" s="17"/>
      <c r="Q1026" s="17"/>
      <c r="R1026" s="17"/>
      <c r="S1026" s="17"/>
      <c r="T1026" s="17"/>
      <c r="U1026" s="17"/>
      <c r="V1026" s="17"/>
      <c r="W1026" s="17"/>
      <c r="X1026" s="17"/>
      <c r="Y1026" s="46"/>
      <c r="Z1026" s="47"/>
      <c r="AA1026" s="48"/>
      <c r="AB1026" s="48"/>
      <c r="AC1026" s="48"/>
      <c r="AD1026" s="48"/>
      <c r="AE1026" s="48"/>
      <c r="AF1026" s="48"/>
      <c r="AG1026" s="48"/>
      <c r="AH1026" s="48"/>
      <c r="AI1026" s="48"/>
    </row>
    <row r="1027" spans="1:35" ht="12.5" hidden="1">
      <c r="A1027" s="37" t="s">
        <v>496</v>
      </c>
      <c r="B1027" s="38" t="str">
        <f>IFERROR(VLOOKUP(J1027,catalogo!$B$1:$C$85,2,0),"-")</f>
        <v>-</v>
      </c>
      <c r="C1027" s="39">
        <v>46078.417361111111</v>
      </c>
      <c r="D1027" s="40"/>
      <c r="E1027" s="41"/>
      <c r="F1027" s="41"/>
      <c r="G1027" s="42">
        <v>700</v>
      </c>
      <c r="H1027" s="42">
        <v>700</v>
      </c>
      <c r="I1027" s="43" t="s">
        <v>156</v>
      </c>
      <c r="J1027" s="43" t="s">
        <v>710</v>
      </c>
      <c r="K1027" s="43" t="s">
        <v>1836</v>
      </c>
      <c r="L1027" s="44" t="s">
        <v>1837</v>
      </c>
      <c r="M1027" s="44">
        <v>5652</v>
      </c>
      <c r="N1027" s="44" t="s">
        <v>167</v>
      </c>
      <c r="O1027" s="17"/>
      <c r="P1027" s="17"/>
      <c r="Q1027" s="17"/>
      <c r="R1027" s="17"/>
      <c r="S1027" s="17"/>
      <c r="T1027" s="17"/>
      <c r="U1027" s="17"/>
      <c r="V1027" s="17"/>
      <c r="W1027" s="17"/>
      <c r="X1027" s="17"/>
      <c r="Y1027" s="46"/>
      <c r="Z1027" s="47"/>
      <c r="AA1027" s="48"/>
      <c r="AB1027" s="48"/>
      <c r="AC1027" s="48"/>
      <c r="AD1027" s="48"/>
      <c r="AE1027" s="48"/>
      <c r="AF1027" s="48"/>
      <c r="AG1027" s="48"/>
      <c r="AH1027" s="48"/>
      <c r="AI1027" s="48"/>
    </row>
    <row r="1028" spans="1:35" ht="12.5" hidden="1">
      <c r="A1028" s="37" t="s">
        <v>494</v>
      </c>
      <c r="B1028" s="38" t="str">
        <f>IFERROR(VLOOKUP(J1028,catalogo!$B$1:$C$85,2,0),"-")</f>
        <v>-</v>
      </c>
      <c r="C1028" s="39">
        <v>46078.417361111111</v>
      </c>
      <c r="D1028" s="40"/>
      <c r="E1028" s="41"/>
      <c r="F1028" s="41"/>
      <c r="G1028" s="42">
        <v>451</v>
      </c>
      <c r="H1028" s="42">
        <v>451</v>
      </c>
      <c r="I1028" s="43" t="s">
        <v>156</v>
      </c>
      <c r="J1028" s="43" t="s">
        <v>269</v>
      </c>
      <c r="K1028" s="43" t="s">
        <v>1838</v>
      </c>
      <c r="L1028" s="44" t="s">
        <v>1839</v>
      </c>
      <c r="M1028" s="44">
        <v>6130</v>
      </c>
      <c r="N1028" s="44" t="s">
        <v>167</v>
      </c>
      <c r="O1028" s="17"/>
      <c r="P1028" s="17"/>
      <c r="Q1028" s="17"/>
      <c r="R1028" s="17"/>
      <c r="S1028" s="17"/>
      <c r="T1028" s="17"/>
      <c r="U1028" s="17"/>
      <c r="V1028" s="17"/>
      <c r="W1028" s="17"/>
      <c r="X1028" s="17"/>
      <c r="Y1028" s="46"/>
      <c r="Z1028" s="47"/>
      <c r="AA1028" s="48"/>
      <c r="AB1028" s="48"/>
      <c r="AC1028" s="48"/>
      <c r="AD1028" s="48"/>
      <c r="AE1028" s="48"/>
      <c r="AF1028" s="48"/>
      <c r="AG1028" s="48"/>
      <c r="AH1028" s="48"/>
      <c r="AI1028" s="48"/>
    </row>
    <row r="1029" spans="1:35" ht="12.5" hidden="1">
      <c r="A1029" s="37" t="s">
        <v>492</v>
      </c>
      <c r="B1029" s="38" t="str">
        <f>IFERROR(VLOOKUP(J1029,catalogo!$B$1:$C$85,2,0),"-")</f>
        <v>#26</v>
      </c>
      <c r="C1029" s="39">
        <v>46078.417361111111</v>
      </c>
      <c r="D1029" s="40"/>
      <c r="E1029" s="41"/>
      <c r="F1029" s="41"/>
      <c r="G1029" s="42">
        <v>767.55</v>
      </c>
      <c r="H1029" s="42">
        <v>767.55</v>
      </c>
      <c r="I1029" s="43" t="s">
        <v>156</v>
      </c>
      <c r="J1029" s="43" t="s">
        <v>67</v>
      </c>
      <c r="K1029" s="43" t="s">
        <v>1840</v>
      </c>
      <c r="L1029" s="44" t="s">
        <v>1841</v>
      </c>
      <c r="M1029" s="44">
        <v>8061</v>
      </c>
      <c r="N1029" s="44" t="s">
        <v>167</v>
      </c>
      <c r="O1029" s="17"/>
      <c r="P1029" s="17"/>
      <c r="Q1029" s="17"/>
      <c r="R1029" s="17"/>
      <c r="S1029" s="17"/>
      <c r="T1029" s="17"/>
      <c r="U1029" s="17"/>
      <c r="V1029" s="17"/>
      <c r="W1029" s="17"/>
      <c r="X1029" s="17"/>
      <c r="Y1029" s="46"/>
      <c r="Z1029" s="47"/>
      <c r="AA1029" s="48"/>
      <c r="AB1029" s="48"/>
      <c r="AC1029" s="48"/>
      <c r="AD1029" s="48"/>
      <c r="AE1029" s="48"/>
      <c r="AF1029" s="48"/>
      <c r="AG1029" s="48"/>
      <c r="AH1029" s="48"/>
      <c r="AI1029" s="48"/>
    </row>
    <row r="1030" spans="1:35" ht="12.5" hidden="1">
      <c r="A1030" s="37" t="s">
        <v>489</v>
      </c>
      <c r="B1030" s="38" t="str">
        <f>IFERROR(VLOOKUP(J1030,catalogo!$B$1:$C$85,2,0),"-")</f>
        <v>-</v>
      </c>
      <c r="C1030" s="39">
        <v>46078.417361111111</v>
      </c>
      <c r="D1030" s="40"/>
      <c r="E1030" s="41"/>
      <c r="F1030" s="41"/>
      <c r="G1030" s="42">
        <v>461.03</v>
      </c>
      <c r="H1030" s="42">
        <v>461.03</v>
      </c>
      <c r="I1030" s="43" t="s">
        <v>156</v>
      </c>
      <c r="J1030" s="43" t="s">
        <v>269</v>
      </c>
      <c r="K1030" s="43" t="s">
        <v>1842</v>
      </c>
      <c r="L1030" s="44" t="s">
        <v>1843</v>
      </c>
      <c r="M1030" s="44">
        <v>6130</v>
      </c>
      <c r="N1030" s="44" t="s">
        <v>167</v>
      </c>
      <c r="O1030" s="17"/>
      <c r="P1030" s="17"/>
      <c r="Q1030" s="17"/>
      <c r="R1030" s="17"/>
      <c r="S1030" s="17"/>
      <c r="T1030" s="17"/>
      <c r="U1030" s="17"/>
      <c r="V1030" s="17"/>
      <c r="W1030" s="17"/>
      <c r="X1030" s="17"/>
      <c r="Y1030" s="46"/>
      <c r="Z1030" s="47"/>
      <c r="AA1030" s="48"/>
      <c r="AB1030" s="48"/>
      <c r="AC1030" s="48"/>
      <c r="AD1030" s="48"/>
      <c r="AE1030" s="48"/>
      <c r="AF1030" s="48"/>
      <c r="AG1030" s="48"/>
      <c r="AH1030" s="48"/>
      <c r="AI1030" s="48"/>
    </row>
    <row r="1031" spans="1:35" ht="12.5" hidden="1">
      <c r="A1031" s="37" t="s">
        <v>487</v>
      </c>
      <c r="B1031" s="38" t="str">
        <f>IFERROR(VLOOKUP(J1031,catalogo!$B$1:$C$85,2,0),"-")</f>
        <v>-</v>
      </c>
      <c r="C1031" s="39">
        <v>46078.417361111111</v>
      </c>
      <c r="D1031" s="40"/>
      <c r="E1031" s="41"/>
      <c r="F1031" s="41"/>
      <c r="G1031" s="42">
        <v>190</v>
      </c>
      <c r="H1031" s="42">
        <v>190</v>
      </c>
      <c r="I1031" s="43" t="s">
        <v>156</v>
      </c>
      <c r="J1031" s="43" t="s">
        <v>710</v>
      </c>
      <c r="K1031" s="43" t="s">
        <v>1844</v>
      </c>
      <c r="L1031" s="44" t="s">
        <v>407</v>
      </c>
      <c r="M1031" s="44">
        <v>5652</v>
      </c>
      <c r="N1031" s="44" t="s">
        <v>167</v>
      </c>
      <c r="O1031" s="17"/>
      <c r="P1031" s="17"/>
      <c r="Q1031" s="17"/>
      <c r="R1031" s="17"/>
      <c r="S1031" s="17"/>
      <c r="T1031" s="17"/>
      <c r="U1031" s="17"/>
      <c r="V1031" s="17"/>
      <c r="W1031" s="17"/>
      <c r="X1031" s="17"/>
      <c r="Y1031" s="46"/>
      <c r="Z1031" s="47"/>
      <c r="AA1031" s="48"/>
      <c r="AB1031" s="48"/>
      <c r="AC1031" s="48"/>
      <c r="AD1031" s="48"/>
      <c r="AE1031" s="48"/>
      <c r="AF1031" s="48"/>
      <c r="AG1031" s="48"/>
      <c r="AH1031" s="48"/>
      <c r="AI1031" s="48"/>
    </row>
    <row r="1032" spans="1:35" ht="12.5" hidden="1">
      <c r="A1032" s="37" t="s">
        <v>486</v>
      </c>
      <c r="B1032" s="38" t="str">
        <f>IFERROR(VLOOKUP(J1032,catalogo!$B$1:$C$85,2,0),"-")</f>
        <v>-</v>
      </c>
      <c r="C1032" s="39">
        <v>46078.417361111111</v>
      </c>
      <c r="D1032" s="40"/>
      <c r="E1032" s="41"/>
      <c r="F1032" s="41"/>
      <c r="G1032" s="42">
        <v>380</v>
      </c>
      <c r="H1032" s="42">
        <v>380</v>
      </c>
      <c r="I1032" s="43" t="s">
        <v>156</v>
      </c>
      <c r="J1032" s="43" t="s">
        <v>269</v>
      </c>
      <c r="K1032" s="43" t="s">
        <v>1842</v>
      </c>
      <c r="L1032" s="44" t="s">
        <v>1843</v>
      </c>
      <c r="M1032" s="44">
        <v>6130</v>
      </c>
      <c r="N1032" s="44" t="s">
        <v>167</v>
      </c>
      <c r="O1032" s="17"/>
      <c r="P1032" s="17"/>
      <c r="Q1032" s="17"/>
      <c r="R1032" s="17"/>
      <c r="S1032" s="17"/>
      <c r="T1032" s="17"/>
      <c r="U1032" s="17"/>
      <c r="V1032" s="17"/>
      <c r="W1032" s="17"/>
      <c r="X1032" s="17"/>
      <c r="Y1032" s="46"/>
      <c r="Z1032" s="47"/>
      <c r="AA1032" s="48"/>
      <c r="AB1032" s="48"/>
      <c r="AC1032" s="48"/>
      <c r="AD1032" s="48"/>
      <c r="AE1032" s="48"/>
      <c r="AF1032" s="48"/>
      <c r="AG1032" s="48"/>
      <c r="AH1032" s="48"/>
      <c r="AI1032" s="48"/>
    </row>
    <row r="1033" spans="1:35" ht="12.5" hidden="1">
      <c r="A1033" s="37" t="s">
        <v>484</v>
      </c>
      <c r="B1033" s="38" t="str">
        <f>IFERROR(VLOOKUP(J1033,catalogo!$B$1:$C$85,2,0),"-")</f>
        <v>#68</v>
      </c>
      <c r="C1033" s="39">
        <v>46078.417361111111</v>
      </c>
      <c r="D1033" s="40"/>
      <c r="E1033" s="41"/>
      <c r="F1033" s="41"/>
      <c r="G1033" s="42">
        <v>1455.9</v>
      </c>
      <c r="H1033" s="42">
        <v>1455.9</v>
      </c>
      <c r="I1033" s="43" t="s">
        <v>156</v>
      </c>
      <c r="J1033" s="43" t="s">
        <v>384</v>
      </c>
      <c r="K1033" s="43" t="s">
        <v>1845</v>
      </c>
      <c r="L1033" s="44" t="s">
        <v>1846</v>
      </c>
      <c r="M1033" s="44">
        <v>2937</v>
      </c>
      <c r="N1033" s="44" t="s">
        <v>167</v>
      </c>
      <c r="O1033" s="41"/>
      <c r="P1033" s="41"/>
      <c r="Q1033" s="41"/>
      <c r="R1033" s="41"/>
      <c r="S1033" s="41"/>
      <c r="T1033" s="41"/>
      <c r="U1033" s="41"/>
      <c r="V1033" s="41"/>
      <c r="W1033" s="41"/>
      <c r="X1033" s="41"/>
      <c r="Y1033" s="46"/>
      <c r="Z1033" s="47"/>
      <c r="AA1033" s="48"/>
      <c r="AB1033" s="48"/>
      <c r="AC1033" s="48"/>
      <c r="AD1033" s="48"/>
      <c r="AE1033" s="48"/>
      <c r="AF1033" s="48"/>
      <c r="AG1033" s="48"/>
      <c r="AH1033" s="48"/>
      <c r="AI1033" s="48"/>
    </row>
    <row r="1034" spans="1:35" ht="12.5" hidden="1">
      <c r="A1034" s="37" t="s">
        <v>482</v>
      </c>
      <c r="B1034" s="38" t="str">
        <f>IFERROR(VLOOKUP(J1034,catalogo!$B$1:$C$85,2,0),"-")</f>
        <v>#5</v>
      </c>
      <c r="C1034" s="39">
        <v>46078.417361111111</v>
      </c>
      <c r="D1034" s="40"/>
      <c r="E1034" s="41"/>
      <c r="F1034" s="41"/>
      <c r="G1034" s="42">
        <v>1266.54</v>
      </c>
      <c r="H1034" s="42">
        <v>1266.54</v>
      </c>
      <c r="I1034" s="43" t="s">
        <v>156</v>
      </c>
      <c r="J1034" s="43" t="s">
        <v>104</v>
      </c>
      <c r="K1034" s="43" t="s">
        <v>399</v>
      </c>
      <c r="L1034" s="44" t="s">
        <v>400</v>
      </c>
      <c r="M1034" s="44">
        <v>3283</v>
      </c>
      <c r="N1034" s="44" t="s">
        <v>167</v>
      </c>
      <c r="O1034" s="17"/>
      <c r="P1034" s="17"/>
      <c r="Q1034" s="17"/>
      <c r="R1034" s="17"/>
      <c r="S1034" s="17"/>
      <c r="T1034" s="17"/>
      <c r="U1034" s="17"/>
      <c r="V1034" s="17"/>
      <c r="W1034" s="17"/>
      <c r="X1034" s="17"/>
      <c r="Y1034" s="46"/>
      <c r="Z1034" s="47"/>
      <c r="AA1034" s="48"/>
      <c r="AB1034" s="48"/>
      <c r="AC1034" s="48"/>
      <c r="AD1034" s="48"/>
      <c r="AE1034" s="48"/>
      <c r="AF1034" s="48"/>
      <c r="AG1034" s="48"/>
      <c r="AH1034" s="48"/>
      <c r="AI1034" s="48"/>
    </row>
    <row r="1035" spans="1:35" ht="12.5" hidden="1">
      <c r="A1035" s="37" t="s">
        <v>481</v>
      </c>
      <c r="B1035" s="38" t="str">
        <f>IFERROR(VLOOKUP(J1035,catalogo!$B$1:$C$85,2,0),"-")</f>
        <v>#68</v>
      </c>
      <c r="C1035" s="39">
        <v>46078.417361111111</v>
      </c>
      <c r="D1035" s="40"/>
      <c r="E1035" s="41"/>
      <c r="F1035" s="41"/>
      <c r="G1035" s="42">
        <v>190.71</v>
      </c>
      <c r="H1035" s="42">
        <v>10.6</v>
      </c>
      <c r="I1035" s="43" t="s">
        <v>172</v>
      </c>
      <c r="J1035" s="43" t="s">
        <v>384</v>
      </c>
      <c r="K1035" s="43" t="s">
        <v>1847</v>
      </c>
      <c r="L1035" s="44" t="s">
        <v>1848</v>
      </c>
      <c r="M1035" s="44">
        <v>2937</v>
      </c>
      <c r="N1035" s="44" t="s">
        <v>167</v>
      </c>
      <c r="O1035" s="17"/>
      <c r="P1035" s="17"/>
      <c r="Q1035" s="17"/>
      <c r="R1035" s="17"/>
      <c r="S1035" s="17"/>
      <c r="T1035" s="17"/>
      <c r="U1035" s="17"/>
      <c r="V1035" s="17"/>
      <c r="W1035" s="17"/>
      <c r="X1035" s="17"/>
      <c r="Y1035" s="46"/>
      <c r="Z1035" s="47"/>
      <c r="AA1035" s="48"/>
      <c r="AB1035" s="48"/>
      <c r="AC1035" s="48"/>
      <c r="AD1035" s="48"/>
      <c r="AE1035" s="48"/>
      <c r="AF1035" s="48"/>
      <c r="AG1035" s="48"/>
      <c r="AH1035" s="48"/>
      <c r="AI1035" s="48"/>
    </row>
    <row r="1036" spans="1:35" ht="12.5" hidden="1">
      <c r="A1036" s="37" t="s">
        <v>478</v>
      </c>
      <c r="B1036" s="38" t="str">
        <f>IFERROR(VLOOKUP(J1036,catalogo!$B$1:$C$85,2,0),"-")</f>
        <v>#75</v>
      </c>
      <c r="C1036" s="39">
        <v>46078.417361111111</v>
      </c>
      <c r="D1036" s="40"/>
      <c r="E1036" s="41"/>
      <c r="F1036" s="41"/>
      <c r="G1036" s="42">
        <v>3376.73</v>
      </c>
      <c r="H1036" s="42">
        <v>186.6</v>
      </c>
      <c r="I1036" s="43" t="s">
        <v>172</v>
      </c>
      <c r="J1036" s="43" t="s">
        <v>343</v>
      </c>
      <c r="K1036" s="43" t="s">
        <v>1849</v>
      </c>
      <c r="L1036" s="44" t="s">
        <v>1850</v>
      </c>
      <c r="M1036" s="44">
        <v>6747</v>
      </c>
      <c r="N1036" s="44" t="s">
        <v>167</v>
      </c>
      <c r="O1036" s="17"/>
      <c r="P1036" s="17"/>
      <c r="Q1036" s="17"/>
      <c r="R1036" s="17"/>
      <c r="S1036" s="17"/>
      <c r="T1036" s="17"/>
      <c r="U1036" s="17"/>
      <c r="V1036" s="17"/>
      <c r="W1036" s="17"/>
      <c r="X1036" s="17"/>
      <c r="Y1036" s="46"/>
      <c r="Z1036" s="47"/>
      <c r="AA1036" s="48"/>
      <c r="AB1036" s="48"/>
      <c r="AC1036" s="48"/>
      <c r="AD1036" s="48"/>
      <c r="AE1036" s="48"/>
      <c r="AF1036" s="48"/>
      <c r="AG1036" s="48"/>
      <c r="AH1036" s="48"/>
      <c r="AI1036" s="48"/>
    </row>
    <row r="1037" spans="1:35" ht="12.5" hidden="1">
      <c r="A1037" s="37" t="s">
        <v>476</v>
      </c>
      <c r="B1037" s="38" t="str">
        <f>IFERROR(VLOOKUP(J1037,catalogo!$B$1:$C$85,2,0),"-")</f>
        <v>#68</v>
      </c>
      <c r="C1037" s="39">
        <v>46078.417361111111</v>
      </c>
      <c r="D1037" s="40"/>
      <c r="E1037" s="41"/>
      <c r="F1037" s="41"/>
      <c r="G1037" s="42">
        <v>671.8</v>
      </c>
      <c r="H1037" s="42">
        <v>37.340000000000003</v>
      </c>
      <c r="I1037" s="43" t="s">
        <v>172</v>
      </c>
      <c r="J1037" s="43" t="s">
        <v>384</v>
      </c>
      <c r="K1037" s="43" t="s">
        <v>537</v>
      </c>
      <c r="L1037" s="44" t="s">
        <v>233</v>
      </c>
      <c r="M1037" s="44">
        <v>2937</v>
      </c>
      <c r="N1037" s="44" t="s">
        <v>167</v>
      </c>
      <c r="O1037" s="17"/>
      <c r="P1037" s="17"/>
      <c r="Q1037" s="17"/>
      <c r="R1037" s="17"/>
      <c r="S1037" s="17"/>
      <c r="T1037" s="17"/>
      <c r="U1037" s="17"/>
      <c r="V1037" s="17"/>
      <c r="W1037" s="17"/>
      <c r="X1037" s="17"/>
      <c r="Y1037" s="46"/>
      <c r="Z1037" s="47"/>
      <c r="AA1037" s="48"/>
      <c r="AB1037" s="48"/>
      <c r="AC1037" s="48"/>
      <c r="AD1037" s="48"/>
      <c r="AE1037" s="48"/>
      <c r="AF1037" s="48"/>
      <c r="AG1037" s="48"/>
      <c r="AH1037" s="48"/>
      <c r="AI1037" s="48"/>
    </row>
    <row r="1038" spans="1:35" ht="12.5" hidden="1">
      <c r="A1038" s="37" t="s">
        <v>473</v>
      </c>
      <c r="B1038" s="38" t="str">
        <f>IFERROR(VLOOKUP(J1038,catalogo!$B$1:$C$85,2,0),"-")</f>
        <v>#7</v>
      </c>
      <c r="C1038" s="39">
        <v>46079.416666666664</v>
      </c>
      <c r="D1038" s="40"/>
      <c r="E1038" s="41"/>
      <c r="F1038" s="41"/>
      <c r="G1038" s="42">
        <v>76.489999999999995</v>
      </c>
      <c r="H1038" s="42">
        <v>76.489999999999995</v>
      </c>
      <c r="I1038" s="43" t="s">
        <v>156</v>
      </c>
      <c r="J1038" s="43" t="s">
        <v>121</v>
      </c>
      <c r="K1038" s="43" t="s">
        <v>232</v>
      </c>
      <c r="L1038" s="44" t="s">
        <v>233</v>
      </c>
      <c r="M1038" s="44" t="s">
        <v>182</v>
      </c>
      <c r="N1038" s="44" t="s">
        <v>144</v>
      </c>
      <c r="O1038" s="17"/>
      <c r="P1038" s="17"/>
      <c r="Q1038" s="17"/>
      <c r="R1038" s="17"/>
      <c r="S1038" s="17"/>
      <c r="T1038" s="17"/>
      <c r="U1038" s="17"/>
      <c r="V1038" s="17"/>
      <c r="W1038" s="17"/>
      <c r="X1038" s="17"/>
      <c r="Y1038" s="46"/>
      <c r="Z1038" s="47"/>
      <c r="AA1038" s="48"/>
      <c r="AB1038" s="48"/>
      <c r="AC1038" s="48"/>
      <c r="AD1038" s="48"/>
      <c r="AE1038" s="48"/>
      <c r="AF1038" s="48"/>
      <c r="AG1038" s="48"/>
      <c r="AH1038" s="48"/>
      <c r="AI1038" s="48"/>
    </row>
    <row r="1039" spans="1:35" ht="12.5" hidden="1">
      <c r="A1039" s="37" t="s">
        <v>472</v>
      </c>
      <c r="B1039" s="38" t="str">
        <f>IFERROR(VLOOKUP(J1039,catalogo!$B$1:$C$85,2,0),"-")</f>
        <v>#68</v>
      </c>
      <c r="C1039" s="39">
        <v>46079.416666666664</v>
      </c>
      <c r="D1039" s="40"/>
      <c r="E1039" s="41"/>
      <c r="F1039" s="41"/>
      <c r="G1039" s="42">
        <v>279.95</v>
      </c>
      <c r="H1039" s="42">
        <v>279.95</v>
      </c>
      <c r="I1039" s="43" t="s">
        <v>156</v>
      </c>
      <c r="J1039" s="43" t="s">
        <v>384</v>
      </c>
      <c r="K1039" s="43" t="s">
        <v>232</v>
      </c>
      <c r="L1039" s="44" t="s">
        <v>233</v>
      </c>
      <c r="M1039" s="44">
        <v>2937</v>
      </c>
      <c r="N1039" s="44" t="s">
        <v>167</v>
      </c>
      <c r="O1039" s="17"/>
      <c r="P1039" s="17"/>
      <c r="Q1039" s="17"/>
      <c r="R1039" s="17"/>
      <c r="S1039" s="17"/>
      <c r="T1039" s="17"/>
      <c r="U1039" s="17"/>
      <c r="V1039" s="17"/>
      <c r="W1039" s="17"/>
      <c r="X1039" s="17"/>
      <c r="Y1039" s="46"/>
      <c r="Z1039" s="47"/>
      <c r="AA1039" s="48"/>
      <c r="AB1039" s="48"/>
      <c r="AC1039" s="48"/>
      <c r="AD1039" s="48"/>
      <c r="AE1039" s="48"/>
      <c r="AF1039" s="48"/>
      <c r="AG1039" s="48"/>
      <c r="AH1039" s="48"/>
      <c r="AI1039" s="48"/>
    </row>
    <row r="1040" spans="1:35" ht="12.5" hidden="1">
      <c r="A1040" s="37" t="s">
        <v>471</v>
      </c>
      <c r="B1040" s="38" t="str">
        <f>IFERROR(VLOOKUP(J1040,catalogo!$B$1:$C$85,2,0),"-")</f>
        <v>#66</v>
      </c>
      <c r="C1040" s="39">
        <v>46079.416666666664</v>
      </c>
      <c r="D1040" s="40"/>
      <c r="E1040" s="41"/>
      <c r="F1040" s="41"/>
      <c r="G1040" s="42">
        <v>1152.02</v>
      </c>
      <c r="H1040" s="42">
        <v>1152.02</v>
      </c>
      <c r="I1040" s="43" t="s">
        <v>156</v>
      </c>
      <c r="J1040" s="43" t="s">
        <v>80</v>
      </c>
      <c r="K1040" s="43" t="s">
        <v>229</v>
      </c>
      <c r="L1040" s="44" t="s">
        <v>230</v>
      </c>
      <c r="M1040" s="44">
        <v>2406</v>
      </c>
      <c r="N1040" s="44" t="s">
        <v>167</v>
      </c>
      <c r="O1040" s="17"/>
      <c r="P1040" s="17"/>
      <c r="Q1040" s="17"/>
      <c r="R1040" s="17"/>
      <c r="S1040" s="17"/>
      <c r="T1040" s="17"/>
      <c r="U1040" s="17"/>
      <c r="V1040" s="17"/>
      <c r="W1040" s="17"/>
      <c r="X1040" s="17"/>
      <c r="Y1040" s="46"/>
      <c r="Z1040" s="47"/>
      <c r="AA1040" s="48"/>
      <c r="AB1040" s="48"/>
      <c r="AC1040" s="48"/>
      <c r="AD1040" s="48"/>
      <c r="AE1040" s="48"/>
      <c r="AF1040" s="48"/>
      <c r="AG1040" s="48"/>
      <c r="AH1040" s="48"/>
      <c r="AI1040" s="48"/>
    </row>
    <row r="1041" spans="1:35" ht="12.5" hidden="1">
      <c r="A1041" s="37" t="s">
        <v>470</v>
      </c>
      <c r="B1041" s="38" t="str">
        <f>IFERROR(VLOOKUP(J1041,catalogo!$B$1:$C$85,2,0),"-")</f>
        <v>#58</v>
      </c>
      <c r="C1041" s="39">
        <v>46079.416666666664</v>
      </c>
      <c r="D1041" s="40"/>
      <c r="E1041" s="41"/>
      <c r="F1041" s="41"/>
      <c r="G1041" s="42">
        <v>1195.42</v>
      </c>
      <c r="H1041" s="42">
        <v>1195.42</v>
      </c>
      <c r="I1041" s="43" t="s">
        <v>156</v>
      </c>
      <c r="J1041" s="43" t="s">
        <v>118</v>
      </c>
      <c r="K1041" s="43" t="s">
        <v>1816</v>
      </c>
      <c r="L1041" s="44" t="s">
        <v>1817</v>
      </c>
      <c r="M1041" s="44">
        <v>5576</v>
      </c>
      <c r="N1041" s="44" t="s">
        <v>167</v>
      </c>
      <c r="O1041" s="17"/>
      <c r="P1041" s="17"/>
      <c r="Q1041" s="17"/>
      <c r="R1041" s="17"/>
      <c r="S1041" s="17"/>
      <c r="T1041" s="17"/>
      <c r="U1041" s="17"/>
      <c r="V1041" s="17"/>
      <c r="W1041" s="17"/>
      <c r="X1041" s="17"/>
      <c r="Y1041" s="46"/>
      <c r="Z1041" s="47"/>
      <c r="AA1041" s="48"/>
      <c r="AB1041" s="48"/>
      <c r="AC1041" s="48"/>
      <c r="AD1041" s="48"/>
      <c r="AE1041" s="48"/>
      <c r="AF1041" s="48"/>
      <c r="AG1041" s="48"/>
      <c r="AH1041" s="48"/>
      <c r="AI1041" s="48"/>
    </row>
    <row r="1042" spans="1:35" ht="12.5" hidden="1">
      <c r="A1042" s="37" t="s">
        <v>469</v>
      </c>
      <c r="B1042" s="38" t="str">
        <f>IFERROR(VLOOKUP(J1042,catalogo!$B$1:$C$85,2,0),"-")</f>
        <v>#9</v>
      </c>
      <c r="C1042" s="39">
        <v>46079.416666666664</v>
      </c>
      <c r="D1042" s="40"/>
      <c r="E1042" s="41"/>
      <c r="F1042" s="41"/>
      <c r="G1042" s="42">
        <v>1776.75</v>
      </c>
      <c r="H1042" s="42">
        <v>1776.75</v>
      </c>
      <c r="I1042" s="43" t="s">
        <v>156</v>
      </c>
      <c r="J1042" s="43" t="s">
        <v>134</v>
      </c>
      <c r="K1042" s="43" t="s">
        <v>1501</v>
      </c>
      <c r="L1042" s="44" t="s">
        <v>1502</v>
      </c>
      <c r="M1042" s="44">
        <v>1026</v>
      </c>
      <c r="N1042" s="44" t="s">
        <v>167</v>
      </c>
      <c r="O1042" s="17"/>
      <c r="P1042" s="17"/>
      <c r="Q1042" s="17"/>
      <c r="R1042" s="17"/>
      <c r="S1042" s="17"/>
      <c r="T1042" s="17"/>
      <c r="U1042" s="17"/>
      <c r="V1042" s="17"/>
      <c r="W1042" s="17"/>
      <c r="X1042" s="17"/>
      <c r="Y1042" s="46"/>
      <c r="Z1042" s="47"/>
      <c r="AA1042" s="48"/>
      <c r="AB1042" s="48"/>
      <c r="AC1042" s="48"/>
      <c r="AD1042" s="48"/>
      <c r="AE1042" s="48"/>
      <c r="AF1042" s="48"/>
      <c r="AG1042" s="48"/>
      <c r="AH1042" s="48"/>
      <c r="AI1042" s="48"/>
    </row>
    <row r="1043" spans="1:35" ht="12.5" hidden="1">
      <c r="A1043" s="37" t="s">
        <v>468</v>
      </c>
      <c r="B1043" s="38" t="str">
        <f>IFERROR(VLOOKUP(J1043,catalogo!$B$1:$C$85,2,0),"-")</f>
        <v>-</v>
      </c>
      <c r="C1043" s="39">
        <v>46079.416666666664</v>
      </c>
      <c r="D1043" s="40"/>
      <c r="E1043" s="41"/>
      <c r="F1043" s="41"/>
      <c r="G1043" s="42">
        <v>65</v>
      </c>
      <c r="H1043" s="42">
        <v>65</v>
      </c>
      <c r="I1043" s="43" t="s">
        <v>156</v>
      </c>
      <c r="J1043" s="43" t="s">
        <v>321</v>
      </c>
      <c r="K1043" s="43" t="s">
        <v>1040</v>
      </c>
      <c r="L1043" s="44" t="s">
        <v>1041</v>
      </c>
      <c r="M1043" s="44">
        <v>3340</v>
      </c>
      <c r="N1043" s="44" t="s">
        <v>167</v>
      </c>
      <c r="O1043" s="17"/>
      <c r="P1043" s="17"/>
      <c r="Q1043" s="17"/>
      <c r="R1043" s="17"/>
      <c r="S1043" s="17"/>
      <c r="T1043" s="17"/>
      <c r="U1043" s="17"/>
      <c r="V1043" s="17"/>
      <c r="W1043" s="17"/>
      <c r="X1043" s="17"/>
      <c r="Y1043" s="46"/>
      <c r="Z1043" s="47"/>
      <c r="AA1043" s="48"/>
      <c r="AB1043" s="48"/>
      <c r="AC1043" s="48"/>
      <c r="AD1043" s="48"/>
      <c r="AE1043" s="48"/>
      <c r="AF1043" s="48"/>
      <c r="AG1043" s="48"/>
      <c r="AH1043" s="48"/>
      <c r="AI1043" s="48"/>
    </row>
    <row r="1044" spans="1:35" ht="12.5" hidden="1">
      <c r="A1044" s="37" t="s">
        <v>465</v>
      </c>
      <c r="B1044" s="38" t="str">
        <f>IFERROR(VLOOKUP(J1044,catalogo!$B$1:$C$85,2,0),"-")</f>
        <v>#8</v>
      </c>
      <c r="C1044" s="39">
        <v>46079.416666666664</v>
      </c>
      <c r="D1044" s="40"/>
      <c r="E1044" s="41"/>
      <c r="F1044" s="41"/>
      <c r="G1044" s="42">
        <v>86</v>
      </c>
      <c r="H1044" s="42">
        <v>86</v>
      </c>
      <c r="I1044" s="43" t="s">
        <v>156</v>
      </c>
      <c r="J1044" s="43" t="s">
        <v>128</v>
      </c>
      <c r="K1044" s="43" t="s">
        <v>1694</v>
      </c>
      <c r="L1044" s="44" t="s">
        <v>317</v>
      </c>
      <c r="M1044" s="44">
        <v>16</v>
      </c>
      <c r="N1044" s="44" t="s">
        <v>167</v>
      </c>
      <c r="O1044" s="17"/>
      <c r="P1044" s="17"/>
      <c r="Q1044" s="17"/>
      <c r="R1044" s="17"/>
      <c r="S1044" s="17"/>
      <c r="T1044" s="17"/>
      <c r="U1044" s="17"/>
      <c r="V1044" s="17"/>
      <c r="W1044" s="17"/>
      <c r="X1044" s="17"/>
      <c r="Y1044" s="46"/>
      <c r="Z1044" s="47"/>
      <c r="AA1044" s="48"/>
      <c r="AB1044" s="48"/>
      <c r="AC1044" s="48"/>
      <c r="AD1044" s="48"/>
      <c r="AE1044" s="48"/>
      <c r="AF1044" s="48"/>
      <c r="AG1044" s="48"/>
      <c r="AH1044" s="48"/>
      <c r="AI1044" s="48"/>
    </row>
    <row r="1045" spans="1:35" ht="12.5" hidden="1">
      <c r="A1045" s="37" t="s">
        <v>463</v>
      </c>
      <c r="B1045" s="38" t="str">
        <f>IFERROR(VLOOKUP(J1045,catalogo!$B$1:$C$85,2,0),"-")</f>
        <v>#26</v>
      </c>
      <c r="C1045" s="39">
        <v>46079.416666666664</v>
      </c>
      <c r="D1045" s="40"/>
      <c r="E1045" s="41"/>
      <c r="F1045" s="41"/>
      <c r="G1045" s="42">
        <v>210</v>
      </c>
      <c r="H1045" s="42">
        <v>210</v>
      </c>
      <c r="I1045" s="43" t="s">
        <v>156</v>
      </c>
      <c r="J1045" s="43" t="s">
        <v>67</v>
      </c>
      <c r="K1045" s="43" t="s">
        <v>319</v>
      </c>
      <c r="L1045" s="44" t="s">
        <v>317</v>
      </c>
      <c r="M1045" s="44" t="s">
        <v>159</v>
      </c>
      <c r="N1045" s="44" t="s">
        <v>144</v>
      </c>
      <c r="O1045" s="17"/>
      <c r="P1045" s="17"/>
      <c r="Q1045" s="17"/>
      <c r="R1045" s="17"/>
      <c r="S1045" s="17"/>
      <c r="T1045" s="17"/>
      <c r="U1045" s="17"/>
      <c r="V1045" s="17"/>
      <c r="W1045" s="17"/>
      <c r="X1045" s="17"/>
      <c r="Y1045" s="46"/>
      <c r="Z1045" s="47"/>
      <c r="AA1045" s="48"/>
      <c r="AB1045" s="48"/>
      <c r="AC1045" s="48"/>
      <c r="AD1045" s="48"/>
      <c r="AE1045" s="48"/>
      <c r="AF1045" s="48"/>
      <c r="AG1045" s="48"/>
      <c r="AH1045" s="48"/>
      <c r="AI1045" s="48"/>
    </row>
    <row r="1046" spans="1:35" ht="12.5" hidden="1">
      <c r="A1046" s="37" t="s">
        <v>460</v>
      </c>
      <c r="B1046" s="38" t="str">
        <f>IFERROR(VLOOKUP(J1046,catalogo!$B$1:$C$85,2,0),"-")</f>
        <v>#30</v>
      </c>
      <c r="C1046" s="39">
        <v>46079.416666666664</v>
      </c>
      <c r="D1046" s="40"/>
      <c r="E1046" s="41"/>
      <c r="F1046" s="41"/>
      <c r="G1046" s="42">
        <v>300</v>
      </c>
      <c r="H1046" s="42">
        <v>300</v>
      </c>
      <c r="I1046" s="43" t="s">
        <v>156</v>
      </c>
      <c r="J1046" s="43" t="s">
        <v>97</v>
      </c>
      <c r="K1046" s="43" t="s">
        <v>622</v>
      </c>
      <c r="L1046" s="44" t="s">
        <v>623</v>
      </c>
      <c r="M1046" s="44" t="s">
        <v>1026</v>
      </c>
      <c r="N1046" s="44" t="s">
        <v>144</v>
      </c>
      <c r="O1046" s="17"/>
      <c r="P1046" s="17"/>
      <c r="Q1046" s="17"/>
      <c r="R1046" s="17"/>
      <c r="S1046" s="17"/>
      <c r="T1046" s="17"/>
      <c r="U1046" s="17"/>
      <c r="V1046" s="17"/>
      <c r="W1046" s="17"/>
      <c r="X1046" s="17"/>
      <c r="Y1046" s="46"/>
      <c r="Z1046" s="47"/>
      <c r="AA1046" s="48"/>
      <c r="AB1046" s="48"/>
      <c r="AC1046" s="48"/>
      <c r="AD1046" s="48"/>
      <c r="AE1046" s="48"/>
      <c r="AF1046" s="48"/>
      <c r="AG1046" s="48"/>
      <c r="AH1046" s="48"/>
      <c r="AI1046" s="48"/>
    </row>
    <row r="1047" spans="1:35" ht="12.5" hidden="1">
      <c r="A1047" s="37" t="s">
        <v>457</v>
      </c>
      <c r="B1047" s="38" t="str">
        <f>IFERROR(VLOOKUP(J1047,catalogo!$B$1:$C$85,2,0),"-")</f>
        <v>#26</v>
      </c>
      <c r="C1047" s="39">
        <v>46079.416666666664</v>
      </c>
      <c r="D1047" s="40"/>
      <c r="E1047" s="41"/>
      <c r="F1047" s="41"/>
      <c r="G1047" s="42">
        <v>339</v>
      </c>
      <c r="H1047" s="42">
        <v>339</v>
      </c>
      <c r="I1047" s="43" t="s">
        <v>156</v>
      </c>
      <c r="J1047" s="43" t="s">
        <v>67</v>
      </c>
      <c r="K1047" s="43" t="s">
        <v>335</v>
      </c>
      <c r="L1047" s="44" t="s">
        <v>336</v>
      </c>
      <c r="M1047" s="44" t="s">
        <v>159</v>
      </c>
      <c r="N1047" s="44" t="s">
        <v>144</v>
      </c>
      <c r="O1047" s="17"/>
      <c r="P1047" s="17"/>
      <c r="Q1047" s="17"/>
      <c r="R1047" s="17"/>
      <c r="S1047" s="17"/>
      <c r="T1047" s="17"/>
      <c r="U1047" s="17"/>
      <c r="V1047" s="17"/>
      <c r="W1047" s="17"/>
      <c r="X1047" s="17"/>
      <c r="Y1047" s="46"/>
      <c r="Z1047" s="47"/>
      <c r="AA1047" s="48"/>
      <c r="AB1047" s="48"/>
      <c r="AC1047" s="48"/>
      <c r="AD1047" s="48"/>
      <c r="AE1047" s="48"/>
      <c r="AF1047" s="48"/>
      <c r="AG1047" s="48"/>
      <c r="AH1047" s="48"/>
      <c r="AI1047" s="48"/>
    </row>
    <row r="1048" spans="1:35" ht="12.5" hidden="1">
      <c r="A1048" s="37" t="s">
        <v>456</v>
      </c>
      <c r="B1048" s="38" t="str">
        <f>IFERROR(VLOOKUP(J1048,catalogo!$B$1:$C$85,2,0),"-")</f>
        <v>-</v>
      </c>
      <c r="C1048" s="39">
        <v>46079.416666666664</v>
      </c>
      <c r="D1048" s="40"/>
      <c r="E1048" s="41"/>
      <c r="F1048" s="41"/>
      <c r="G1048" s="42">
        <v>300</v>
      </c>
      <c r="H1048" s="42">
        <v>300</v>
      </c>
      <c r="I1048" s="43" t="s">
        <v>156</v>
      </c>
      <c r="J1048" s="43" t="s">
        <v>1851</v>
      </c>
      <c r="K1048" s="43" t="s">
        <v>622</v>
      </c>
      <c r="L1048" s="44" t="s">
        <v>623</v>
      </c>
      <c r="M1048" s="44">
        <v>7915</v>
      </c>
      <c r="N1048" s="44" t="s">
        <v>167</v>
      </c>
      <c r="O1048" s="17"/>
      <c r="P1048" s="17"/>
      <c r="Q1048" s="17"/>
      <c r="R1048" s="17"/>
      <c r="S1048" s="17"/>
      <c r="T1048" s="17"/>
      <c r="U1048" s="17"/>
      <c r="V1048" s="17"/>
      <c r="W1048" s="17"/>
      <c r="X1048" s="17"/>
      <c r="Y1048" s="46"/>
      <c r="Z1048" s="47"/>
      <c r="AA1048" s="48"/>
      <c r="AB1048" s="48"/>
      <c r="AC1048" s="48"/>
      <c r="AD1048" s="48"/>
      <c r="AE1048" s="48"/>
      <c r="AF1048" s="48"/>
      <c r="AG1048" s="48"/>
      <c r="AH1048" s="48"/>
      <c r="AI1048" s="48"/>
    </row>
    <row r="1049" spans="1:35" ht="12.5" hidden="1">
      <c r="A1049" s="37" t="s">
        <v>453</v>
      </c>
      <c r="B1049" s="38" t="str">
        <f>IFERROR(VLOOKUP(J1049,catalogo!$B$1:$C$85,2,0),"-")</f>
        <v>-</v>
      </c>
      <c r="C1049" s="39">
        <v>46079.416666666664</v>
      </c>
      <c r="D1049" s="40"/>
      <c r="E1049" s="41"/>
      <c r="F1049" s="41"/>
      <c r="G1049" s="42">
        <v>635.94000000000005</v>
      </c>
      <c r="H1049" s="42">
        <v>635.94000000000005</v>
      </c>
      <c r="I1049" s="43" t="s">
        <v>156</v>
      </c>
      <c r="J1049" s="43" t="s">
        <v>269</v>
      </c>
      <c r="K1049" s="43" t="s">
        <v>1852</v>
      </c>
      <c r="L1049" s="44" t="s">
        <v>317</v>
      </c>
      <c r="M1049" s="44" t="s">
        <v>270</v>
      </c>
      <c r="N1049" s="44" t="s">
        <v>144</v>
      </c>
      <c r="O1049" s="17"/>
      <c r="P1049" s="17"/>
      <c r="Q1049" s="17"/>
      <c r="R1049" s="17"/>
      <c r="S1049" s="17"/>
      <c r="T1049" s="17"/>
      <c r="U1049" s="17"/>
      <c r="V1049" s="17"/>
      <c r="W1049" s="17"/>
      <c r="X1049" s="17"/>
      <c r="Y1049" s="46"/>
      <c r="Z1049" s="47"/>
      <c r="AA1049" s="48"/>
      <c r="AB1049" s="48"/>
      <c r="AC1049" s="48"/>
      <c r="AD1049" s="48"/>
      <c r="AE1049" s="48"/>
      <c r="AF1049" s="48"/>
      <c r="AG1049" s="48"/>
      <c r="AH1049" s="48"/>
      <c r="AI1049" s="48"/>
    </row>
    <row r="1050" spans="1:35" ht="12.5" hidden="1">
      <c r="A1050" s="37" t="s">
        <v>451</v>
      </c>
      <c r="B1050" s="38" t="str">
        <f>IFERROR(VLOOKUP(J1050,catalogo!$B$1:$C$85,2,0),"-")</f>
        <v>-</v>
      </c>
      <c r="C1050" s="39">
        <v>46079.416666666664</v>
      </c>
      <c r="D1050" s="40"/>
      <c r="E1050" s="41"/>
      <c r="F1050" s="41"/>
      <c r="G1050" s="42">
        <v>794.93</v>
      </c>
      <c r="H1050" s="42">
        <v>794.93</v>
      </c>
      <c r="I1050" s="43" t="s">
        <v>156</v>
      </c>
      <c r="J1050" s="43" t="s">
        <v>269</v>
      </c>
      <c r="K1050" s="43" t="s">
        <v>338</v>
      </c>
      <c r="L1050" s="44" t="s">
        <v>317</v>
      </c>
      <c r="M1050" s="44" t="s">
        <v>270</v>
      </c>
      <c r="N1050" s="44" t="s">
        <v>144</v>
      </c>
      <c r="O1050" s="17"/>
      <c r="P1050" s="17"/>
      <c r="Q1050" s="17"/>
      <c r="R1050" s="17"/>
      <c r="S1050" s="17"/>
      <c r="T1050" s="17"/>
      <c r="U1050" s="17"/>
      <c r="V1050" s="17"/>
      <c r="W1050" s="17"/>
      <c r="X1050" s="17"/>
      <c r="Y1050" s="46"/>
      <c r="Z1050" s="47"/>
      <c r="AA1050" s="48"/>
      <c r="AB1050" s="48"/>
      <c r="AC1050" s="48"/>
      <c r="AD1050" s="48"/>
      <c r="AE1050" s="48"/>
      <c r="AF1050" s="48"/>
      <c r="AG1050" s="48"/>
      <c r="AH1050" s="48"/>
      <c r="AI1050" s="48"/>
    </row>
    <row r="1051" spans="1:35" ht="12.5" hidden="1">
      <c r="A1051" s="37" t="s">
        <v>445</v>
      </c>
      <c r="B1051" s="38" t="str">
        <f>IFERROR(VLOOKUP(J1051,catalogo!$B$1:$C$85,2,0),"-")</f>
        <v>-</v>
      </c>
      <c r="C1051" s="39">
        <v>46079.416666666664</v>
      </c>
      <c r="D1051" s="40"/>
      <c r="E1051" s="41"/>
      <c r="F1051" s="41"/>
      <c r="G1051" s="42">
        <v>400.35</v>
      </c>
      <c r="H1051" s="42">
        <v>400.35</v>
      </c>
      <c r="I1051" s="43" t="s">
        <v>156</v>
      </c>
      <c r="J1051" s="43" t="s">
        <v>321</v>
      </c>
      <c r="K1051" s="43" t="s">
        <v>1596</v>
      </c>
      <c r="L1051" s="44" t="s">
        <v>1597</v>
      </c>
      <c r="M1051" s="44">
        <v>3340</v>
      </c>
      <c r="N1051" s="44" t="s">
        <v>167</v>
      </c>
      <c r="O1051" s="17"/>
      <c r="P1051" s="17"/>
      <c r="Q1051" s="17"/>
      <c r="R1051" s="17"/>
      <c r="S1051" s="17"/>
      <c r="T1051" s="17"/>
      <c r="U1051" s="17"/>
      <c r="V1051" s="17"/>
      <c r="W1051" s="17"/>
      <c r="X1051" s="17"/>
      <c r="Y1051" s="46"/>
      <c r="Z1051" s="47"/>
      <c r="AA1051" s="48"/>
      <c r="AB1051" s="48"/>
      <c r="AC1051" s="48"/>
      <c r="AD1051" s="48"/>
      <c r="AE1051" s="48"/>
      <c r="AF1051" s="48"/>
      <c r="AG1051" s="48"/>
      <c r="AH1051" s="48"/>
      <c r="AI1051" s="48"/>
    </row>
    <row r="1052" spans="1:35" ht="12.5" hidden="1">
      <c r="A1052" s="37" t="s">
        <v>448</v>
      </c>
      <c r="B1052" s="38" t="str">
        <f>IFERROR(VLOOKUP(J1052,catalogo!$B$1:$C$85,2,0),"-")</f>
        <v>#79</v>
      </c>
      <c r="C1052" s="39">
        <v>46079.416666666664</v>
      </c>
      <c r="D1052" s="40"/>
      <c r="E1052" s="41"/>
      <c r="F1052" s="41"/>
      <c r="G1052" s="42">
        <v>450</v>
      </c>
      <c r="H1052" s="42">
        <v>450</v>
      </c>
      <c r="I1052" s="43" t="s">
        <v>156</v>
      </c>
      <c r="J1052" s="43" t="s">
        <v>325</v>
      </c>
      <c r="K1052" s="43" t="s">
        <v>327</v>
      </c>
      <c r="L1052" s="44" t="s">
        <v>328</v>
      </c>
      <c r="M1052" s="44">
        <v>7984</v>
      </c>
      <c r="N1052" s="44" t="s">
        <v>167</v>
      </c>
      <c r="O1052" s="17"/>
      <c r="P1052" s="17"/>
      <c r="Q1052" s="17"/>
      <c r="R1052" s="17"/>
      <c r="S1052" s="17"/>
      <c r="T1052" s="17"/>
      <c r="U1052" s="17"/>
      <c r="V1052" s="17"/>
      <c r="W1052" s="17"/>
      <c r="X1052" s="17"/>
      <c r="Y1052" s="46"/>
      <c r="Z1052" s="47"/>
      <c r="AA1052" s="48"/>
      <c r="AB1052" s="48"/>
      <c r="AC1052" s="48"/>
      <c r="AD1052" s="48"/>
      <c r="AE1052" s="48"/>
      <c r="AF1052" s="48"/>
      <c r="AG1052" s="48"/>
      <c r="AH1052" s="48"/>
      <c r="AI1052" s="48"/>
    </row>
    <row r="1053" spans="1:35" ht="12.5" hidden="1">
      <c r="A1053" s="37" t="s">
        <v>444</v>
      </c>
      <c r="B1053" s="38" t="str">
        <f>IFERROR(VLOOKUP(J1053,catalogo!$B$1:$C$85,2,0),"-")</f>
        <v>#56</v>
      </c>
      <c r="C1053" s="39">
        <v>46079.416666666664</v>
      </c>
      <c r="D1053" s="40"/>
      <c r="E1053" s="41"/>
      <c r="F1053" s="41"/>
      <c r="G1053" s="42">
        <v>165</v>
      </c>
      <c r="H1053" s="42">
        <v>165</v>
      </c>
      <c r="I1053" s="43" t="s">
        <v>156</v>
      </c>
      <c r="J1053" s="43" t="s">
        <v>99</v>
      </c>
      <c r="K1053" s="43" t="s">
        <v>757</v>
      </c>
      <c r="L1053" s="44" t="s">
        <v>336</v>
      </c>
      <c r="M1053" s="44">
        <v>8949</v>
      </c>
      <c r="N1053" s="44" t="s">
        <v>167</v>
      </c>
      <c r="O1053" s="17"/>
      <c r="P1053" s="17"/>
      <c r="Q1053" s="17"/>
      <c r="R1053" s="17"/>
      <c r="S1053" s="17"/>
      <c r="T1053" s="17"/>
      <c r="U1053" s="17"/>
      <c r="V1053" s="17"/>
      <c r="W1053" s="17"/>
      <c r="X1053" s="17"/>
      <c r="Y1053" s="46"/>
      <c r="Z1053" s="47"/>
      <c r="AA1053" s="48"/>
      <c r="AB1053" s="48"/>
      <c r="AC1053" s="48"/>
      <c r="AD1053" s="48"/>
      <c r="AE1053" s="48"/>
      <c r="AF1053" s="48"/>
      <c r="AG1053" s="48"/>
      <c r="AH1053" s="48"/>
      <c r="AI1053" s="48"/>
    </row>
    <row r="1054" spans="1:35" ht="12.5" hidden="1">
      <c r="A1054" s="37" t="s">
        <v>441</v>
      </c>
      <c r="B1054" s="38" t="str">
        <f>IFERROR(VLOOKUP(J1054,catalogo!$B$1:$C$85,2,0),"-")</f>
        <v>#19</v>
      </c>
      <c r="C1054" s="39">
        <v>46079.416666666664</v>
      </c>
      <c r="D1054" s="40"/>
      <c r="E1054" s="41"/>
      <c r="F1054" s="41"/>
      <c r="G1054" s="42">
        <v>852.17</v>
      </c>
      <c r="H1054" s="42">
        <v>852.17</v>
      </c>
      <c r="I1054" s="43" t="s">
        <v>156</v>
      </c>
      <c r="J1054" s="43" t="s">
        <v>105</v>
      </c>
      <c r="K1054" s="43" t="s">
        <v>1853</v>
      </c>
      <c r="L1054" s="44" t="s">
        <v>1514</v>
      </c>
      <c r="M1054" s="44">
        <v>5778</v>
      </c>
      <c r="N1054" s="44" t="s">
        <v>167</v>
      </c>
      <c r="O1054" s="17"/>
      <c r="P1054" s="17"/>
      <c r="Q1054" s="17"/>
      <c r="R1054" s="17"/>
      <c r="S1054" s="17"/>
      <c r="T1054" s="17"/>
      <c r="U1054" s="17"/>
      <c r="V1054" s="17"/>
      <c r="W1054" s="17"/>
      <c r="X1054" s="17"/>
      <c r="Y1054" s="46"/>
      <c r="Z1054" s="47"/>
      <c r="AA1054" s="48"/>
      <c r="AB1054" s="48"/>
      <c r="AC1054" s="48"/>
      <c r="AD1054" s="48"/>
      <c r="AE1054" s="48"/>
      <c r="AF1054" s="48"/>
      <c r="AG1054" s="48"/>
      <c r="AH1054" s="48"/>
      <c r="AI1054" s="48"/>
    </row>
    <row r="1055" spans="1:35" ht="12.5" hidden="1">
      <c r="A1055" s="37" t="s">
        <v>440</v>
      </c>
      <c r="B1055" s="38" t="str">
        <f>IFERROR(VLOOKUP(J1055,catalogo!$B$1:$C$85,2,0),"-")</f>
        <v>#21</v>
      </c>
      <c r="C1055" s="39">
        <v>46079.416666666664</v>
      </c>
      <c r="D1055" s="40"/>
      <c r="E1055" s="41"/>
      <c r="F1055" s="41"/>
      <c r="G1055" s="42">
        <v>2635.2</v>
      </c>
      <c r="H1055" s="42">
        <v>2635.2</v>
      </c>
      <c r="I1055" s="43" t="s">
        <v>156</v>
      </c>
      <c r="J1055" s="43" t="s">
        <v>122</v>
      </c>
      <c r="K1055" s="43" t="s">
        <v>1854</v>
      </c>
      <c r="L1055" s="44" t="s">
        <v>1514</v>
      </c>
      <c r="M1055" s="44">
        <v>2203</v>
      </c>
      <c r="N1055" s="44" t="s">
        <v>167</v>
      </c>
      <c r="O1055" s="17"/>
      <c r="P1055" s="17"/>
      <c r="Q1055" s="17"/>
      <c r="R1055" s="17"/>
      <c r="S1055" s="17"/>
      <c r="T1055" s="17"/>
      <c r="U1055" s="17"/>
      <c r="V1055" s="17"/>
      <c r="W1055" s="17"/>
      <c r="X1055" s="17"/>
      <c r="Y1055" s="46"/>
      <c r="Z1055" s="47"/>
      <c r="AA1055" s="48"/>
      <c r="AB1055" s="48"/>
      <c r="AC1055" s="48"/>
      <c r="AD1055" s="48"/>
      <c r="AE1055" s="48"/>
      <c r="AF1055" s="48"/>
      <c r="AG1055" s="48"/>
      <c r="AH1055" s="48"/>
      <c r="AI1055" s="48"/>
    </row>
    <row r="1056" spans="1:35" ht="12.5" hidden="1">
      <c r="A1056" s="37" t="s">
        <v>437</v>
      </c>
      <c r="B1056" s="38" t="str">
        <f>IFERROR(VLOOKUP(J1056,catalogo!$B$1:$C$85,2,0),"-")</f>
        <v>#21</v>
      </c>
      <c r="C1056" s="39">
        <v>46079.416666666664</v>
      </c>
      <c r="D1056" s="40"/>
      <c r="E1056" s="41"/>
      <c r="F1056" s="41"/>
      <c r="G1056" s="42">
        <v>2640.43</v>
      </c>
      <c r="H1056" s="42">
        <v>2640.43</v>
      </c>
      <c r="I1056" s="43" t="s">
        <v>156</v>
      </c>
      <c r="J1056" s="43" t="s">
        <v>122</v>
      </c>
      <c r="K1056" s="43" t="s">
        <v>1854</v>
      </c>
      <c r="L1056" s="44" t="s">
        <v>1514</v>
      </c>
      <c r="M1056" s="44">
        <v>2203</v>
      </c>
      <c r="N1056" s="44" t="s">
        <v>167</v>
      </c>
      <c r="O1056" s="17"/>
      <c r="P1056" s="17"/>
      <c r="Q1056" s="17"/>
      <c r="R1056" s="17"/>
      <c r="S1056" s="17"/>
      <c r="T1056" s="17"/>
      <c r="U1056" s="17"/>
      <c r="V1056" s="17"/>
      <c r="W1056" s="17"/>
      <c r="X1056" s="17"/>
      <c r="Y1056" s="46"/>
      <c r="Z1056" s="47"/>
      <c r="AA1056" s="48"/>
      <c r="AB1056" s="48"/>
      <c r="AC1056" s="48"/>
      <c r="AD1056" s="48"/>
      <c r="AE1056" s="48"/>
      <c r="AF1056" s="48"/>
      <c r="AG1056" s="48"/>
      <c r="AH1056" s="48"/>
      <c r="AI1056" s="48"/>
    </row>
    <row r="1057" spans="1:35" ht="12.5" hidden="1">
      <c r="A1057" s="37" t="s">
        <v>434</v>
      </c>
      <c r="B1057" s="38" t="str">
        <f>IFERROR(VLOOKUP(J1057,catalogo!$B$1:$C$85,2,0),"-")</f>
        <v>#21</v>
      </c>
      <c r="C1057" s="39">
        <v>46079.416666666664</v>
      </c>
      <c r="D1057" s="40"/>
      <c r="E1057" s="41"/>
      <c r="F1057" s="41"/>
      <c r="G1057" s="42">
        <v>22006.77</v>
      </c>
      <c r="H1057" s="42">
        <v>22006.77</v>
      </c>
      <c r="I1057" s="43" t="s">
        <v>156</v>
      </c>
      <c r="J1057" s="43" t="s">
        <v>122</v>
      </c>
      <c r="K1057" s="43" t="s">
        <v>1854</v>
      </c>
      <c r="L1057" s="44" t="s">
        <v>1514</v>
      </c>
      <c r="M1057" s="44">
        <v>2203</v>
      </c>
      <c r="N1057" s="44" t="s">
        <v>167</v>
      </c>
      <c r="O1057" s="17"/>
      <c r="P1057" s="17"/>
      <c r="Q1057" s="17"/>
      <c r="R1057" s="17"/>
      <c r="S1057" s="17"/>
      <c r="T1057" s="17"/>
      <c r="U1057" s="17"/>
      <c r="V1057" s="17"/>
      <c r="W1057" s="17"/>
      <c r="X1057" s="17"/>
      <c r="Y1057" s="46"/>
      <c r="Z1057" s="47"/>
      <c r="AA1057" s="48"/>
      <c r="AB1057" s="48"/>
      <c r="AC1057" s="48"/>
      <c r="AD1057" s="48"/>
      <c r="AE1057" s="48"/>
      <c r="AF1057" s="48"/>
      <c r="AG1057" s="48"/>
      <c r="AH1057" s="48"/>
      <c r="AI1057" s="48"/>
    </row>
    <row r="1058" spans="1:35" ht="12.5" hidden="1">
      <c r="A1058" s="37" t="s">
        <v>430</v>
      </c>
      <c r="B1058" s="38" t="str">
        <f>IFERROR(VLOOKUP(J1058,catalogo!$B$1:$C$85,2,0),"-")</f>
        <v>#64</v>
      </c>
      <c r="C1058" s="39">
        <v>46079.416666666664</v>
      </c>
      <c r="D1058" s="40"/>
      <c r="E1058" s="41"/>
      <c r="F1058" s="41"/>
      <c r="G1058" s="42">
        <v>278</v>
      </c>
      <c r="H1058" s="42">
        <v>278</v>
      </c>
      <c r="I1058" s="43" t="s">
        <v>156</v>
      </c>
      <c r="J1058" s="43" t="s">
        <v>139</v>
      </c>
      <c r="K1058" s="43" t="s">
        <v>1712</v>
      </c>
      <c r="L1058" s="44" t="s">
        <v>1493</v>
      </c>
      <c r="M1058" s="44">
        <v>7142</v>
      </c>
      <c r="N1058" s="44" t="s">
        <v>167</v>
      </c>
      <c r="O1058" s="17"/>
      <c r="P1058" s="17"/>
      <c r="Q1058" s="17"/>
      <c r="R1058" s="17"/>
      <c r="S1058" s="17"/>
      <c r="T1058" s="17"/>
      <c r="U1058" s="17"/>
      <c r="V1058" s="17"/>
      <c r="W1058" s="17"/>
      <c r="X1058" s="17"/>
      <c r="Y1058" s="46"/>
      <c r="Z1058" s="47"/>
      <c r="AA1058" s="48"/>
      <c r="AB1058" s="48"/>
      <c r="AC1058" s="48"/>
      <c r="AD1058" s="48"/>
      <c r="AE1058" s="48"/>
      <c r="AF1058" s="48"/>
      <c r="AG1058" s="48"/>
      <c r="AH1058" s="48"/>
      <c r="AI1058" s="48"/>
    </row>
    <row r="1059" spans="1:35" ht="12.5" hidden="1">
      <c r="A1059" s="37" t="s">
        <v>427</v>
      </c>
      <c r="B1059" s="38" t="str">
        <f>IFERROR(VLOOKUP(J1059,catalogo!$B$1:$C$85,2,0),"-")</f>
        <v>#26</v>
      </c>
      <c r="C1059" s="39">
        <v>46079.416666666664</v>
      </c>
      <c r="D1059" s="40"/>
      <c r="E1059" s="41"/>
      <c r="F1059" s="41"/>
      <c r="G1059" s="42">
        <v>232</v>
      </c>
      <c r="H1059" s="42">
        <v>232</v>
      </c>
      <c r="I1059" s="43" t="s">
        <v>156</v>
      </c>
      <c r="J1059" s="43" t="s">
        <v>67</v>
      </c>
      <c r="K1059" s="43" t="s">
        <v>335</v>
      </c>
      <c r="L1059" s="44" t="s">
        <v>336</v>
      </c>
      <c r="M1059" s="44" t="s">
        <v>159</v>
      </c>
      <c r="N1059" s="44" t="s">
        <v>144</v>
      </c>
      <c r="O1059" s="17"/>
      <c r="P1059" s="17"/>
      <c r="Q1059" s="17"/>
      <c r="R1059" s="17"/>
      <c r="S1059" s="17"/>
      <c r="T1059" s="17"/>
      <c r="U1059" s="17"/>
      <c r="V1059" s="17"/>
      <c r="W1059" s="17"/>
      <c r="X1059" s="17"/>
      <c r="Y1059" s="46"/>
      <c r="Z1059" s="47"/>
      <c r="AA1059" s="48"/>
      <c r="AB1059" s="48"/>
      <c r="AC1059" s="48"/>
      <c r="AD1059" s="48"/>
      <c r="AE1059" s="48"/>
      <c r="AF1059" s="48"/>
      <c r="AG1059" s="48"/>
      <c r="AH1059" s="48"/>
      <c r="AI1059" s="48"/>
    </row>
    <row r="1060" spans="1:35" ht="12.5" hidden="1">
      <c r="A1060" s="37" t="s">
        <v>421</v>
      </c>
      <c r="B1060" s="38" t="str">
        <f>IFERROR(VLOOKUP(J1060,catalogo!$B$1:$C$85,2,0),"-")</f>
        <v>-</v>
      </c>
      <c r="C1060" s="39">
        <v>46079.416666666664</v>
      </c>
      <c r="D1060" s="40"/>
      <c r="E1060" s="41"/>
      <c r="F1060" s="41"/>
      <c r="G1060" s="42">
        <v>419.99</v>
      </c>
      <c r="H1060" s="42">
        <v>419.99</v>
      </c>
      <c r="I1060" s="43" t="s">
        <v>156</v>
      </c>
      <c r="J1060" s="43" t="s">
        <v>269</v>
      </c>
      <c r="K1060" s="43" t="s">
        <v>485</v>
      </c>
      <c r="L1060" s="44" t="s">
        <v>233</v>
      </c>
      <c r="M1060" s="44" t="s">
        <v>270</v>
      </c>
      <c r="N1060" s="44" t="s">
        <v>144</v>
      </c>
      <c r="O1060" s="17"/>
      <c r="P1060" s="17"/>
      <c r="Q1060" s="17"/>
      <c r="R1060" s="17"/>
      <c r="S1060" s="17"/>
      <c r="T1060" s="17"/>
      <c r="U1060" s="17"/>
      <c r="V1060" s="17"/>
      <c r="W1060" s="17"/>
      <c r="X1060" s="17"/>
      <c r="Y1060" s="46"/>
      <c r="Z1060" s="47"/>
      <c r="AA1060" s="48"/>
      <c r="AB1060" s="48"/>
      <c r="AC1060" s="48"/>
      <c r="AD1060" s="48"/>
      <c r="AE1060" s="48"/>
      <c r="AF1060" s="48"/>
      <c r="AG1060" s="48"/>
      <c r="AH1060" s="48"/>
      <c r="AI1060" s="48"/>
    </row>
    <row r="1061" spans="1:35" ht="12.5" hidden="1">
      <c r="A1061" s="37" t="s">
        <v>424</v>
      </c>
      <c r="B1061" s="38" t="str">
        <f>IFERROR(VLOOKUP(J1061,catalogo!$B$1:$C$85,2,0),"-")</f>
        <v>-</v>
      </c>
      <c r="C1061" s="39">
        <v>46079.416666666664</v>
      </c>
      <c r="D1061" s="40"/>
      <c r="E1061" s="41"/>
      <c r="F1061" s="41"/>
      <c r="G1061" s="42">
        <v>499</v>
      </c>
      <c r="H1061" s="42">
        <v>499</v>
      </c>
      <c r="I1061" s="43" t="s">
        <v>156</v>
      </c>
      <c r="J1061" s="43" t="s">
        <v>269</v>
      </c>
      <c r="K1061" s="43" t="s">
        <v>1855</v>
      </c>
      <c r="L1061" s="44" t="s">
        <v>1856</v>
      </c>
      <c r="M1061" s="44" t="s">
        <v>270</v>
      </c>
      <c r="N1061" s="44" t="s">
        <v>144</v>
      </c>
      <c r="O1061" s="17"/>
      <c r="P1061" s="17"/>
      <c r="Q1061" s="17"/>
      <c r="R1061" s="17"/>
      <c r="S1061" s="17"/>
      <c r="T1061" s="17"/>
      <c r="U1061" s="17"/>
      <c r="V1061" s="17"/>
      <c r="W1061" s="17"/>
      <c r="X1061" s="17"/>
      <c r="Y1061" s="46"/>
      <c r="Z1061" s="47"/>
      <c r="AA1061" s="48"/>
      <c r="AB1061" s="48"/>
      <c r="AC1061" s="48"/>
      <c r="AD1061" s="48"/>
      <c r="AE1061" s="48"/>
      <c r="AF1061" s="48"/>
      <c r="AG1061" s="48"/>
      <c r="AH1061" s="48"/>
      <c r="AI1061" s="48"/>
    </row>
    <row r="1062" spans="1:35" ht="12.5" hidden="1">
      <c r="A1062" s="37" t="s">
        <v>418</v>
      </c>
      <c r="B1062" s="38" t="str">
        <f>IFERROR(VLOOKUP(J1062,catalogo!$B$1:$C$85,2,0),"-")</f>
        <v>#64</v>
      </c>
      <c r="C1062" s="39">
        <v>46079.416666666664</v>
      </c>
      <c r="D1062" s="40"/>
      <c r="E1062" s="41"/>
      <c r="F1062" s="41"/>
      <c r="G1062" s="42">
        <v>470.18</v>
      </c>
      <c r="H1062" s="42">
        <v>470.18</v>
      </c>
      <c r="I1062" s="43" t="s">
        <v>156</v>
      </c>
      <c r="J1062" s="43" t="s">
        <v>139</v>
      </c>
      <c r="K1062" s="43" t="s">
        <v>1746</v>
      </c>
      <c r="L1062" s="44" t="s">
        <v>233</v>
      </c>
      <c r="M1062" s="44" t="s">
        <v>1718</v>
      </c>
      <c r="N1062" s="44" t="s">
        <v>144</v>
      </c>
      <c r="O1062" s="17"/>
      <c r="P1062" s="17"/>
      <c r="Q1062" s="17"/>
      <c r="R1062" s="17"/>
      <c r="S1062" s="17"/>
      <c r="T1062" s="17"/>
      <c r="U1062" s="17"/>
      <c r="V1062" s="17"/>
      <c r="W1062" s="17"/>
      <c r="X1062" s="17"/>
      <c r="Y1062" s="46"/>
      <c r="Z1062" s="47"/>
      <c r="AA1062" s="48"/>
      <c r="AB1062" s="48"/>
      <c r="AC1062" s="48"/>
      <c r="AD1062" s="48"/>
      <c r="AE1062" s="48"/>
      <c r="AF1062" s="48"/>
      <c r="AG1062" s="48"/>
      <c r="AH1062" s="48"/>
      <c r="AI1062" s="48"/>
    </row>
    <row r="1063" spans="1:35" ht="12.5" hidden="1">
      <c r="A1063" s="37" t="s">
        <v>415</v>
      </c>
      <c r="B1063" s="38" t="str">
        <f>IFERROR(VLOOKUP(J1063,catalogo!$B$1:$C$85,2,0),"-")</f>
        <v>#64</v>
      </c>
      <c r="C1063" s="39">
        <v>46079.416666666664</v>
      </c>
      <c r="D1063" s="40"/>
      <c r="E1063" s="41"/>
      <c r="F1063" s="41"/>
      <c r="G1063" s="42">
        <v>38</v>
      </c>
      <c r="H1063" s="42">
        <v>38</v>
      </c>
      <c r="I1063" s="43" t="s">
        <v>156</v>
      </c>
      <c r="J1063" s="43" t="s">
        <v>139</v>
      </c>
      <c r="K1063" s="43" t="s">
        <v>1784</v>
      </c>
      <c r="L1063" s="44" t="s">
        <v>655</v>
      </c>
      <c r="M1063" s="44">
        <v>7142</v>
      </c>
      <c r="N1063" s="44" t="s">
        <v>167</v>
      </c>
      <c r="O1063" s="17"/>
      <c r="P1063" s="17"/>
      <c r="Q1063" s="17"/>
      <c r="R1063" s="17"/>
      <c r="S1063" s="17"/>
      <c r="T1063" s="17"/>
      <c r="U1063" s="17"/>
      <c r="V1063" s="17"/>
      <c r="W1063" s="17"/>
      <c r="X1063" s="17"/>
      <c r="Y1063" s="46"/>
      <c r="Z1063" s="47"/>
      <c r="AA1063" s="48"/>
      <c r="AB1063" s="48"/>
      <c r="AC1063" s="48"/>
      <c r="AD1063" s="48"/>
      <c r="AE1063" s="48"/>
      <c r="AF1063" s="48"/>
      <c r="AG1063" s="48"/>
      <c r="AH1063" s="48"/>
      <c r="AI1063" s="48"/>
    </row>
    <row r="1064" spans="1:35" ht="12.5" hidden="1">
      <c r="A1064" s="37" t="s">
        <v>412</v>
      </c>
      <c r="B1064" s="38" t="str">
        <f>IFERROR(VLOOKUP(J1064,catalogo!$B$1:$C$85,2,0),"-")</f>
        <v>#79</v>
      </c>
      <c r="C1064" s="39">
        <v>46079.416666666664</v>
      </c>
      <c r="D1064" s="40"/>
      <c r="E1064" s="41"/>
      <c r="F1064" s="41"/>
      <c r="G1064" s="42">
        <v>48</v>
      </c>
      <c r="H1064" s="42">
        <v>48</v>
      </c>
      <c r="I1064" s="43" t="s">
        <v>156</v>
      </c>
      <c r="J1064" s="43" t="s">
        <v>325</v>
      </c>
      <c r="K1064" s="43" t="s">
        <v>1857</v>
      </c>
      <c r="L1064" s="44" t="s">
        <v>407</v>
      </c>
      <c r="M1064" s="44">
        <v>7984</v>
      </c>
      <c r="N1064" s="44" t="s">
        <v>167</v>
      </c>
      <c r="O1064" s="17"/>
      <c r="P1064" s="17"/>
      <c r="Q1064" s="17"/>
      <c r="R1064" s="17"/>
      <c r="S1064" s="17"/>
      <c r="T1064" s="17"/>
      <c r="U1064" s="17"/>
      <c r="V1064" s="17"/>
      <c r="W1064" s="17"/>
      <c r="X1064" s="17"/>
      <c r="Y1064" s="46"/>
      <c r="Z1064" s="47"/>
      <c r="AA1064" s="48"/>
      <c r="AB1064" s="48"/>
      <c r="AC1064" s="48"/>
      <c r="AD1064" s="48"/>
      <c r="AE1064" s="48"/>
      <c r="AF1064" s="48"/>
      <c r="AG1064" s="48"/>
      <c r="AH1064" s="48"/>
      <c r="AI1064" s="48"/>
    </row>
    <row r="1065" spans="1:35" ht="12.5" hidden="1">
      <c r="A1065" s="37" t="s">
        <v>409</v>
      </c>
      <c r="B1065" s="38" t="str">
        <f>IFERROR(VLOOKUP(J1065,catalogo!$B$1:$C$85,2,0),"-")</f>
        <v>#8</v>
      </c>
      <c r="C1065" s="39">
        <v>46079.416666666664</v>
      </c>
      <c r="D1065" s="40"/>
      <c r="E1065" s="41"/>
      <c r="F1065" s="41"/>
      <c r="G1065" s="42">
        <v>74.55</v>
      </c>
      <c r="H1065" s="42">
        <v>74.55</v>
      </c>
      <c r="I1065" s="43" t="s">
        <v>156</v>
      </c>
      <c r="J1065" s="43" t="s">
        <v>128</v>
      </c>
      <c r="K1065" s="43" t="s">
        <v>1858</v>
      </c>
      <c r="L1065" s="44" t="s">
        <v>1859</v>
      </c>
      <c r="M1065" s="44">
        <v>16</v>
      </c>
      <c r="N1065" s="44" t="s">
        <v>167</v>
      </c>
      <c r="O1065" s="17"/>
      <c r="P1065" s="17"/>
      <c r="Q1065" s="17"/>
      <c r="R1065" s="17"/>
      <c r="S1065" s="17"/>
      <c r="T1065" s="17"/>
      <c r="U1065" s="17"/>
      <c r="V1065" s="17"/>
      <c r="W1065" s="17"/>
      <c r="X1065" s="17"/>
      <c r="Y1065" s="46"/>
      <c r="Z1065" s="47"/>
      <c r="AA1065" s="48"/>
      <c r="AB1065" s="48"/>
      <c r="AC1065" s="48"/>
      <c r="AD1065" s="48"/>
      <c r="AE1065" s="48"/>
      <c r="AF1065" s="48"/>
      <c r="AG1065" s="48"/>
      <c r="AH1065" s="48"/>
      <c r="AI1065" s="48"/>
    </row>
    <row r="1066" spans="1:35" ht="12.5" hidden="1">
      <c r="A1066" s="37" t="s">
        <v>408</v>
      </c>
      <c r="B1066" s="38" t="str">
        <f>IFERROR(VLOOKUP(J1066,catalogo!$B$1:$C$85,2,0),"-")</f>
        <v>#26</v>
      </c>
      <c r="C1066" s="39">
        <v>46079.416666666664</v>
      </c>
      <c r="D1066" s="40"/>
      <c r="E1066" s="41"/>
      <c r="F1066" s="41"/>
      <c r="G1066" s="42">
        <v>95.83</v>
      </c>
      <c r="H1066" s="42">
        <v>95.83</v>
      </c>
      <c r="I1066" s="43" t="s">
        <v>156</v>
      </c>
      <c r="J1066" s="43" t="s">
        <v>67</v>
      </c>
      <c r="K1066" s="43" t="s">
        <v>371</v>
      </c>
      <c r="L1066" s="44" t="s">
        <v>233</v>
      </c>
      <c r="M1066" s="44">
        <v>8061</v>
      </c>
      <c r="N1066" s="44" t="s">
        <v>167</v>
      </c>
      <c r="O1066" s="17"/>
      <c r="P1066" s="17"/>
      <c r="Q1066" s="17"/>
      <c r="R1066" s="17"/>
      <c r="S1066" s="17"/>
      <c r="T1066" s="17"/>
      <c r="U1066" s="17"/>
      <c r="V1066" s="17"/>
      <c r="W1066" s="17"/>
      <c r="X1066" s="17"/>
      <c r="Y1066" s="46"/>
      <c r="Z1066" s="47"/>
      <c r="AA1066" s="48"/>
      <c r="AB1066" s="48"/>
      <c r="AC1066" s="48"/>
      <c r="AD1066" s="48"/>
      <c r="AE1066" s="48"/>
      <c r="AF1066" s="48"/>
      <c r="AG1066" s="48"/>
      <c r="AH1066" s="48"/>
      <c r="AI1066" s="48"/>
    </row>
    <row r="1067" spans="1:35" ht="12.5" hidden="1">
      <c r="A1067" s="37" t="s">
        <v>405</v>
      </c>
      <c r="B1067" s="38" t="str">
        <f>IFERROR(VLOOKUP(J1067,catalogo!$B$1:$C$85,2,0),"-")</f>
        <v>#58</v>
      </c>
      <c r="C1067" s="39">
        <v>46079.416666666664</v>
      </c>
      <c r="D1067" s="40"/>
      <c r="E1067" s="41"/>
      <c r="F1067" s="41"/>
      <c r="G1067" s="42">
        <v>93.5</v>
      </c>
      <c r="H1067" s="42">
        <v>93.5</v>
      </c>
      <c r="I1067" s="43" t="s">
        <v>156</v>
      </c>
      <c r="J1067" s="43" t="s">
        <v>118</v>
      </c>
      <c r="K1067" s="43" t="s">
        <v>1535</v>
      </c>
      <c r="L1067" s="44" t="s">
        <v>1536</v>
      </c>
      <c r="M1067" s="44">
        <v>5576</v>
      </c>
      <c r="N1067" s="44" t="s">
        <v>167</v>
      </c>
      <c r="O1067" s="17"/>
      <c r="P1067" s="17"/>
      <c r="Q1067" s="17"/>
      <c r="R1067" s="17"/>
      <c r="S1067" s="17"/>
      <c r="T1067" s="17"/>
      <c r="U1067" s="17"/>
      <c r="V1067" s="17"/>
      <c r="W1067" s="17"/>
      <c r="X1067" s="17"/>
      <c r="Y1067" s="46"/>
      <c r="Z1067" s="47"/>
      <c r="AA1067" s="48"/>
      <c r="AB1067" s="48"/>
      <c r="AC1067" s="48"/>
      <c r="AD1067" s="48"/>
      <c r="AE1067" s="48"/>
      <c r="AF1067" s="48"/>
      <c r="AG1067" s="48"/>
      <c r="AH1067" s="48"/>
      <c r="AI1067" s="48"/>
    </row>
    <row r="1068" spans="1:35" ht="12.5" hidden="1">
      <c r="A1068" s="37" t="s">
        <v>402</v>
      </c>
      <c r="B1068" s="38" t="str">
        <f>IFERROR(VLOOKUP(J1068,catalogo!$B$1:$C$85,2,0),"-")</f>
        <v>#26</v>
      </c>
      <c r="C1068" s="39">
        <v>46079.416666666664</v>
      </c>
      <c r="D1068" s="40"/>
      <c r="E1068" s="41"/>
      <c r="F1068" s="41"/>
      <c r="G1068" s="42">
        <v>199.96</v>
      </c>
      <c r="H1068" s="42">
        <v>199.96</v>
      </c>
      <c r="I1068" s="43" t="s">
        <v>156</v>
      </c>
      <c r="J1068" s="43" t="s">
        <v>67</v>
      </c>
      <c r="K1068" s="43" t="s">
        <v>485</v>
      </c>
      <c r="L1068" s="44" t="s">
        <v>233</v>
      </c>
      <c r="M1068" s="44">
        <v>8061</v>
      </c>
      <c r="N1068" s="44" t="s">
        <v>167</v>
      </c>
      <c r="O1068" s="17"/>
      <c r="P1068" s="17"/>
      <c r="Q1068" s="17"/>
      <c r="R1068" s="17"/>
      <c r="S1068" s="17"/>
      <c r="T1068" s="17"/>
      <c r="U1068" s="17"/>
      <c r="V1068" s="17"/>
      <c r="W1068" s="17"/>
      <c r="X1068" s="17"/>
      <c r="Y1068" s="46"/>
      <c r="Z1068" s="47"/>
      <c r="AA1068" s="48"/>
      <c r="AB1068" s="48"/>
      <c r="AC1068" s="48"/>
      <c r="AD1068" s="48"/>
      <c r="AE1068" s="48"/>
      <c r="AF1068" s="48"/>
      <c r="AG1068" s="48"/>
      <c r="AH1068" s="48"/>
      <c r="AI1068" s="48"/>
    </row>
    <row r="1069" spans="1:35" ht="12.5" hidden="1">
      <c r="A1069" s="37" t="s">
        <v>401</v>
      </c>
      <c r="B1069" s="38" t="str">
        <f>IFERROR(VLOOKUP(J1069,catalogo!$B$1:$C$85,2,0),"-")</f>
        <v>#56</v>
      </c>
      <c r="C1069" s="39">
        <v>46079.416666666664</v>
      </c>
      <c r="D1069" s="40"/>
      <c r="E1069" s="41"/>
      <c r="F1069" s="41"/>
      <c r="G1069" s="42">
        <v>179.98</v>
      </c>
      <c r="H1069" s="42">
        <v>179.98</v>
      </c>
      <c r="I1069" s="43" t="s">
        <v>156</v>
      </c>
      <c r="J1069" s="43" t="s">
        <v>99</v>
      </c>
      <c r="K1069" s="43" t="s">
        <v>1533</v>
      </c>
      <c r="L1069" s="44" t="s">
        <v>233</v>
      </c>
      <c r="M1069" s="44">
        <v>8949</v>
      </c>
      <c r="N1069" s="44" t="s">
        <v>167</v>
      </c>
      <c r="O1069" s="17"/>
      <c r="P1069" s="17"/>
      <c r="Q1069" s="17"/>
      <c r="R1069" s="17"/>
      <c r="S1069" s="17"/>
      <c r="T1069" s="17"/>
      <c r="U1069" s="17"/>
      <c r="V1069" s="17"/>
      <c r="W1069" s="17"/>
      <c r="X1069" s="17"/>
      <c r="Y1069" s="46"/>
      <c r="Z1069" s="47"/>
      <c r="AA1069" s="48"/>
      <c r="AB1069" s="48"/>
      <c r="AC1069" s="48"/>
      <c r="AD1069" s="48"/>
      <c r="AE1069" s="48"/>
      <c r="AF1069" s="48"/>
      <c r="AG1069" s="48"/>
      <c r="AH1069" s="48"/>
      <c r="AI1069" s="48"/>
    </row>
    <row r="1070" spans="1:35" ht="12.5" hidden="1">
      <c r="A1070" s="37" t="s">
        <v>398</v>
      </c>
      <c r="B1070" s="38" t="str">
        <f>IFERROR(VLOOKUP(J1070,catalogo!$B$1:$C$85,2,0),"-")</f>
        <v>#68</v>
      </c>
      <c r="C1070" s="39">
        <v>46079.416666666664</v>
      </c>
      <c r="D1070" s="40"/>
      <c r="E1070" s="41"/>
      <c r="F1070" s="41"/>
      <c r="G1070" s="42">
        <v>200</v>
      </c>
      <c r="H1070" s="42">
        <v>200</v>
      </c>
      <c r="I1070" s="43" t="s">
        <v>156</v>
      </c>
      <c r="J1070" s="43" t="s">
        <v>384</v>
      </c>
      <c r="K1070" s="43" t="s">
        <v>1860</v>
      </c>
      <c r="L1070" s="44" t="s">
        <v>1861</v>
      </c>
      <c r="M1070" s="44">
        <v>2937</v>
      </c>
      <c r="N1070" s="44" t="s">
        <v>167</v>
      </c>
      <c r="O1070" s="17"/>
      <c r="P1070" s="17"/>
      <c r="Q1070" s="17"/>
      <c r="R1070" s="17"/>
      <c r="S1070" s="17"/>
      <c r="T1070" s="17"/>
      <c r="U1070" s="17"/>
      <c r="V1070" s="17"/>
      <c r="W1070" s="17"/>
      <c r="X1070" s="17"/>
      <c r="Y1070" s="46"/>
      <c r="Z1070" s="47"/>
      <c r="AA1070" s="48"/>
      <c r="AB1070" s="48"/>
      <c r="AC1070" s="48"/>
      <c r="AD1070" s="48"/>
      <c r="AE1070" s="48"/>
      <c r="AF1070" s="48"/>
      <c r="AG1070" s="48"/>
      <c r="AH1070" s="48"/>
      <c r="AI1070" s="48"/>
    </row>
    <row r="1071" spans="1:35" ht="12.5" hidden="1">
      <c r="A1071" s="37" t="s">
        <v>397</v>
      </c>
      <c r="B1071" s="38" t="str">
        <f>IFERROR(VLOOKUP(J1071,catalogo!$B$1:$C$85,2,0),"-")</f>
        <v>#8</v>
      </c>
      <c r="C1071" s="39">
        <v>46079.417361111111</v>
      </c>
      <c r="D1071" s="40"/>
      <c r="E1071" s="41"/>
      <c r="F1071" s="41"/>
      <c r="G1071" s="42">
        <v>232</v>
      </c>
      <c r="H1071" s="42">
        <v>232</v>
      </c>
      <c r="I1071" s="43" t="s">
        <v>156</v>
      </c>
      <c r="J1071" s="43" t="s">
        <v>128</v>
      </c>
      <c r="K1071" s="43" t="s">
        <v>1862</v>
      </c>
      <c r="L1071" s="44" t="s">
        <v>407</v>
      </c>
      <c r="M1071" s="44">
        <v>16</v>
      </c>
      <c r="N1071" s="44" t="s">
        <v>167</v>
      </c>
      <c r="O1071" s="17"/>
      <c r="P1071" s="17"/>
      <c r="Q1071" s="17"/>
      <c r="R1071" s="17"/>
      <c r="S1071" s="17"/>
      <c r="T1071" s="17"/>
      <c r="U1071" s="17"/>
      <c r="V1071" s="17"/>
      <c r="W1071" s="17"/>
      <c r="X1071" s="17"/>
      <c r="Y1071" s="46"/>
      <c r="Z1071" s="47"/>
      <c r="AA1071" s="48"/>
      <c r="AB1071" s="48"/>
      <c r="AC1071" s="48"/>
      <c r="AD1071" s="48"/>
      <c r="AE1071" s="48"/>
      <c r="AF1071" s="48"/>
      <c r="AG1071" s="48"/>
      <c r="AH1071" s="48"/>
      <c r="AI1071" s="48"/>
    </row>
    <row r="1072" spans="1:35" ht="12.5" hidden="1">
      <c r="A1072" s="37" t="s">
        <v>396</v>
      </c>
      <c r="B1072" s="38" t="str">
        <f>IFERROR(VLOOKUP(J1072,catalogo!$B$1:$C$85,2,0),"-")</f>
        <v>#56</v>
      </c>
      <c r="C1072" s="39">
        <v>46079.417361111111</v>
      </c>
      <c r="D1072" s="40"/>
      <c r="E1072" s="41"/>
      <c r="F1072" s="41"/>
      <c r="G1072" s="42">
        <v>329.97</v>
      </c>
      <c r="H1072" s="42">
        <v>329.97</v>
      </c>
      <c r="I1072" s="43" t="s">
        <v>156</v>
      </c>
      <c r="J1072" s="43" t="s">
        <v>99</v>
      </c>
      <c r="K1072" s="43" t="s">
        <v>485</v>
      </c>
      <c r="L1072" s="44" t="s">
        <v>233</v>
      </c>
      <c r="M1072" s="44">
        <v>8949</v>
      </c>
      <c r="N1072" s="44" t="s">
        <v>167</v>
      </c>
      <c r="O1072" s="17"/>
      <c r="P1072" s="17"/>
      <c r="Q1072" s="17"/>
      <c r="R1072" s="17"/>
      <c r="S1072" s="17"/>
      <c r="T1072" s="17"/>
      <c r="U1072" s="17"/>
      <c r="V1072" s="17"/>
      <c r="W1072" s="17"/>
      <c r="X1072" s="17"/>
      <c r="Y1072" s="46"/>
      <c r="Z1072" s="47"/>
      <c r="AA1072" s="48"/>
      <c r="AB1072" s="48"/>
      <c r="AC1072" s="48"/>
      <c r="AD1072" s="48"/>
      <c r="AE1072" s="48"/>
      <c r="AF1072" s="48"/>
      <c r="AG1072" s="48"/>
      <c r="AH1072" s="48"/>
      <c r="AI1072" s="48"/>
    </row>
    <row r="1073" spans="1:35" ht="12.5" hidden="1">
      <c r="A1073" s="37" t="s">
        <v>394</v>
      </c>
      <c r="B1073" s="38" t="str">
        <f>IFERROR(VLOOKUP(J1073,catalogo!$B$1:$C$85,2,0),"-")</f>
        <v>-</v>
      </c>
      <c r="C1073" s="39">
        <v>46079.417361111111</v>
      </c>
      <c r="D1073" s="40"/>
      <c r="E1073" s="41"/>
      <c r="F1073" s="41"/>
      <c r="G1073" s="42">
        <v>367.4</v>
      </c>
      <c r="H1073" s="42">
        <v>367.4</v>
      </c>
      <c r="I1073" s="43" t="s">
        <v>156</v>
      </c>
      <c r="J1073" s="43" t="s">
        <v>187</v>
      </c>
      <c r="K1073" s="43" t="s">
        <v>1863</v>
      </c>
      <c r="L1073" s="44" t="s">
        <v>1864</v>
      </c>
      <c r="M1073" s="44" t="s">
        <v>190</v>
      </c>
      <c r="N1073" s="44" t="s">
        <v>167</v>
      </c>
      <c r="O1073" s="17"/>
      <c r="P1073" s="17"/>
      <c r="Q1073" s="17"/>
      <c r="R1073" s="17"/>
      <c r="S1073" s="17"/>
      <c r="T1073" s="17"/>
      <c r="U1073" s="17"/>
      <c r="V1073" s="17"/>
      <c r="W1073" s="17"/>
      <c r="X1073" s="17"/>
      <c r="Y1073" s="46"/>
      <c r="Z1073" s="47"/>
      <c r="AA1073" s="48"/>
      <c r="AB1073" s="48"/>
      <c r="AC1073" s="48"/>
      <c r="AD1073" s="48"/>
      <c r="AE1073" s="48"/>
      <c r="AF1073" s="48"/>
      <c r="AG1073" s="48"/>
      <c r="AH1073" s="48"/>
      <c r="AI1073" s="48"/>
    </row>
    <row r="1074" spans="1:35" ht="12.5" hidden="1">
      <c r="A1074" s="37" t="s">
        <v>393</v>
      </c>
      <c r="B1074" s="38" t="str">
        <f>IFERROR(VLOOKUP(J1074,catalogo!$B$1:$C$85,2,0),"-")</f>
        <v>#26</v>
      </c>
      <c r="C1074" s="39">
        <v>46079.417361111111</v>
      </c>
      <c r="D1074" s="40"/>
      <c r="E1074" s="41"/>
      <c r="F1074" s="41"/>
      <c r="G1074" s="42">
        <v>462</v>
      </c>
      <c r="H1074" s="42">
        <v>462</v>
      </c>
      <c r="I1074" s="43" t="s">
        <v>156</v>
      </c>
      <c r="J1074" s="43" t="s">
        <v>67</v>
      </c>
      <c r="K1074" s="43" t="s">
        <v>1865</v>
      </c>
      <c r="L1074" s="44" t="s">
        <v>1866</v>
      </c>
      <c r="M1074" s="44">
        <v>8061</v>
      </c>
      <c r="N1074" s="44" t="s">
        <v>167</v>
      </c>
      <c r="O1074" s="17"/>
      <c r="P1074" s="17"/>
      <c r="Q1074" s="17"/>
      <c r="R1074" s="17"/>
      <c r="S1074" s="17"/>
      <c r="T1074" s="17"/>
      <c r="U1074" s="17"/>
      <c r="V1074" s="17"/>
      <c r="W1074" s="17"/>
      <c r="X1074" s="17"/>
      <c r="Y1074" s="46"/>
      <c r="Z1074" s="47"/>
      <c r="AA1074" s="48"/>
      <c r="AB1074" s="48"/>
      <c r="AC1074" s="48"/>
      <c r="AD1074" s="48"/>
      <c r="AE1074" s="48"/>
      <c r="AF1074" s="48"/>
      <c r="AG1074" s="48"/>
      <c r="AH1074" s="48"/>
      <c r="AI1074" s="48"/>
    </row>
    <row r="1075" spans="1:35" ht="12.5" hidden="1">
      <c r="A1075" s="37" t="s">
        <v>390</v>
      </c>
      <c r="B1075" s="38" t="str">
        <f>IFERROR(VLOOKUP(J1075,catalogo!$B$1:$C$85,2,0),"-")</f>
        <v>-</v>
      </c>
      <c r="C1075" s="39">
        <v>46079.417361111111</v>
      </c>
      <c r="D1075" s="40"/>
      <c r="E1075" s="41"/>
      <c r="F1075" s="41"/>
      <c r="G1075" s="42">
        <v>535.70000000000005</v>
      </c>
      <c r="H1075" s="42">
        <v>535.70000000000005</v>
      </c>
      <c r="I1075" s="43" t="s">
        <v>156</v>
      </c>
      <c r="J1075" s="43" t="s">
        <v>269</v>
      </c>
      <c r="K1075" s="43" t="s">
        <v>1867</v>
      </c>
      <c r="L1075" s="44" t="s">
        <v>1868</v>
      </c>
      <c r="M1075" s="44">
        <v>6130</v>
      </c>
      <c r="N1075" s="44" t="s">
        <v>167</v>
      </c>
      <c r="O1075" s="17"/>
      <c r="P1075" s="17"/>
      <c r="Q1075" s="17"/>
      <c r="R1075" s="17"/>
      <c r="S1075" s="17"/>
      <c r="T1075" s="17"/>
      <c r="U1075" s="17"/>
      <c r="V1075" s="17"/>
      <c r="W1075" s="17"/>
      <c r="X1075" s="17"/>
      <c r="Y1075" s="46"/>
      <c r="Z1075" s="47"/>
      <c r="AA1075" s="48"/>
      <c r="AB1075" s="48"/>
      <c r="AC1075" s="48"/>
      <c r="AD1075" s="48"/>
      <c r="AE1075" s="48"/>
      <c r="AF1075" s="48"/>
      <c r="AG1075" s="48"/>
      <c r="AH1075" s="48"/>
      <c r="AI1075" s="48"/>
    </row>
    <row r="1076" spans="1:35" ht="12.5" hidden="1">
      <c r="A1076" s="37" t="s">
        <v>387</v>
      </c>
      <c r="B1076" s="38" t="str">
        <f>IFERROR(VLOOKUP(J1076,catalogo!$B$1:$C$85,2,0),"-")</f>
        <v>-</v>
      </c>
      <c r="C1076" s="39">
        <v>46079.417361111111</v>
      </c>
      <c r="D1076" s="40"/>
      <c r="E1076" s="41"/>
      <c r="F1076" s="41"/>
      <c r="G1076" s="42">
        <v>616</v>
      </c>
      <c r="H1076" s="42">
        <v>616</v>
      </c>
      <c r="I1076" s="43" t="s">
        <v>156</v>
      </c>
      <c r="J1076" s="43" t="s">
        <v>269</v>
      </c>
      <c r="K1076" s="43" t="s">
        <v>1869</v>
      </c>
      <c r="L1076" s="44" t="s">
        <v>1870</v>
      </c>
      <c r="M1076" s="44">
        <v>6130</v>
      </c>
      <c r="N1076" s="44" t="s">
        <v>167</v>
      </c>
      <c r="O1076" s="17"/>
      <c r="P1076" s="17"/>
      <c r="Q1076" s="17"/>
      <c r="R1076" s="17"/>
      <c r="S1076" s="17"/>
      <c r="T1076" s="17"/>
      <c r="U1076" s="17"/>
      <c r="V1076" s="17"/>
      <c r="W1076" s="17"/>
      <c r="X1076" s="17"/>
      <c r="Y1076" s="46"/>
      <c r="Z1076" s="47"/>
      <c r="AA1076" s="48"/>
      <c r="AB1076" s="48"/>
      <c r="AC1076" s="48"/>
      <c r="AD1076" s="48"/>
      <c r="AE1076" s="48"/>
      <c r="AF1076" s="48"/>
      <c r="AG1076" s="48"/>
      <c r="AH1076" s="48"/>
      <c r="AI1076" s="48"/>
    </row>
    <row r="1077" spans="1:35" ht="12.5" hidden="1">
      <c r="A1077" s="37" t="s">
        <v>383</v>
      </c>
      <c r="B1077" s="38" t="str">
        <f>IFERROR(VLOOKUP(J1077,catalogo!$B$1:$C$85,2,0),"-")</f>
        <v>-</v>
      </c>
      <c r="C1077" s="39">
        <v>46079.417361111111</v>
      </c>
      <c r="D1077" s="40"/>
      <c r="E1077" s="41"/>
      <c r="F1077" s="41"/>
      <c r="G1077" s="42">
        <v>662.2</v>
      </c>
      <c r="H1077" s="42">
        <v>662.2</v>
      </c>
      <c r="I1077" s="43" t="s">
        <v>156</v>
      </c>
      <c r="J1077" s="43" t="s">
        <v>321</v>
      </c>
      <c r="K1077" s="43" t="s">
        <v>1871</v>
      </c>
      <c r="L1077" s="44" t="s">
        <v>1872</v>
      </c>
      <c r="M1077" s="44">
        <v>3340</v>
      </c>
      <c r="N1077" s="44" t="s">
        <v>167</v>
      </c>
      <c r="O1077" s="17"/>
      <c r="P1077" s="17"/>
      <c r="Q1077" s="17"/>
      <c r="R1077" s="17"/>
      <c r="S1077" s="17"/>
      <c r="T1077" s="17"/>
      <c r="U1077" s="17"/>
      <c r="V1077" s="17"/>
      <c r="W1077" s="17"/>
      <c r="X1077" s="17"/>
      <c r="Y1077" s="46"/>
      <c r="Z1077" s="47"/>
      <c r="AA1077" s="48"/>
      <c r="AB1077" s="48"/>
      <c r="AC1077" s="48"/>
      <c r="AD1077" s="48"/>
      <c r="AE1077" s="48"/>
      <c r="AF1077" s="48"/>
      <c r="AG1077" s="48"/>
      <c r="AH1077" s="48"/>
      <c r="AI1077" s="48"/>
    </row>
    <row r="1078" spans="1:35" ht="12.5" hidden="1">
      <c r="A1078" s="37" t="s">
        <v>380</v>
      </c>
      <c r="B1078" s="38" t="str">
        <f>IFERROR(VLOOKUP(J1078,catalogo!$B$1:$C$85,2,0),"-")</f>
        <v>#13</v>
      </c>
      <c r="C1078" s="39">
        <v>46079.417361111111</v>
      </c>
      <c r="D1078" s="40"/>
      <c r="E1078" s="41"/>
      <c r="F1078" s="41"/>
      <c r="G1078" s="42">
        <v>957</v>
      </c>
      <c r="H1078" s="42">
        <v>957</v>
      </c>
      <c r="I1078" s="43" t="s">
        <v>156</v>
      </c>
      <c r="J1078" s="43" t="s">
        <v>66</v>
      </c>
      <c r="K1078" s="43" t="s">
        <v>1062</v>
      </c>
      <c r="L1078" s="44" t="s">
        <v>1063</v>
      </c>
      <c r="M1078" s="44">
        <v>8732</v>
      </c>
      <c r="N1078" s="44" t="s">
        <v>167</v>
      </c>
      <c r="O1078" s="17"/>
      <c r="P1078" s="17"/>
      <c r="Q1078" s="17"/>
      <c r="R1078" s="17"/>
      <c r="S1078" s="17"/>
      <c r="T1078" s="17"/>
      <c r="U1078" s="17"/>
      <c r="V1078" s="17"/>
      <c r="W1078" s="17"/>
      <c r="X1078" s="17"/>
      <c r="Y1078" s="46"/>
      <c r="Z1078" s="47"/>
      <c r="AA1078" s="48"/>
      <c r="AB1078" s="48"/>
      <c r="AC1078" s="48"/>
      <c r="AD1078" s="48"/>
      <c r="AE1078" s="48"/>
      <c r="AF1078" s="48"/>
      <c r="AG1078" s="48"/>
      <c r="AH1078" s="48"/>
      <c r="AI1078" s="48"/>
    </row>
    <row r="1079" spans="1:35" ht="12.5" hidden="1">
      <c r="A1079" s="37" t="s">
        <v>379</v>
      </c>
      <c r="B1079" s="38" t="str">
        <f>IFERROR(VLOOKUP(J1079,catalogo!$B$1:$C$85,2,0),"-")</f>
        <v>#41</v>
      </c>
      <c r="C1079" s="39">
        <v>46079.417361111111</v>
      </c>
      <c r="D1079" s="40"/>
      <c r="E1079" s="41"/>
      <c r="F1079" s="41"/>
      <c r="G1079" s="42">
        <v>1802.67</v>
      </c>
      <c r="H1079" s="42">
        <v>1802.67</v>
      </c>
      <c r="I1079" s="43" t="s">
        <v>156</v>
      </c>
      <c r="J1079" s="43" t="s">
        <v>68</v>
      </c>
      <c r="K1079" s="43" t="s">
        <v>1873</v>
      </c>
      <c r="L1079" s="44" t="s">
        <v>1874</v>
      </c>
      <c r="M1079" s="44">
        <v>4217</v>
      </c>
      <c r="N1079" s="44" t="s">
        <v>167</v>
      </c>
      <c r="O1079" s="17"/>
      <c r="P1079" s="17"/>
      <c r="Q1079" s="17"/>
      <c r="R1079" s="17"/>
      <c r="S1079" s="17"/>
      <c r="T1079" s="17"/>
      <c r="U1079" s="17"/>
      <c r="V1079" s="17"/>
      <c r="W1079" s="17"/>
      <c r="X1079" s="17"/>
      <c r="Y1079" s="46"/>
      <c r="Z1079" s="47"/>
      <c r="AA1079" s="48"/>
      <c r="AB1079" s="48"/>
      <c r="AC1079" s="48"/>
      <c r="AD1079" s="48"/>
      <c r="AE1079" s="48"/>
      <c r="AF1079" s="48"/>
      <c r="AG1079" s="48"/>
      <c r="AH1079" s="48"/>
      <c r="AI1079" s="48"/>
    </row>
    <row r="1080" spans="1:35" ht="12.5" hidden="1">
      <c r="A1080" s="37" t="s">
        <v>376</v>
      </c>
      <c r="B1080" s="38" t="str">
        <f>IFERROR(VLOOKUP(J1080,catalogo!$B$1:$C$85,2,0),"-")</f>
        <v>#35</v>
      </c>
      <c r="C1080" s="39">
        <v>46079.417361111111</v>
      </c>
      <c r="D1080" s="40"/>
      <c r="E1080" s="41"/>
      <c r="F1080" s="41"/>
      <c r="G1080" s="42">
        <v>790</v>
      </c>
      <c r="H1080" s="42">
        <v>790</v>
      </c>
      <c r="I1080" s="43" t="s">
        <v>156</v>
      </c>
      <c r="J1080" s="50" t="s">
        <v>123</v>
      </c>
      <c r="K1080" s="43" t="s">
        <v>210</v>
      </c>
      <c r="L1080" s="44" t="s">
        <v>211</v>
      </c>
      <c r="M1080" s="44">
        <v>1771</v>
      </c>
      <c r="N1080" s="44" t="s">
        <v>167</v>
      </c>
      <c r="O1080" s="17"/>
      <c r="P1080" s="17"/>
      <c r="Q1080" s="17"/>
      <c r="R1080" s="17"/>
      <c r="S1080" s="17"/>
      <c r="T1080" s="17"/>
      <c r="U1080" s="17"/>
      <c r="V1080" s="17"/>
      <c r="W1080" s="17"/>
      <c r="X1080" s="17"/>
      <c r="Y1080" s="46"/>
      <c r="Z1080" s="47"/>
      <c r="AA1080" s="48"/>
      <c r="AB1080" s="48"/>
      <c r="AC1080" s="48"/>
      <c r="AD1080" s="48"/>
      <c r="AE1080" s="48"/>
      <c r="AF1080" s="48"/>
      <c r="AG1080" s="48"/>
      <c r="AH1080" s="48"/>
      <c r="AI1080" s="48"/>
    </row>
    <row r="1081" spans="1:35" ht="12.5" hidden="1">
      <c r="A1081" s="37" t="s">
        <v>373</v>
      </c>
      <c r="B1081" s="38" t="str">
        <f>IFERROR(VLOOKUP(J1081,catalogo!$B$1:$C$85,2,0),"-")</f>
        <v>#64</v>
      </c>
      <c r="C1081" s="39">
        <v>46079.417361111111</v>
      </c>
      <c r="D1081" s="40"/>
      <c r="E1081" s="41"/>
      <c r="F1081" s="41"/>
      <c r="G1081" s="42">
        <v>1705.08</v>
      </c>
      <c r="H1081" s="42">
        <v>94.53</v>
      </c>
      <c r="I1081" s="43" t="s">
        <v>172</v>
      </c>
      <c r="J1081" s="50" t="s">
        <v>139</v>
      </c>
      <c r="K1081" s="43" t="s">
        <v>1875</v>
      </c>
      <c r="L1081" s="44" t="s">
        <v>170</v>
      </c>
      <c r="M1081" s="44">
        <v>7142</v>
      </c>
      <c r="N1081" s="44" t="s">
        <v>167</v>
      </c>
      <c r="O1081" s="17"/>
      <c r="P1081" s="17"/>
      <c r="Q1081" s="17"/>
      <c r="R1081" s="17"/>
      <c r="S1081" s="17"/>
      <c r="T1081" s="17"/>
      <c r="U1081" s="17"/>
      <c r="V1081" s="17"/>
      <c r="W1081" s="17"/>
      <c r="X1081" s="17"/>
      <c r="Y1081" s="46"/>
      <c r="Z1081" s="47"/>
      <c r="AA1081" s="48"/>
      <c r="AB1081" s="48"/>
      <c r="AC1081" s="48"/>
      <c r="AD1081" s="48"/>
      <c r="AE1081" s="48"/>
      <c r="AF1081" s="48"/>
      <c r="AG1081" s="48"/>
      <c r="AH1081" s="48"/>
      <c r="AI1081" s="48"/>
    </row>
    <row r="1082" spans="1:35" ht="12.5" hidden="1">
      <c r="A1082" s="37" t="s">
        <v>372</v>
      </c>
      <c r="B1082" s="38" t="str">
        <f>IFERROR(VLOOKUP(J1082,catalogo!$B$1:$C$85,2,0),"-")</f>
        <v>-</v>
      </c>
      <c r="C1082" s="39">
        <v>46080</v>
      </c>
      <c r="D1082" s="40"/>
      <c r="E1082" s="41"/>
      <c r="F1082" s="41"/>
      <c r="G1082" s="42">
        <v>1972.53</v>
      </c>
      <c r="H1082" s="42">
        <v>1972.53</v>
      </c>
      <c r="I1082" s="43" t="s">
        <v>156</v>
      </c>
      <c r="J1082" s="43" t="s">
        <v>225</v>
      </c>
      <c r="K1082" s="43" t="s">
        <v>1876</v>
      </c>
      <c r="L1082" s="44"/>
      <c r="M1082" s="44"/>
      <c r="N1082" s="44"/>
      <c r="O1082" s="17"/>
      <c r="P1082" s="17"/>
      <c r="Q1082" s="17"/>
      <c r="R1082" s="17"/>
      <c r="S1082" s="17"/>
      <c r="T1082" s="17"/>
      <c r="U1082" s="17"/>
      <c r="V1082" s="17"/>
      <c r="W1082" s="17"/>
      <c r="X1082" s="17"/>
      <c r="Y1082" s="46"/>
      <c r="Z1082" s="47"/>
      <c r="AA1082" s="48"/>
      <c r="AB1082" s="48"/>
      <c r="AC1082" s="48"/>
      <c r="AD1082" s="48"/>
      <c r="AE1082" s="48"/>
      <c r="AF1082" s="48"/>
      <c r="AG1082" s="48"/>
      <c r="AH1082" s="48"/>
      <c r="AI1082" s="48"/>
    </row>
    <row r="1083" spans="1:35" ht="12.5" hidden="1">
      <c r="A1083" s="37" t="s">
        <v>370</v>
      </c>
      <c r="B1083" s="38" t="str">
        <f>IFERROR(VLOOKUP(J1083,catalogo!$B$1:$C$85,2,0),"-")</f>
        <v>-</v>
      </c>
      <c r="C1083" s="39">
        <v>46080.416666666664</v>
      </c>
      <c r="D1083" s="40"/>
      <c r="E1083" s="41"/>
      <c r="F1083" s="41"/>
      <c r="G1083" s="42">
        <v>567</v>
      </c>
      <c r="H1083" s="42">
        <v>567</v>
      </c>
      <c r="I1083" s="43" t="s">
        <v>156</v>
      </c>
      <c r="J1083" s="43" t="s">
        <v>269</v>
      </c>
      <c r="K1083" s="43" t="s">
        <v>1011</v>
      </c>
      <c r="L1083" s="44" t="s">
        <v>1012</v>
      </c>
      <c r="M1083" s="44">
        <v>6130</v>
      </c>
      <c r="N1083" s="44" t="s">
        <v>167</v>
      </c>
      <c r="O1083" s="17"/>
      <c r="P1083" s="17"/>
      <c r="Q1083" s="17"/>
      <c r="R1083" s="17"/>
      <c r="S1083" s="17"/>
      <c r="T1083" s="17"/>
      <c r="U1083" s="17"/>
      <c r="V1083" s="17"/>
      <c r="W1083" s="17"/>
      <c r="X1083" s="17"/>
      <c r="Y1083" s="46"/>
      <c r="Z1083" s="47"/>
      <c r="AA1083" s="48"/>
      <c r="AB1083" s="48"/>
      <c r="AC1083" s="48"/>
      <c r="AD1083" s="48"/>
      <c r="AE1083" s="48"/>
      <c r="AF1083" s="48"/>
      <c r="AG1083" s="48"/>
      <c r="AH1083" s="48"/>
      <c r="AI1083" s="48"/>
    </row>
    <row r="1084" spans="1:35" ht="12.5" hidden="1">
      <c r="A1084" s="37" t="s">
        <v>367</v>
      </c>
      <c r="B1084" s="38" t="str">
        <f>IFERROR(VLOOKUP(J1084,catalogo!$B$1:$C$85,2,0),"-")</f>
        <v>#41</v>
      </c>
      <c r="C1084" s="39">
        <v>46080.416666666664</v>
      </c>
      <c r="D1084" s="40"/>
      <c r="E1084" s="41"/>
      <c r="F1084" s="41"/>
      <c r="G1084" s="42">
        <v>81</v>
      </c>
      <c r="H1084" s="42">
        <v>81</v>
      </c>
      <c r="I1084" s="43" t="s">
        <v>156</v>
      </c>
      <c r="J1084" s="43" t="s">
        <v>68</v>
      </c>
      <c r="K1084" s="43" t="s">
        <v>284</v>
      </c>
      <c r="L1084" s="44" t="s">
        <v>233</v>
      </c>
      <c r="M1084" s="44" t="s">
        <v>1038</v>
      </c>
      <c r="N1084" s="44" t="s">
        <v>144</v>
      </c>
      <c r="O1084" s="17"/>
      <c r="P1084" s="17"/>
      <c r="Q1084" s="17"/>
      <c r="R1084" s="17"/>
      <c r="S1084" s="17"/>
      <c r="T1084" s="17"/>
      <c r="U1084" s="17"/>
      <c r="V1084" s="17"/>
      <c r="W1084" s="17"/>
      <c r="X1084" s="17"/>
      <c r="Y1084" s="46"/>
      <c r="Z1084" s="47"/>
      <c r="AA1084" s="48"/>
      <c r="AB1084" s="48"/>
      <c r="AC1084" s="48"/>
      <c r="AD1084" s="48"/>
      <c r="AE1084" s="48"/>
      <c r="AF1084" s="48"/>
      <c r="AG1084" s="48"/>
      <c r="AH1084" s="48"/>
      <c r="AI1084" s="48"/>
    </row>
    <row r="1085" spans="1:35" ht="12.5" hidden="1">
      <c r="A1085" s="37" t="s">
        <v>364</v>
      </c>
      <c r="B1085" s="38" t="str">
        <f>IFERROR(VLOOKUP(J1085,catalogo!$B$1:$C$85,2,0),"-")</f>
        <v>#8</v>
      </c>
      <c r="C1085" s="39">
        <v>46080.416666666664</v>
      </c>
      <c r="D1085" s="40"/>
      <c r="E1085" s="41"/>
      <c r="F1085" s="41"/>
      <c r="G1085" s="42">
        <v>70</v>
      </c>
      <c r="H1085" s="42">
        <v>70</v>
      </c>
      <c r="I1085" s="43" t="s">
        <v>156</v>
      </c>
      <c r="J1085" s="43" t="s">
        <v>128</v>
      </c>
      <c r="K1085" s="43" t="s">
        <v>232</v>
      </c>
      <c r="L1085" s="44" t="s">
        <v>233</v>
      </c>
      <c r="M1085" s="44">
        <v>16</v>
      </c>
      <c r="N1085" s="44" t="s">
        <v>167</v>
      </c>
      <c r="O1085" s="17"/>
      <c r="P1085" s="17"/>
      <c r="Q1085" s="17"/>
      <c r="R1085" s="17"/>
      <c r="S1085" s="17"/>
      <c r="T1085" s="17"/>
      <c r="U1085" s="17"/>
      <c r="V1085" s="17"/>
      <c r="W1085" s="17"/>
      <c r="X1085" s="17"/>
      <c r="Y1085" s="46"/>
      <c r="Z1085" s="47"/>
      <c r="AA1085" s="48"/>
      <c r="AB1085" s="48"/>
      <c r="AC1085" s="48"/>
      <c r="AD1085" s="48"/>
      <c r="AE1085" s="48"/>
      <c r="AF1085" s="48"/>
      <c r="AG1085" s="48"/>
      <c r="AH1085" s="48"/>
      <c r="AI1085" s="48"/>
    </row>
    <row r="1086" spans="1:35" ht="12.5" hidden="1">
      <c r="A1086" s="37" t="s">
        <v>360</v>
      </c>
      <c r="B1086" s="38" t="str">
        <f>IFERROR(VLOOKUP(J1086,catalogo!$B$1:$C$85,2,0),"-")</f>
        <v>#74</v>
      </c>
      <c r="C1086" s="39">
        <v>46080.416666666664</v>
      </c>
      <c r="D1086" s="40"/>
      <c r="E1086" s="41"/>
      <c r="F1086" s="41"/>
      <c r="G1086" s="42">
        <v>1314.5</v>
      </c>
      <c r="H1086" s="42">
        <v>1314.5</v>
      </c>
      <c r="I1086" s="43" t="s">
        <v>156</v>
      </c>
      <c r="J1086" s="43" t="s">
        <v>286</v>
      </c>
      <c r="K1086" s="43" t="s">
        <v>1877</v>
      </c>
      <c r="L1086" s="44" t="s">
        <v>1878</v>
      </c>
      <c r="M1086" s="44">
        <v>5481</v>
      </c>
      <c r="N1086" s="44" t="s">
        <v>167</v>
      </c>
      <c r="O1086" s="17"/>
      <c r="P1086" s="17"/>
      <c r="Q1086" s="17"/>
      <c r="R1086" s="17"/>
      <c r="S1086" s="17"/>
      <c r="T1086" s="17"/>
      <c r="U1086" s="17"/>
      <c r="V1086" s="17"/>
      <c r="W1086" s="17"/>
      <c r="X1086" s="17"/>
      <c r="Y1086" s="46"/>
      <c r="Z1086" s="47"/>
      <c r="AA1086" s="48"/>
      <c r="AB1086" s="48"/>
      <c r="AC1086" s="48"/>
      <c r="AD1086" s="48"/>
      <c r="AE1086" s="48"/>
      <c r="AF1086" s="48"/>
      <c r="AG1086" s="48"/>
      <c r="AH1086" s="48"/>
      <c r="AI1086" s="48"/>
    </row>
    <row r="1087" spans="1:35" ht="12.5" hidden="1">
      <c r="A1087" s="37" t="s">
        <v>358</v>
      </c>
      <c r="B1087" s="38" t="str">
        <f>IFERROR(VLOOKUP(J1087,catalogo!$B$1:$C$85,2,0),"-")</f>
        <v>-</v>
      </c>
      <c r="C1087" s="39">
        <v>46080.416666666664</v>
      </c>
      <c r="D1087" s="40"/>
      <c r="E1087" s="41"/>
      <c r="F1087" s="41"/>
      <c r="G1087" s="42">
        <v>300</v>
      </c>
      <c r="H1087" s="42">
        <v>300</v>
      </c>
      <c r="I1087" s="43" t="s">
        <v>156</v>
      </c>
      <c r="J1087" s="43" t="s">
        <v>187</v>
      </c>
      <c r="K1087" s="43" t="s">
        <v>622</v>
      </c>
      <c r="L1087" s="44" t="s">
        <v>623</v>
      </c>
      <c r="M1087" s="44" t="s">
        <v>477</v>
      </c>
      <c r="N1087" s="44" t="s">
        <v>144</v>
      </c>
      <c r="O1087" s="17"/>
      <c r="P1087" s="17"/>
      <c r="Q1087" s="17"/>
      <c r="R1087" s="17"/>
      <c r="S1087" s="17"/>
      <c r="T1087" s="17"/>
      <c r="U1087" s="17"/>
      <c r="V1087" s="17"/>
      <c r="W1087" s="17"/>
      <c r="X1087" s="17"/>
      <c r="Y1087" s="46"/>
      <c r="Z1087" s="47"/>
      <c r="AA1087" s="48"/>
      <c r="AB1087" s="48"/>
      <c r="AC1087" s="48"/>
      <c r="AD1087" s="48"/>
      <c r="AE1087" s="48"/>
      <c r="AF1087" s="48"/>
      <c r="AG1087" s="48"/>
      <c r="AH1087" s="48"/>
      <c r="AI1087" s="48"/>
    </row>
    <row r="1088" spans="1:35" ht="12.5" hidden="1">
      <c r="A1088" s="37" t="s">
        <v>355</v>
      </c>
      <c r="B1088" s="38" t="str">
        <f>IFERROR(VLOOKUP(J1088,catalogo!$B$1:$C$85,2,0),"-")</f>
        <v>#9</v>
      </c>
      <c r="C1088" s="39">
        <v>46080.416666666664</v>
      </c>
      <c r="D1088" s="40"/>
      <c r="E1088" s="41"/>
      <c r="F1088" s="41"/>
      <c r="G1088" s="42">
        <v>3861.12</v>
      </c>
      <c r="H1088" s="42">
        <v>3861.12</v>
      </c>
      <c r="I1088" s="43" t="s">
        <v>156</v>
      </c>
      <c r="J1088" s="43" t="s">
        <v>134</v>
      </c>
      <c r="K1088" s="43" t="s">
        <v>1879</v>
      </c>
      <c r="L1088" s="44" t="s">
        <v>1880</v>
      </c>
      <c r="M1088" s="44">
        <v>1026</v>
      </c>
      <c r="N1088" s="44" t="s">
        <v>167</v>
      </c>
      <c r="O1088" s="17"/>
      <c r="P1088" s="17"/>
      <c r="Q1088" s="17"/>
      <c r="R1088" s="17"/>
      <c r="S1088" s="17"/>
      <c r="T1088" s="17"/>
      <c r="U1088" s="17"/>
      <c r="V1088" s="17"/>
      <c r="W1088" s="17"/>
      <c r="X1088" s="17"/>
      <c r="Y1088" s="46"/>
      <c r="Z1088" s="47"/>
      <c r="AA1088" s="48"/>
      <c r="AB1088" s="48"/>
      <c r="AC1088" s="48"/>
      <c r="AD1088" s="48"/>
      <c r="AE1088" s="48"/>
      <c r="AF1088" s="48"/>
      <c r="AG1088" s="48"/>
      <c r="AH1088" s="48"/>
      <c r="AI1088" s="48"/>
    </row>
    <row r="1089" spans="1:35" ht="12.5" hidden="1">
      <c r="A1089" s="37" t="s">
        <v>352</v>
      </c>
      <c r="B1089" s="38" t="str">
        <f>IFERROR(VLOOKUP(J1089,catalogo!$B$1:$C$85,2,0),"-")</f>
        <v>-</v>
      </c>
      <c r="C1089" s="39">
        <v>46080.416666666664</v>
      </c>
      <c r="D1089" s="40"/>
      <c r="E1089" s="41"/>
      <c r="F1089" s="41"/>
      <c r="G1089" s="42">
        <v>1377.87</v>
      </c>
      <c r="H1089" s="42">
        <v>1377.87</v>
      </c>
      <c r="I1089" s="43" t="s">
        <v>156</v>
      </c>
      <c r="J1089" s="43" t="s">
        <v>269</v>
      </c>
      <c r="K1089" s="43" t="s">
        <v>338</v>
      </c>
      <c r="L1089" s="44" t="s">
        <v>317</v>
      </c>
      <c r="M1089" s="44" t="s">
        <v>270</v>
      </c>
      <c r="N1089" s="44" t="s">
        <v>144</v>
      </c>
      <c r="O1089" s="17"/>
      <c r="P1089" s="17"/>
      <c r="Q1089" s="17"/>
      <c r="R1089" s="17"/>
      <c r="S1089" s="17"/>
      <c r="T1089" s="17"/>
      <c r="U1089" s="17"/>
      <c r="V1089" s="17"/>
      <c r="W1089" s="17"/>
      <c r="X1089" s="17"/>
      <c r="Y1089" s="46"/>
      <c r="Z1089" s="47"/>
      <c r="AA1089" s="48"/>
      <c r="AB1089" s="48"/>
      <c r="AC1089" s="48"/>
      <c r="AD1089" s="48"/>
      <c r="AE1089" s="48"/>
      <c r="AF1089" s="48"/>
      <c r="AG1089" s="48"/>
      <c r="AH1089" s="48"/>
      <c r="AI1089" s="48"/>
    </row>
    <row r="1090" spans="1:35" ht="12.5" hidden="1">
      <c r="A1090" s="37" t="s">
        <v>349</v>
      </c>
      <c r="B1090" s="38" t="str">
        <f>IFERROR(VLOOKUP(J1090,catalogo!$B$1:$C$85,2,0),"-")</f>
        <v>#26</v>
      </c>
      <c r="C1090" s="39">
        <v>46080.416666666664</v>
      </c>
      <c r="D1090" s="40"/>
      <c r="E1090" s="41"/>
      <c r="F1090" s="41"/>
      <c r="G1090" s="42">
        <v>210</v>
      </c>
      <c r="H1090" s="42">
        <v>210</v>
      </c>
      <c r="I1090" s="43" t="s">
        <v>156</v>
      </c>
      <c r="J1090" s="43" t="s">
        <v>67</v>
      </c>
      <c r="K1090" s="43" t="s">
        <v>319</v>
      </c>
      <c r="L1090" s="44" t="s">
        <v>317</v>
      </c>
      <c r="M1090" s="44" t="s">
        <v>159</v>
      </c>
      <c r="N1090" s="44" t="s">
        <v>144</v>
      </c>
      <c r="O1090" s="17"/>
      <c r="P1090" s="17"/>
      <c r="Q1090" s="17"/>
      <c r="R1090" s="17"/>
      <c r="S1090" s="17"/>
      <c r="T1090" s="17"/>
      <c r="U1090" s="17"/>
      <c r="V1090" s="17"/>
      <c r="W1090" s="17"/>
      <c r="X1090" s="17"/>
      <c r="Y1090" s="46"/>
      <c r="Z1090" s="47"/>
      <c r="AA1090" s="48"/>
      <c r="AB1090" s="48"/>
      <c r="AC1090" s="48"/>
      <c r="AD1090" s="48"/>
      <c r="AE1090" s="48"/>
      <c r="AF1090" s="48"/>
      <c r="AG1090" s="48"/>
      <c r="AH1090" s="48"/>
      <c r="AI1090" s="48"/>
    </row>
    <row r="1091" spans="1:35" ht="12.5" hidden="1">
      <c r="A1091" s="37" t="s">
        <v>346</v>
      </c>
      <c r="B1091" s="38" t="str">
        <f>IFERROR(VLOOKUP(J1091,catalogo!$B$1:$C$85,2,0),"-")</f>
        <v>#26</v>
      </c>
      <c r="C1091" s="39">
        <v>46080.416666666664</v>
      </c>
      <c r="D1091" s="40"/>
      <c r="E1091" s="41"/>
      <c r="F1091" s="41"/>
      <c r="G1091" s="42">
        <v>341.83</v>
      </c>
      <c r="H1091" s="42">
        <v>341.83</v>
      </c>
      <c r="I1091" s="43" t="s">
        <v>156</v>
      </c>
      <c r="J1091" s="43" t="s">
        <v>67</v>
      </c>
      <c r="K1091" s="43" t="s">
        <v>1533</v>
      </c>
      <c r="L1091" s="44" t="s">
        <v>233</v>
      </c>
      <c r="M1091" s="44">
        <v>8061</v>
      </c>
      <c r="N1091" s="44" t="s">
        <v>167</v>
      </c>
      <c r="O1091" s="17"/>
      <c r="P1091" s="17"/>
      <c r="Q1091" s="17"/>
      <c r="R1091" s="17"/>
      <c r="S1091" s="17"/>
      <c r="T1091" s="17"/>
      <c r="U1091" s="17"/>
      <c r="V1091" s="17"/>
      <c r="W1091" s="17"/>
      <c r="X1091" s="17"/>
      <c r="Y1091" s="46"/>
      <c r="Z1091" s="47"/>
      <c r="AA1091" s="48"/>
      <c r="AB1091" s="48"/>
      <c r="AC1091" s="48"/>
      <c r="AD1091" s="48"/>
      <c r="AE1091" s="48"/>
      <c r="AF1091" s="48"/>
      <c r="AG1091" s="48"/>
      <c r="AH1091" s="48"/>
      <c r="AI1091" s="48"/>
    </row>
    <row r="1092" spans="1:35" ht="12.5" hidden="1">
      <c r="A1092" s="37" t="s">
        <v>342</v>
      </c>
      <c r="B1092" s="38" t="str">
        <f>IFERROR(VLOOKUP(J1092,catalogo!$B$1:$C$85,2,0),"-")</f>
        <v>#26</v>
      </c>
      <c r="C1092" s="39">
        <v>46080.416666666664</v>
      </c>
      <c r="D1092" s="40"/>
      <c r="E1092" s="41"/>
      <c r="F1092" s="41"/>
      <c r="G1092" s="42">
        <v>62.25</v>
      </c>
      <c r="H1092" s="42">
        <v>62.25</v>
      </c>
      <c r="I1092" s="43" t="s">
        <v>156</v>
      </c>
      <c r="J1092" s="43" t="s">
        <v>67</v>
      </c>
      <c r="K1092" s="43" t="s">
        <v>757</v>
      </c>
      <c r="L1092" s="44" t="s">
        <v>336</v>
      </c>
      <c r="M1092" s="44" t="s">
        <v>159</v>
      </c>
      <c r="N1092" s="44" t="s">
        <v>144</v>
      </c>
      <c r="O1092" s="17"/>
      <c r="P1092" s="17"/>
      <c r="Q1092" s="17"/>
      <c r="R1092" s="17"/>
      <c r="S1092" s="17"/>
      <c r="T1092" s="17"/>
      <c r="U1092" s="17"/>
      <c r="V1092" s="17"/>
      <c r="W1092" s="17"/>
      <c r="X1092" s="17"/>
      <c r="Y1092" s="46"/>
      <c r="Z1092" s="47"/>
      <c r="AA1092" s="48"/>
      <c r="AB1092" s="48"/>
      <c r="AC1092" s="48"/>
      <c r="AD1092" s="48"/>
      <c r="AE1092" s="48"/>
      <c r="AF1092" s="48"/>
      <c r="AG1092" s="48"/>
      <c r="AH1092" s="48"/>
      <c r="AI1092" s="48"/>
    </row>
    <row r="1093" spans="1:35" ht="12.5" hidden="1">
      <c r="A1093" s="37" t="s">
        <v>339</v>
      </c>
      <c r="B1093" s="38" t="str">
        <f>IFERROR(VLOOKUP(J1093,catalogo!$B$1:$C$85,2,0),"-")</f>
        <v>#26</v>
      </c>
      <c r="C1093" s="39">
        <v>46080.416666666664</v>
      </c>
      <c r="D1093" s="40"/>
      <c r="E1093" s="41"/>
      <c r="F1093" s="41"/>
      <c r="G1093" s="42">
        <v>99.74</v>
      </c>
      <c r="H1093" s="42">
        <v>99.74</v>
      </c>
      <c r="I1093" s="43" t="s">
        <v>156</v>
      </c>
      <c r="J1093" s="43" t="s">
        <v>67</v>
      </c>
      <c r="K1093" s="43" t="s">
        <v>757</v>
      </c>
      <c r="L1093" s="44" t="s">
        <v>336</v>
      </c>
      <c r="M1093" s="44" t="s">
        <v>159</v>
      </c>
      <c r="N1093" s="44" t="s">
        <v>144</v>
      </c>
      <c r="O1093" s="17"/>
      <c r="P1093" s="17"/>
      <c r="Q1093" s="17"/>
      <c r="R1093" s="17"/>
      <c r="S1093" s="17"/>
      <c r="T1093" s="17"/>
      <c r="U1093" s="17"/>
      <c r="V1093" s="17"/>
      <c r="W1093" s="17"/>
      <c r="X1093" s="17"/>
      <c r="Y1093" s="46"/>
      <c r="Z1093" s="47"/>
      <c r="AA1093" s="48"/>
      <c r="AB1093" s="48"/>
      <c r="AC1093" s="48"/>
      <c r="AD1093" s="48"/>
      <c r="AE1093" s="48"/>
      <c r="AF1093" s="48"/>
      <c r="AG1093" s="48"/>
      <c r="AH1093" s="48"/>
      <c r="AI1093" s="48"/>
    </row>
    <row r="1094" spans="1:35" ht="12.5" hidden="1">
      <c r="A1094" s="37" t="s">
        <v>337</v>
      </c>
      <c r="B1094" s="38" t="str">
        <f>IFERROR(VLOOKUP(J1094,catalogo!$B$1:$C$85,2,0),"-")</f>
        <v>#26</v>
      </c>
      <c r="C1094" s="39">
        <v>46080.416666666664</v>
      </c>
      <c r="D1094" s="40"/>
      <c r="E1094" s="41"/>
      <c r="F1094" s="41"/>
      <c r="G1094" s="42">
        <v>56.09</v>
      </c>
      <c r="H1094" s="42">
        <v>56.09</v>
      </c>
      <c r="I1094" s="43" t="s">
        <v>156</v>
      </c>
      <c r="J1094" s="43" t="s">
        <v>67</v>
      </c>
      <c r="K1094" s="43" t="s">
        <v>757</v>
      </c>
      <c r="L1094" s="44" t="s">
        <v>336</v>
      </c>
      <c r="M1094" s="44" t="s">
        <v>159</v>
      </c>
      <c r="N1094" s="44" t="s">
        <v>144</v>
      </c>
      <c r="O1094" s="17"/>
      <c r="P1094" s="17"/>
      <c r="Q1094" s="17"/>
      <c r="R1094" s="17"/>
      <c r="S1094" s="17"/>
      <c r="T1094" s="17"/>
      <c r="U1094" s="17"/>
      <c r="V1094" s="17"/>
      <c r="W1094" s="17"/>
      <c r="X1094" s="17"/>
      <c r="Y1094" s="46"/>
      <c r="Z1094" s="47"/>
      <c r="AA1094" s="48"/>
      <c r="AB1094" s="48"/>
      <c r="AC1094" s="48"/>
      <c r="AD1094" s="48"/>
      <c r="AE1094" s="48"/>
      <c r="AF1094" s="48"/>
      <c r="AG1094" s="48"/>
      <c r="AH1094" s="48"/>
      <c r="AI1094" s="48"/>
    </row>
    <row r="1095" spans="1:35" ht="12.5" hidden="1">
      <c r="A1095" s="37" t="s">
        <v>334</v>
      </c>
      <c r="B1095" s="38" t="str">
        <f>IFERROR(VLOOKUP(J1095,catalogo!$B$1:$C$85,2,0),"-")</f>
        <v>#26</v>
      </c>
      <c r="C1095" s="39">
        <v>46080.416666666664</v>
      </c>
      <c r="D1095" s="40"/>
      <c r="E1095" s="41"/>
      <c r="F1095" s="41"/>
      <c r="G1095" s="42">
        <v>318</v>
      </c>
      <c r="H1095" s="42">
        <v>318</v>
      </c>
      <c r="I1095" s="43" t="s">
        <v>156</v>
      </c>
      <c r="J1095" s="43" t="s">
        <v>67</v>
      </c>
      <c r="K1095" s="43" t="s">
        <v>1881</v>
      </c>
      <c r="L1095" s="44" t="s">
        <v>637</v>
      </c>
      <c r="M1095" s="44">
        <v>8061</v>
      </c>
      <c r="N1095" s="44" t="s">
        <v>167</v>
      </c>
      <c r="O1095" s="17"/>
      <c r="P1095" s="17"/>
      <c r="Q1095" s="17"/>
      <c r="R1095" s="17"/>
      <c r="S1095" s="17"/>
      <c r="T1095" s="17"/>
      <c r="U1095" s="17"/>
      <c r="V1095" s="17"/>
      <c r="W1095" s="17"/>
      <c r="X1095" s="17"/>
      <c r="Y1095" s="46"/>
      <c r="Z1095" s="47"/>
      <c r="AA1095" s="48"/>
      <c r="AB1095" s="48"/>
      <c r="AC1095" s="48"/>
      <c r="AD1095" s="48"/>
      <c r="AE1095" s="48"/>
      <c r="AF1095" s="48"/>
      <c r="AG1095" s="48"/>
      <c r="AH1095" s="48"/>
      <c r="AI1095" s="48"/>
    </row>
    <row r="1096" spans="1:35" ht="12.5" hidden="1">
      <c r="A1096" s="37" t="s">
        <v>333</v>
      </c>
      <c r="B1096" s="38" t="str">
        <f>IFERROR(VLOOKUP(J1096,catalogo!$B$1:$C$85,2,0),"-")</f>
        <v>-</v>
      </c>
      <c r="C1096" s="39">
        <v>46080.416666666664</v>
      </c>
      <c r="D1096" s="40"/>
      <c r="E1096" s="41"/>
      <c r="F1096" s="41"/>
      <c r="G1096" s="42">
        <v>3035</v>
      </c>
      <c r="H1096" s="42">
        <v>3035</v>
      </c>
      <c r="I1096" s="43" t="s">
        <v>156</v>
      </c>
      <c r="J1096" s="43" t="s">
        <v>187</v>
      </c>
      <c r="K1096" s="43" t="s">
        <v>762</v>
      </c>
      <c r="L1096" s="44" t="s">
        <v>223</v>
      </c>
      <c r="M1096" s="44" t="s">
        <v>477</v>
      </c>
      <c r="N1096" s="44" t="s">
        <v>144</v>
      </c>
      <c r="O1096" s="17"/>
      <c r="P1096" s="17"/>
      <c r="Q1096" s="17"/>
      <c r="R1096" s="17"/>
      <c r="S1096" s="17"/>
      <c r="T1096" s="17"/>
      <c r="U1096" s="17"/>
      <c r="V1096" s="17"/>
      <c r="W1096" s="17"/>
      <c r="X1096" s="17"/>
      <c r="Y1096" s="46"/>
      <c r="Z1096" s="47"/>
      <c r="AA1096" s="48"/>
      <c r="AB1096" s="48"/>
      <c r="AC1096" s="48"/>
      <c r="AD1096" s="48"/>
      <c r="AE1096" s="48"/>
      <c r="AF1096" s="48"/>
      <c r="AG1096" s="48"/>
      <c r="AH1096" s="48"/>
      <c r="AI1096" s="48"/>
    </row>
    <row r="1097" spans="1:35" ht="12.5" hidden="1">
      <c r="A1097" s="37" t="s">
        <v>329</v>
      </c>
      <c r="B1097" s="38" t="str">
        <f>IFERROR(VLOOKUP(J1097,catalogo!$B$1:$C$85,2,0),"-")</f>
        <v>#58</v>
      </c>
      <c r="C1097" s="39">
        <v>46080.416666666664</v>
      </c>
      <c r="D1097" s="40"/>
      <c r="E1097" s="41"/>
      <c r="F1097" s="41"/>
      <c r="G1097" s="42">
        <v>137.05000000000001</v>
      </c>
      <c r="H1097" s="42">
        <v>137.05000000000001</v>
      </c>
      <c r="I1097" s="43" t="s">
        <v>156</v>
      </c>
      <c r="J1097" s="43" t="s">
        <v>118</v>
      </c>
      <c r="K1097" s="43" t="s">
        <v>1882</v>
      </c>
      <c r="L1097" s="44" t="s">
        <v>1803</v>
      </c>
      <c r="M1097" s="44">
        <v>5576</v>
      </c>
      <c r="N1097" s="44" t="s">
        <v>167</v>
      </c>
      <c r="O1097" s="17"/>
      <c r="P1097" s="17"/>
      <c r="Q1097" s="17"/>
      <c r="R1097" s="17"/>
      <c r="S1097" s="17"/>
      <c r="T1097" s="17"/>
      <c r="U1097" s="17"/>
      <c r="V1097" s="17"/>
      <c r="W1097" s="17"/>
      <c r="X1097" s="17"/>
      <c r="Y1097" s="46"/>
      <c r="Z1097" s="47"/>
      <c r="AA1097" s="48"/>
      <c r="AB1097" s="48"/>
      <c r="AC1097" s="48"/>
      <c r="AD1097" s="48"/>
      <c r="AE1097" s="48"/>
      <c r="AF1097" s="48"/>
      <c r="AG1097" s="48"/>
      <c r="AH1097" s="48"/>
      <c r="AI1097" s="48"/>
    </row>
    <row r="1098" spans="1:35" ht="12.5" hidden="1">
      <c r="A1098" s="37" t="s">
        <v>326</v>
      </c>
      <c r="B1098" s="38" t="str">
        <f>IFERROR(VLOOKUP(J1098,catalogo!$B$1:$C$85,2,0),"-")</f>
        <v>#55</v>
      </c>
      <c r="C1098" s="39">
        <v>46080.416666666664</v>
      </c>
      <c r="D1098" s="40"/>
      <c r="E1098" s="41"/>
      <c r="F1098" s="41"/>
      <c r="G1098" s="42">
        <v>1017.79</v>
      </c>
      <c r="H1098" s="42">
        <v>1017.79</v>
      </c>
      <c r="I1098" s="43" t="s">
        <v>156</v>
      </c>
      <c r="J1098" s="43" t="s">
        <v>89</v>
      </c>
      <c r="K1098" s="43" t="s">
        <v>1883</v>
      </c>
      <c r="L1098" s="44" t="s">
        <v>1884</v>
      </c>
      <c r="M1098" s="44">
        <v>3013</v>
      </c>
      <c r="N1098" s="44" t="s">
        <v>167</v>
      </c>
      <c r="O1098" s="17"/>
      <c r="P1098" s="17"/>
      <c r="Q1098" s="17"/>
      <c r="R1098" s="17"/>
      <c r="S1098" s="17"/>
      <c r="T1098" s="17"/>
      <c r="U1098" s="17"/>
      <c r="V1098" s="17"/>
      <c r="W1098" s="17"/>
      <c r="X1098" s="17"/>
      <c r="Y1098" s="46"/>
      <c r="Z1098" s="47"/>
      <c r="AA1098" s="48"/>
      <c r="AB1098" s="48"/>
      <c r="AC1098" s="48"/>
      <c r="AD1098" s="48"/>
      <c r="AE1098" s="48"/>
      <c r="AF1098" s="48"/>
      <c r="AG1098" s="48"/>
      <c r="AH1098" s="48"/>
      <c r="AI1098" s="48"/>
    </row>
    <row r="1099" spans="1:35" ht="12.5" hidden="1">
      <c r="A1099" s="37" t="s">
        <v>324</v>
      </c>
      <c r="B1099" s="38" t="str">
        <f>IFERROR(VLOOKUP(J1099,catalogo!$B$1:$C$85,2,0),"-")</f>
        <v>#26</v>
      </c>
      <c r="C1099" s="39">
        <v>46080.416666666664</v>
      </c>
      <c r="D1099" s="40"/>
      <c r="E1099" s="41"/>
      <c r="F1099" s="41"/>
      <c r="G1099" s="42">
        <v>193</v>
      </c>
      <c r="H1099" s="42">
        <v>193</v>
      </c>
      <c r="I1099" s="43" t="s">
        <v>156</v>
      </c>
      <c r="J1099" s="43" t="s">
        <v>67</v>
      </c>
      <c r="K1099" s="43" t="s">
        <v>335</v>
      </c>
      <c r="L1099" s="44" t="s">
        <v>336</v>
      </c>
      <c r="M1099" s="44" t="s">
        <v>159</v>
      </c>
      <c r="N1099" s="44" t="s">
        <v>144</v>
      </c>
      <c r="O1099" s="17"/>
      <c r="P1099" s="17"/>
      <c r="Q1099" s="17"/>
      <c r="R1099" s="17"/>
      <c r="S1099" s="17"/>
      <c r="T1099" s="17"/>
      <c r="U1099" s="17"/>
      <c r="V1099" s="17"/>
      <c r="W1099" s="17"/>
      <c r="X1099" s="17"/>
      <c r="Y1099" s="46"/>
      <c r="Z1099" s="47"/>
      <c r="AA1099" s="48"/>
      <c r="AB1099" s="48"/>
      <c r="AC1099" s="48"/>
      <c r="AD1099" s="48"/>
      <c r="AE1099" s="48"/>
      <c r="AF1099" s="48"/>
      <c r="AG1099" s="48"/>
      <c r="AH1099" s="48"/>
      <c r="AI1099" s="48"/>
    </row>
    <row r="1100" spans="1:35" ht="12.5" hidden="1">
      <c r="A1100" s="37" t="s">
        <v>320</v>
      </c>
      <c r="B1100" s="38" t="str">
        <f>IFERROR(VLOOKUP(J1100,catalogo!$B$1:$C$85,2,0),"-")</f>
        <v>#42</v>
      </c>
      <c r="C1100" s="39">
        <v>46080.417361111111</v>
      </c>
      <c r="D1100" s="40"/>
      <c r="E1100" s="41"/>
      <c r="F1100" s="41"/>
      <c r="G1100" s="42">
        <v>842.17</v>
      </c>
      <c r="H1100" s="42">
        <v>842.17</v>
      </c>
      <c r="I1100" s="43" t="s">
        <v>156</v>
      </c>
      <c r="J1100" s="43" t="s">
        <v>78</v>
      </c>
      <c r="K1100" s="43" t="s">
        <v>1885</v>
      </c>
      <c r="L1100" s="44" t="s">
        <v>1886</v>
      </c>
      <c r="M1100" s="44">
        <v>4431</v>
      </c>
      <c r="N1100" s="44" t="s">
        <v>167</v>
      </c>
      <c r="O1100" s="17"/>
      <c r="P1100" s="17"/>
      <c r="Q1100" s="17"/>
      <c r="R1100" s="17"/>
      <c r="S1100" s="17"/>
      <c r="T1100" s="17"/>
      <c r="U1100" s="17"/>
      <c r="V1100" s="17"/>
      <c r="W1100" s="17"/>
      <c r="X1100" s="17"/>
      <c r="Y1100" s="46"/>
      <c r="Z1100" s="47"/>
      <c r="AA1100" s="48"/>
      <c r="AB1100" s="48"/>
      <c r="AC1100" s="48"/>
      <c r="AD1100" s="48"/>
      <c r="AE1100" s="48"/>
      <c r="AF1100" s="48"/>
      <c r="AG1100" s="48"/>
      <c r="AH1100" s="48"/>
      <c r="AI1100" s="48"/>
    </row>
    <row r="1101" spans="1:35" ht="12.5" hidden="1">
      <c r="A1101" s="37" t="s">
        <v>318</v>
      </c>
      <c r="B1101" s="38" t="str">
        <f>IFERROR(VLOOKUP(J1101,catalogo!$B$1:$C$85,2,0),"-")</f>
        <v>#74</v>
      </c>
      <c r="C1101" s="39">
        <v>46080.417361111111</v>
      </c>
      <c r="D1101" s="40"/>
      <c r="E1101" s="41"/>
      <c r="F1101" s="41"/>
      <c r="G1101" s="42">
        <v>367.4</v>
      </c>
      <c r="H1101" s="42">
        <v>367.4</v>
      </c>
      <c r="I1101" s="43" t="s">
        <v>156</v>
      </c>
      <c r="J1101" s="43" t="s">
        <v>286</v>
      </c>
      <c r="K1101" s="43" t="s">
        <v>1887</v>
      </c>
      <c r="L1101" s="44" t="s">
        <v>1888</v>
      </c>
      <c r="M1101" s="44">
        <v>5481</v>
      </c>
      <c r="N1101" s="44" t="s">
        <v>167</v>
      </c>
      <c r="O1101" s="17"/>
      <c r="P1101" s="17"/>
      <c r="Q1101" s="17"/>
      <c r="R1101" s="17"/>
      <c r="S1101" s="17"/>
      <c r="T1101" s="17"/>
      <c r="U1101" s="17"/>
      <c r="V1101" s="17"/>
      <c r="W1101" s="17"/>
      <c r="X1101" s="17"/>
      <c r="Y1101" s="46"/>
      <c r="Z1101" s="47"/>
      <c r="AA1101" s="48"/>
      <c r="AB1101" s="48"/>
      <c r="AC1101" s="48"/>
      <c r="AD1101" s="48"/>
      <c r="AE1101" s="48"/>
      <c r="AF1101" s="48"/>
      <c r="AG1101" s="48"/>
      <c r="AH1101" s="48"/>
      <c r="AI1101" s="48"/>
    </row>
    <row r="1102" spans="1:35" ht="12.5" hidden="1">
      <c r="A1102" s="37" t="s">
        <v>315</v>
      </c>
      <c r="B1102" s="38" t="str">
        <f>IFERROR(VLOOKUP(J1102,catalogo!$B$1:$C$85,2,0),"-")</f>
        <v>#75</v>
      </c>
      <c r="C1102" s="39">
        <v>46080.417361111111</v>
      </c>
      <c r="D1102" s="40"/>
      <c r="E1102" s="41"/>
      <c r="F1102" s="41"/>
      <c r="G1102" s="42">
        <v>609.29999999999995</v>
      </c>
      <c r="H1102" s="42">
        <v>33.78</v>
      </c>
      <c r="I1102" s="43" t="s">
        <v>172</v>
      </c>
      <c r="J1102" s="43" t="s">
        <v>343</v>
      </c>
      <c r="K1102" s="43" t="s">
        <v>537</v>
      </c>
      <c r="L1102" s="44" t="s">
        <v>233</v>
      </c>
      <c r="M1102" s="44" t="s">
        <v>433</v>
      </c>
      <c r="N1102" s="44" t="s">
        <v>144</v>
      </c>
      <c r="O1102" s="17"/>
      <c r="P1102" s="17"/>
      <c r="Q1102" s="17"/>
      <c r="R1102" s="17"/>
      <c r="S1102" s="17"/>
      <c r="T1102" s="17"/>
      <c r="U1102" s="17"/>
      <c r="V1102" s="17"/>
      <c r="W1102" s="17"/>
      <c r="X1102" s="17"/>
      <c r="Y1102" s="46"/>
      <c r="Z1102" s="47"/>
      <c r="AA1102" s="48"/>
      <c r="AB1102" s="48"/>
      <c r="AC1102" s="48"/>
      <c r="AD1102" s="48"/>
      <c r="AE1102" s="48"/>
      <c r="AF1102" s="48"/>
      <c r="AG1102" s="48"/>
      <c r="AH1102" s="48"/>
      <c r="AI1102" s="48"/>
    </row>
    <row r="1103" spans="1:35" ht="12.5" hidden="1">
      <c r="A1103" s="37" t="s">
        <v>312</v>
      </c>
      <c r="B1103" s="38" t="str">
        <f>IFERROR(VLOOKUP(J1103,catalogo!$B$1:$C$85,2,0),"-")</f>
        <v>#58</v>
      </c>
      <c r="C1103" s="39">
        <v>46080.417361111111</v>
      </c>
      <c r="D1103" s="40"/>
      <c r="E1103" s="41"/>
      <c r="F1103" s="41"/>
      <c r="G1103" s="42">
        <v>231</v>
      </c>
      <c r="H1103" s="42">
        <v>231</v>
      </c>
      <c r="I1103" s="43" t="s">
        <v>156</v>
      </c>
      <c r="J1103" s="43" t="s">
        <v>118</v>
      </c>
      <c r="K1103" s="43" t="s">
        <v>970</v>
      </c>
      <c r="L1103" s="44" t="s">
        <v>971</v>
      </c>
      <c r="M1103" s="44">
        <v>5576</v>
      </c>
      <c r="N1103" s="44" t="s">
        <v>167</v>
      </c>
      <c r="O1103" s="17"/>
      <c r="P1103" s="17"/>
      <c r="Q1103" s="17"/>
      <c r="R1103" s="17"/>
      <c r="S1103" s="17"/>
      <c r="T1103" s="17"/>
      <c r="U1103" s="17"/>
      <c r="V1103" s="17"/>
      <c r="W1103" s="17"/>
      <c r="X1103" s="17"/>
      <c r="Y1103" s="46"/>
      <c r="Z1103" s="47"/>
      <c r="AA1103" s="48"/>
      <c r="AB1103" s="48"/>
      <c r="AC1103" s="48"/>
      <c r="AD1103" s="48"/>
      <c r="AE1103" s="48"/>
      <c r="AF1103" s="48"/>
      <c r="AG1103" s="48"/>
      <c r="AH1103" s="48"/>
      <c r="AI1103" s="48"/>
    </row>
    <row r="1104" spans="1:35" ht="12.5" hidden="1">
      <c r="A1104" s="37" t="s">
        <v>309</v>
      </c>
      <c r="B1104" s="38" t="str">
        <f>IFERROR(VLOOKUP(J1104,catalogo!$B$1:$C$85,2,0),"-")</f>
        <v>#56</v>
      </c>
      <c r="C1104" s="39">
        <v>46080.417361111111</v>
      </c>
      <c r="D1104" s="40"/>
      <c r="E1104" s="41"/>
      <c r="F1104" s="41"/>
      <c r="G1104" s="42">
        <v>3663</v>
      </c>
      <c r="H1104" s="42">
        <v>3663</v>
      </c>
      <c r="I1104" s="43" t="s">
        <v>156</v>
      </c>
      <c r="J1104" s="43" t="s">
        <v>99</v>
      </c>
      <c r="K1104" s="43" t="s">
        <v>1889</v>
      </c>
      <c r="L1104" s="44" t="s">
        <v>500</v>
      </c>
      <c r="M1104" s="44">
        <v>8949</v>
      </c>
      <c r="N1104" s="44" t="s">
        <v>167</v>
      </c>
      <c r="O1104" s="17"/>
      <c r="P1104" s="17"/>
      <c r="Q1104" s="17"/>
      <c r="R1104" s="17"/>
      <c r="S1104" s="17"/>
      <c r="T1104" s="17"/>
      <c r="U1104" s="17"/>
      <c r="V1104" s="17"/>
      <c r="W1104" s="17"/>
      <c r="X1104" s="17"/>
      <c r="Y1104" s="46"/>
      <c r="Z1104" s="47"/>
      <c r="AA1104" s="48"/>
      <c r="AB1104" s="48"/>
      <c r="AC1104" s="48"/>
      <c r="AD1104" s="48"/>
      <c r="AE1104" s="48"/>
      <c r="AF1104" s="48"/>
      <c r="AG1104" s="48"/>
      <c r="AH1104" s="48"/>
      <c r="AI1104" s="48"/>
    </row>
    <row r="1105" spans="1:35" ht="12.5" hidden="1">
      <c r="A1105" s="37" t="s">
        <v>308</v>
      </c>
      <c r="B1105" s="38" t="str">
        <f>IFERROR(VLOOKUP(J1105,catalogo!$B$1:$C$85,2,0),"-")</f>
        <v>#75</v>
      </c>
      <c r="C1105" s="39">
        <v>46080.417361111111</v>
      </c>
      <c r="D1105" s="40"/>
      <c r="E1105" s="41"/>
      <c r="F1105" s="41"/>
      <c r="G1105" s="42">
        <v>848.13</v>
      </c>
      <c r="H1105" s="42">
        <v>47.09</v>
      </c>
      <c r="I1105" s="43" t="s">
        <v>172</v>
      </c>
      <c r="J1105" s="43" t="s">
        <v>343</v>
      </c>
      <c r="K1105" s="43" t="s">
        <v>537</v>
      </c>
      <c r="L1105" s="44" t="s">
        <v>233</v>
      </c>
      <c r="M1105" s="44" t="s">
        <v>433</v>
      </c>
      <c r="N1105" s="44" t="s">
        <v>144</v>
      </c>
      <c r="O1105" s="17"/>
      <c r="P1105" s="17"/>
      <c r="Q1105" s="17"/>
      <c r="R1105" s="17"/>
      <c r="S1105" s="17"/>
      <c r="T1105" s="17"/>
      <c r="U1105" s="17"/>
      <c r="V1105" s="17"/>
      <c r="W1105" s="17"/>
      <c r="X1105" s="17"/>
      <c r="Y1105" s="46"/>
      <c r="Z1105" s="47"/>
      <c r="AA1105" s="48"/>
      <c r="AB1105" s="48"/>
      <c r="AC1105" s="48"/>
      <c r="AD1105" s="48"/>
      <c r="AE1105" s="48"/>
      <c r="AF1105" s="48"/>
      <c r="AG1105" s="48"/>
      <c r="AH1105" s="48"/>
      <c r="AI1105" s="48"/>
    </row>
    <row r="1106" spans="1:35" ht="12.5" hidden="1">
      <c r="A1106" s="37" t="s">
        <v>307</v>
      </c>
      <c r="B1106" s="38" t="str">
        <f>IFERROR(VLOOKUP(J1106,catalogo!$B$1:$C$85,2,0),"-")</f>
        <v>#75</v>
      </c>
      <c r="C1106" s="39">
        <v>46080.417361111111</v>
      </c>
      <c r="D1106" s="40"/>
      <c r="E1106" s="41"/>
      <c r="F1106" s="41"/>
      <c r="G1106" s="42">
        <v>787.87</v>
      </c>
      <c r="H1106" s="42">
        <v>43.68</v>
      </c>
      <c r="I1106" s="43" t="s">
        <v>172</v>
      </c>
      <c r="J1106" s="43" t="s">
        <v>343</v>
      </c>
      <c r="K1106" s="43" t="s">
        <v>537</v>
      </c>
      <c r="L1106" s="44" t="s">
        <v>233</v>
      </c>
      <c r="M1106" s="44" t="s">
        <v>433</v>
      </c>
      <c r="N1106" s="44" t="s">
        <v>144</v>
      </c>
      <c r="O1106" s="17"/>
      <c r="P1106" s="17"/>
      <c r="Q1106" s="17"/>
      <c r="R1106" s="17"/>
      <c r="S1106" s="17"/>
      <c r="T1106" s="17"/>
      <c r="U1106" s="17"/>
      <c r="V1106" s="17"/>
      <c r="W1106" s="17"/>
      <c r="X1106" s="17"/>
      <c r="Y1106" s="46"/>
      <c r="Z1106" s="47"/>
      <c r="AA1106" s="48"/>
      <c r="AB1106" s="48"/>
      <c r="AC1106" s="48"/>
      <c r="AD1106" s="48"/>
      <c r="AE1106" s="48"/>
      <c r="AF1106" s="48"/>
      <c r="AG1106" s="48"/>
      <c r="AH1106" s="48"/>
      <c r="AI1106" s="48"/>
    </row>
    <row r="1107" spans="1:35" ht="12.5" hidden="1">
      <c r="A1107" s="37" t="s">
        <v>304</v>
      </c>
      <c r="B1107" s="38" t="str">
        <f>IFERROR(VLOOKUP(J1107,catalogo!$B$1:$C$85,2,0),"-")</f>
        <v>-</v>
      </c>
      <c r="C1107" s="39">
        <v>46080.417361111111</v>
      </c>
      <c r="D1107" s="40"/>
      <c r="E1107" s="41"/>
      <c r="F1107" s="41"/>
      <c r="G1107" s="42">
        <v>600</v>
      </c>
      <c r="H1107" s="42">
        <v>600</v>
      </c>
      <c r="I1107" s="43" t="s">
        <v>156</v>
      </c>
      <c r="J1107" s="43" t="s">
        <v>1890</v>
      </c>
      <c r="K1107" s="43" t="s">
        <v>1891</v>
      </c>
      <c r="L1107" s="44" t="s">
        <v>1892</v>
      </c>
      <c r="M1107" s="44">
        <v>8813</v>
      </c>
      <c r="N1107" s="44" t="s">
        <v>167</v>
      </c>
      <c r="O1107" s="17"/>
      <c r="P1107" s="17"/>
      <c r="Q1107" s="17"/>
      <c r="R1107" s="17"/>
      <c r="S1107" s="17"/>
      <c r="T1107" s="17"/>
      <c r="U1107" s="17"/>
      <c r="V1107" s="17"/>
      <c r="W1107" s="17"/>
      <c r="X1107" s="17"/>
      <c r="Y1107" s="46"/>
      <c r="Z1107" s="47"/>
      <c r="AA1107" s="48"/>
      <c r="AB1107" s="48"/>
      <c r="AC1107" s="48"/>
      <c r="AD1107" s="48"/>
      <c r="AE1107" s="48"/>
      <c r="AF1107" s="48"/>
      <c r="AG1107" s="48"/>
      <c r="AH1107" s="48"/>
      <c r="AI1107" s="48"/>
    </row>
    <row r="1108" spans="1:35" ht="12.5" hidden="1">
      <c r="A1108" s="37" t="s">
        <v>301</v>
      </c>
      <c r="B1108" s="38" t="str">
        <f>IFERROR(VLOOKUP(J1108,catalogo!$B$1:$C$85,2,0),"-")</f>
        <v>#66</v>
      </c>
      <c r="C1108" s="39">
        <v>46080.417361111111</v>
      </c>
      <c r="D1108" s="40"/>
      <c r="E1108" s="41"/>
      <c r="F1108" s="41"/>
      <c r="G1108" s="42">
        <v>1017</v>
      </c>
      <c r="H1108" s="42">
        <v>1017</v>
      </c>
      <c r="I1108" s="43" t="s">
        <v>156</v>
      </c>
      <c r="J1108" s="43" t="s">
        <v>80</v>
      </c>
      <c r="K1108" s="43" t="s">
        <v>649</v>
      </c>
      <c r="L1108" s="44" t="s">
        <v>407</v>
      </c>
      <c r="M1108" s="44">
        <v>2406</v>
      </c>
      <c r="N1108" s="44" t="s">
        <v>167</v>
      </c>
      <c r="O1108" s="17"/>
      <c r="P1108" s="17"/>
      <c r="Q1108" s="17"/>
      <c r="R1108" s="17"/>
      <c r="S1108" s="17"/>
      <c r="T1108" s="17"/>
      <c r="U1108" s="17"/>
      <c r="V1108" s="17"/>
      <c r="W1108" s="17"/>
      <c r="X1108" s="17"/>
      <c r="Y1108" s="46"/>
      <c r="Z1108" s="47"/>
      <c r="AA1108" s="48"/>
      <c r="AB1108" s="48"/>
      <c r="AC1108" s="48"/>
      <c r="AD1108" s="48"/>
      <c r="AE1108" s="48"/>
      <c r="AF1108" s="48"/>
      <c r="AG1108" s="48"/>
      <c r="AH1108" s="48"/>
      <c r="AI1108" s="48"/>
    </row>
    <row r="1109" spans="1:35" ht="12.5" hidden="1">
      <c r="A1109" s="37" t="s">
        <v>300</v>
      </c>
      <c r="B1109" s="38" t="str">
        <f>IFERROR(VLOOKUP(J1109,catalogo!$B$1:$C$85,2,0),"-")</f>
        <v>#64</v>
      </c>
      <c r="C1109" s="39">
        <v>46080.417361111111</v>
      </c>
      <c r="D1109" s="40"/>
      <c r="E1109" s="41"/>
      <c r="F1109" s="41"/>
      <c r="G1109" s="42">
        <v>143</v>
      </c>
      <c r="H1109" s="42">
        <v>143</v>
      </c>
      <c r="I1109" s="43" t="s">
        <v>156</v>
      </c>
      <c r="J1109" s="43" t="s">
        <v>139</v>
      </c>
      <c r="K1109" s="43" t="s">
        <v>169</v>
      </c>
      <c r="L1109" s="44" t="s">
        <v>170</v>
      </c>
      <c r="M1109" s="44">
        <v>7142</v>
      </c>
      <c r="N1109" s="44" t="s">
        <v>167</v>
      </c>
      <c r="O1109" s="17"/>
      <c r="P1109" s="17"/>
      <c r="Q1109" s="17"/>
      <c r="R1109" s="17"/>
      <c r="S1109" s="17"/>
      <c r="T1109" s="17"/>
      <c r="U1109" s="17"/>
      <c r="V1109" s="17"/>
      <c r="W1109" s="17"/>
      <c r="X1109" s="17"/>
      <c r="Y1109" s="46"/>
      <c r="Z1109" s="47"/>
      <c r="AA1109" s="48"/>
      <c r="AB1109" s="48"/>
      <c r="AC1109" s="48"/>
      <c r="AD1109" s="48"/>
      <c r="AE1109" s="48"/>
      <c r="AF1109" s="48"/>
      <c r="AG1109" s="48"/>
      <c r="AH1109" s="48"/>
      <c r="AI1109" s="48"/>
    </row>
    <row r="1110" spans="1:35" ht="12.5" hidden="1">
      <c r="A1110" s="37" t="s">
        <v>297</v>
      </c>
      <c r="B1110" s="38" t="str">
        <f>IFERROR(VLOOKUP(J1110,catalogo!$B$1:$C$85,2,0),"-")</f>
        <v>#64</v>
      </c>
      <c r="C1110" s="39">
        <v>46080.417361111111</v>
      </c>
      <c r="D1110" s="40"/>
      <c r="E1110" s="41"/>
      <c r="F1110" s="41"/>
      <c r="G1110" s="42">
        <v>285</v>
      </c>
      <c r="H1110" s="42">
        <v>285</v>
      </c>
      <c r="I1110" s="43" t="s">
        <v>156</v>
      </c>
      <c r="J1110" s="43" t="s">
        <v>139</v>
      </c>
      <c r="K1110" s="43" t="s">
        <v>184</v>
      </c>
      <c r="L1110" s="44" t="s">
        <v>185</v>
      </c>
      <c r="M1110" s="44">
        <v>7142</v>
      </c>
      <c r="N1110" s="44" t="s">
        <v>167</v>
      </c>
      <c r="O1110" s="17"/>
      <c r="P1110" s="17"/>
      <c r="Q1110" s="17"/>
      <c r="R1110" s="17"/>
      <c r="S1110" s="17"/>
      <c r="T1110" s="17"/>
      <c r="U1110" s="17"/>
      <c r="V1110" s="17"/>
      <c r="W1110" s="17"/>
      <c r="X1110" s="17"/>
      <c r="Y1110" s="46"/>
      <c r="Z1110" s="47"/>
      <c r="AA1110" s="48"/>
      <c r="AB1110" s="48"/>
      <c r="AC1110" s="48"/>
      <c r="AD1110" s="48"/>
      <c r="AE1110" s="48"/>
      <c r="AF1110" s="48"/>
      <c r="AG1110" s="48"/>
      <c r="AH1110" s="48"/>
      <c r="AI1110" s="48"/>
    </row>
    <row r="1111" spans="1:35" ht="12.5" hidden="1">
      <c r="A1111" s="37" t="s">
        <v>296</v>
      </c>
      <c r="B1111" s="38" t="str">
        <f>IFERROR(VLOOKUP(J1111,catalogo!$B$1:$C$85,2,0),"-")</f>
        <v>#26</v>
      </c>
      <c r="C1111" s="39">
        <v>46080.417361111111</v>
      </c>
      <c r="D1111" s="40"/>
      <c r="E1111" s="41"/>
      <c r="F1111" s="41"/>
      <c r="G1111" s="42">
        <v>228</v>
      </c>
      <c r="H1111" s="42">
        <v>228</v>
      </c>
      <c r="I1111" s="43" t="s">
        <v>156</v>
      </c>
      <c r="J1111" s="43" t="s">
        <v>67</v>
      </c>
      <c r="K1111" s="43" t="s">
        <v>1893</v>
      </c>
      <c r="L1111" s="44" t="s">
        <v>1894</v>
      </c>
      <c r="M1111" s="44">
        <v>8061</v>
      </c>
      <c r="N1111" s="44" t="s">
        <v>167</v>
      </c>
      <c r="O1111" s="17"/>
      <c r="P1111" s="17"/>
      <c r="Q1111" s="17"/>
      <c r="R1111" s="17"/>
      <c r="S1111" s="17"/>
      <c r="T1111" s="17"/>
      <c r="U1111" s="17"/>
      <c r="V1111" s="17"/>
      <c r="W1111" s="17"/>
      <c r="X1111" s="17"/>
      <c r="Y1111" s="46"/>
      <c r="Z1111" s="47"/>
      <c r="AA1111" s="48"/>
      <c r="AB1111" s="48"/>
      <c r="AC1111" s="48"/>
      <c r="AD1111" s="48"/>
      <c r="AE1111" s="48"/>
      <c r="AF1111" s="48"/>
      <c r="AG1111" s="48"/>
      <c r="AH1111" s="48"/>
      <c r="AI1111" s="48"/>
    </row>
    <row r="1112" spans="1:35" ht="12.5" hidden="1">
      <c r="A1112" s="37" t="s">
        <v>295</v>
      </c>
      <c r="B1112" s="38" t="str">
        <f>IFERROR(VLOOKUP(J1112,catalogo!$B$1:$C$85,2,0),"-")</f>
        <v>#3</v>
      </c>
      <c r="C1112" s="39">
        <v>46080.417361111111</v>
      </c>
      <c r="D1112" s="40"/>
      <c r="E1112" s="41"/>
      <c r="F1112" s="41"/>
      <c r="G1112" s="42">
        <v>700</v>
      </c>
      <c r="H1112" s="42">
        <v>700</v>
      </c>
      <c r="I1112" s="43" t="s">
        <v>156</v>
      </c>
      <c r="J1112" s="43" t="s">
        <v>84</v>
      </c>
      <c r="K1112" s="43" t="s">
        <v>1836</v>
      </c>
      <c r="L1112" s="44" t="s">
        <v>1837</v>
      </c>
      <c r="M1112" s="44">
        <v>8657</v>
      </c>
      <c r="N1112" s="44" t="s">
        <v>167</v>
      </c>
      <c r="O1112" s="17"/>
      <c r="P1112" s="17"/>
      <c r="Q1112" s="17"/>
      <c r="R1112" s="17"/>
      <c r="S1112" s="17"/>
      <c r="T1112" s="17"/>
      <c r="U1112" s="17"/>
      <c r="V1112" s="17"/>
      <c r="W1112" s="17"/>
      <c r="X1112" s="17"/>
      <c r="Y1112" s="46"/>
      <c r="Z1112" s="47"/>
      <c r="AA1112" s="48"/>
      <c r="AB1112" s="48"/>
      <c r="AC1112" s="48"/>
      <c r="AD1112" s="48"/>
      <c r="AE1112" s="48"/>
      <c r="AF1112" s="48"/>
      <c r="AG1112" s="48"/>
      <c r="AH1112" s="48"/>
      <c r="AI1112" s="48"/>
    </row>
    <row r="1113" spans="1:35" ht="12.5" hidden="1">
      <c r="A1113" s="37" t="s">
        <v>292</v>
      </c>
      <c r="B1113" s="38" t="str">
        <f>IFERROR(VLOOKUP(J1113,catalogo!$B$1:$C$85,2,0),"-")</f>
        <v>#68</v>
      </c>
      <c r="C1113" s="39">
        <v>46080.417361111111</v>
      </c>
      <c r="D1113" s="40"/>
      <c r="E1113" s="41"/>
      <c r="F1113" s="41"/>
      <c r="G1113" s="42">
        <v>258.3</v>
      </c>
      <c r="H1113" s="42">
        <v>14.32</v>
      </c>
      <c r="I1113" s="43" t="s">
        <v>172</v>
      </c>
      <c r="J1113" s="43" t="s">
        <v>384</v>
      </c>
      <c r="K1113" s="43" t="s">
        <v>1895</v>
      </c>
      <c r="L1113" s="44" t="s">
        <v>595</v>
      </c>
      <c r="M1113" s="44">
        <v>2937</v>
      </c>
      <c r="N1113" s="44" t="s">
        <v>167</v>
      </c>
      <c r="O1113" s="17"/>
      <c r="P1113" s="17"/>
      <c r="Q1113" s="17"/>
      <c r="R1113" s="17"/>
      <c r="S1113" s="17"/>
      <c r="T1113" s="17"/>
      <c r="U1113" s="17"/>
      <c r="V1113" s="17"/>
      <c r="W1113" s="17"/>
      <c r="X1113" s="17"/>
      <c r="Y1113" s="46"/>
      <c r="Z1113" s="47"/>
      <c r="AA1113" s="48"/>
      <c r="AB1113" s="48"/>
      <c r="AC1113" s="48"/>
      <c r="AD1113" s="48"/>
      <c r="AE1113" s="48"/>
      <c r="AF1113" s="48"/>
      <c r="AG1113" s="48"/>
      <c r="AH1113" s="48"/>
      <c r="AI1113" s="48"/>
    </row>
    <row r="1114" spans="1:35" ht="12.5" hidden="1">
      <c r="A1114" s="37" t="s">
        <v>291</v>
      </c>
      <c r="B1114" s="38" t="str">
        <f>IFERROR(VLOOKUP(J1114,catalogo!$B$1:$C$85,2,0),"-")</f>
        <v>#68</v>
      </c>
      <c r="C1114" s="39">
        <v>46080.417361111111</v>
      </c>
      <c r="D1114" s="40"/>
      <c r="E1114" s="41"/>
      <c r="F1114" s="41"/>
      <c r="G1114" s="42">
        <v>684.78</v>
      </c>
      <c r="H1114" s="42">
        <v>38.020000000000003</v>
      </c>
      <c r="I1114" s="43" t="s">
        <v>172</v>
      </c>
      <c r="J1114" s="43" t="s">
        <v>384</v>
      </c>
      <c r="K1114" s="43" t="s">
        <v>1896</v>
      </c>
      <c r="L1114" s="44" t="s">
        <v>1897</v>
      </c>
      <c r="M1114" s="44">
        <v>2937</v>
      </c>
      <c r="N1114" s="44" t="s">
        <v>167</v>
      </c>
      <c r="O1114" s="17"/>
      <c r="P1114" s="17"/>
      <c r="Q1114" s="17"/>
      <c r="R1114" s="17"/>
      <c r="S1114" s="17"/>
      <c r="T1114" s="17"/>
      <c r="U1114" s="17"/>
      <c r="V1114" s="17"/>
      <c r="W1114" s="17"/>
      <c r="X1114" s="17"/>
      <c r="Y1114" s="46"/>
      <c r="Z1114" s="47"/>
      <c r="AA1114" s="48"/>
      <c r="AB1114" s="48"/>
      <c r="AC1114" s="48"/>
      <c r="AD1114" s="48"/>
      <c r="AE1114" s="48"/>
      <c r="AF1114" s="48"/>
      <c r="AG1114" s="48"/>
      <c r="AH1114" s="48"/>
      <c r="AI1114" s="48"/>
    </row>
    <row r="1115" spans="1:35" ht="12.5" hidden="1">
      <c r="A1115" s="37" t="s">
        <v>290</v>
      </c>
      <c r="B1115" s="38" t="str">
        <f>IFERROR(VLOOKUP(J1115,catalogo!$B$1:$C$85,2,0),"-")</f>
        <v>#19</v>
      </c>
      <c r="C1115" s="39">
        <v>46080.417361111111</v>
      </c>
      <c r="D1115" s="40"/>
      <c r="E1115" s="41"/>
      <c r="F1115" s="41"/>
      <c r="G1115" s="42">
        <v>288.18</v>
      </c>
      <c r="H1115" s="42">
        <v>16</v>
      </c>
      <c r="I1115" s="43" t="s">
        <v>172</v>
      </c>
      <c r="J1115" s="43" t="s">
        <v>105</v>
      </c>
      <c r="K1115" s="43" t="s">
        <v>1898</v>
      </c>
      <c r="L1115" s="44" t="s">
        <v>1899</v>
      </c>
      <c r="M1115" s="44">
        <v>5778</v>
      </c>
      <c r="N1115" s="44" t="s">
        <v>167</v>
      </c>
      <c r="O1115" s="17"/>
      <c r="P1115" s="17"/>
      <c r="Q1115" s="17"/>
      <c r="R1115" s="17"/>
      <c r="S1115" s="17"/>
      <c r="T1115" s="17"/>
      <c r="U1115" s="17"/>
      <c r="V1115" s="17"/>
      <c r="W1115" s="17"/>
      <c r="X1115" s="17"/>
      <c r="Y1115" s="46"/>
      <c r="Z1115" s="47"/>
      <c r="AA1115" s="48"/>
      <c r="AB1115" s="48"/>
      <c r="AC1115" s="48"/>
      <c r="AD1115" s="48"/>
      <c r="AE1115" s="48"/>
      <c r="AF1115" s="48"/>
      <c r="AG1115" s="48"/>
      <c r="AH1115" s="48"/>
      <c r="AI1115" s="48"/>
    </row>
    <row r="1116" spans="1:35" ht="12.5" hidden="1">
      <c r="A1116" s="37" t="s">
        <v>288</v>
      </c>
      <c r="B1116" s="38" t="str">
        <f>IFERROR(VLOOKUP(J1116,catalogo!$B$1:$C$85,2,0),"-")</f>
        <v>#68</v>
      </c>
      <c r="C1116" s="39">
        <v>46080.417361111111</v>
      </c>
      <c r="D1116" s="40"/>
      <c r="E1116" s="41"/>
      <c r="F1116" s="41"/>
      <c r="G1116" s="42">
        <v>93.3</v>
      </c>
      <c r="H1116" s="42">
        <v>5.18</v>
      </c>
      <c r="I1116" s="43" t="s">
        <v>172</v>
      </c>
      <c r="J1116" s="43" t="s">
        <v>384</v>
      </c>
      <c r="K1116" s="43" t="s">
        <v>1896</v>
      </c>
      <c r="L1116" s="44" t="s">
        <v>1897</v>
      </c>
      <c r="M1116" s="44">
        <v>2937</v>
      </c>
      <c r="N1116" s="44" t="s">
        <v>167</v>
      </c>
      <c r="O1116" s="17"/>
      <c r="P1116" s="17"/>
      <c r="Q1116" s="17"/>
      <c r="R1116" s="17"/>
      <c r="S1116" s="17"/>
      <c r="T1116" s="17"/>
      <c r="U1116" s="17"/>
      <c r="V1116" s="17"/>
      <c r="W1116" s="17"/>
      <c r="X1116" s="17"/>
      <c r="Y1116" s="46"/>
      <c r="Z1116" s="47"/>
      <c r="AA1116" s="48"/>
      <c r="AB1116" s="48"/>
      <c r="AC1116" s="48"/>
      <c r="AD1116" s="48"/>
      <c r="AE1116" s="48"/>
      <c r="AF1116" s="48"/>
      <c r="AG1116" s="48"/>
      <c r="AH1116" s="48"/>
      <c r="AI1116" s="48"/>
    </row>
    <row r="1117" spans="1:35" ht="12.5" hidden="1">
      <c r="A1117" s="37" t="s">
        <v>287</v>
      </c>
      <c r="B1117" s="38" t="str">
        <f>IFERROR(VLOOKUP(J1117,catalogo!$B$1:$C$85,2,0),"-")</f>
        <v>#68</v>
      </c>
      <c r="C1117" s="39">
        <v>46080.417361111111</v>
      </c>
      <c r="D1117" s="40"/>
      <c r="E1117" s="41"/>
      <c r="F1117" s="41"/>
      <c r="G1117" s="42">
        <v>596.16</v>
      </c>
      <c r="H1117" s="42">
        <v>33.1</v>
      </c>
      <c r="I1117" s="43" t="s">
        <v>172</v>
      </c>
      <c r="J1117" s="43" t="s">
        <v>384</v>
      </c>
      <c r="K1117" s="43" t="s">
        <v>1900</v>
      </c>
      <c r="L1117" s="44" t="s">
        <v>1901</v>
      </c>
      <c r="M1117" s="44">
        <v>2937</v>
      </c>
      <c r="N1117" s="44" t="s">
        <v>167</v>
      </c>
      <c r="O1117" s="17"/>
      <c r="P1117" s="17"/>
      <c r="Q1117" s="17"/>
      <c r="R1117" s="17"/>
      <c r="S1117" s="17"/>
      <c r="T1117" s="17"/>
      <c r="U1117" s="17"/>
      <c r="V1117" s="17"/>
      <c r="W1117" s="17"/>
      <c r="X1117" s="17"/>
      <c r="Y1117" s="46"/>
      <c r="Z1117" s="47"/>
      <c r="AA1117" s="48"/>
      <c r="AB1117" s="48"/>
      <c r="AC1117" s="48"/>
      <c r="AD1117" s="48"/>
      <c r="AE1117" s="48"/>
      <c r="AF1117" s="48"/>
      <c r="AG1117" s="48"/>
      <c r="AH1117" s="48"/>
      <c r="AI1117" s="48"/>
    </row>
    <row r="1118" spans="1:35" ht="12.5" hidden="1">
      <c r="A1118" s="37" t="s">
        <v>285</v>
      </c>
      <c r="B1118" s="38" t="str">
        <f>IFERROR(VLOOKUP(J1118,catalogo!$B$1:$C$85,2,0),"-")</f>
        <v>#56</v>
      </c>
      <c r="C1118" s="39">
        <v>46081.416666666664</v>
      </c>
      <c r="D1118" s="40"/>
      <c r="E1118" s="41"/>
      <c r="F1118" s="41"/>
      <c r="G1118" s="42">
        <v>289.95</v>
      </c>
      <c r="H1118" s="42">
        <v>289.95</v>
      </c>
      <c r="I1118" s="43" t="s">
        <v>156</v>
      </c>
      <c r="J1118" s="43" t="s">
        <v>99</v>
      </c>
      <c r="K1118" s="43" t="s">
        <v>232</v>
      </c>
      <c r="L1118" s="44" t="s">
        <v>233</v>
      </c>
      <c r="M1118" s="44">
        <v>8949</v>
      </c>
      <c r="N1118" s="44" t="s">
        <v>167</v>
      </c>
      <c r="O1118" s="17"/>
      <c r="P1118" s="17"/>
      <c r="Q1118" s="17"/>
      <c r="R1118" s="17"/>
      <c r="S1118" s="17"/>
      <c r="T1118" s="17"/>
      <c r="U1118" s="17"/>
      <c r="V1118" s="17"/>
      <c r="W1118" s="17"/>
      <c r="X1118" s="17"/>
      <c r="Y1118" s="46"/>
      <c r="Z1118" s="47"/>
      <c r="AA1118" s="48"/>
      <c r="AB1118" s="48"/>
      <c r="AC1118" s="48"/>
      <c r="AD1118" s="48"/>
      <c r="AE1118" s="48"/>
      <c r="AF1118" s="48"/>
      <c r="AG1118" s="48"/>
      <c r="AH1118" s="48"/>
      <c r="AI1118" s="48"/>
    </row>
    <row r="1119" spans="1:35" ht="12.5" hidden="1">
      <c r="A1119" s="37" t="s">
        <v>283</v>
      </c>
      <c r="B1119" s="38" t="str">
        <f>IFERROR(VLOOKUP(J1119,catalogo!$B$1:$C$85,2,0),"-")</f>
        <v>#69</v>
      </c>
      <c r="C1119" s="39">
        <v>46081.416666666664</v>
      </c>
      <c r="D1119" s="40"/>
      <c r="E1119" s="41"/>
      <c r="F1119" s="41"/>
      <c r="G1119" s="42">
        <v>85</v>
      </c>
      <c r="H1119" s="42">
        <v>85</v>
      </c>
      <c r="I1119" s="43" t="s">
        <v>156</v>
      </c>
      <c r="J1119" s="43" t="s">
        <v>110</v>
      </c>
      <c r="K1119" s="43" t="s">
        <v>1902</v>
      </c>
      <c r="L1119" s="44" t="s">
        <v>1903</v>
      </c>
      <c r="M1119" s="44">
        <v>8231</v>
      </c>
      <c r="N1119" s="44" t="s">
        <v>167</v>
      </c>
      <c r="O1119" s="17"/>
      <c r="P1119" s="17"/>
      <c r="Q1119" s="17"/>
      <c r="R1119" s="17"/>
      <c r="S1119" s="17"/>
      <c r="T1119" s="17"/>
      <c r="U1119" s="17"/>
      <c r="V1119" s="17"/>
      <c r="W1119" s="17"/>
      <c r="X1119" s="17"/>
      <c r="Y1119" s="46"/>
      <c r="Z1119" s="47"/>
      <c r="AA1119" s="48"/>
      <c r="AB1119" s="48"/>
      <c r="AC1119" s="48"/>
      <c r="AD1119" s="48"/>
      <c r="AE1119" s="48"/>
      <c r="AF1119" s="48"/>
      <c r="AG1119" s="48"/>
      <c r="AH1119" s="48"/>
      <c r="AI1119" s="48"/>
    </row>
    <row r="1120" spans="1:35" ht="12.5" hidden="1">
      <c r="A1120" s="37" t="s">
        <v>280</v>
      </c>
      <c r="B1120" s="38" t="str">
        <f>IFERROR(VLOOKUP(J1120,catalogo!$B$1:$C$85,2,0),"-")</f>
        <v>#69</v>
      </c>
      <c r="C1120" s="39">
        <v>46081.416666666664</v>
      </c>
      <c r="D1120" s="40"/>
      <c r="E1120" s="41"/>
      <c r="F1120" s="41"/>
      <c r="G1120" s="42">
        <v>240.39</v>
      </c>
      <c r="H1120" s="42">
        <v>240.39</v>
      </c>
      <c r="I1120" s="43" t="s">
        <v>156</v>
      </c>
      <c r="J1120" s="43" t="s">
        <v>110</v>
      </c>
      <c r="K1120" s="43" t="s">
        <v>1533</v>
      </c>
      <c r="L1120" s="44" t="s">
        <v>233</v>
      </c>
      <c r="M1120" s="44" t="s">
        <v>464</v>
      </c>
      <c r="N1120" s="44" t="s">
        <v>144</v>
      </c>
      <c r="O1120" s="17"/>
      <c r="P1120" s="17"/>
      <c r="Q1120" s="17"/>
      <c r="R1120" s="17"/>
      <c r="S1120" s="17"/>
      <c r="T1120" s="17"/>
      <c r="U1120" s="17"/>
      <c r="V1120" s="17"/>
      <c r="W1120" s="17"/>
      <c r="X1120" s="17"/>
      <c r="Y1120" s="46"/>
      <c r="Z1120" s="47"/>
      <c r="AA1120" s="48"/>
      <c r="AB1120" s="48"/>
      <c r="AC1120" s="48"/>
      <c r="AD1120" s="48"/>
      <c r="AE1120" s="48"/>
      <c r="AF1120" s="48"/>
      <c r="AG1120" s="48"/>
      <c r="AH1120" s="48"/>
      <c r="AI1120" s="48"/>
    </row>
    <row r="1121" spans="1:35" ht="12.5" hidden="1">
      <c r="A1121" s="37" t="s">
        <v>278</v>
      </c>
      <c r="B1121" s="38" t="str">
        <f>IFERROR(VLOOKUP(J1121,catalogo!$B$1:$C$85,2,0),"-")</f>
        <v>#19</v>
      </c>
      <c r="C1121" s="39">
        <v>46081.416666666664</v>
      </c>
      <c r="D1121" s="40"/>
      <c r="E1121" s="41"/>
      <c r="F1121" s="41"/>
      <c r="G1121" s="42">
        <v>160</v>
      </c>
      <c r="H1121" s="42">
        <v>160</v>
      </c>
      <c r="I1121" s="43" t="s">
        <v>156</v>
      </c>
      <c r="J1121" s="43" t="s">
        <v>105</v>
      </c>
      <c r="K1121" s="43" t="s">
        <v>1904</v>
      </c>
      <c r="L1121" s="44" t="s">
        <v>317</v>
      </c>
      <c r="M1121" s="44">
        <v>5778</v>
      </c>
      <c r="N1121" s="44" t="s">
        <v>167</v>
      </c>
      <c r="O1121" s="17"/>
      <c r="P1121" s="17"/>
      <c r="Q1121" s="17"/>
      <c r="R1121" s="17"/>
      <c r="S1121" s="17"/>
      <c r="T1121" s="17"/>
      <c r="U1121" s="17"/>
      <c r="V1121" s="17"/>
      <c r="W1121" s="17"/>
      <c r="X1121" s="17"/>
      <c r="Y1121" s="46"/>
      <c r="Z1121" s="47"/>
      <c r="AA1121" s="48"/>
      <c r="AB1121" s="48"/>
      <c r="AC1121" s="48"/>
      <c r="AD1121" s="48"/>
      <c r="AE1121" s="48"/>
      <c r="AF1121" s="48"/>
      <c r="AG1121" s="48"/>
      <c r="AH1121" s="48"/>
      <c r="AI1121" s="48"/>
    </row>
    <row r="1122" spans="1:35" ht="12.5" hidden="1">
      <c r="A1122" s="37" t="s">
        <v>277</v>
      </c>
      <c r="B1122" s="38" t="str">
        <f>IFERROR(VLOOKUP(J1122,catalogo!$B$1:$C$85,2,0),"-")</f>
        <v>#19</v>
      </c>
      <c r="C1122" s="39">
        <v>46081.416666666664</v>
      </c>
      <c r="D1122" s="40"/>
      <c r="E1122" s="41"/>
      <c r="F1122" s="41"/>
      <c r="G1122" s="42">
        <v>279.95</v>
      </c>
      <c r="H1122" s="42">
        <v>279.95</v>
      </c>
      <c r="I1122" s="43" t="s">
        <v>156</v>
      </c>
      <c r="J1122" s="43" t="s">
        <v>105</v>
      </c>
      <c r="K1122" s="43" t="s">
        <v>1533</v>
      </c>
      <c r="L1122" s="44" t="s">
        <v>233</v>
      </c>
      <c r="M1122" s="44" t="s">
        <v>276</v>
      </c>
      <c r="N1122" s="44" t="s">
        <v>144</v>
      </c>
      <c r="O1122" s="17"/>
      <c r="P1122" s="17"/>
      <c r="Q1122" s="17"/>
      <c r="R1122" s="17"/>
      <c r="S1122" s="17"/>
      <c r="T1122" s="17"/>
      <c r="U1122" s="17"/>
      <c r="V1122" s="17"/>
      <c r="W1122" s="17"/>
      <c r="X1122" s="17"/>
      <c r="Y1122" s="46"/>
      <c r="Z1122" s="47"/>
      <c r="AA1122" s="48"/>
      <c r="AB1122" s="48"/>
      <c r="AC1122" s="48"/>
      <c r="AD1122" s="48"/>
      <c r="AE1122" s="48"/>
      <c r="AF1122" s="48"/>
      <c r="AG1122" s="48"/>
      <c r="AH1122" s="48"/>
      <c r="AI1122" s="48"/>
    </row>
    <row r="1123" spans="1:35" ht="12.5" hidden="1">
      <c r="A1123" s="37" t="s">
        <v>275</v>
      </c>
      <c r="B1123" s="38" t="str">
        <f>IFERROR(VLOOKUP(J1123,catalogo!$B$1:$C$85,2,0),"-")</f>
        <v>#49</v>
      </c>
      <c r="C1123" s="39">
        <v>46081.416666666664</v>
      </c>
      <c r="D1123" s="40"/>
      <c r="E1123" s="41"/>
      <c r="F1123" s="41"/>
      <c r="G1123" s="42">
        <v>174</v>
      </c>
      <c r="H1123" s="42">
        <v>174</v>
      </c>
      <c r="I1123" s="43" t="s">
        <v>156</v>
      </c>
      <c r="J1123" s="43" t="s">
        <v>124</v>
      </c>
      <c r="K1123" s="43" t="s">
        <v>1302</v>
      </c>
      <c r="L1123" s="44" t="s">
        <v>317</v>
      </c>
      <c r="M1123" s="44">
        <v>4488</v>
      </c>
      <c r="N1123" s="44" t="s">
        <v>167</v>
      </c>
      <c r="O1123" s="17"/>
      <c r="P1123" s="17"/>
      <c r="Q1123" s="17"/>
      <c r="R1123" s="17"/>
      <c r="S1123" s="17"/>
      <c r="T1123" s="17"/>
      <c r="U1123" s="17"/>
      <c r="V1123" s="17"/>
      <c r="W1123" s="17"/>
      <c r="X1123" s="17"/>
      <c r="Y1123" s="46"/>
      <c r="Z1123" s="47"/>
      <c r="AA1123" s="48"/>
      <c r="AB1123" s="48"/>
      <c r="AC1123" s="48"/>
      <c r="AD1123" s="48"/>
      <c r="AE1123" s="48"/>
      <c r="AF1123" s="48"/>
      <c r="AG1123" s="48"/>
      <c r="AH1123" s="48"/>
      <c r="AI1123" s="48"/>
    </row>
    <row r="1124" spans="1:35" ht="12.5" hidden="1">
      <c r="A1124" s="37" t="s">
        <v>271</v>
      </c>
      <c r="B1124" s="38" t="str">
        <f>IFERROR(VLOOKUP(J1124,catalogo!$B$1:$C$85,2,0),"-")</f>
        <v>#58</v>
      </c>
      <c r="C1124" s="63">
        <v>46081.416666666664</v>
      </c>
      <c r="D1124" s="17"/>
      <c r="E1124" s="17"/>
      <c r="F1124" s="17"/>
      <c r="G1124" s="17">
        <v>800</v>
      </c>
      <c r="H1124" s="17">
        <v>800</v>
      </c>
      <c r="I1124" s="24" t="s">
        <v>156</v>
      </c>
      <c r="J1124" s="17" t="s">
        <v>118</v>
      </c>
      <c r="K1124" s="17" t="s">
        <v>622</v>
      </c>
      <c r="L1124" s="17" t="s">
        <v>623</v>
      </c>
      <c r="M1124" s="17" t="s">
        <v>163</v>
      </c>
      <c r="N1124" s="17" t="s">
        <v>144</v>
      </c>
      <c r="O1124" s="17"/>
      <c r="P1124" s="17"/>
      <c r="Q1124" s="17"/>
      <c r="R1124" s="17"/>
      <c r="S1124" s="17"/>
      <c r="T1124" s="17"/>
      <c r="U1124" s="17"/>
      <c r="V1124" s="17"/>
      <c r="W1124" s="17"/>
      <c r="X1124" s="17"/>
      <c r="Y1124" s="46"/>
      <c r="Z1124" s="47"/>
      <c r="AA1124" s="48"/>
      <c r="AB1124" s="48"/>
      <c r="AC1124" s="48"/>
      <c r="AD1124" s="48"/>
      <c r="AE1124" s="48"/>
      <c r="AF1124" s="48"/>
      <c r="AG1124" s="48"/>
      <c r="AH1124" s="48"/>
      <c r="AI1124" s="48"/>
    </row>
    <row r="1125" spans="1:35" ht="12.5" hidden="1">
      <c r="A1125" s="37" t="s">
        <v>268</v>
      </c>
      <c r="B1125" s="38" t="str">
        <f>IFERROR(VLOOKUP(J1125,catalogo!$B$1:$C$85,2,0),"-")</f>
        <v>#26</v>
      </c>
      <c r="C1125" s="63">
        <v>46081.416666666664</v>
      </c>
      <c r="D1125" s="17"/>
      <c r="E1125" s="17"/>
      <c r="F1125" s="17"/>
      <c r="G1125" s="17">
        <v>910</v>
      </c>
      <c r="H1125" s="17">
        <v>910</v>
      </c>
      <c r="I1125" s="24" t="s">
        <v>156</v>
      </c>
      <c r="J1125" s="17" t="s">
        <v>67</v>
      </c>
      <c r="K1125" s="17" t="s">
        <v>319</v>
      </c>
      <c r="L1125" s="17" t="s">
        <v>317</v>
      </c>
      <c r="M1125" s="17" t="s">
        <v>159</v>
      </c>
      <c r="N1125" s="17" t="s">
        <v>144</v>
      </c>
      <c r="O1125" s="17"/>
      <c r="P1125" s="17"/>
      <c r="Q1125" s="17"/>
      <c r="R1125" s="17"/>
      <c r="S1125" s="17"/>
      <c r="T1125" s="17"/>
      <c r="U1125" s="17"/>
      <c r="V1125" s="17"/>
      <c r="W1125" s="17"/>
      <c r="X1125" s="17"/>
      <c r="Y1125" s="46"/>
      <c r="Z1125" s="47"/>
      <c r="AA1125" s="48"/>
      <c r="AB1125" s="48"/>
      <c r="AC1125" s="48"/>
      <c r="AD1125" s="48"/>
      <c r="AE1125" s="48"/>
      <c r="AF1125" s="48"/>
      <c r="AG1125" s="48"/>
      <c r="AH1125" s="48"/>
      <c r="AI1125" s="48"/>
    </row>
    <row r="1126" spans="1:35" ht="12.5" hidden="1">
      <c r="A1126" s="37" t="s">
        <v>265</v>
      </c>
      <c r="B1126" s="38" t="str">
        <f>IFERROR(VLOOKUP(J1126,catalogo!$B$1:$C$85,2,0),"-")</f>
        <v>#42</v>
      </c>
      <c r="C1126" s="63">
        <v>46081.416666666664</v>
      </c>
      <c r="D1126" s="17"/>
      <c r="E1126" s="17"/>
      <c r="F1126" s="17"/>
      <c r="G1126" s="17">
        <v>1000</v>
      </c>
      <c r="H1126" s="17">
        <v>1000</v>
      </c>
      <c r="I1126" s="24" t="s">
        <v>156</v>
      </c>
      <c r="J1126" s="17" t="s">
        <v>78</v>
      </c>
      <c r="K1126" s="17" t="s">
        <v>622</v>
      </c>
      <c r="L1126" s="17" t="s">
        <v>623</v>
      </c>
      <c r="M1126" s="17" t="s">
        <v>1112</v>
      </c>
      <c r="N1126" s="17" t="s">
        <v>144</v>
      </c>
      <c r="O1126" s="17"/>
      <c r="P1126" s="17"/>
      <c r="Q1126" s="17"/>
      <c r="R1126" s="17"/>
      <c r="S1126" s="17"/>
      <c r="T1126" s="17"/>
      <c r="U1126" s="17"/>
      <c r="V1126" s="17"/>
      <c r="W1126" s="17"/>
      <c r="X1126" s="17"/>
      <c r="Y1126" s="46"/>
      <c r="Z1126" s="47"/>
      <c r="AA1126" s="48"/>
      <c r="AB1126" s="48"/>
      <c r="AC1126" s="48"/>
      <c r="AD1126" s="48"/>
      <c r="AE1126" s="48"/>
      <c r="AF1126" s="48"/>
      <c r="AG1126" s="48"/>
      <c r="AH1126" s="48"/>
      <c r="AI1126" s="48"/>
    </row>
    <row r="1127" spans="1:35" ht="12.5" hidden="1">
      <c r="A1127" s="37" t="s">
        <v>264</v>
      </c>
      <c r="B1127" s="38" t="str">
        <f>IFERROR(VLOOKUP(J1127,catalogo!$B$1:$C$85,2,0),"-")</f>
        <v>#26</v>
      </c>
      <c r="C1127" s="63">
        <v>46081.416666666664</v>
      </c>
      <c r="D1127" s="17"/>
      <c r="E1127" s="17"/>
      <c r="F1127" s="17"/>
      <c r="G1127" s="17">
        <v>1010</v>
      </c>
      <c r="H1127" s="17">
        <v>1010</v>
      </c>
      <c r="I1127" s="24" t="s">
        <v>156</v>
      </c>
      <c r="J1127" s="17" t="s">
        <v>67</v>
      </c>
      <c r="K1127" s="17" t="s">
        <v>319</v>
      </c>
      <c r="L1127" s="17" t="s">
        <v>317</v>
      </c>
      <c r="M1127" s="17" t="s">
        <v>159</v>
      </c>
      <c r="N1127" s="17" t="s">
        <v>144</v>
      </c>
      <c r="O1127" s="17"/>
      <c r="P1127" s="17"/>
      <c r="Q1127" s="17"/>
      <c r="R1127" s="17"/>
      <c r="S1127" s="17"/>
      <c r="T1127" s="17"/>
      <c r="U1127" s="17"/>
      <c r="V1127" s="17"/>
      <c r="W1127" s="17"/>
      <c r="X1127" s="17"/>
      <c r="Y1127" s="46"/>
      <c r="Z1127" s="47"/>
      <c r="AA1127" s="48"/>
      <c r="AB1127" s="48"/>
      <c r="AC1127" s="48"/>
      <c r="AD1127" s="48"/>
      <c r="AE1127" s="48"/>
      <c r="AF1127" s="48"/>
      <c r="AG1127" s="48"/>
      <c r="AH1127" s="48"/>
      <c r="AI1127" s="48"/>
    </row>
    <row r="1128" spans="1:35" ht="12.5" hidden="1">
      <c r="A1128" s="37" t="s">
        <v>261</v>
      </c>
      <c r="B1128" s="38" t="str">
        <f>IFERROR(VLOOKUP(J1128,catalogo!$B$1:$C$85,2,0),"-")</f>
        <v>#26</v>
      </c>
      <c r="C1128" s="63">
        <v>46081.416666666664</v>
      </c>
      <c r="D1128" s="17"/>
      <c r="E1128" s="17"/>
      <c r="F1128" s="17"/>
      <c r="G1128" s="17">
        <v>456</v>
      </c>
      <c r="H1128" s="17">
        <v>456</v>
      </c>
      <c r="I1128" s="24" t="s">
        <v>156</v>
      </c>
      <c r="J1128" s="17" t="s">
        <v>67</v>
      </c>
      <c r="K1128" s="17" t="s">
        <v>1905</v>
      </c>
      <c r="L1128" s="17" t="s">
        <v>317</v>
      </c>
      <c r="M1128" s="17">
        <v>8061</v>
      </c>
      <c r="N1128" s="17" t="s">
        <v>167</v>
      </c>
      <c r="O1128" s="17"/>
      <c r="P1128" s="17"/>
      <c r="Q1128" s="17"/>
      <c r="R1128" s="17"/>
      <c r="S1128" s="17"/>
      <c r="T1128" s="17"/>
      <c r="U1128" s="17"/>
      <c r="V1128" s="17"/>
      <c r="W1128" s="17"/>
      <c r="X1128" s="17"/>
      <c r="Y1128" s="46"/>
      <c r="Z1128" s="47"/>
      <c r="AA1128" s="48"/>
      <c r="AB1128" s="48"/>
      <c r="AC1128" s="48"/>
      <c r="AD1128" s="48"/>
      <c r="AE1128" s="48"/>
      <c r="AF1128" s="48"/>
      <c r="AG1128" s="48"/>
      <c r="AH1128" s="48"/>
      <c r="AI1128" s="48"/>
    </row>
    <row r="1129" spans="1:35" ht="12.5" hidden="1">
      <c r="A1129" s="37" t="s">
        <v>258</v>
      </c>
      <c r="B1129" s="38" t="str">
        <f>IFERROR(VLOOKUP(J1129,catalogo!$B$1:$C$85,2,0),"-")</f>
        <v>#26</v>
      </c>
      <c r="C1129" s="63">
        <v>46081.416666666664</v>
      </c>
      <c r="D1129" s="17"/>
      <c r="E1129" s="17"/>
      <c r="F1129" s="17"/>
      <c r="G1129" s="17">
        <v>507</v>
      </c>
      <c r="H1129" s="17">
        <v>507</v>
      </c>
      <c r="I1129" s="24" t="s">
        <v>156</v>
      </c>
      <c r="J1129" s="17" t="s">
        <v>67</v>
      </c>
      <c r="K1129" s="17" t="s">
        <v>1035</v>
      </c>
      <c r="L1129" s="17" t="s">
        <v>1036</v>
      </c>
      <c r="M1129" s="17">
        <v>8061</v>
      </c>
      <c r="N1129" s="17" t="s">
        <v>167</v>
      </c>
      <c r="O1129" s="17"/>
      <c r="P1129" s="17"/>
      <c r="Q1129" s="17"/>
      <c r="R1129" s="17"/>
      <c r="S1129" s="17"/>
      <c r="T1129" s="17"/>
      <c r="U1129" s="17"/>
      <c r="V1129" s="17"/>
      <c r="W1129" s="17"/>
      <c r="X1129" s="17"/>
      <c r="Y1129" s="46"/>
      <c r="Z1129" s="47"/>
      <c r="AA1129" s="48"/>
      <c r="AB1129" s="48"/>
      <c r="AC1129" s="48"/>
      <c r="AD1129" s="48"/>
      <c r="AE1129" s="48"/>
      <c r="AF1129" s="48"/>
      <c r="AG1129" s="48"/>
      <c r="AH1129" s="48"/>
      <c r="AI1129" s="48"/>
    </row>
    <row r="1130" spans="1:35" ht="12.5" hidden="1">
      <c r="A1130" s="37" t="s">
        <v>256</v>
      </c>
      <c r="B1130" s="38" t="str">
        <f>IFERROR(VLOOKUP(J1130,catalogo!$B$1:$C$85,2,0),"-")</f>
        <v>#26</v>
      </c>
      <c r="C1130" s="63">
        <v>46081.416666666664</v>
      </c>
      <c r="D1130" s="17"/>
      <c r="E1130" s="17"/>
      <c r="F1130" s="17"/>
      <c r="G1130" s="17">
        <v>13299.4</v>
      </c>
      <c r="H1130" s="17">
        <v>13299.4</v>
      </c>
      <c r="I1130" s="24" t="s">
        <v>156</v>
      </c>
      <c r="J1130" s="17" t="s">
        <v>67</v>
      </c>
      <c r="K1130" s="17" t="s">
        <v>1906</v>
      </c>
      <c r="L1130" s="17" t="s">
        <v>1907</v>
      </c>
      <c r="M1130" s="17" t="s">
        <v>159</v>
      </c>
      <c r="N1130" s="17" t="s">
        <v>144</v>
      </c>
      <c r="O1130" s="17"/>
      <c r="P1130" s="17"/>
      <c r="Q1130" s="17"/>
      <c r="R1130" s="17"/>
      <c r="S1130" s="17"/>
      <c r="T1130" s="17"/>
      <c r="U1130" s="17"/>
      <c r="V1130" s="17"/>
      <c r="W1130" s="17"/>
      <c r="X1130" s="17"/>
      <c r="Y1130" s="46"/>
      <c r="Z1130" s="47"/>
      <c r="AA1130" s="48"/>
      <c r="AB1130" s="48"/>
      <c r="AC1130" s="48"/>
      <c r="AD1130" s="48"/>
      <c r="AE1130" s="48"/>
      <c r="AF1130" s="48"/>
      <c r="AG1130" s="48"/>
      <c r="AH1130" s="48"/>
      <c r="AI1130" s="48"/>
    </row>
    <row r="1131" spans="1:35" ht="12.5" hidden="1">
      <c r="A1131" s="37" t="s">
        <v>252</v>
      </c>
      <c r="B1131" s="38" t="str">
        <f>IFERROR(VLOOKUP(J1131,catalogo!$B$1:$C$85,2,0),"-")</f>
        <v>#16</v>
      </c>
      <c r="C1131" s="63">
        <v>46081.416666666664</v>
      </c>
      <c r="D1131" s="17"/>
      <c r="E1131" s="17"/>
      <c r="F1131" s="17"/>
      <c r="G1131" s="17">
        <v>10000</v>
      </c>
      <c r="H1131" s="17">
        <v>10000</v>
      </c>
      <c r="I1131" s="24" t="s">
        <v>156</v>
      </c>
      <c r="J1131" s="44" t="s">
        <v>85</v>
      </c>
      <c r="K1131" s="17" t="s">
        <v>330</v>
      </c>
      <c r="L1131" s="17" t="s">
        <v>331</v>
      </c>
      <c r="M1131" s="17" t="s">
        <v>332</v>
      </c>
      <c r="N1131" s="17" t="s">
        <v>144</v>
      </c>
      <c r="O1131" s="17"/>
      <c r="P1131" s="17"/>
      <c r="Q1131" s="17"/>
      <c r="R1131" s="17"/>
      <c r="S1131" s="17"/>
      <c r="T1131" s="17"/>
      <c r="U1131" s="17"/>
      <c r="V1131" s="17"/>
      <c r="W1131" s="17"/>
      <c r="X1131" s="17"/>
      <c r="Y1131" s="46"/>
      <c r="Z1131" s="47"/>
      <c r="AA1131" s="48"/>
      <c r="AB1131" s="48"/>
      <c r="AC1131" s="48"/>
      <c r="AD1131" s="48"/>
      <c r="AE1131" s="48"/>
      <c r="AF1131" s="48"/>
      <c r="AG1131" s="48"/>
      <c r="AH1131" s="48"/>
      <c r="AI1131" s="48"/>
    </row>
    <row r="1132" spans="1:35" ht="12.5" hidden="1">
      <c r="A1132" s="37" t="s">
        <v>249</v>
      </c>
      <c r="B1132" s="38" t="str">
        <f>IFERROR(VLOOKUP(J1132,catalogo!$B$1:$C$85,2,0),"-")</f>
        <v>-</v>
      </c>
      <c r="C1132" s="63">
        <v>46081.416666666664</v>
      </c>
      <c r="D1132" s="17"/>
      <c r="E1132" s="17"/>
      <c r="F1132" s="17"/>
      <c r="G1132" s="17">
        <v>53.1</v>
      </c>
      <c r="H1132" s="17">
        <v>53.1</v>
      </c>
      <c r="I1132" s="24" t="s">
        <v>156</v>
      </c>
      <c r="J1132" s="17" t="s">
        <v>659</v>
      </c>
      <c r="K1132" s="17" t="s">
        <v>757</v>
      </c>
      <c r="L1132" s="17" t="s">
        <v>336</v>
      </c>
      <c r="M1132" s="17" t="s">
        <v>662</v>
      </c>
      <c r="N1132" s="17" t="s">
        <v>144</v>
      </c>
      <c r="O1132" s="17"/>
      <c r="P1132" s="17"/>
      <c r="Q1132" s="17"/>
      <c r="R1132" s="17"/>
      <c r="S1132" s="17"/>
      <c r="T1132" s="17"/>
      <c r="U1132" s="17"/>
      <c r="V1132" s="17"/>
      <c r="W1132" s="17"/>
      <c r="X1132" s="17"/>
      <c r="Y1132" s="46"/>
      <c r="Z1132" s="47"/>
      <c r="AA1132" s="48"/>
      <c r="AB1132" s="48"/>
      <c r="AC1132" s="48"/>
      <c r="AD1132" s="48"/>
      <c r="AE1132" s="48"/>
      <c r="AF1132" s="48"/>
      <c r="AG1132" s="48"/>
      <c r="AH1132" s="48"/>
      <c r="AI1132" s="48"/>
    </row>
    <row r="1133" spans="1:35" ht="12.5" hidden="1">
      <c r="A1133" s="37" t="s">
        <v>246</v>
      </c>
      <c r="B1133" s="38" t="str">
        <f>IFERROR(VLOOKUP(J1133,catalogo!$B$1:$C$85,2,0),"-")</f>
        <v>#77</v>
      </c>
      <c r="C1133" s="63">
        <v>46081.416666666664</v>
      </c>
      <c r="D1133" s="17"/>
      <c r="E1133" s="17"/>
      <c r="F1133" s="17"/>
      <c r="G1133" s="17">
        <v>169.94</v>
      </c>
      <c r="H1133" s="17">
        <v>169.94</v>
      </c>
      <c r="I1133" s="24" t="s">
        <v>156</v>
      </c>
      <c r="J1133" s="17" t="s">
        <v>102</v>
      </c>
      <c r="K1133" s="17" t="s">
        <v>1908</v>
      </c>
      <c r="L1133" s="17" t="s">
        <v>233</v>
      </c>
      <c r="M1133" s="17" t="s">
        <v>279</v>
      </c>
      <c r="N1133" s="17" t="s">
        <v>144</v>
      </c>
      <c r="O1133" s="17"/>
      <c r="P1133" s="17"/>
      <c r="Q1133" s="17"/>
      <c r="R1133" s="17"/>
      <c r="S1133" s="17"/>
      <c r="T1133" s="17"/>
      <c r="U1133" s="17"/>
      <c r="V1133" s="17"/>
      <c r="W1133" s="17"/>
      <c r="X1133" s="17"/>
      <c r="Y1133" s="46"/>
      <c r="Z1133" s="47"/>
      <c r="AA1133" s="48"/>
      <c r="AB1133" s="48"/>
      <c r="AC1133" s="48"/>
      <c r="AD1133" s="48"/>
      <c r="AE1133" s="48"/>
      <c r="AF1133" s="48"/>
      <c r="AG1133" s="48"/>
      <c r="AH1133" s="48"/>
      <c r="AI1133" s="48"/>
    </row>
    <row r="1134" spans="1:35" ht="12.5" hidden="1">
      <c r="A1134" s="37" t="s">
        <v>243</v>
      </c>
      <c r="B1134" s="38" t="str">
        <f>IFERROR(VLOOKUP(J1134,catalogo!$B$1:$C$85,2,0),"-")</f>
        <v>#69</v>
      </c>
      <c r="C1134" s="63">
        <v>46081.416666666664</v>
      </c>
      <c r="D1134" s="17"/>
      <c r="E1134" s="17"/>
      <c r="F1134" s="17"/>
      <c r="G1134" s="17">
        <v>291.92</v>
      </c>
      <c r="H1134" s="17">
        <v>291.92</v>
      </c>
      <c r="I1134" s="24" t="s">
        <v>156</v>
      </c>
      <c r="J1134" s="17" t="s">
        <v>110</v>
      </c>
      <c r="K1134" s="17" t="s">
        <v>485</v>
      </c>
      <c r="L1134" s="17" t="s">
        <v>233</v>
      </c>
      <c r="M1134" s="17" t="s">
        <v>464</v>
      </c>
      <c r="N1134" s="17" t="s">
        <v>144</v>
      </c>
      <c r="O1134" s="17"/>
      <c r="P1134" s="17"/>
      <c r="Q1134" s="17"/>
      <c r="R1134" s="17"/>
      <c r="S1134" s="17"/>
      <c r="T1134" s="17"/>
      <c r="U1134" s="17"/>
      <c r="V1134" s="17"/>
      <c r="W1134" s="17"/>
      <c r="X1134" s="17"/>
      <c r="Y1134" s="46"/>
      <c r="Z1134" s="47"/>
      <c r="AA1134" s="48"/>
      <c r="AB1134" s="48"/>
      <c r="AC1134" s="48"/>
      <c r="AD1134" s="48"/>
      <c r="AE1134" s="48"/>
      <c r="AF1134" s="48"/>
      <c r="AG1134" s="48"/>
      <c r="AH1134" s="48"/>
      <c r="AI1134" s="48"/>
    </row>
    <row r="1135" spans="1:35" ht="12.5" hidden="1">
      <c r="A1135" s="37" t="s">
        <v>240</v>
      </c>
      <c r="B1135" s="38" t="str">
        <f>IFERROR(VLOOKUP(J1135,catalogo!$B$1:$C$85,2,0),"-")</f>
        <v>#19</v>
      </c>
      <c r="C1135" s="63">
        <v>46081.416666666664</v>
      </c>
      <c r="D1135" s="17"/>
      <c r="E1135" s="17"/>
      <c r="F1135" s="17"/>
      <c r="G1135" s="17">
        <v>299.95</v>
      </c>
      <c r="H1135" s="17">
        <v>299.95</v>
      </c>
      <c r="I1135" s="24" t="s">
        <v>156</v>
      </c>
      <c r="J1135" s="17" t="s">
        <v>105</v>
      </c>
      <c r="K1135" s="17" t="s">
        <v>485</v>
      </c>
      <c r="L1135" s="17" t="s">
        <v>233</v>
      </c>
      <c r="M1135" s="17" t="s">
        <v>276</v>
      </c>
      <c r="N1135" s="17" t="s">
        <v>144</v>
      </c>
      <c r="O1135" s="17"/>
      <c r="P1135" s="17"/>
      <c r="Q1135" s="17"/>
      <c r="R1135" s="17"/>
      <c r="S1135" s="17"/>
      <c r="T1135" s="17"/>
      <c r="U1135" s="17"/>
      <c r="V1135" s="17"/>
      <c r="W1135" s="17"/>
      <c r="X1135" s="17"/>
      <c r="Y1135" s="46"/>
      <c r="Z1135" s="47"/>
      <c r="AA1135" s="48"/>
      <c r="AB1135" s="48"/>
      <c r="AC1135" s="48"/>
      <c r="AD1135" s="48"/>
      <c r="AE1135" s="48"/>
      <c r="AF1135" s="48"/>
      <c r="AG1135" s="48"/>
      <c r="AH1135" s="48"/>
      <c r="AI1135" s="48"/>
    </row>
    <row r="1136" spans="1:35" ht="12.5" hidden="1">
      <c r="A1136" s="37" t="s">
        <v>237</v>
      </c>
      <c r="B1136" s="38" t="str">
        <f>IFERROR(VLOOKUP(J1136,catalogo!$B$1:$C$85,2,0),"-")</f>
        <v>-</v>
      </c>
      <c r="C1136" s="63">
        <v>46081.416666666664</v>
      </c>
      <c r="D1136" s="17"/>
      <c r="E1136" s="17"/>
      <c r="F1136" s="17"/>
      <c r="G1136" s="17">
        <v>358.39</v>
      </c>
      <c r="H1136" s="17">
        <v>358.39</v>
      </c>
      <c r="I1136" s="24" t="s">
        <v>156</v>
      </c>
      <c r="J1136" s="17" t="s">
        <v>187</v>
      </c>
      <c r="K1136" s="17" t="s">
        <v>1909</v>
      </c>
      <c r="L1136" s="17" t="s">
        <v>181</v>
      </c>
      <c r="M1136" s="17" t="s">
        <v>477</v>
      </c>
      <c r="N1136" s="17" t="s">
        <v>144</v>
      </c>
      <c r="O1136" s="17"/>
      <c r="P1136" s="17"/>
      <c r="Q1136" s="17"/>
      <c r="R1136" s="17"/>
      <c r="S1136" s="17"/>
      <c r="T1136" s="17"/>
      <c r="U1136" s="17"/>
      <c r="V1136" s="17"/>
      <c r="W1136" s="17"/>
      <c r="X1136" s="17"/>
      <c r="Y1136" s="46"/>
      <c r="Z1136" s="47"/>
      <c r="AA1136" s="48"/>
      <c r="AB1136" s="48"/>
      <c r="AC1136" s="48"/>
      <c r="AD1136" s="48"/>
      <c r="AE1136" s="48"/>
      <c r="AF1136" s="48"/>
      <c r="AG1136" s="48"/>
      <c r="AH1136" s="48"/>
      <c r="AI1136" s="48"/>
    </row>
    <row r="1137" spans="1:35" ht="12.5" hidden="1">
      <c r="A1137" s="37" t="s">
        <v>234</v>
      </c>
      <c r="B1137" s="38" t="str">
        <f>IFERROR(VLOOKUP(J1137,catalogo!$B$1:$C$85,2,0),"-")</f>
        <v>#21</v>
      </c>
      <c r="C1137" s="63">
        <v>46081.416666666664</v>
      </c>
      <c r="D1137" s="17"/>
      <c r="E1137" s="17"/>
      <c r="F1137" s="17"/>
      <c r="G1137" s="17">
        <v>9016.51</v>
      </c>
      <c r="H1137" s="17">
        <v>9016.51</v>
      </c>
      <c r="I1137" s="24" t="s">
        <v>156</v>
      </c>
      <c r="J1137" s="17" t="s">
        <v>122</v>
      </c>
      <c r="K1137" s="17" t="s">
        <v>1910</v>
      </c>
      <c r="L1137" s="17" t="s">
        <v>1514</v>
      </c>
      <c r="M1137" s="17">
        <v>2203</v>
      </c>
      <c r="N1137" s="17" t="s">
        <v>167</v>
      </c>
      <c r="O1137" s="17"/>
      <c r="P1137" s="17"/>
      <c r="Q1137" s="17"/>
      <c r="R1137" s="17"/>
      <c r="S1137" s="17"/>
      <c r="T1137" s="17"/>
      <c r="U1137" s="17"/>
      <c r="V1137" s="17"/>
      <c r="W1137" s="17"/>
      <c r="X1137" s="17"/>
      <c r="Y1137" s="46"/>
      <c r="Z1137" s="47"/>
      <c r="AA1137" s="48"/>
      <c r="AB1137" s="48"/>
      <c r="AC1137" s="48"/>
      <c r="AD1137" s="48"/>
      <c r="AE1137" s="48"/>
      <c r="AF1137" s="48"/>
      <c r="AG1137" s="48"/>
      <c r="AH1137" s="48"/>
      <c r="AI1137" s="48"/>
    </row>
    <row r="1138" spans="1:35" ht="12.5" hidden="1">
      <c r="A1138" s="37" t="s">
        <v>231</v>
      </c>
      <c r="B1138" s="38" t="str">
        <f>IFERROR(VLOOKUP(J1138,catalogo!$B$1:$C$85,2,0),"-")</f>
        <v>#41</v>
      </c>
      <c r="C1138" s="63">
        <v>46081.416666666664</v>
      </c>
      <c r="D1138" s="17"/>
      <c r="E1138" s="17"/>
      <c r="F1138" s="17"/>
      <c r="G1138" s="17">
        <v>400</v>
      </c>
      <c r="H1138" s="17">
        <v>400</v>
      </c>
      <c r="I1138" s="24" t="s">
        <v>156</v>
      </c>
      <c r="J1138" s="17" t="s">
        <v>68</v>
      </c>
      <c r="K1138" s="17" t="s">
        <v>1701</v>
      </c>
      <c r="L1138" s="17" t="s">
        <v>1702</v>
      </c>
      <c r="M1138" s="17" t="s">
        <v>1038</v>
      </c>
      <c r="N1138" s="17" t="s">
        <v>144</v>
      </c>
      <c r="O1138" s="17"/>
      <c r="P1138" s="17"/>
      <c r="Q1138" s="17"/>
      <c r="R1138" s="17"/>
      <c r="S1138" s="17"/>
      <c r="T1138" s="17"/>
      <c r="U1138" s="17"/>
      <c r="V1138" s="17"/>
      <c r="W1138" s="17"/>
      <c r="X1138" s="17"/>
      <c r="Y1138" s="46"/>
      <c r="Z1138" s="47"/>
      <c r="AA1138" s="48"/>
      <c r="AB1138" s="48"/>
      <c r="AC1138" s="48"/>
      <c r="AD1138" s="48"/>
      <c r="AE1138" s="48"/>
      <c r="AF1138" s="48"/>
      <c r="AG1138" s="48"/>
      <c r="AH1138" s="48"/>
      <c r="AI1138" s="48"/>
    </row>
    <row r="1139" spans="1:35" ht="12.5" hidden="1">
      <c r="A1139" s="37" t="s">
        <v>228</v>
      </c>
      <c r="B1139" s="38" t="str">
        <f>IFERROR(VLOOKUP(J1139,catalogo!$B$1:$C$85,2,0),"-")</f>
        <v>#64</v>
      </c>
      <c r="C1139" s="63">
        <v>46081.416666666664</v>
      </c>
      <c r="D1139" s="17"/>
      <c r="E1139" s="17"/>
      <c r="F1139" s="17"/>
      <c r="G1139" s="17">
        <v>452.96</v>
      </c>
      <c r="H1139" s="17">
        <v>452.96</v>
      </c>
      <c r="I1139" s="24" t="s">
        <v>156</v>
      </c>
      <c r="J1139" s="17" t="s">
        <v>139</v>
      </c>
      <c r="K1139" s="17" t="s">
        <v>1746</v>
      </c>
      <c r="L1139" s="17" t="s">
        <v>233</v>
      </c>
      <c r="M1139" s="17" t="s">
        <v>1718</v>
      </c>
      <c r="N1139" s="17" t="s">
        <v>144</v>
      </c>
      <c r="O1139" s="17"/>
      <c r="P1139" s="17"/>
      <c r="Q1139" s="17"/>
      <c r="R1139" s="17"/>
      <c r="S1139" s="17"/>
      <c r="T1139" s="17"/>
      <c r="U1139" s="17"/>
      <c r="V1139" s="17"/>
      <c r="W1139" s="17"/>
      <c r="X1139" s="17"/>
      <c r="Y1139" s="46"/>
      <c r="Z1139" s="47"/>
      <c r="AA1139" s="48"/>
      <c r="AB1139" s="48"/>
      <c r="AC1139" s="48"/>
      <c r="AD1139" s="48"/>
      <c r="AE1139" s="48"/>
      <c r="AF1139" s="48"/>
      <c r="AG1139" s="48"/>
      <c r="AH1139" s="48"/>
      <c r="AI1139" s="48"/>
    </row>
    <row r="1140" spans="1:35" ht="12.5" hidden="1">
      <c r="A1140" s="37" t="s">
        <v>227</v>
      </c>
      <c r="B1140" s="38" t="str">
        <f>IFERROR(VLOOKUP(J1140,catalogo!$B$1:$C$85,2,0),"-")</f>
        <v>#26</v>
      </c>
      <c r="C1140" s="63">
        <v>46081.416666666664</v>
      </c>
      <c r="D1140" s="17"/>
      <c r="E1140" s="17"/>
      <c r="F1140" s="17"/>
      <c r="G1140" s="17">
        <v>726</v>
      </c>
      <c r="H1140" s="17">
        <v>726</v>
      </c>
      <c r="I1140" s="24" t="s">
        <v>156</v>
      </c>
      <c r="J1140" s="17" t="s">
        <v>67</v>
      </c>
      <c r="K1140" s="17" t="s">
        <v>1911</v>
      </c>
      <c r="L1140" s="17" t="s">
        <v>1912</v>
      </c>
      <c r="M1140" s="17">
        <v>8061</v>
      </c>
      <c r="N1140" s="17" t="s">
        <v>167</v>
      </c>
      <c r="O1140" s="17"/>
      <c r="P1140" s="17"/>
      <c r="Q1140" s="17"/>
      <c r="R1140" s="17"/>
      <c r="S1140" s="17"/>
      <c r="T1140" s="17"/>
      <c r="U1140" s="17"/>
      <c r="V1140" s="17"/>
      <c r="W1140" s="17"/>
      <c r="X1140" s="17"/>
      <c r="Y1140" s="46"/>
      <c r="Z1140" s="47"/>
      <c r="AA1140" s="48"/>
      <c r="AB1140" s="48"/>
      <c r="AC1140" s="48"/>
      <c r="AD1140" s="48"/>
      <c r="AE1140" s="48"/>
      <c r="AF1140" s="48"/>
      <c r="AG1140" s="48"/>
      <c r="AH1140" s="48"/>
      <c r="AI1140" s="48"/>
    </row>
    <row r="1141" spans="1:35" ht="12.5" hidden="1">
      <c r="A1141" s="37" t="s">
        <v>224</v>
      </c>
      <c r="B1141" s="38" t="str">
        <f>IFERROR(VLOOKUP(J1141,catalogo!$B$1:$C$85,2,0),"-")</f>
        <v>#64</v>
      </c>
      <c r="C1141" s="63">
        <v>46081.416666666664</v>
      </c>
      <c r="D1141" s="17"/>
      <c r="E1141" s="17"/>
      <c r="F1141" s="17"/>
      <c r="G1141" s="17">
        <v>34.5</v>
      </c>
      <c r="H1141" s="17">
        <v>34.5</v>
      </c>
      <c r="I1141" s="24" t="s">
        <v>156</v>
      </c>
      <c r="J1141" s="17" t="s">
        <v>139</v>
      </c>
      <c r="K1141" s="17" t="s">
        <v>836</v>
      </c>
      <c r="L1141" s="17" t="s">
        <v>655</v>
      </c>
      <c r="M1141" s="17">
        <v>7142</v>
      </c>
      <c r="N1141" s="17" t="s">
        <v>167</v>
      </c>
      <c r="O1141" s="17"/>
      <c r="P1141" s="17"/>
      <c r="Q1141" s="17"/>
      <c r="R1141" s="17"/>
      <c r="S1141" s="17"/>
      <c r="T1141" s="17"/>
      <c r="U1141" s="17"/>
      <c r="V1141" s="17"/>
      <c r="W1141" s="17"/>
      <c r="X1141" s="17"/>
      <c r="Y1141" s="46"/>
      <c r="Z1141" s="47"/>
      <c r="AA1141" s="48"/>
      <c r="AB1141" s="48"/>
      <c r="AC1141" s="48"/>
      <c r="AD1141" s="48"/>
      <c r="AE1141" s="48"/>
      <c r="AF1141" s="48"/>
      <c r="AG1141" s="48"/>
      <c r="AH1141" s="48"/>
      <c r="AI1141" s="48"/>
    </row>
    <row r="1142" spans="1:35" ht="12.5" hidden="1">
      <c r="A1142" s="37" t="s">
        <v>221</v>
      </c>
      <c r="B1142" s="38" t="str">
        <f>IFERROR(VLOOKUP(J1142,catalogo!$B$1:$C$85,2,0),"-")</f>
        <v>#75</v>
      </c>
      <c r="C1142" s="63">
        <v>46081.417361111111</v>
      </c>
      <c r="D1142" s="17"/>
      <c r="E1142" s="17"/>
      <c r="F1142" s="17"/>
      <c r="G1142" s="17">
        <v>90.06</v>
      </c>
      <c r="H1142" s="17">
        <v>5</v>
      </c>
      <c r="I1142" s="24" t="s">
        <v>172</v>
      </c>
      <c r="J1142" s="17" t="s">
        <v>343</v>
      </c>
      <c r="K1142" s="17" t="s">
        <v>537</v>
      </c>
      <c r="L1142" s="17" t="s">
        <v>233</v>
      </c>
      <c r="M1142" s="17" t="s">
        <v>433</v>
      </c>
      <c r="N1142" s="17" t="s">
        <v>144</v>
      </c>
      <c r="O1142" s="17"/>
      <c r="P1142" s="17"/>
      <c r="Q1142" s="17"/>
      <c r="R1142" s="17"/>
      <c r="S1142" s="17"/>
      <c r="T1142" s="17"/>
      <c r="U1142" s="17"/>
      <c r="V1142" s="17"/>
      <c r="W1142" s="17"/>
      <c r="X1142" s="17"/>
      <c r="Y1142" s="46"/>
      <c r="Z1142" s="47"/>
      <c r="AA1142" s="48"/>
      <c r="AB1142" s="48"/>
      <c r="AC1142" s="48"/>
      <c r="AD1142" s="48"/>
      <c r="AE1142" s="48"/>
      <c r="AF1142" s="48"/>
      <c r="AG1142" s="48"/>
      <c r="AH1142" s="48"/>
      <c r="AI1142" s="48"/>
    </row>
    <row r="1143" spans="1:35" ht="12.5" hidden="1">
      <c r="A1143" s="37" t="s">
        <v>218</v>
      </c>
      <c r="B1143" s="38" t="str">
        <f>IFERROR(VLOOKUP(J1143,catalogo!$B$1:$C$85,2,0),"-")</f>
        <v>#2</v>
      </c>
      <c r="C1143" s="63">
        <v>46081.417361111111</v>
      </c>
      <c r="D1143" s="17"/>
      <c r="E1143" s="17"/>
      <c r="F1143" s="17"/>
      <c r="G1143" s="17">
        <v>633.80999999999995</v>
      </c>
      <c r="H1143" s="17">
        <v>35.19</v>
      </c>
      <c r="I1143" s="24" t="s">
        <v>172</v>
      </c>
      <c r="J1143" s="17" t="s">
        <v>75</v>
      </c>
      <c r="K1143" s="17" t="s">
        <v>1913</v>
      </c>
      <c r="L1143" s="17" t="s">
        <v>1914</v>
      </c>
      <c r="M1143" s="17" t="s">
        <v>199</v>
      </c>
      <c r="N1143" s="17" t="s">
        <v>144</v>
      </c>
      <c r="O1143" s="17"/>
      <c r="P1143" s="17"/>
      <c r="Q1143" s="17"/>
      <c r="R1143" s="17"/>
      <c r="S1143" s="17"/>
      <c r="T1143" s="17"/>
      <c r="U1143" s="17"/>
      <c r="V1143" s="17"/>
      <c r="W1143" s="17"/>
      <c r="X1143" s="17"/>
      <c r="Y1143" s="46"/>
      <c r="Z1143" s="47"/>
      <c r="AA1143" s="48"/>
      <c r="AB1143" s="48"/>
      <c r="AC1143" s="48"/>
      <c r="AD1143" s="48"/>
      <c r="AE1143" s="48"/>
      <c r="AF1143" s="48"/>
      <c r="AG1143" s="48"/>
      <c r="AH1143" s="48"/>
      <c r="AI1143" s="48"/>
    </row>
    <row r="1144" spans="1:35" ht="12.5" hidden="1">
      <c r="A1144" s="37" t="s">
        <v>215</v>
      </c>
      <c r="B1144" s="38" t="str">
        <f>IFERROR(VLOOKUP(J1144,catalogo!$B$1:$C$85,2,0),"-")</f>
        <v>#56</v>
      </c>
      <c r="C1144" s="63">
        <v>46081.417361111111</v>
      </c>
      <c r="D1144" s="17"/>
      <c r="E1144" s="17"/>
      <c r="F1144" s="17"/>
      <c r="G1144" s="17">
        <v>129.97</v>
      </c>
      <c r="H1144" s="17">
        <v>129.97</v>
      </c>
      <c r="I1144" s="24" t="s">
        <v>156</v>
      </c>
      <c r="J1144" s="17" t="s">
        <v>99</v>
      </c>
      <c r="K1144" s="17" t="s">
        <v>485</v>
      </c>
      <c r="L1144" s="17" t="s">
        <v>233</v>
      </c>
      <c r="M1144" s="17">
        <v>8949</v>
      </c>
      <c r="N1144" s="17" t="s">
        <v>167</v>
      </c>
      <c r="O1144" s="17"/>
      <c r="P1144" s="17"/>
      <c r="Q1144" s="17"/>
      <c r="R1144" s="17"/>
      <c r="S1144" s="17"/>
      <c r="T1144" s="17"/>
      <c r="U1144" s="17"/>
      <c r="V1144" s="17"/>
      <c r="W1144" s="17"/>
      <c r="X1144" s="17"/>
      <c r="Y1144" s="46"/>
      <c r="Z1144" s="47"/>
      <c r="AA1144" s="48"/>
      <c r="AB1144" s="48"/>
      <c r="AC1144" s="48"/>
      <c r="AD1144" s="48"/>
      <c r="AE1144" s="48"/>
      <c r="AF1144" s="48"/>
      <c r="AG1144" s="48"/>
      <c r="AH1144" s="48"/>
      <c r="AI1144" s="48"/>
    </row>
    <row r="1145" spans="1:35" ht="12.5" hidden="1">
      <c r="A1145" s="37" t="s">
        <v>212</v>
      </c>
      <c r="B1145" s="38" t="str">
        <f>IFERROR(VLOOKUP(J1145,catalogo!$B$1:$C$85,2,0),"-")</f>
        <v>#75</v>
      </c>
      <c r="C1145" s="63">
        <v>46081.417361111111</v>
      </c>
      <c r="D1145" s="17"/>
      <c r="E1145" s="17"/>
      <c r="F1145" s="17"/>
      <c r="G1145" s="17">
        <v>972.41</v>
      </c>
      <c r="H1145" s="17">
        <v>53.99</v>
      </c>
      <c r="I1145" s="24" t="s">
        <v>172</v>
      </c>
      <c r="J1145" s="17" t="s">
        <v>343</v>
      </c>
      <c r="K1145" s="17" t="s">
        <v>452</v>
      </c>
      <c r="L1145" s="17" t="s">
        <v>233</v>
      </c>
      <c r="M1145" s="17" t="s">
        <v>433</v>
      </c>
      <c r="N1145" s="17" t="s">
        <v>144</v>
      </c>
      <c r="O1145" s="17"/>
      <c r="P1145" s="17"/>
      <c r="Q1145" s="17"/>
      <c r="R1145" s="17"/>
      <c r="S1145" s="17"/>
      <c r="T1145" s="17"/>
      <c r="U1145" s="17"/>
      <c r="V1145" s="17"/>
      <c r="W1145" s="17"/>
      <c r="X1145" s="17"/>
      <c r="Y1145" s="46"/>
      <c r="Z1145" s="47"/>
      <c r="AA1145" s="48"/>
      <c r="AB1145" s="48"/>
      <c r="AC1145" s="48"/>
      <c r="AD1145" s="48"/>
      <c r="AE1145" s="48"/>
      <c r="AF1145" s="48"/>
      <c r="AG1145" s="48"/>
      <c r="AH1145" s="48"/>
      <c r="AI1145" s="48"/>
    </row>
    <row r="1146" spans="1:35" ht="12.5" hidden="1">
      <c r="A1146" s="37" t="s">
        <v>209</v>
      </c>
      <c r="B1146" s="38" t="str">
        <f>IFERROR(VLOOKUP(J1146,catalogo!$B$1:$C$85,2,0),"-")</f>
        <v>-</v>
      </c>
      <c r="C1146" s="63">
        <v>46081.417361111111</v>
      </c>
      <c r="D1146" s="17"/>
      <c r="E1146" s="17"/>
      <c r="F1146" s="17"/>
      <c r="G1146" s="17">
        <v>6428.84</v>
      </c>
      <c r="H1146" s="17">
        <v>6428.84</v>
      </c>
      <c r="I1146" s="24" t="s">
        <v>156</v>
      </c>
      <c r="J1146" s="17" t="s">
        <v>187</v>
      </c>
      <c r="K1146" s="17" t="s">
        <v>1915</v>
      </c>
      <c r="L1146" s="17" t="s">
        <v>205</v>
      </c>
      <c r="M1146" s="17" t="s">
        <v>477</v>
      </c>
      <c r="N1146" s="17" t="s">
        <v>144</v>
      </c>
      <c r="O1146" s="17"/>
      <c r="P1146" s="17"/>
      <c r="Q1146" s="17"/>
      <c r="R1146" s="17"/>
      <c r="S1146" s="17"/>
      <c r="T1146" s="17"/>
      <c r="U1146" s="17"/>
      <c r="V1146" s="17"/>
      <c r="W1146" s="17"/>
      <c r="X1146" s="17"/>
      <c r="Y1146" s="46"/>
      <c r="Z1146" s="47"/>
      <c r="AA1146" s="48"/>
      <c r="AB1146" s="48"/>
      <c r="AC1146" s="48"/>
      <c r="AD1146" s="48"/>
      <c r="AE1146" s="48"/>
      <c r="AF1146" s="48"/>
      <c r="AG1146" s="48"/>
      <c r="AH1146" s="48"/>
      <c r="AI1146" s="48"/>
    </row>
    <row r="1147" spans="1:35" ht="12.5" hidden="1">
      <c r="A1147" s="37" t="s">
        <v>206</v>
      </c>
      <c r="B1147" s="38" t="str">
        <f>IFERROR(VLOOKUP(J1147,catalogo!$B$1:$C$85,2,0),"-")</f>
        <v>#58</v>
      </c>
      <c r="C1147" s="63">
        <v>46081.417361111111</v>
      </c>
      <c r="D1147" s="17"/>
      <c r="E1147" s="17"/>
      <c r="F1147" s="17"/>
      <c r="G1147" s="17">
        <v>196</v>
      </c>
      <c r="H1147" s="17">
        <v>196</v>
      </c>
      <c r="I1147" s="24" t="s">
        <v>156</v>
      </c>
      <c r="J1147" s="44" t="s">
        <v>118</v>
      </c>
      <c r="K1147" s="17" t="s">
        <v>1916</v>
      </c>
      <c r="L1147" s="17" t="s">
        <v>407</v>
      </c>
      <c r="M1147" s="17">
        <v>5576</v>
      </c>
      <c r="N1147" s="17" t="s">
        <v>167</v>
      </c>
      <c r="O1147" s="17"/>
      <c r="P1147" s="17"/>
      <c r="Q1147" s="17"/>
      <c r="R1147" s="17"/>
      <c r="S1147" s="17"/>
      <c r="T1147" s="17"/>
      <c r="U1147" s="17"/>
      <c r="V1147" s="17"/>
      <c r="W1147" s="17"/>
      <c r="X1147" s="17"/>
      <c r="Y1147" s="46"/>
      <c r="Z1147" s="47"/>
      <c r="AA1147" s="48"/>
      <c r="AB1147" s="48"/>
      <c r="AC1147" s="48"/>
      <c r="AD1147" s="48"/>
      <c r="AE1147" s="48"/>
      <c r="AF1147" s="48"/>
      <c r="AG1147" s="48"/>
      <c r="AH1147" s="48"/>
      <c r="AI1147" s="48"/>
    </row>
    <row r="1148" spans="1:35" ht="12.5" hidden="1">
      <c r="A1148" s="37" t="s">
        <v>203</v>
      </c>
      <c r="B1148" s="38" t="str">
        <f>IFERROR(VLOOKUP(J1148,catalogo!$B$1:$C$85,2,0),"-")</f>
        <v>#28</v>
      </c>
      <c r="C1148" s="63">
        <v>46081.417361111111</v>
      </c>
      <c r="D1148" s="17"/>
      <c r="E1148" s="17"/>
      <c r="F1148" s="17"/>
      <c r="G1148" s="17">
        <v>359.78</v>
      </c>
      <c r="H1148" s="17">
        <v>20</v>
      </c>
      <c r="I1148" s="24" t="s">
        <v>172</v>
      </c>
      <c r="J1148" s="17" t="s">
        <v>77</v>
      </c>
      <c r="K1148" s="17" t="s">
        <v>1563</v>
      </c>
      <c r="L1148" s="64" t="s">
        <v>1564</v>
      </c>
      <c r="M1148" s="17" t="s">
        <v>289</v>
      </c>
      <c r="N1148" s="17" t="s">
        <v>144</v>
      </c>
      <c r="O1148" s="17"/>
      <c r="P1148" s="17"/>
      <c r="Q1148" s="17"/>
      <c r="R1148" s="17"/>
      <c r="S1148" s="17"/>
      <c r="T1148" s="17"/>
      <c r="U1148" s="17"/>
      <c r="V1148" s="17"/>
      <c r="W1148" s="17"/>
      <c r="X1148" s="17"/>
      <c r="Y1148" s="46"/>
      <c r="Z1148" s="47"/>
      <c r="AA1148" s="48"/>
      <c r="AB1148" s="48"/>
      <c r="AC1148" s="48"/>
      <c r="AD1148" s="48"/>
      <c r="AE1148" s="48"/>
      <c r="AF1148" s="48"/>
      <c r="AG1148" s="48"/>
      <c r="AH1148" s="48"/>
      <c r="AI1148" s="48"/>
    </row>
    <row r="1149" spans="1:35" ht="12.5" hidden="1">
      <c r="A1149" s="37" t="s">
        <v>200</v>
      </c>
      <c r="B1149" s="38" t="str">
        <f>IFERROR(VLOOKUP(J1149,catalogo!$B$1:$C$85,2,0),"-")</f>
        <v>#19</v>
      </c>
      <c r="C1149" s="63">
        <v>46081.417361111111</v>
      </c>
      <c r="D1149" s="17"/>
      <c r="E1149" s="17"/>
      <c r="F1149" s="17"/>
      <c r="G1149" s="17">
        <v>340</v>
      </c>
      <c r="H1149" s="17">
        <v>340</v>
      </c>
      <c r="I1149" s="24" t="s">
        <v>156</v>
      </c>
      <c r="J1149" s="17" t="s">
        <v>105</v>
      </c>
      <c r="K1149" s="17" t="s">
        <v>1917</v>
      </c>
      <c r="L1149" s="17" t="s">
        <v>1493</v>
      </c>
      <c r="M1149" s="17">
        <v>5778</v>
      </c>
      <c r="N1149" s="17" t="s">
        <v>167</v>
      </c>
      <c r="O1149" s="17"/>
      <c r="P1149" s="17"/>
      <c r="Q1149" s="17"/>
      <c r="R1149" s="17"/>
      <c r="S1149" s="17"/>
      <c r="T1149" s="17"/>
      <c r="U1149" s="17"/>
      <c r="V1149" s="17"/>
      <c r="W1149" s="17"/>
      <c r="X1149" s="17"/>
      <c r="Y1149" s="46"/>
      <c r="Z1149" s="47"/>
      <c r="AA1149" s="48"/>
      <c r="AB1149" s="48"/>
      <c r="AC1149" s="48"/>
      <c r="AD1149" s="48"/>
      <c r="AE1149" s="48"/>
      <c r="AF1149" s="48"/>
      <c r="AG1149" s="48"/>
      <c r="AH1149" s="48"/>
      <c r="AI1149" s="48"/>
    </row>
    <row r="1150" spans="1:35" ht="12.5" hidden="1">
      <c r="A1150" s="37" t="s">
        <v>196</v>
      </c>
      <c r="B1150" s="38" t="str">
        <f>IFERROR(VLOOKUP(J1150,catalogo!$B$1:$C$85,2,0),"-")</f>
        <v>#5</v>
      </c>
      <c r="C1150" s="63">
        <v>46081.417361111111</v>
      </c>
      <c r="D1150" s="17"/>
      <c r="E1150" s="17"/>
      <c r="F1150" s="17"/>
      <c r="G1150" s="17">
        <v>479</v>
      </c>
      <c r="H1150" s="17">
        <v>479</v>
      </c>
      <c r="I1150" s="24" t="s">
        <v>156</v>
      </c>
      <c r="J1150" s="17" t="s">
        <v>104</v>
      </c>
      <c r="K1150" s="17" t="s">
        <v>1918</v>
      </c>
      <c r="L1150" s="17" t="s">
        <v>455</v>
      </c>
      <c r="M1150" s="17">
        <v>3283</v>
      </c>
      <c r="N1150" s="17" t="s">
        <v>167</v>
      </c>
      <c r="O1150" s="17"/>
      <c r="P1150" s="17"/>
      <c r="Q1150" s="17"/>
      <c r="R1150" s="17"/>
      <c r="S1150" s="17"/>
      <c r="T1150" s="17"/>
      <c r="U1150" s="17"/>
      <c r="V1150" s="17"/>
      <c r="W1150" s="17"/>
      <c r="X1150" s="17"/>
      <c r="Y1150" s="46"/>
      <c r="Z1150" s="47"/>
      <c r="AA1150" s="48"/>
      <c r="AB1150" s="48"/>
      <c r="AC1150" s="48"/>
      <c r="AD1150" s="48"/>
      <c r="AE1150" s="48"/>
      <c r="AF1150" s="48"/>
      <c r="AG1150" s="48"/>
      <c r="AH1150" s="48"/>
      <c r="AI1150" s="48"/>
    </row>
    <row r="1151" spans="1:35" ht="12.5" hidden="1">
      <c r="A1151" s="37" t="s">
        <v>194</v>
      </c>
      <c r="B1151" s="38" t="str">
        <f>IFERROR(VLOOKUP(J1151,catalogo!$B$1:$C$85,2,0),"-")</f>
        <v>#3</v>
      </c>
      <c r="C1151" s="63">
        <v>46081.417361111111</v>
      </c>
      <c r="D1151" s="17"/>
      <c r="E1151" s="17"/>
      <c r="F1151" s="17"/>
      <c r="G1151" s="17">
        <v>459.2</v>
      </c>
      <c r="H1151" s="17">
        <v>459.2</v>
      </c>
      <c r="I1151" s="24" t="s">
        <v>156</v>
      </c>
      <c r="J1151" s="17" t="s">
        <v>84</v>
      </c>
      <c r="K1151" s="17" t="s">
        <v>1919</v>
      </c>
      <c r="L1151" s="17" t="s">
        <v>1920</v>
      </c>
      <c r="M1151" s="17">
        <v>8657</v>
      </c>
      <c r="N1151" s="17" t="s">
        <v>167</v>
      </c>
      <c r="O1151" s="17"/>
      <c r="P1151" s="17"/>
      <c r="Q1151" s="17"/>
      <c r="R1151" s="17"/>
      <c r="S1151" s="17"/>
      <c r="T1151" s="17"/>
      <c r="U1151" s="17"/>
      <c r="V1151" s="17"/>
      <c r="W1151" s="17"/>
      <c r="X1151" s="17"/>
      <c r="Y1151" s="46"/>
      <c r="Z1151" s="47"/>
      <c r="AA1151" s="48"/>
      <c r="AB1151" s="48"/>
      <c r="AC1151" s="48"/>
      <c r="AD1151" s="48"/>
      <c r="AE1151" s="48"/>
      <c r="AF1151" s="48"/>
      <c r="AG1151" s="48"/>
      <c r="AH1151" s="48"/>
      <c r="AI1151" s="48"/>
    </row>
    <row r="1152" spans="1:35" ht="12.5" hidden="1">
      <c r="A1152" s="37" t="s">
        <v>191</v>
      </c>
      <c r="B1152" s="38" t="str">
        <f>IFERROR(VLOOKUP(J1152,catalogo!$B$1:$C$85,2,0),"-")</f>
        <v>#58</v>
      </c>
      <c r="C1152" s="63">
        <v>46081.417361111111</v>
      </c>
      <c r="D1152" s="17"/>
      <c r="E1152" s="17"/>
      <c r="F1152" s="17"/>
      <c r="G1152" s="17">
        <v>561.23</v>
      </c>
      <c r="H1152" s="17">
        <v>561.23</v>
      </c>
      <c r="I1152" s="24" t="s">
        <v>156</v>
      </c>
      <c r="J1152" s="17" t="s">
        <v>118</v>
      </c>
      <c r="K1152" s="17" t="s">
        <v>1921</v>
      </c>
      <c r="L1152" s="17" t="s">
        <v>1922</v>
      </c>
      <c r="M1152" s="17">
        <v>5576</v>
      </c>
      <c r="N1152" s="17" t="s">
        <v>167</v>
      </c>
      <c r="O1152" s="17"/>
      <c r="P1152" s="17"/>
      <c r="Q1152" s="17"/>
      <c r="R1152" s="17"/>
      <c r="S1152" s="17"/>
      <c r="T1152" s="17"/>
      <c r="U1152" s="17"/>
      <c r="V1152" s="17"/>
      <c r="W1152" s="17"/>
      <c r="X1152" s="17"/>
      <c r="Y1152" s="46"/>
      <c r="Z1152" s="47"/>
      <c r="AA1152" s="48"/>
      <c r="AB1152" s="48"/>
      <c r="AC1152" s="48"/>
      <c r="AD1152" s="48"/>
      <c r="AE1152" s="48"/>
      <c r="AF1152" s="48"/>
      <c r="AG1152" s="48"/>
      <c r="AH1152" s="48"/>
      <c r="AI1152" s="48"/>
    </row>
    <row r="1153" spans="1:35" ht="12.5" hidden="1">
      <c r="A1153" s="37" t="s">
        <v>186</v>
      </c>
      <c r="B1153" s="38" t="str">
        <f>IFERROR(VLOOKUP(J1153,catalogo!$B$1:$C$85,2,0),"-")</f>
        <v>#5</v>
      </c>
      <c r="C1153" s="63">
        <v>46081.417361111111</v>
      </c>
      <c r="D1153" s="17"/>
      <c r="E1153" s="17"/>
      <c r="F1153" s="17"/>
      <c r="G1153" s="17">
        <v>604.04999999999995</v>
      </c>
      <c r="H1153" s="17">
        <v>604.04999999999995</v>
      </c>
      <c r="I1153" s="24" t="s">
        <v>156</v>
      </c>
      <c r="J1153" s="17" t="s">
        <v>104</v>
      </c>
      <c r="K1153" s="17" t="s">
        <v>1918</v>
      </c>
      <c r="L1153" s="17" t="s">
        <v>455</v>
      </c>
      <c r="M1153" s="17">
        <v>3283</v>
      </c>
      <c r="N1153" s="17" t="s">
        <v>167</v>
      </c>
      <c r="O1153" s="17"/>
      <c r="P1153" s="17"/>
      <c r="Q1153" s="17"/>
      <c r="R1153" s="17"/>
      <c r="S1153" s="17"/>
      <c r="T1153" s="17"/>
      <c r="U1153" s="17"/>
      <c r="V1153" s="17"/>
      <c r="W1153" s="17"/>
      <c r="X1153" s="17"/>
      <c r="Y1153" s="46"/>
      <c r="Z1153" s="47"/>
      <c r="AA1153" s="48"/>
      <c r="AB1153" s="48"/>
      <c r="AC1153" s="48"/>
      <c r="AD1153" s="48"/>
      <c r="AE1153" s="48"/>
      <c r="AF1153" s="48"/>
      <c r="AG1153" s="48"/>
      <c r="AH1153" s="48"/>
      <c r="AI1153" s="48"/>
    </row>
    <row r="1154" spans="1:35" ht="12.5" hidden="1">
      <c r="A1154" s="37" t="s">
        <v>183</v>
      </c>
      <c r="B1154" s="38" t="str">
        <f>IFERROR(VLOOKUP(J1154,catalogo!$B$1:$C$85,2,0),"-")</f>
        <v>#8</v>
      </c>
      <c r="C1154" s="63">
        <v>46081.417361111111</v>
      </c>
      <c r="D1154" s="17"/>
      <c r="E1154" s="17"/>
      <c r="F1154" s="17"/>
      <c r="G1154" s="17">
        <v>858.61</v>
      </c>
      <c r="H1154" s="17">
        <v>858.61</v>
      </c>
      <c r="I1154" s="24" t="s">
        <v>156</v>
      </c>
      <c r="J1154" s="17" t="s">
        <v>128</v>
      </c>
      <c r="K1154" s="17" t="s">
        <v>1923</v>
      </c>
      <c r="L1154" s="17" t="s">
        <v>1924</v>
      </c>
      <c r="M1154" s="17">
        <v>16</v>
      </c>
      <c r="N1154" s="17" t="s">
        <v>167</v>
      </c>
      <c r="O1154" s="17"/>
      <c r="P1154" s="17"/>
      <c r="Q1154" s="17"/>
      <c r="R1154" s="17"/>
      <c r="S1154" s="17"/>
      <c r="T1154" s="17"/>
      <c r="U1154" s="17"/>
      <c r="V1154" s="17"/>
      <c r="W1154" s="17"/>
      <c r="X1154" s="17"/>
      <c r="Y1154" s="46"/>
      <c r="Z1154" s="47"/>
      <c r="AA1154" s="48"/>
      <c r="AB1154" s="48"/>
      <c r="AC1154" s="48"/>
      <c r="AD1154" s="48"/>
      <c r="AE1154" s="48"/>
      <c r="AF1154" s="48"/>
      <c r="AG1154" s="48"/>
      <c r="AH1154" s="48"/>
      <c r="AI1154" s="48"/>
    </row>
    <row r="1155" spans="1:35" ht="12.5" hidden="1">
      <c r="A1155" s="37" t="s">
        <v>179</v>
      </c>
      <c r="B1155" s="38" t="str">
        <f>IFERROR(VLOOKUP(J1155,catalogo!$B$1:$C$85,2,0),"-")</f>
        <v>#13</v>
      </c>
      <c r="C1155" s="63">
        <v>46081.417361111111</v>
      </c>
      <c r="D1155" s="17"/>
      <c r="E1155" s="17"/>
      <c r="F1155" s="17"/>
      <c r="G1155" s="17">
        <v>1124.7</v>
      </c>
      <c r="H1155" s="17">
        <v>1124.7</v>
      </c>
      <c r="I1155" s="24" t="s">
        <v>156</v>
      </c>
      <c r="J1155" s="17" t="s">
        <v>66</v>
      </c>
      <c r="K1155" s="17" t="s">
        <v>1925</v>
      </c>
      <c r="L1155" s="17" t="s">
        <v>1926</v>
      </c>
      <c r="M1155" s="17">
        <v>8732</v>
      </c>
      <c r="N1155" s="17" t="s">
        <v>167</v>
      </c>
      <c r="O1155" s="17"/>
      <c r="P1155" s="17"/>
      <c r="Q1155" s="17"/>
      <c r="R1155" s="17"/>
      <c r="S1155" s="17"/>
      <c r="T1155" s="17"/>
      <c r="U1155" s="17"/>
      <c r="V1155" s="17"/>
      <c r="W1155" s="17"/>
      <c r="X1155" s="17"/>
      <c r="Y1155" s="46"/>
      <c r="Z1155" s="47"/>
      <c r="AA1155" s="48"/>
      <c r="AB1155" s="48"/>
      <c r="AC1155" s="48"/>
      <c r="AD1155" s="48"/>
      <c r="AE1155" s="48"/>
      <c r="AF1155" s="48"/>
      <c r="AG1155" s="48"/>
      <c r="AH1155" s="48"/>
      <c r="AI1155" s="48"/>
    </row>
    <row r="1156" spans="1:35" ht="12.5" hidden="1">
      <c r="A1156" s="37" t="s">
        <v>178</v>
      </c>
      <c r="B1156" s="38" t="str">
        <f>IFERROR(VLOOKUP(J1156,catalogo!$B$1:$C$85,2,0),"-")</f>
        <v>-</v>
      </c>
      <c r="C1156" s="63">
        <v>46081.417361111111</v>
      </c>
      <c r="D1156" s="17"/>
      <c r="E1156" s="17"/>
      <c r="F1156" s="17"/>
      <c r="G1156" s="17">
        <v>1290</v>
      </c>
      <c r="H1156" s="17">
        <v>1290</v>
      </c>
      <c r="I1156" s="24" t="s">
        <v>156</v>
      </c>
      <c r="J1156" s="44" t="s">
        <v>493</v>
      </c>
      <c r="K1156" s="17" t="s">
        <v>1927</v>
      </c>
      <c r="L1156" s="17" t="s">
        <v>500</v>
      </c>
      <c r="M1156" s="17">
        <v>4682</v>
      </c>
      <c r="N1156" s="17" t="s">
        <v>167</v>
      </c>
      <c r="O1156" s="17"/>
      <c r="P1156" s="17"/>
      <c r="Q1156" s="17"/>
      <c r="R1156" s="17"/>
      <c r="S1156" s="17"/>
      <c r="T1156" s="17"/>
      <c r="U1156" s="17"/>
      <c r="V1156" s="17"/>
      <c r="W1156" s="17"/>
      <c r="X1156" s="17"/>
      <c r="Y1156" s="46"/>
      <c r="Z1156" s="47"/>
      <c r="AA1156" s="48"/>
      <c r="AB1156" s="48"/>
      <c r="AC1156" s="48"/>
      <c r="AD1156" s="48"/>
      <c r="AE1156" s="48"/>
      <c r="AF1156" s="48"/>
      <c r="AG1156" s="48"/>
      <c r="AH1156" s="48"/>
      <c r="AI1156" s="48"/>
    </row>
    <row r="1157" spans="1:35" ht="12.5" hidden="1">
      <c r="A1157" s="37" t="s">
        <v>175</v>
      </c>
      <c r="B1157" s="38" t="str">
        <f>IFERROR(VLOOKUP(J1157,catalogo!$B$1:$C$85,2,0),"-")</f>
        <v>#6</v>
      </c>
      <c r="C1157" s="63">
        <v>46081.417361111111</v>
      </c>
      <c r="D1157" s="17"/>
      <c r="E1157" s="17"/>
      <c r="F1157" s="17"/>
      <c r="G1157" s="17">
        <v>1337.23</v>
      </c>
      <c r="H1157" s="17">
        <v>1337.23</v>
      </c>
      <c r="I1157" s="24" t="s">
        <v>156</v>
      </c>
      <c r="J1157" s="17" t="s">
        <v>114</v>
      </c>
      <c r="K1157" s="17" t="s">
        <v>1765</v>
      </c>
      <c r="L1157" s="17" t="s">
        <v>1766</v>
      </c>
      <c r="M1157" s="17">
        <v>3893</v>
      </c>
      <c r="N1157" s="17" t="s">
        <v>167</v>
      </c>
      <c r="O1157" s="17"/>
      <c r="P1157" s="17"/>
      <c r="Q1157" s="17"/>
      <c r="R1157" s="17"/>
      <c r="S1157" s="17"/>
      <c r="T1157" s="17"/>
      <c r="U1157" s="17"/>
      <c r="V1157" s="17"/>
      <c r="W1157" s="17"/>
      <c r="X1157" s="17"/>
      <c r="Y1157" s="46"/>
      <c r="Z1157" s="47"/>
      <c r="AA1157" s="48"/>
      <c r="AB1157" s="48"/>
      <c r="AC1157" s="48"/>
      <c r="AD1157" s="48"/>
      <c r="AE1157" s="48"/>
      <c r="AF1157" s="48"/>
      <c r="AG1157" s="48"/>
      <c r="AH1157" s="48"/>
      <c r="AI1157" s="48"/>
    </row>
    <row r="1158" spans="1:35" ht="12.5" hidden="1">
      <c r="A1158" s="37" t="s">
        <v>171</v>
      </c>
      <c r="B1158" s="38" t="str">
        <f>IFERROR(VLOOKUP(J1158,catalogo!$B$1:$C$85,2,0),"-")</f>
        <v>-</v>
      </c>
      <c r="C1158" s="63">
        <v>46081.417361111111</v>
      </c>
      <c r="D1158" s="17"/>
      <c r="E1158" s="17"/>
      <c r="F1158" s="17"/>
      <c r="G1158" s="17">
        <v>1900.18</v>
      </c>
      <c r="H1158" s="17">
        <v>1900.18</v>
      </c>
      <c r="I1158" s="24" t="s">
        <v>156</v>
      </c>
      <c r="J1158" s="17" t="s">
        <v>493</v>
      </c>
      <c r="K1158" s="17" t="s">
        <v>799</v>
      </c>
      <c r="L1158" s="17" t="s">
        <v>800</v>
      </c>
      <c r="M1158" s="17">
        <v>4682</v>
      </c>
      <c r="N1158" s="17" t="s">
        <v>167</v>
      </c>
      <c r="O1158" s="17"/>
      <c r="P1158" s="17"/>
      <c r="Q1158" s="17"/>
      <c r="R1158" s="17"/>
      <c r="S1158" s="17"/>
      <c r="T1158" s="17"/>
      <c r="U1158" s="17"/>
      <c r="V1158" s="17"/>
      <c r="W1158" s="17"/>
      <c r="X1158" s="17"/>
      <c r="Y1158" s="46"/>
      <c r="Z1158" s="47"/>
      <c r="AA1158" s="48"/>
      <c r="AB1158" s="48"/>
      <c r="AC1158" s="48"/>
      <c r="AD1158" s="48"/>
      <c r="AE1158" s="48"/>
      <c r="AF1158" s="48"/>
      <c r="AG1158" s="48"/>
      <c r="AH1158" s="48"/>
      <c r="AI1158" s="48"/>
    </row>
    <row r="1159" spans="1:35" ht="12.5" hidden="1">
      <c r="A1159" s="37" t="s">
        <v>168</v>
      </c>
      <c r="B1159" s="38" t="str">
        <f>IFERROR(VLOOKUP(J1159,catalogo!$B$1:$C$85,2,0),"-")</f>
        <v>#68</v>
      </c>
      <c r="C1159" s="63">
        <v>46081.417361111111</v>
      </c>
      <c r="D1159" s="17"/>
      <c r="E1159" s="17"/>
      <c r="F1159" s="17"/>
      <c r="G1159" s="17">
        <v>216.13</v>
      </c>
      <c r="H1159" s="17">
        <v>12</v>
      </c>
      <c r="I1159" s="24" t="s">
        <v>172</v>
      </c>
      <c r="J1159" s="17" t="s">
        <v>384</v>
      </c>
      <c r="K1159" s="17" t="s">
        <v>1928</v>
      </c>
      <c r="L1159" s="17" t="s">
        <v>1929</v>
      </c>
      <c r="M1159" s="17">
        <v>2937</v>
      </c>
      <c r="N1159" s="17" t="s">
        <v>167</v>
      </c>
      <c r="O1159" s="17"/>
      <c r="P1159" s="17"/>
      <c r="Q1159" s="17"/>
      <c r="R1159" s="17"/>
      <c r="S1159" s="17"/>
      <c r="T1159" s="17"/>
      <c r="U1159" s="17"/>
      <c r="V1159" s="17"/>
      <c r="W1159" s="17"/>
      <c r="X1159" s="17"/>
      <c r="Y1159" s="46"/>
      <c r="Z1159" s="47"/>
      <c r="AA1159" s="48"/>
      <c r="AB1159" s="48"/>
      <c r="AC1159" s="48"/>
      <c r="AD1159" s="48"/>
      <c r="AE1159" s="48"/>
      <c r="AF1159" s="48"/>
      <c r="AG1159" s="48"/>
      <c r="AH1159" s="48"/>
      <c r="AI1159" s="48"/>
    </row>
    <row r="1160" spans="1:35" ht="12.5" hidden="1">
      <c r="A1160" s="37" t="s">
        <v>164</v>
      </c>
      <c r="B1160" s="38" t="str">
        <f>IFERROR(VLOOKUP(J1160,catalogo!$B$1:$C$85,2,0),"-")</f>
        <v>#68</v>
      </c>
      <c r="C1160" s="63">
        <v>46081.417361111111</v>
      </c>
      <c r="D1160" s="17"/>
      <c r="E1160" s="17"/>
      <c r="F1160" s="17"/>
      <c r="G1160" s="17">
        <v>932.61</v>
      </c>
      <c r="H1160" s="17">
        <v>51.78</v>
      </c>
      <c r="I1160" s="24" t="s">
        <v>172</v>
      </c>
      <c r="J1160" s="17" t="s">
        <v>384</v>
      </c>
      <c r="K1160" s="17" t="s">
        <v>1930</v>
      </c>
      <c r="L1160" s="17" t="s">
        <v>1931</v>
      </c>
      <c r="M1160" s="17">
        <v>2937</v>
      </c>
      <c r="N1160" s="17" t="s">
        <v>167</v>
      </c>
      <c r="O1160" s="17"/>
      <c r="P1160" s="17"/>
      <c r="Q1160" s="17"/>
      <c r="R1160" s="17"/>
      <c r="S1160" s="17"/>
      <c r="T1160" s="17"/>
      <c r="U1160" s="17"/>
      <c r="V1160" s="17"/>
      <c r="W1160" s="17"/>
      <c r="X1160" s="17"/>
      <c r="Y1160" s="46"/>
      <c r="Z1160" s="47"/>
      <c r="AA1160" s="48"/>
      <c r="AB1160" s="48"/>
      <c r="AC1160" s="48"/>
      <c r="AD1160" s="48"/>
      <c r="AE1160" s="48"/>
      <c r="AF1160" s="48"/>
      <c r="AG1160" s="48"/>
      <c r="AH1160" s="48"/>
      <c r="AI1160" s="48"/>
    </row>
    <row r="1161" spans="1:35" ht="12.5" hidden="1">
      <c r="A1161" s="37" t="s">
        <v>160</v>
      </c>
      <c r="B1161" s="38" t="str">
        <f>IFERROR(VLOOKUP(J1161,catalogo!$B$1:$C$85,2,0),"-")</f>
        <v>#68</v>
      </c>
      <c r="C1161" s="63">
        <v>46081.417361111111</v>
      </c>
      <c r="D1161" s="17"/>
      <c r="E1161" s="17"/>
      <c r="F1161" s="17"/>
      <c r="G1161" s="17">
        <v>635.55999999999995</v>
      </c>
      <c r="H1161" s="65">
        <v>35.33</v>
      </c>
      <c r="I1161" s="24" t="s">
        <v>172</v>
      </c>
      <c r="J1161" s="17" t="s">
        <v>384</v>
      </c>
      <c r="K1161" s="17" t="s">
        <v>1932</v>
      </c>
      <c r="L1161" s="17" t="s">
        <v>1933</v>
      </c>
      <c r="M1161" s="17">
        <v>2937</v>
      </c>
      <c r="N1161" s="17" t="s">
        <v>167</v>
      </c>
      <c r="O1161" s="17"/>
      <c r="P1161" s="17"/>
      <c r="Q1161" s="17"/>
      <c r="R1161" s="17"/>
      <c r="S1161" s="17"/>
      <c r="T1161" s="17"/>
      <c r="U1161" s="17"/>
      <c r="V1161" s="17"/>
      <c r="W1161" s="17"/>
      <c r="X1161" s="17"/>
      <c r="Y1161" s="46"/>
      <c r="Z1161" s="47"/>
      <c r="AA1161" s="48"/>
      <c r="AB1161" s="48"/>
      <c r="AC1161" s="48"/>
      <c r="AD1161" s="48"/>
      <c r="AE1161" s="48"/>
      <c r="AF1161" s="48"/>
      <c r="AG1161" s="48"/>
      <c r="AH1161" s="48"/>
      <c r="AI1161" s="48"/>
    </row>
    <row r="1162" spans="1:35" ht="12.5" hidden="1">
      <c r="A1162" s="37"/>
      <c r="B1162" s="38"/>
      <c r="C1162" s="63"/>
      <c r="D1162" s="17"/>
      <c r="E1162" s="17"/>
      <c r="F1162" s="17"/>
      <c r="G1162" s="17"/>
      <c r="H1162" s="65"/>
      <c r="I1162" s="24"/>
      <c r="J1162" s="44"/>
      <c r="K1162" s="17"/>
      <c r="L1162" s="17"/>
      <c r="M1162" s="17"/>
      <c r="N1162" s="17"/>
      <c r="O1162" s="17"/>
      <c r="P1162" s="17"/>
      <c r="Q1162" s="17"/>
      <c r="R1162" s="17"/>
      <c r="S1162" s="17"/>
      <c r="T1162" s="17"/>
      <c r="U1162" s="17"/>
      <c r="V1162" s="17"/>
      <c r="W1162" s="17"/>
      <c r="X1162" s="17"/>
      <c r="Y1162" s="46"/>
      <c r="Z1162" s="47"/>
      <c r="AA1162" s="48"/>
      <c r="AB1162" s="48"/>
      <c r="AC1162" s="48"/>
      <c r="AD1162" s="48"/>
      <c r="AE1162" s="48"/>
      <c r="AF1162" s="48"/>
      <c r="AG1162" s="48"/>
      <c r="AH1162" s="48"/>
      <c r="AI1162" s="48"/>
    </row>
    <row r="1163" spans="1:35" ht="12.5" hidden="1">
      <c r="A1163" s="37"/>
      <c r="B1163" s="38"/>
      <c r="C1163" s="63"/>
      <c r="D1163" s="17"/>
      <c r="E1163" s="17"/>
      <c r="F1163" s="17"/>
      <c r="G1163" s="17"/>
      <c r="H1163" s="65"/>
      <c r="I1163" s="24"/>
      <c r="J1163" s="17"/>
      <c r="K1163" s="17"/>
      <c r="L1163" s="17"/>
      <c r="M1163" s="17"/>
      <c r="N1163" s="17"/>
      <c r="O1163" s="17"/>
      <c r="P1163" s="17"/>
      <c r="Q1163" s="17"/>
      <c r="R1163" s="17"/>
      <c r="S1163" s="17"/>
      <c r="T1163" s="17"/>
      <c r="U1163" s="17"/>
      <c r="V1163" s="17"/>
      <c r="W1163" s="17"/>
      <c r="X1163" s="17"/>
      <c r="Y1163" s="46"/>
      <c r="Z1163" s="47"/>
      <c r="AA1163" s="48"/>
      <c r="AB1163" s="48"/>
      <c r="AC1163" s="48"/>
      <c r="AD1163" s="48"/>
      <c r="AE1163" s="48"/>
      <c r="AF1163" s="48"/>
      <c r="AG1163" s="48"/>
      <c r="AH1163" s="48"/>
      <c r="AI1163" s="48"/>
    </row>
    <row r="1164" spans="1:35" ht="12.5" hidden="1">
      <c r="A1164" s="37"/>
      <c r="B1164" s="38"/>
      <c r="C1164" s="63"/>
      <c r="D1164" s="17"/>
      <c r="E1164" s="17"/>
      <c r="F1164" s="17"/>
      <c r="G1164" s="17"/>
      <c r="H1164" s="65"/>
      <c r="I1164" s="24"/>
      <c r="J1164" s="17"/>
      <c r="K1164" s="17"/>
      <c r="L1164" s="17"/>
      <c r="M1164" s="17"/>
      <c r="N1164" s="17"/>
      <c r="O1164" s="17"/>
      <c r="P1164" s="17"/>
      <c r="Q1164" s="17"/>
      <c r="R1164" s="17"/>
      <c r="S1164" s="17"/>
      <c r="T1164" s="17"/>
      <c r="U1164" s="17"/>
      <c r="V1164" s="17"/>
      <c r="W1164" s="17"/>
      <c r="X1164" s="17"/>
      <c r="Y1164" s="46"/>
      <c r="Z1164" s="47"/>
      <c r="AA1164" s="48"/>
      <c r="AB1164" s="48"/>
      <c r="AC1164" s="48"/>
      <c r="AD1164" s="48"/>
      <c r="AE1164" s="48"/>
      <c r="AF1164" s="48"/>
      <c r="AG1164" s="48"/>
      <c r="AH1164" s="48"/>
      <c r="AI1164" s="48"/>
    </row>
    <row r="1165" spans="1:35" ht="12.5" hidden="1">
      <c r="A1165" s="37"/>
      <c r="B1165" s="38"/>
      <c r="C1165" s="63"/>
      <c r="D1165" s="17"/>
      <c r="E1165" s="17"/>
      <c r="F1165" s="17"/>
      <c r="G1165" s="17"/>
      <c r="H1165" s="65"/>
      <c r="I1165" s="24"/>
      <c r="J1165" s="17"/>
      <c r="K1165" s="17"/>
      <c r="L1165" s="17"/>
      <c r="M1165" s="17"/>
      <c r="N1165" s="17"/>
      <c r="O1165" s="17"/>
      <c r="P1165" s="17"/>
      <c r="Q1165" s="17"/>
      <c r="R1165" s="17"/>
      <c r="S1165" s="17"/>
      <c r="T1165" s="17"/>
      <c r="U1165" s="17"/>
      <c r="V1165" s="17"/>
      <c r="W1165" s="17"/>
      <c r="X1165" s="17"/>
      <c r="Y1165" s="46"/>
      <c r="Z1165" s="47"/>
      <c r="AA1165" s="48"/>
      <c r="AB1165" s="48"/>
      <c r="AC1165" s="48"/>
      <c r="AD1165" s="48"/>
      <c r="AE1165" s="48"/>
      <c r="AF1165" s="48"/>
      <c r="AG1165" s="48"/>
      <c r="AH1165" s="48"/>
      <c r="AI1165" s="48"/>
    </row>
    <row r="1166" spans="1:35" ht="12.5" hidden="1">
      <c r="A1166" s="37"/>
      <c r="B1166" s="38"/>
      <c r="C1166" s="63"/>
      <c r="D1166" s="17"/>
      <c r="E1166" s="17"/>
      <c r="F1166" s="17"/>
      <c r="G1166" s="17"/>
      <c r="H1166" s="65"/>
      <c r="I1166" s="24"/>
      <c r="J1166" s="17"/>
      <c r="K1166" s="17"/>
      <c r="L1166" s="17"/>
      <c r="M1166" s="17"/>
      <c r="N1166" s="17"/>
      <c r="O1166" s="17"/>
      <c r="P1166" s="17"/>
      <c r="Q1166" s="17"/>
      <c r="R1166" s="17"/>
      <c r="S1166" s="17"/>
      <c r="T1166" s="17"/>
      <c r="U1166" s="17"/>
      <c r="V1166" s="17"/>
      <c r="W1166" s="17"/>
      <c r="X1166" s="17"/>
      <c r="Y1166" s="46"/>
      <c r="Z1166" s="47"/>
      <c r="AA1166" s="48"/>
      <c r="AB1166" s="48"/>
      <c r="AC1166" s="48"/>
      <c r="AD1166" s="48"/>
      <c r="AE1166" s="48"/>
      <c r="AF1166" s="48"/>
      <c r="AG1166" s="48"/>
      <c r="AH1166" s="48"/>
      <c r="AI1166" s="48"/>
    </row>
    <row r="1167" spans="1:35" ht="12.5" hidden="1">
      <c r="A1167" s="37"/>
      <c r="B1167" s="38"/>
      <c r="C1167" s="63"/>
      <c r="D1167" s="17"/>
      <c r="E1167" s="17"/>
      <c r="F1167" s="17"/>
      <c r="G1167" s="17"/>
      <c r="H1167" s="65"/>
      <c r="I1167" s="24"/>
      <c r="J1167" s="17"/>
      <c r="K1167" s="17"/>
      <c r="L1167" s="17"/>
      <c r="M1167" s="17"/>
      <c r="N1167" s="17"/>
      <c r="O1167" s="17"/>
      <c r="P1167" s="17"/>
      <c r="Q1167" s="17"/>
      <c r="R1167" s="17"/>
      <c r="S1167" s="17"/>
      <c r="T1167" s="17"/>
      <c r="U1167" s="17"/>
      <c r="V1167" s="17"/>
      <c r="W1167" s="17"/>
      <c r="X1167" s="17"/>
      <c r="Y1167" s="46"/>
      <c r="Z1167" s="47"/>
      <c r="AA1167" s="48"/>
      <c r="AB1167" s="48"/>
      <c r="AC1167" s="48"/>
      <c r="AD1167" s="48"/>
      <c r="AE1167" s="48"/>
      <c r="AF1167" s="48"/>
      <c r="AG1167" s="48"/>
      <c r="AH1167" s="48"/>
      <c r="AI1167" s="48"/>
    </row>
    <row r="1168" spans="1:35" ht="12.5" hidden="1">
      <c r="A1168" s="37"/>
      <c r="B1168" s="38"/>
      <c r="C1168" s="63"/>
      <c r="D1168" s="17"/>
      <c r="E1168" s="17"/>
      <c r="F1168" s="17"/>
      <c r="G1168" s="17"/>
      <c r="H1168" s="65"/>
      <c r="I1168" s="24"/>
      <c r="J1168" s="44"/>
      <c r="K1168" s="17"/>
      <c r="L1168" s="17"/>
      <c r="M1168" s="17"/>
      <c r="N1168" s="17"/>
      <c r="O1168" s="17"/>
      <c r="P1168" s="17"/>
      <c r="Q1168" s="17"/>
      <c r="R1168" s="17"/>
      <c r="S1168" s="17"/>
      <c r="T1168" s="17"/>
      <c r="U1168" s="17"/>
      <c r="V1168" s="17"/>
      <c r="W1168" s="17"/>
      <c r="X1168" s="17"/>
      <c r="Y1168" s="46"/>
      <c r="Z1168" s="47"/>
      <c r="AA1168" s="48"/>
      <c r="AB1168" s="48"/>
      <c r="AC1168" s="48"/>
      <c r="AD1168" s="48"/>
      <c r="AE1168" s="48"/>
      <c r="AF1168" s="48"/>
      <c r="AG1168" s="48"/>
      <c r="AH1168" s="48"/>
      <c r="AI1168" s="48"/>
    </row>
    <row r="1169" spans="1:35" ht="12.5" hidden="1">
      <c r="A1169" s="37"/>
      <c r="B1169" s="38"/>
      <c r="C1169" s="63"/>
      <c r="D1169" s="17"/>
      <c r="E1169" s="17"/>
      <c r="F1169" s="17"/>
      <c r="G1169" s="17"/>
      <c r="H1169" s="65"/>
      <c r="I1169" s="24"/>
      <c r="J1169" s="17"/>
      <c r="K1169" s="17"/>
      <c r="L1169" s="17"/>
      <c r="M1169" s="17"/>
      <c r="N1169" s="17"/>
      <c r="O1169" s="17"/>
      <c r="P1169" s="17"/>
      <c r="Q1169" s="17"/>
      <c r="R1169" s="17"/>
      <c r="S1169" s="17"/>
      <c r="T1169" s="17"/>
      <c r="U1169" s="17"/>
      <c r="V1169" s="17"/>
      <c r="W1169" s="17"/>
      <c r="X1169" s="17"/>
      <c r="Y1169" s="46"/>
      <c r="Z1169" s="47"/>
      <c r="AA1169" s="48"/>
      <c r="AB1169" s="48"/>
      <c r="AC1169" s="48"/>
      <c r="AD1169" s="48"/>
      <c r="AE1169" s="48"/>
      <c r="AF1169" s="48"/>
      <c r="AG1169" s="48"/>
      <c r="AH1169" s="48"/>
      <c r="AI1169" s="48"/>
    </row>
    <row r="1170" spans="1:35" ht="12.5" hidden="1">
      <c r="A1170" s="37"/>
      <c r="B1170" s="38"/>
      <c r="C1170" s="63"/>
      <c r="D1170" s="17"/>
      <c r="E1170" s="17"/>
      <c r="F1170" s="17"/>
      <c r="G1170" s="17"/>
      <c r="H1170" s="65"/>
      <c r="I1170" s="24"/>
      <c r="J1170" s="17"/>
      <c r="K1170" s="17"/>
      <c r="L1170" s="17"/>
      <c r="M1170" s="17"/>
      <c r="N1170" s="17"/>
      <c r="O1170" s="17"/>
      <c r="P1170" s="17"/>
      <c r="Q1170" s="17"/>
      <c r="R1170" s="17"/>
      <c r="S1170" s="17"/>
      <c r="T1170" s="17"/>
      <c r="U1170" s="17"/>
      <c r="V1170" s="17"/>
      <c r="W1170" s="17"/>
      <c r="X1170" s="17"/>
      <c r="Y1170" s="46"/>
      <c r="Z1170" s="47"/>
      <c r="AA1170" s="48"/>
      <c r="AB1170" s="48"/>
      <c r="AC1170" s="48"/>
      <c r="AD1170" s="48"/>
      <c r="AE1170" s="48"/>
      <c r="AF1170" s="48"/>
      <c r="AG1170" s="48"/>
      <c r="AH1170" s="48"/>
      <c r="AI1170" s="48"/>
    </row>
    <row r="1171" spans="1:35" ht="12.5" hidden="1">
      <c r="A1171" s="37"/>
      <c r="B1171" s="38"/>
      <c r="C1171" s="63"/>
      <c r="D1171" s="17"/>
      <c r="E1171" s="17"/>
      <c r="F1171" s="17"/>
      <c r="G1171" s="17"/>
      <c r="H1171" s="65"/>
      <c r="I1171" s="24"/>
      <c r="J1171" s="17"/>
      <c r="K1171" s="17"/>
      <c r="L1171" s="17"/>
      <c r="M1171" s="17"/>
      <c r="N1171" s="17"/>
      <c r="O1171" s="17"/>
      <c r="P1171" s="17"/>
      <c r="Q1171" s="17"/>
      <c r="R1171" s="17"/>
      <c r="S1171" s="17"/>
      <c r="T1171" s="17"/>
      <c r="U1171" s="17"/>
      <c r="V1171" s="17"/>
      <c r="W1171" s="17"/>
      <c r="X1171" s="17"/>
      <c r="Y1171" s="46"/>
      <c r="Z1171" s="47"/>
      <c r="AA1171" s="48"/>
      <c r="AB1171" s="48"/>
      <c r="AC1171" s="48"/>
      <c r="AD1171" s="48"/>
      <c r="AE1171" s="48"/>
      <c r="AF1171" s="48"/>
      <c r="AG1171" s="48"/>
      <c r="AH1171" s="48"/>
      <c r="AI1171" s="48"/>
    </row>
    <row r="1172" spans="1:35" ht="12.5" hidden="1">
      <c r="A1172" s="37"/>
      <c r="B1172" s="38"/>
      <c r="C1172" s="63"/>
      <c r="D1172" s="17"/>
      <c r="E1172" s="17"/>
      <c r="F1172" s="17"/>
      <c r="G1172" s="17"/>
      <c r="H1172" s="65"/>
      <c r="I1172" s="24"/>
      <c r="J1172" s="17"/>
      <c r="K1172" s="17"/>
      <c r="L1172" s="17"/>
      <c r="M1172" s="17"/>
      <c r="N1172" s="17"/>
      <c r="O1172" s="17"/>
      <c r="P1172" s="17"/>
      <c r="Q1172" s="17"/>
      <c r="R1172" s="17"/>
      <c r="S1172" s="17"/>
      <c r="T1172" s="17"/>
      <c r="U1172" s="17"/>
      <c r="V1172" s="17"/>
      <c r="W1172" s="17"/>
      <c r="X1172" s="17"/>
      <c r="Y1172" s="46"/>
      <c r="Z1172" s="47"/>
      <c r="AA1172" s="48"/>
      <c r="AB1172" s="48"/>
      <c r="AC1172" s="48"/>
      <c r="AD1172" s="48"/>
      <c r="AE1172" s="48"/>
      <c r="AF1172" s="48"/>
      <c r="AG1172" s="48"/>
      <c r="AH1172" s="48"/>
      <c r="AI1172" s="48"/>
    </row>
    <row r="1173" spans="1:35" ht="12.5" hidden="1">
      <c r="A1173" s="37"/>
      <c r="B1173" s="38"/>
      <c r="C1173" s="63"/>
      <c r="D1173" s="17"/>
      <c r="E1173" s="17"/>
      <c r="F1173" s="17"/>
      <c r="G1173" s="17"/>
      <c r="H1173" s="65"/>
      <c r="I1173" s="24"/>
      <c r="J1173" s="17"/>
      <c r="K1173" s="17"/>
      <c r="L1173" s="17"/>
      <c r="M1173" s="17"/>
      <c r="N1173" s="17"/>
      <c r="O1173" s="17"/>
      <c r="P1173" s="17"/>
      <c r="Q1173" s="17"/>
      <c r="R1173" s="17"/>
      <c r="S1173" s="17"/>
      <c r="T1173" s="17"/>
      <c r="U1173" s="17"/>
      <c r="V1173" s="17"/>
      <c r="W1173" s="17"/>
      <c r="X1173" s="17"/>
      <c r="Y1173" s="46"/>
      <c r="Z1173" s="47"/>
      <c r="AA1173" s="48"/>
      <c r="AB1173" s="48"/>
      <c r="AC1173" s="48"/>
      <c r="AD1173" s="48"/>
      <c r="AE1173" s="48"/>
      <c r="AF1173" s="48"/>
      <c r="AG1173" s="48"/>
      <c r="AH1173" s="48"/>
      <c r="AI1173" s="48"/>
    </row>
    <row r="1174" spans="1:35" ht="12.5" hidden="1">
      <c r="A1174" s="37"/>
      <c r="B1174" s="38"/>
      <c r="C1174" s="63"/>
      <c r="D1174" s="17"/>
      <c r="E1174" s="17"/>
      <c r="F1174" s="17"/>
      <c r="G1174" s="17"/>
      <c r="H1174" s="65"/>
      <c r="I1174" s="24"/>
      <c r="J1174" s="17"/>
      <c r="K1174" s="17"/>
      <c r="L1174" s="17"/>
      <c r="M1174" s="17"/>
      <c r="N1174" s="17"/>
      <c r="O1174" s="17"/>
      <c r="P1174" s="17"/>
      <c r="Q1174" s="17"/>
      <c r="R1174" s="17"/>
      <c r="S1174" s="17"/>
      <c r="T1174" s="17"/>
      <c r="U1174" s="17"/>
      <c r="V1174" s="17"/>
      <c r="W1174" s="17"/>
      <c r="X1174" s="17"/>
      <c r="Y1174" s="46"/>
      <c r="Z1174" s="47"/>
      <c r="AA1174" s="48"/>
      <c r="AB1174" s="48"/>
      <c r="AC1174" s="48"/>
      <c r="AD1174" s="48"/>
      <c r="AE1174" s="48"/>
      <c r="AF1174" s="48"/>
      <c r="AG1174" s="48"/>
      <c r="AH1174" s="48"/>
      <c r="AI1174" s="48"/>
    </row>
    <row r="1175" spans="1:35" ht="12.5" hidden="1">
      <c r="A1175" s="37"/>
      <c r="B1175" s="38"/>
      <c r="C1175" s="63"/>
      <c r="D1175" s="17"/>
      <c r="E1175" s="17"/>
      <c r="F1175" s="17"/>
      <c r="G1175" s="17"/>
      <c r="H1175" s="65"/>
      <c r="I1175" s="24"/>
      <c r="J1175" s="17"/>
      <c r="K1175" s="17"/>
      <c r="L1175" s="17"/>
      <c r="M1175" s="17"/>
      <c r="N1175" s="17"/>
      <c r="O1175" s="17"/>
      <c r="P1175" s="17"/>
      <c r="Q1175" s="17"/>
      <c r="R1175" s="17"/>
      <c r="S1175" s="17"/>
      <c r="T1175" s="17"/>
      <c r="U1175" s="17"/>
      <c r="V1175" s="17"/>
      <c r="W1175" s="17"/>
      <c r="X1175" s="17"/>
      <c r="Y1175" s="46"/>
      <c r="Z1175" s="47"/>
      <c r="AA1175" s="48"/>
      <c r="AB1175" s="48"/>
      <c r="AC1175" s="48"/>
      <c r="AD1175" s="48"/>
      <c r="AE1175" s="48"/>
      <c r="AF1175" s="48"/>
      <c r="AG1175" s="48"/>
      <c r="AH1175" s="48"/>
      <c r="AI1175" s="48"/>
    </row>
    <row r="1176" spans="1:35" ht="12.5" hidden="1">
      <c r="A1176" s="37"/>
      <c r="B1176" s="38"/>
      <c r="C1176" s="63"/>
      <c r="D1176" s="17"/>
      <c r="E1176" s="17"/>
      <c r="F1176" s="17"/>
      <c r="G1176" s="17"/>
      <c r="H1176" s="65"/>
      <c r="I1176" s="24"/>
      <c r="J1176" s="17"/>
      <c r="K1176" s="17"/>
      <c r="L1176" s="17"/>
      <c r="M1176" s="17"/>
      <c r="N1176" s="17"/>
      <c r="O1176" s="17"/>
      <c r="P1176" s="17"/>
      <c r="Q1176" s="17"/>
      <c r="R1176" s="17"/>
      <c r="S1176" s="17"/>
      <c r="T1176" s="17"/>
      <c r="U1176" s="17"/>
      <c r="V1176" s="17"/>
      <c r="W1176" s="17"/>
      <c r="X1176" s="17"/>
      <c r="Y1176" s="46"/>
      <c r="Z1176" s="47"/>
      <c r="AA1176" s="48"/>
      <c r="AB1176" s="48"/>
      <c r="AC1176" s="48"/>
      <c r="AD1176" s="48"/>
      <c r="AE1176" s="48"/>
      <c r="AF1176" s="48"/>
      <c r="AG1176" s="48"/>
      <c r="AH1176" s="48"/>
      <c r="AI1176" s="48"/>
    </row>
    <row r="1177" spans="1:35" ht="12.5" hidden="1">
      <c r="A1177" s="37"/>
      <c r="B1177" s="38"/>
      <c r="C1177" s="63"/>
      <c r="D1177" s="17"/>
      <c r="E1177" s="17"/>
      <c r="F1177" s="17"/>
      <c r="G1177" s="17"/>
      <c r="H1177" s="65"/>
      <c r="I1177" s="24"/>
      <c r="J1177" s="17"/>
      <c r="K1177" s="17"/>
      <c r="L1177" s="17"/>
      <c r="M1177" s="17"/>
      <c r="N1177" s="17"/>
      <c r="O1177" s="17"/>
      <c r="P1177" s="17"/>
      <c r="Q1177" s="17"/>
      <c r="R1177" s="17"/>
      <c r="S1177" s="17"/>
      <c r="T1177" s="17"/>
      <c r="U1177" s="17"/>
      <c r="V1177" s="17"/>
      <c r="W1177" s="17"/>
      <c r="X1177" s="17"/>
      <c r="Y1177" s="46"/>
      <c r="Z1177" s="47"/>
      <c r="AA1177" s="48"/>
      <c r="AB1177" s="48"/>
      <c r="AC1177" s="48"/>
      <c r="AD1177" s="48"/>
      <c r="AE1177" s="48"/>
      <c r="AF1177" s="48"/>
      <c r="AG1177" s="48"/>
      <c r="AH1177" s="48"/>
      <c r="AI1177" s="48"/>
    </row>
    <row r="1178" spans="1:35" ht="12.5" hidden="1">
      <c r="A1178" s="37"/>
      <c r="B1178" s="38"/>
      <c r="C1178" s="63"/>
      <c r="D1178" s="17"/>
      <c r="E1178" s="17"/>
      <c r="F1178" s="17"/>
      <c r="G1178" s="17"/>
      <c r="H1178" s="65"/>
      <c r="I1178" s="24"/>
      <c r="J1178" s="17"/>
      <c r="K1178" s="17"/>
      <c r="L1178" s="17"/>
      <c r="M1178" s="17"/>
      <c r="N1178" s="17"/>
      <c r="O1178" s="17"/>
      <c r="P1178" s="17"/>
      <c r="Q1178" s="17"/>
      <c r="R1178" s="17"/>
      <c r="S1178" s="17"/>
      <c r="T1178" s="17"/>
      <c r="U1178" s="17"/>
      <c r="V1178" s="17"/>
      <c r="W1178" s="17"/>
      <c r="X1178" s="17"/>
      <c r="Y1178" s="46"/>
      <c r="Z1178" s="47"/>
      <c r="AA1178" s="48"/>
      <c r="AB1178" s="48"/>
      <c r="AC1178" s="48"/>
      <c r="AD1178" s="48"/>
      <c r="AE1178" s="48"/>
      <c r="AF1178" s="48"/>
      <c r="AG1178" s="48"/>
      <c r="AH1178" s="48"/>
      <c r="AI1178" s="48"/>
    </row>
    <row r="1179" spans="1:35" ht="12.5" hidden="1">
      <c r="A1179" s="37"/>
      <c r="B1179" s="38"/>
      <c r="C1179" s="63"/>
      <c r="D1179" s="17"/>
      <c r="E1179" s="17"/>
      <c r="F1179" s="17"/>
      <c r="G1179" s="17"/>
      <c r="H1179" s="65"/>
      <c r="I1179" s="24"/>
      <c r="J1179" s="17"/>
      <c r="K1179" s="17"/>
      <c r="L1179" s="17"/>
      <c r="M1179" s="17"/>
      <c r="N1179" s="17"/>
      <c r="O1179" s="17"/>
      <c r="P1179" s="17"/>
      <c r="Q1179" s="17"/>
      <c r="R1179" s="17"/>
      <c r="S1179" s="17"/>
      <c r="T1179" s="17"/>
      <c r="U1179" s="17"/>
      <c r="V1179" s="17"/>
      <c r="W1179" s="17"/>
      <c r="X1179" s="17"/>
      <c r="Y1179" s="46"/>
      <c r="Z1179" s="47"/>
      <c r="AA1179" s="48"/>
      <c r="AB1179" s="48"/>
      <c r="AC1179" s="48"/>
      <c r="AD1179" s="48"/>
      <c r="AE1179" s="48"/>
      <c r="AF1179" s="48"/>
      <c r="AG1179" s="48"/>
      <c r="AH1179" s="48"/>
      <c r="AI1179" s="48"/>
    </row>
    <row r="1180" spans="1:35" ht="12.5" hidden="1">
      <c r="A1180" s="37"/>
      <c r="B1180" s="38"/>
      <c r="C1180" s="63"/>
      <c r="D1180" s="17"/>
      <c r="E1180" s="17"/>
      <c r="F1180" s="17"/>
      <c r="G1180" s="17"/>
      <c r="H1180" s="65"/>
      <c r="I1180" s="24"/>
      <c r="J1180" s="17"/>
      <c r="K1180" s="17"/>
      <c r="L1180" s="17"/>
      <c r="M1180" s="17"/>
      <c r="N1180" s="17"/>
      <c r="O1180" s="17"/>
      <c r="P1180" s="17"/>
      <c r="Q1180" s="17"/>
      <c r="R1180" s="17"/>
      <c r="S1180" s="17"/>
      <c r="T1180" s="17"/>
      <c r="U1180" s="17"/>
      <c r="V1180" s="17"/>
      <c r="W1180" s="17"/>
      <c r="X1180" s="17"/>
      <c r="Y1180" s="46"/>
      <c r="Z1180" s="47"/>
      <c r="AA1180" s="48"/>
      <c r="AB1180" s="48"/>
      <c r="AC1180" s="48"/>
      <c r="AD1180" s="48"/>
      <c r="AE1180" s="48"/>
      <c r="AF1180" s="48"/>
      <c r="AG1180" s="48"/>
      <c r="AH1180" s="48"/>
      <c r="AI1180" s="48"/>
    </row>
    <row r="1181" spans="1:35" ht="12.5" hidden="1">
      <c r="A1181" s="37"/>
      <c r="B1181" s="38"/>
      <c r="C1181" s="63"/>
      <c r="D1181" s="17"/>
      <c r="E1181" s="17"/>
      <c r="F1181" s="17"/>
      <c r="G1181" s="17"/>
      <c r="H1181" s="65"/>
      <c r="I1181" s="24"/>
      <c r="J1181" s="17"/>
      <c r="K1181" s="17"/>
      <c r="L1181" s="17"/>
      <c r="M1181" s="17"/>
      <c r="N1181" s="17"/>
      <c r="O1181" s="17"/>
      <c r="P1181" s="17"/>
      <c r="Q1181" s="17"/>
      <c r="R1181" s="17"/>
      <c r="S1181" s="17"/>
      <c r="T1181" s="17"/>
      <c r="U1181" s="17"/>
      <c r="V1181" s="17"/>
      <c r="W1181" s="17"/>
      <c r="X1181" s="17"/>
      <c r="Y1181" s="46"/>
      <c r="Z1181" s="47"/>
      <c r="AA1181" s="48"/>
      <c r="AB1181" s="48"/>
      <c r="AC1181" s="48"/>
      <c r="AD1181" s="48"/>
      <c r="AE1181" s="48"/>
      <c r="AF1181" s="48"/>
      <c r="AG1181" s="48"/>
      <c r="AH1181" s="48"/>
      <c r="AI1181" s="48"/>
    </row>
    <row r="1182" spans="1:35" ht="12.5" hidden="1">
      <c r="A1182" s="37"/>
      <c r="B1182" s="38"/>
      <c r="C1182" s="63"/>
      <c r="D1182" s="17"/>
      <c r="E1182" s="17"/>
      <c r="F1182" s="17"/>
      <c r="G1182" s="17"/>
      <c r="H1182" s="65"/>
      <c r="I1182" s="24"/>
      <c r="J1182" s="17"/>
      <c r="K1182" s="17"/>
      <c r="L1182" s="17"/>
      <c r="M1182" s="17"/>
      <c r="N1182" s="17"/>
      <c r="O1182" s="17"/>
      <c r="P1182" s="17"/>
      <c r="Q1182" s="17"/>
      <c r="R1182" s="17"/>
      <c r="S1182" s="17"/>
      <c r="T1182" s="17"/>
      <c r="U1182" s="17"/>
      <c r="V1182" s="17"/>
      <c r="W1182" s="17"/>
      <c r="X1182" s="17"/>
      <c r="Y1182" s="46"/>
      <c r="Z1182" s="47"/>
      <c r="AA1182" s="48"/>
      <c r="AB1182" s="48"/>
      <c r="AC1182" s="48"/>
      <c r="AD1182" s="48"/>
      <c r="AE1182" s="48"/>
      <c r="AF1182" s="48"/>
      <c r="AG1182" s="48"/>
      <c r="AH1182" s="48"/>
      <c r="AI1182" s="48"/>
    </row>
    <row r="1183" spans="1:35" ht="12.5" hidden="1">
      <c r="A1183" s="37"/>
      <c r="B1183" s="38"/>
      <c r="C1183" s="63"/>
      <c r="D1183" s="17"/>
      <c r="E1183" s="17"/>
      <c r="F1183" s="17"/>
      <c r="G1183" s="17"/>
      <c r="H1183" s="65"/>
      <c r="I1183" s="24"/>
      <c r="J1183" s="17"/>
      <c r="K1183" s="17"/>
      <c r="L1183" s="17"/>
      <c r="M1183" s="17"/>
      <c r="N1183" s="17"/>
      <c r="O1183" s="17"/>
      <c r="P1183" s="17"/>
      <c r="Q1183" s="17"/>
      <c r="R1183" s="17"/>
      <c r="S1183" s="17"/>
      <c r="T1183" s="17"/>
      <c r="U1183" s="17"/>
      <c r="V1183" s="17"/>
      <c r="W1183" s="17"/>
      <c r="X1183" s="17"/>
      <c r="Y1183" s="46"/>
      <c r="Z1183" s="47"/>
      <c r="AA1183" s="48"/>
      <c r="AB1183" s="48"/>
      <c r="AC1183" s="48"/>
      <c r="AD1183" s="48"/>
      <c r="AE1183" s="48"/>
      <c r="AF1183" s="48"/>
      <c r="AG1183" s="48"/>
      <c r="AH1183" s="48"/>
      <c r="AI1183" s="48"/>
    </row>
    <row r="1184" spans="1:35" ht="12.5" hidden="1">
      <c r="A1184" s="37"/>
      <c r="B1184" s="38"/>
      <c r="C1184" s="63"/>
      <c r="D1184" s="17"/>
      <c r="E1184" s="17"/>
      <c r="F1184" s="17"/>
      <c r="G1184" s="17"/>
      <c r="H1184" s="65"/>
      <c r="I1184" s="24"/>
      <c r="J1184" s="17"/>
      <c r="K1184" s="17"/>
      <c r="L1184" s="17"/>
      <c r="M1184" s="17"/>
      <c r="N1184" s="17"/>
      <c r="O1184" s="17"/>
      <c r="P1184" s="17"/>
      <c r="Q1184" s="17"/>
      <c r="R1184" s="17"/>
      <c r="S1184" s="17"/>
      <c r="T1184" s="17"/>
      <c r="U1184" s="17"/>
      <c r="V1184" s="17"/>
      <c r="W1184" s="17"/>
      <c r="X1184" s="17"/>
      <c r="Y1184" s="46"/>
      <c r="Z1184" s="47"/>
      <c r="AA1184" s="48"/>
      <c r="AB1184" s="48"/>
      <c r="AC1184" s="48"/>
      <c r="AD1184" s="48"/>
      <c r="AE1184" s="48"/>
      <c r="AF1184" s="48"/>
      <c r="AG1184" s="48"/>
      <c r="AH1184" s="48"/>
      <c r="AI1184" s="48"/>
    </row>
    <row r="1185" spans="1:35" ht="12.5" hidden="1">
      <c r="A1185" s="37"/>
      <c r="B1185" s="38"/>
      <c r="C1185" s="63"/>
      <c r="D1185" s="17"/>
      <c r="E1185" s="17"/>
      <c r="F1185" s="17"/>
      <c r="G1185" s="17"/>
      <c r="H1185" s="65"/>
      <c r="I1185" s="24"/>
      <c r="J1185" s="44"/>
      <c r="K1185" s="17"/>
      <c r="L1185" s="17"/>
      <c r="M1185" s="17"/>
      <c r="N1185" s="17"/>
      <c r="O1185" s="17"/>
      <c r="P1185" s="17"/>
      <c r="Q1185" s="17"/>
      <c r="R1185" s="17"/>
      <c r="S1185" s="17"/>
      <c r="T1185" s="17"/>
      <c r="U1185" s="17"/>
      <c r="V1185" s="17"/>
      <c r="W1185" s="17"/>
      <c r="X1185" s="17"/>
      <c r="Y1185" s="46"/>
      <c r="Z1185" s="47"/>
      <c r="AA1185" s="48"/>
      <c r="AB1185" s="48"/>
      <c r="AC1185" s="48"/>
      <c r="AD1185" s="48"/>
      <c r="AE1185" s="48"/>
      <c r="AF1185" s="48"/>
      <c r="AG1185" s="48"/>
      <c r="AH1185" s="48"/>
      <c r="AI1185" s="48"/>
    </row>
    <row r="1186" spans="1:35" ht="12.5" hidden="1">
      <c r="A1186" s="37"/>
      <c r="B1186" s="38"/>
      <c r="C1186" s="63"/>
      <c r="D1186" s="17"/>
      <c r="E1186" s="17"/>
      <c r="F1186" s="17"/>
      <c r="G1186" s="17"/>
      <c r="H1186" s="65"/>
      <c r="I1186" s="24"/>
      <c r="J1186" s="17"/>
      <c r="K1186" s="17"/>
      <c r="L1186" s="17"/>
      <c r="M1186" s="17"/>
      <c r="N1186" s="17"/>
      <c r="O1186" s="17"/>
      <c r="P1186" s="17"/>
      <c r="Q1186" s="17"/>
      <c r="R1186" s="17"/>
      <c r="S1186" s="17"/>
      <c r="T1186" s="17"/>
      <c r="U1186" s="17"/>
      <c r="V1186" s="17"/>
      <c r="W1186" s="17"/>
      <c r="X1186" s="17"/>
      <c r="Y1186" s="46"/>
      <c r="Z1186" s="47"/>
      <c r="AA1186" s="48"/>
      <c r="AB1186" s="48"/>
      <c r="AC1186" s="48"/>
      <c r="AD1186" s="48"/>
      <c r="AE1186" s="48"/>
      <c r="AF1186" s="48"/>
      <c r="AG1186" s="48"/>
      <c r="AH1186" s="48"/>
      <c r="AI1186" s="48"/>
    </row>
    <row r="1187" spans="1:35" ht="12.5" hidden="1">
      <c r="A1187" s="37"/>
      <c r="B1187" s="38"/>
      <c r="C1187" s="63"/>
      <c r="D1187" s="17"/>
      <c r="E1187" s="17"/>
      <c r="F1187" s="17"/>
      <c r="G1187" s="17"/>
      <c r="H1187" s="65"/>
      <c r="I1187" s="24"/>
      <c r="J1187" s="17"/>
      <c r="K1187" s="17"/>
      <c r="L1187" s="17"/>
      <c r="M1187" s="17"/>
      <c r="N1187" s="17"/>
      <c r="O1187" s="17"/>
      <c r="P1187" s="17"/>
      <c r="Q1187" s="17"/>
      <c r="R1187" s="17"/>
      <c r="S1187" s="17"/>
      <c r="T1187" s="17"/>
      <c r="U1187" s="17"/>
      <c r="V1187" s="17"/>
      <c r="W1187" s="17"/>
      <c r="X1187" s="17"/>
      <c r="Y1187" s="46"/>
      <c r="Z1187" s="47"/>
      <c r="AA1187" s="48"/>
      <c r="AB1187" s="48"/>
      <c r="AC1187" s="48"/>
      <c r="AD1187" s="48"/>
      <c r="AE1187" s="48"/>
      <c r="AF1187" s="48"/>
      <c r="AG1187" s="48"/>
      <c r="AH1187" s="48"/>
      <c r="AI1187" s="48"/>
    </row>
    <row r="1188" spans="1:35" ht="12.5" hidden="1">
      <c r="A1188" s="37"/>
      <c r="B1188" s="38"/>
      <c r="C1188" s="63"/>
      <c r="D1188" s="17"/>
      <c r="E1188" s="17"/>
      <c r="F1188" s="17"/>
      <c r="G1188" s="17"/>
      <c r="H1188" s="65"/>
      <c r="I1188" s="24"/>
      <c r="J1188" s="17"/>
      <c r="K1188" s="17"/>
      <c r="L1188" s="17"/>
      <c r="M1188" s="17"/>
      <c r="N1188" s="17"/>
      <c r="O1188" s="17"/>
      <c r="P1188" s="17"/>
      <c r="Q1188" s="17"/>
      <c r="R1188" s="17"/>
      <c r="S1188" s="17"/>
      <c r="T1188" s="17"/>
      <c r="U1188" s="17"/>
      <c r="V1188" s="17"/>
      <c r="W1188" s="17"/>
      <c r="X1188" s="17"/>
      <c r="Y1188" s="46"/>
      <c r="Z1188" s="47"/>
      <c r="AA1188" s="48"/>
      <c r="AB1188" s="48"/>
      <c r="AC1188" s="48"/>
      <c r="AD1188" s="48"/>
      <c r="AE1188" s="48"/>
      <c r="AF1188" s="48"/>
      <c r="AG1188" s="48"/>
      <c r="AH1188" s="48"/>
      <c r="AI1188" s="48"/>
    </row>
    <row r="1189" spans="1:35" ht="12.5" hidden="1">
      <c r="A1189" s="37"/>
      <c r="B1189" s="38"/>
      <c r="C1189" s="63"/>
      <c r="D1189" s="17"/>
      <c r="E1189" s="17"/>
      <c r="F1189" s="17"/>
      <c r="G1189" s="17"/>
      <c r="H1189" s="65"/>
      <c r="I1189" s="24"/>
      <c r="J1189" s="17"/>
      <c r="K1189" s="17"/>
      <c r="L1189" s="17"/>
      <c r="M1189" s="17"/>
      <c r="N1189" s="17"/>
      <c r="O1189" s="17"/>
      <c r="P1189" s="17"/>
      <c r="Q1189" s="17"/>
      <c r="R1189" s="17"/>
      <c r="S1189" s="17"/>
      <c r="T1189" s="17"/>
      <c r="U1189" s="17"/>
      <c r="V1189" s="17"/>
      <c r="W1189" s="17"/>
      <c r="X1189" s="17"/>
      <c r="Y1189" s="46"/>
      <c r="Z1189" s="47"/>
      <c r="AA1189" s="48"/>
      <c r="AB1189" s="48"/>
      <c r="AC1189" s="48"/>
      <c r="AD1189" s="48"/>
      <c r="AE1189" s="48"/>
      <c r="AF1189" s="48"/>
      <c r="AG1189" s="48"/>
      <c r="AH1189" s="48"/>
      <c r="AI1189" s="48"/>
    </row>
    <row r="1190" spans="1:35" ht="12.5" hidden="1">
      <c r="A1190" s="37"/>
      <c r="B1190" s="38"/>
      <c r="C1190" s="63"/>
      <c r="D1190" s="17"/>
      <c r="E1190" s="17"/>
      <c r="F1190" s="17"/>
      <c r="G1190" s="17"/>
      <c r="H1190" s="65"/>
      <c r="I1190" s="24"/>
      <c r="J1190" s="17"/>
      <c r="K1190" s="17"/>
      <c r="L1190" s="17"/>
      <c r="M1190" s="17"/>
      <c r="N1190" s="17"/>
      <c r="O1190" s="17"/>
      <c r="P1190" s="17"/>
      <c r="Q1190" s="17"/>
      <c r="R1190" s="17"/>
      <c r="S1190" s="17"/>
      <c r="T1190" s="17"/>
      <c r="U1190" s="17"/>
      <c r="V1190" s="17"/>
      <c r="W1190" s="17"/>
      <c r="X1190" s="17"/>
      <c r="Y1190" s="46"/>
      <c r="Z1190" s="47"/>
      <c r="AA1190" s="48"/>
      <c r="AB1190" s="48"/>
      <c r="AC1190" s="48"/>
      <c r="AD1190" s="48"/>
      <c r="AE1190" s="48"/>
      <c r="AF1190" s="48"/>
      <c r="AG1190" s="48"/>
      <c r="AH1190" s="48"/>
      <c r="AI1190" s="48"/>
    </row>
    <row r="1191" spans="1:35" ht="12.5" hidden="1">
      <c r="A1191" s="37"/>
      <c r="B1191" s="38"/>
      <c r="C1191" s="63"/>
      <c r="D1191" s="17"/>
      <c r="E1191" s="17"/>
      <c r="F1191" s="17"/>
      <c r="G1191" s="17"/>
      <c r="H1191" s="65"/>
      <c r="I1191" s="24"/>
      <c r="J1191" s="17"/>
      <c r="K1191" s="17"/>
      <c r="L1191" s="17"/>
      <c r="M1191" s="17"/>
      <c r="N1191" s="17"/>
      <c r="O1191" s="17"/>
      <c r="P1191" s="17"/>
      <c r="Q1191" s="17"/>
      <c r="R1191" s="17"/>
      <c r="S1191" s="17"/>
      <c r="T1191" s="17"/>
      <c r="U1191" s="17"/>
      <c r="V1191" s="17"/>
      <c r="W1191" s="17"/>
      <c r="X1191" s="17"/>
      <c r="Y1191" s="46"/>
      <c r="Z1191" s="47"/>
      <c r="AA1191" s="48"/>
      <c r="AB1191" s="48"/>
      <c r="AC1191" s="48"/>
      <c r="AD1191" s="48"/>
      <c r="AE1191" s="48"/>
      <c r="AF1191" s="48"/>
      <c r="AG1191" s="48"/>
      <c r="AH1191" s="48"/>
      <c r="AI1191" s="48"/>
    </row>
    <row r="1192" spans="1:35" ht="12.5" hidden="1">
      <c r="A1192" s="37"/>
      <c r="B1192" s="38"/>
      <c r="C1192" s="63"/>
      <c r="D1192" s="17"/>
      <c r="E1192" s="17"/>
      <c r="F1192" s="17"/>
      <c r="G1192" s="17"/>
      <c r="H1192" s="65"/>
      <c r="I1192" s="24"/>
      <c r="J1192" s="17"/>
      <c r="K1192" s="17"/>
      <c r="L1192" s="17"/>
      <c r="M1192" s="17"/>
      <c r="N1192" s="17"/>
      <c r="O1192" s="17"/>
      <c r="P1192" s="17"/>
      <c r="Q1192" s="17"/>
      <c r="R1192" s="17"/>
      <c r="S1192" s="17"/>
      <c r="T1192" s="17"/>
      <c r="U1192" s="17"/>
      <c r="V1192" s="17"/>
      <c r="W1192" s="17"/>
      <c r="X1192" s="17"/>
      <c r="Y1192" s="46"/>
      <c r="Z1192" s="47"/>
      <c r="AA1192" s="48"/>
      <c r="AB1192" s="48"/>
      <c r="AC1192" s="48"/>
      <c r="AD1192" s="48"/>
      <c r="AE1192" s="48"/>
      <c r="AF1192" s="48"/>
      <c r="AG1192" s="48"/>
      <c r="AH1192" s="48"/>
      <c r="AI1192" s="48"/>
    </row>
    <row r="1193" spans="1:35" ht="12.5" hidden="1">
      <c r="A1193" s="37"/>
      <c r="B1193" s="38"/>
      <c r="C1193" s="63"/>
      <c r="D1193" s="17"/>
      <c r="E1193" s="17"/>
      <c r="F1193" s="17"/>
      <c r="G1193" s="17"/>
      <c r="H1193" s="65"/>
      <c r="I1193" s="24"/>
      <c r="J1193" s="17"/>
      <c r="K1193" s="17"/>
      <c r="L1193" s="17"/>
      <c r="M1193" s="17"/>
      <c r="N1193" s="17"/>
      <c r="O1193" s="17"/>
      <c r="P1193" s="17"/>
      <c r="Q1193" s="17"/>
      <c r="R1193" s="17"/>
      <c r="S1193" s="17"/>
      <c r="T1193" s="17"/>
      <c r="U1193" s="17"/>
      <c r="V1193" s="17"/>
      <c r="W1193" s="17"/>
      <c r="X1193" s="17"/>
      <c r="Y1193" s="46"/>
      <c r="Z1193" s="47"/>
      <c r="AA1193" s="48"/>
      <c r="AB1193" s="48"/>
      <c r="AC1193" s="48"/>
      <c r="AD1193" s="48"/>
      <c r="AE1193" s="48"/>
      <c r="AF1193" s="48"/>
      <c r="AG1193" s="48"/>
      <c r="AH1193" s="48"/>
      <c r="AI1193" s="48"/>
    </row>
    <row r="1194" spans="1:35" ht="12.5" hidden="1">
      <c r="A1194" s="37"/>
      <c r="B1194" s="38"/>
      <c r="C1194" s="63"/>
      <c r="D1194" s="17"/>
      <c r="E1194" s="17"/>
      <c r="F1194" s="17"/>
      <c r="G1194" s="17"/>
      <c r="H1194" s="65"/>
      <c r="I1194" s="24"/>
      <c r="J1194" s="17"/>
      <c r="K1194" s="17"/>
      <c r="L1194" s="17"/>
      <c r="M1194" s="17"/>
      <c r="N1194" s="17"/>
      <c r="O1194" s="17"/>
      <c r="P1194" s="17"/>
      <c r="Q1194" s="17"/>
      <c r="R1194" s="17"/>
      <c r="S1194" s="17"/>
      <c r="T1194" s="17"/>
      <c r="U1194" s="17"/>
      <c r="V1194" s="17"/>
      <c r="W1194" s="17"/>
      <c r="X1194" s="17"/>
      <c r="Y1194" s="46"/>
      <c r="Z1194" s="47"/>
      <c r="AA1194" s="48"/>
      <c r="AB1194" s="48"/>
      <c r="AC1194" s="48"/>
      <c r="AD1194" s="48"/>
      <c r="AE1194" s="48"/>
      <c r="AF1194" s="48"/>
      <c r="AG1194" s="48"/>
      <c r="AH1194" s="48"/>
      <c r="AI1194" s="48"/>
    </row>
    <row r="1195" spans="1:35" ht="12.5" hidden="1">
      <c r="A1195" s="37"/>
      <c r="B1195" s="38"/>
      <c r="C1195" s="63"/>
      <c r="D1195" s="17"/>
      <c r="E1195" s="17"/>
      <c r="F1195" s="17"/>
      <c r="G1195" s="17"/>
      <c r="H1195" s="65"/>
      <c r="I1195" s="24"/>
      <c r="J1195" s="17"/>
      <c r="K1195" s="17"/>
      <c r="L1195" s="17"/>
      <c r="M1195" s="17"/>
      <c r="N1195" s="17"/>
      <c r="O1195" s="17"/>
      <c r="P1195" s="17"/>
      <c r="Q1195" s="17"/>
      <c r="R1195" s="17"/>
      <c r="S1195" s="17"/>
      <c r="T1195" s="17"/>
      <c r="U1195" s="17"/>
      <c r="V1195" s="17"/>
      <c r="W1195" s="17"/>
      <c r="X1195" s="17"/>
      <c r="Y1195" s="46"/>
      <c r="Z1195" s="47"/>
      <c r="AA1195" s="48"/>
      <c r="AB1195" s="48"/>
      <c r="AC1195" s="48"/>
      <c r="AD1195" s="48"/>
      <c r="AE1195" s="48"/>
      <c r="AF1195" s="48"/>
      <c r="AG1195" s="48"/>
      <c r="AH1195" s="48"/>
      <c r="AI1195" s="48"/>
    </row>
    <row r="1196" spans="1:35" ht="12.5" hidden="1">
      <c r="A1196" s="37"/>
      <c r="B1196" s="38"/>
      <c r="C1196" s="63"/>
      <c r="D1196" s="17"/>
      <c r="E1196" s="17"/>
      <c r="F1196" s="17"/>
      <c r="G1196" s="17"/>
      <c r="H1196" s="65"/>
      <c r="I1196" s="24"/>
      <c r="J1196" s="17"/>
      <c r="K1196" s="17"/>
      <c r="L1196" s="17"/>
      <c r="M1196" s="17"/>
      <c r="N1196" s="17"/>
      <c r="O1196" s="17"/>
      <c r="P1196" s="17"/>
      <c r="Q1196" s="17"/>
      <c r="R1196" s="17"/>
      <c r="S1196" s="17"/>
      <c r="T1196" s="17"/>
      <c r="U1196" s="17"/>
      <c r="V1196" s="17"/>
      <c r="W1196" s="17"/>
      <c r="X1196" s="17"/>
      <c r="Y1196" s="46"/>
      <c r="Z1196" s="47"/>
      <c r="AA1196" s="48"/>
      <c r="AB1196" s="48"/>
      <c r="AC1196" s="48"/>
      <c r="AD1196" s="48"/>
      <c r="AE1196" s="48"/>
      <c r="AF1196" s="48"/>
      <c r="AG1196" s="48"/>
      <c r="AH1196" s="48"/>
      <c r="AI1196" s="48"/>
    </row>
    <row r="1197" spans="1:35" ht="12.5" hidden="1">
      <c r="A1197" s="37"/>
      <c r="B1197" s="38"/>
      <c r="C1197" s="63"/>
      <c r="D1197" s="17"/>
      <c r="E1197" s="17"/>
      <c r="F1197" s="17"/>
      <c r="G1197" s="17"/>
      <c r="H1197" s="65"/>
      <c r="I1197" s="24"/>
      <c r="J1197" s="17"/>
      <c r="K1197" s="17"/>
      <c r="L1197" s="17"/>
      <c r="M1197" s="17"/>
      <c r="N1197" s="17"/>
      <c r="O1197" s="17"/>
      <c r="P1197" s="17"/>
      <c r="Q1197" s="17"/>
      <c r="R1197" s="17"/>
      <c r="S1197" s="17"/>
      <c r="T1197" s="17"/>
      <c r="U1197" s="17"/>
      <c r="V1197" s="17"/>
      <c r="W1197" s="17"/>
      <c r="X1197" s="17"/>
      <c r="Y1197" s="46"/>
      <c r="Z1197" s="47"/>
      <c r="AA1197" s="48"/>
      <c r="AB1197" s="48"/>
      <c r="AC1197" s="48"/>
      <c r="AD1197" s="48"/>
      <c r="AE1197" s="48"/>
      <c r="AF1197" s="48"/>
      <c r="AG1197" s="48"/>
      <c r="AH1197" s="48"/>
      <c r="AI1197" s="48"/>
    </row>
    <row r="1198" spans="1:35" ht="12.5" hidden="1">
      <c r="A1198" s="37"/>
      <c r="B1198" s="38"/>
      <c r="C1198" s="63"/>
      <c r="D1198" s="17"/>
      <c r="E1198" s="17"/>
      <c r="F1198" s="17"/>
      <c r="G1198" s="17"/>
      <c r="H1198" s="65"/>
      <c r="I1198" s="24"/>
      <c r="J1198" s="17"/>
      <c r="K1198" s="17"/>
      <c r="L1198" s="17"/>
      <c r="M1198" s="17"/>
      <c r="N1198" s="17"/>
      <c r="O1198" s="17"/>
      <c r="P1198" s="17"/>
      <c r="Q1198" s="17"/>
      <c r="R1198" s="17"/>
      <c r="S1198" s="17"/>
      <c r="T1198" s="17"/>
      <c r="U1198" s="17"/>
      <c r="V1198" s="17"/>
      <c r="W1198" s="17"/>
      <c r="X1198" s="17"/>
      <c r="Y1198" s="46"/>
      <c r="Z1198" s="47"/>
      <c r="AA1198" s="48"/>
      <c r="AB1198" s="48"/>
      <c r="AC1198" s="48"/>
      <c r="AD1198" s="48"/>
      <c r="AE1198" s="48"/>
      <c r="AF1198" s="48"/>
      <c r="AG1198" s="48"/>
      <c r="AH1198" s="48"/>
      <c r="AI1198" s="48"/>
    </row>
    <row r="1199" spans="1:35" ht="12.5" hidden="1">
      <c r="A1199" s="37"/>
      <c r="B1199" s="38"/>
      <c r="C1199" s="63"/>
      <c r="D1199" s="17"/>
      <c r="E1199" s="17"/>
      <c r="F1199" s="17"/>
      <c r="G1199" s="17"/>
      <c r="H1199" s="65"/>
      <c r="I1199" s="24"/>
      <c r="J1199" s="44"/>
      <c r="K1199" s="17"/>
      <c r="L1199" s="17"/>
      <c r="M1199" s="17"/>
      <c r="N1199" s="17"/>
      <c r="O1199" s="17"/>
      <c r="P1199" s="17"/>
      <c r="Q1199" s="17"/>
      <c r="R1199" s="17"/>
      <c r="S1199" s="17"/>
      <c r="T1199" s="17"/>
      <c r="U1199" s="17"/>
      <c r="V1199" s="17"/>
      <c r="W1199" s="17"/>
      <c r="X1199" s="17"/>
      <c r="Y1199" s="46"/>
      <c r="Z1199" s="47"/>
      <c r="AA1199" s="48"/>
      <c r="AB1199" s="48"/>
      <c r="AC1199" s="48"/>
      <c r="AD1199" s="48"/>
      <c r="AE1199" s="48"/>
      <c r="AF1199" s="48"/>
      <c r="AG1199" s="48"/>
      <c r="AH1199" s="48"/>
      <c r="AI1199" s="48"/>
    </row>
    <row r="1200" spans="1:35" ht="12.5" hidden="1">
      <c r="A1200" s="37"/>
      <c r="B1200" s="38"/>
      <c r="C1200" s="63"/>
      <c r="D1200" s="17"/>
      <c r="E1200" s="17"/>
      <c r="F1200" s="17"/>
      <c r="G1200" s="17"/>
      <c r="H1200" s="65"/>
      <c r="I1200" s="24"/>
      <c r="J1200" s="44"/>
      <c r="K1200" s="17"/>
      <c r="L1200" s="17"/>
      <c r="M1200" s="17"/>
      <c r="N1200" s="17"/>
      <c r="O1200" s="17"/>
      <c r="P1200" s="17"/>
      <c r="Q1200" s="17"/>
      <c r="R1200" s="17"/>
      <c r="S1200" s="17"/>
      <c r="T1200" s="17"/>
      <c r="U1200" s="17"/>
      <c r="V1200" s="17"/>
      <c r="W1200" s="17"/>
      <c r="X1200" s="17"/>
      <c r="Y1200" s="46"/>
      <c r="Z1200" s="47"/>
      <c r="AA1200" s="48"/>
      <c r="AB1200" s="48"/>
      <c r="AC1200" s="48"/>
      <c r="AD1200" s="48"/>
      <c r="AE1200" s="48"/>
      <c r="AF1200" s="48"/>
      <c r="AG1200" s="48"/>
      <c r="AH1200" s="48"/>
      <c r="AI1200" s="48"/>
    </row>
    <row r="1201" spans="1:35" ht="12.5" hidden="1">
      <c r="A1201" s="37"/>
      <c r="B1201" s="38"/>
      <c r="C1201" s="63"/>
      <c r="D1201" s="17"/>
      <c r="E1201" s="17"/>
      <c r="F1201" s="17"/>
      <c r="G1201" s="17"/>
      <c r="H1201" s="65"/>
      <c r="I1201" s="24"/>
      <c r="J1201" s="17"/>
      <c r="K1201" s="17"/>
      <c r="L1201" s="17"/>
      <c r="M1201" s="17"/>
      <c r="N1201" s="17"/>
      <c r="O1201" s="17"/>
      <c r="P1201" s="17"/>
      <c r="Q1201" s="17"/>
      <c r="R1201" s="17"/>
      <c r="S1201" s="17"/>
      <c r="T1201" s="17"/>
      <c r="U1201" s="17"/>
      <c r="V1201" s="17"/>
      <c r="W1201" s="17"/>
      <c r="X1201" s="17"/>
      <c r="Y1201" s="46"/>
      <c r="Z1201" s="47"/>
      <c r="AA1201" s="48"/>
      <c r="AB1201" s="48"/>
      <c r="AC1201" s="48"/>
      <c r="AD1201" s="48"/>
      <c r="AE1201" s="48"/>
      <c r="AF1201" s="48"/>
      <c r="AG1201" s="48"/>
      <c r="AH1201" s="48"/>
      <c r="AI1201" s="48"/>
    </row>
    <row r="1202" spans="1:35" ht="12.5" hidden="1">
      <c r="A1202" s="37"/>
      <c r="B1202" s="38"/>
      <c r="C1202" s="63"/>
      <c r="D1202" s="17"/>
      <c r="E1202" s="17"/>
      <c r="F1202" s="17"/>
      <c r="G1202" s="17"/>
      <c r="H1202" s="65"/>
      <c r="I1202" s="24"/>
      <c r="J1202" s="17"/>
      <c r="K1202" s="17"/>
      <c r="L1202" s="17"/>
      <c r="M1202" s="17"/>
      <c r="N1202" s="17"/>
      <c r="O1202" s="17"/>
      <c r="P1202" s="17"/>
      <c r="Q1202" s="17"/>
      <c r="R1202" s="17"/>
      <c r="S1202" s="17"/>
      <c r="T1202" s="17"/>
      <c r="U1202" s="17"/>
      <c r="V1202" s="17"/>
      <c r="W1202" s="17"/>
      <c r="X1202" s="17"/>
      <c r="Y1202" s="46"/>
      <c r="Z1202" s="47"/>
      <c r="AA1202" s="48"/>
      <c r="AB1202" s="48"/>
      <c r="AC1202" s="48"/>
      <c r="AD1202" s="48"/>
      <c r="AE1202" s="48"/>
      <c r="AF1202" s="48"/>
      <c r="AG1202" s="48"/>
      <c r="AH1202" s="48"/>
      <c r="AI1202" s="48"/>
    </row>
    <row r="1203" spans="1:35" ht="12.5" hidden="1">
      <c r="A1203" s="37"/>
      <c r="B1203" s="38"/>
      <c r="C1203" s="63"/>
      <c r="D1203" s="17"/>
      <c r="E1203" s="17"/>
      <c r="F1203" s="17"/>
      <c r="G1203" s="17"/>
      <c r="H1203" s="65"/>
      <c r="I1203" s="24"/>
      <c r="J1203" s="17"/>
      <c r="K1203" s="17"/>
      <c r="L1203" s="17"/>
      <c r="M1203" s="17"/>
      <c r="N1203" s="17"/>
      <c r="O1203" s="17"/>
      <c r="P1203" s="17"/>
      <c r="Q1203" s="17"/>
      <c r="R1203" s="17"/>
      <c r="S1203" s="17"/>
      <c r="T1203" s="17"/>
      <c r="U1203" s="17"/>
      <c r="V1203" s="17"/>
      <c r="W1203" s="17"/>
      <c r="X1203" s="17"/>
      <c r="Y1203" s="46"/>
      <c r="Z1203" s="47"/>
      <c r="AA1203" s="48"/>
      <c r="AB1203" s="48"/>
      <c r="AC1203" s="48"/>
      <c r="AD1203" s="48"/>
      <c r="AE1203" s="48"/>
      <c r="AF1203" s="48"/>
      <c r="AG1203" s="48"/>
      <c r="AH1203" s="48"/>
      <c r="AI1203" s="48"/>
    </row>
    <row r="1204" spans="1:35" ht="12.5" hidden="1">
      <c r="A1204" s="37"/>
      <c r="B1204" s="38"/>
      <c r="C1204" s="63"/>
      <c r="D1204" s="17"/>
      <c r="E1204" s="17"/>
      <c r="F1204" s="17"/>
      <c r="G1204" s="17"/>
      <c r="H1204" s="65"/>
      <c r="I1204" s="24"/>
      <c r="J1204" s="17"/>
      <c r="K1204" s="17"/>
      <c r="L1204" s="17"/>
      <c r="M1204" s="17"/>
      <c r="N1204" s="17"/>
      <c r="O1204" s="17"/>
      <c r="P1204" s="17"/>
      <c r="Q1204" s="17"/>
      <c r="R1204" s="17"/>
      <c r="S1204" s="17"/>
      <c r="T1204" s="17"/>
      <c r="U1204" s="17"/>
      <c r="V1204" s="17"/>
      <c r="W1204" s="17"/>
      <c r="X1204" s="17"/>
      <c r="Y1204" s="46"/>
      <c r="Z1204" s="47"/>
      <c r="AA1204" s="48"/>
      <c r="AB1204" s="48"/>
      <c r="AC1204" s="48"/>
      <c r="AD1204" s="48"/>
      <c r="AE1204" s="48"/>
      <c r="AF1204" s="48"/>
      <c r="AG1204" s="48"/>
      <c r="AH1204" s="48"/>
      <c r="AI1204" s="48"/>
    </row>
    <row r="1205" spans="1:35" ht="12.5" hidden="1">
      <c r="A1205" s="37"/>
      <c r="B1205" s="38"/>
      <c r="C1205" s="63"/>
      <c r="D1205" s="17"/>
      <c r="E1205" s="17"/>
      <c r="F1205" s="17"/>
      <c r="G1205" s="17"/>
      <c r="H1205" s="65"/>
      <c r="I1205" s="24"/>
      <c r="J1205" s="17"/>
      <c r="K1205" s="17"/>
      <c r="L1205" s="17"/>
      <c r="M1205" s="17"/>
      <c r="N1205" s="17"/>
      <c r="O1205" s="17"/>
      <c r="P1205" s="17"/>
      <c r="Q1205" s="17"/>
      <c r="R1205" s="17"/>
      <c r="S1205" s="17"/>
      <c r="T1205" s="17"/>
      <c r="U1205" s="17"/>
      <c r="V1205" s="17"/>
      <c r="W1205" s="17"/>
      <c r="X1205" s="17"/>
      <c r="Y1205" s="46"/>
      <c r="Z1205" s="47"/>
      <c r="AA1205" s="48"/>
      <c r="AB1205" s="48"/>
      <c r="AC1205" s="48"/>
      <c r="AD1205" s="48"/>
      <c r="AE1205" s="48"/>
      <c r="AF1205" s="48"/>
      <c r="AG1205" s="48"/>
      <c r="AH1205" s="48"/>
      <c r="AI1205" s="48"/>
    </row>
    <row r="1206" spans="1:35" ht="12.5" hidden="1">
      <c r="A1206" s="37"/>
      <c r="B1206" s="38"/>
      <c r="C1206" s="63"/>
      <c r="D1206" s="17"/>
      <c r="E1206" s="17"/>
      <c r="F1206" s="17"/>
      <c r="G1206" s="17"/>
      <c r="H1206" s="65"/>
      <c r="I1206" s="24"/>
      <c r="J1206" s="17"/>
      <c r="K1206" s="17"/>
      <c r="L1206" s="17"/>
      <c r="M1206" s="17"/>
      <c r="N1206" s="17"/>
      <c r="O1206" s="17"/>
      <c r="P1206" s="17"/>
      <c r="Q1206" s="17"/>
      <c r="R1206" s="17"/>
      <c r="S1206" s="17"/>
      <c r="T1206" s="17"/>
      <c r="U1206" s="17"/>
      <c r="V1206" s="17"/>
      <c r="W1206" s="17"/>
      <c r="X1206" s="17"/>
      <c r="Y1206" s="46"/>
      <c r="Z1206" s="47"/>
      <c r="AA1206" s="48"/>
      <c r="AB1206" s="48"/>
      <c r="AC1206" s="48"/>
      <c r="AD1206" s="48"/>
      <c r="AE1206" s="48"/>
      <c r="AF1206" s="48"/>
      <c r="AG1206" s="48"/>
      <c r="AH1206" s="48"/>
      <c r="AI1206" s="48"/>
    </row>
    <row r="1207" spans="1:35" ht="12.5" hidden="1">
      <c r="A1207" s="37"/>
      <c r="B1207" s="38"/>
      <c r="C1207" s="63"/>
      <c r="D1207" s="17"/>
      <c r="E1207" s="17"/>
      <c r="F1207" s="17"/>
      <c r="G1207" s="17"/>
      <c r="H1207" s="65"/>
      <c r="I1207" s="24"/>
      <c r="J1207" s="17"/>
      <c r="K1207" s="17"/>
      <c r="L1207" s="17"/>
      <c r="M1207" s="17"/>
      <c r="N1207" s="17"/>
      <c r="O1207" s="17"/>
      <c r="P1207" s="17"/>
      <c r="Q1207" s="17"/>
      <c r="R1207" s="17"/>
      <c r="S1207" s="17"/>
      <c r="T1207" s="17"/>
      <c r="U1207" s="17"/>
      <c r="V1207" s="17"/>
      <c r="W1207" s="17"/>
      <c r="X1207" s="17"/>
      <c r="Y1207" s="46"/>
      <c r="Z1207" s="47"/>
      <c r="AA1207" s="48"/>
      <c r="AB1207" s="48"/>
      <c r="AC1207" s="48"/>
      <c r="AD1207" s="48"/>
      <c r="AE1207" s="48"/>
      <c r="AF1207" s="48"/>
      <c r="AG1207" s="48"/>
      <c r="AH1207" s="48"/>
      <c r="AI1207" s="48"/>
    </row>
    <row r="1208" spans="1:35" ht="12.5" hidden="1">
      <c r="A1208" s="37"/>
      <c r="B1208" s="38"/>
      <c r="C1208" s="63"/>
      <c r="D1208" s="17"/>
      <c r="E1208" s="17"/>
      <c r="F1208" s="17"/>
      <c r="G1208" s="17"/>
      <c r="H1208" s="65"/>
      <c r="I1208" s="24"/>
      <c r="J1208" s="17"/>
      <c r="K1208" s="17"/>
      <c r="L1208" s="17"/>
      <c r="M1208" s="17"/>
      <c r="N1208" s="17"/>
      <c r="O1208" s="17"/>
      <c r="P1208" s="17"/>
      <c r="Q1208" s="17"/>
      <c r="R1208" s="17"/>
      <c r="S1208" s="17"/>
      <c r="T1208" s="17"/>
      <c r="U1208" s="17"/>
      <c r="V1208" s="17"/>
      <c r="W1208" s="17"/>
      <c r="X1208" s="17"/>
      <c r="Y1208" s="46"/>
      <c r="Z1208" s="47"/>
      <c r="AA1208" s="48"/>
      <c r="AB1208" s="48"/>
      <c r="AC1208" s="48"/>
      <c r="AD1208" s="48"/>
      <c r="AE1208" s="48"/>
      <c r="AF1208" s="48"/>
      <c r="AG1208" s="48"/>
      <c r="AH1208" s="48"/>
      <c r="AI1208" s="48"/>
    </row>
    <row r="1209" spans="1:35" ht="12.5" hidden="1">
      <c r="A1209" s="37"/>
      <c r="B1209" s="38"/>
      <c r="C1209" s="63"/>
      <c r="D1209" s="17"/>
      <c r="E1209" s="17"/>
      <c r="F1209" s="17"/>
      <c r="G1209" s="17"/>
      <c r="H1209" s="65"/>
      <c r="I1209" s="24"/>
      <c r="J1209" s="17"/>
      <c r="K1209" s="17"/>
      <c r="L1209" s="17"/>
      <c r="M1209" s="17"/>
      <c r="N1209" s="17"/>
      <c r="O1209" s="17"/>
      <c r="P1209" s="17"/>
      <c r="Q1209" s="17"/>
      <c r="R1209" s="17"/>
      <c r="S1209" s="17"/>
      <c r="T1209" s="17"/>
      <c r="U1209" s="17"/>
      <c r="V1209" s="17"/>
      <c r="W1209" s="17"/>
      <c r="X1209" s="17"/>
      <c r="Y1209" s="46"/>
      <c r="Z1209" s="47"/>
      <c r="AA1209" s="48"/>
      <c r="AB1209" s="48"/>
      <c r="AC1209" s="48"/>
      <c r="AD1209" s="48"/>
      <c r="AE1209" s="48"/>
      <c r="AF1209" s="48"/>
      <c r="AG1209" s="48"/>
      <c r="AH1209" s="48"/>
      <c r="AI1209" s="48"/>
    </row>
    <row r="1210" spans="1:35" ht="12.5" hidden="1">
      <c r="A1210" s="37"/>
      <c r="B1210" s="38"/>
      <c r="C1210" s="63"/>
      <c r="D1210" s="17"/>
      <c r="E1210" s="17"/>
      <c r="F1210" s="17"/>
      <c r="G1210" s="17"/>
      <c r="H1210" s="65"/>
      <c r="I1210" s="24"/>
      <c r="J1210" s="17"/>
      <c r="K1210" s="17"/>
      <c r="L1210" s="17"/>
      <c r="M1210" s="17"/>
      <c r="N1210" s="17"/>
      <c r="O1210" s="17"/>
      <c r="P1210" s="17"/>
      <c r="Q1210" s="17"/>
      <c r="R1210" s="17"/>
      <c r="S1210" s="17"/>
      <c r="T1210" s="17"/>
      <c r="U1210" s="17"/>
      <c r="V1210" s="17"/>
      <c r="W1210" s="17"/>
      <c r="X1210" s="17"/>
      <c r="Y1210" s="46"/>
      <c r="Z1210" s="47"/>
      <c r="AA1210" s="48"/>
      <c r="AB1210" s="48"/>
      <c r="AC1210" s="48"/>
      <c r="AD1210" s="48"/>
      <c r="AE1210" s="48"/>
      <c r="AF1210" s="48"/>
      <c r="AG1210" s="48"/>
      <c r="AH1210" s="48"/>
      <c r="AI1210" s="48"/>
    </row>
    <row r="1211" spans="1:35" ht="12.5" hidden="1">
      <c r="A1211" s="37"/>
      <c r="B1211" s="38"/>
      <c r="C1211" s="63"/>
      <c r="D1211" s="17"/>
      <c r="E1211" s="17"/>
      <c r="F1211" s="17"/>
      <c r="G1211" s="17"/>
      <c r="H1211" s="65"/>
      <c r="I1211" s="24"/>
      <c r="J1211" s="17"/>
      <c r="K1211" s="17"/>
      <c r="L1211" s="17"/>
      <c r="M1211" s="17"/>
      <c r="N1211" s="17"/>
      <c r="O1211" s="17"/>
      <c r="P1211" s="17"/>
      <c r="Q1211" s="17"/>
      <c r="R1211" s="17"/>
      <c r="S1211" s="17"/>
      <c r="T1211" s="17"/>
      <c r="U1211" s="17"/>
      <c r="V1211" s="17"/>
      <c r="W1211" s="17"/>
      <c r="X1211" s="17"/>
      <c r="Y1211" s="46"/>
      <c r="Z1211" s="47"/>
      <c r="AA1211" s="48"/>
      <c r="AB1211" s="48"/>
      <c r="AC1211" s="48"/>
      <c r="AD1211" s="48"/>
      <c r="AE1211" s="48"/>
      <c r="AF1211" s="48"/>
      <c r="AG1211" s="48"/>
      <c r="AH1211" s="48"/>
      <c r="AI1211" s="48"/>
    </row>
    <row r="1212" spans="1:35" ht="12.5" hidden="1">
      <c r="A1212" s="37"/>
      <c r="B1212" s="38"/>
      <c r="C1212" s="63"/>
      <c r="D1212" s="17"/>
      <c r="E1212" s="17"/>
      <c r="F1212" s="17"/>
      <c r="G1212" s="17"/>
      <c r="H1212" s="65"/>
      <c r="I1212" s="24"/>
      <c r="J1212" s="17"/>
      <c r="K1212" s="17"/>
      <c r="L1212" s="17"/>
      <c r="M1212" s="17"/>
      <c r="N1212" s="17"/>
      <c r="O1212" s="17"/>
      <c r="P1212" s="17"/>
      <c r="Q1212" s="17"/>
      <c r="R1212" s="17"/>
      <c r="S1212" s="17"/>
      <c r="T1212" s="17"/>
      <c r="U1212" s="17"/>
      <c r="V1212" s="17"/>
      <c r="W1212" s="17"/>
      <c r="X1212" s="17"/>
      <c r="Y1212" s="46"/>
      <c r="Z1212" s="47"/>
      <c r="AA1212" s="48"/>
      <c r="AB1212" s="48"/>
      <c r="AC1212" s="48"/>
      <c r="AD1212" s="48"/>
      <c r="AE1212" s="48"/>
      <c r="AF1212" s="48"/>
      <c r="AG1212" s="48"/>
      <c r="AH1212" s="48"/>
      <c r="AI1212" s="48"/>
    </row>
    <row r="1213" spans="1:35" ht="12.5" hidden="1">
      <c r="A1213" s="37"/>
      <c r="B1213" s="38"/>
      <c r="C1213" s="63"/>
      <c r="D1213" s="17"/>
      <c r="E1213" s="17"/>
      <c r="F1213" s="17"/>
      <c r="G1213" s="17"/>
      <c r="H1213" s="65"/>
      <c r="I1213" s="24"/>
      <c r="J1213" s="17"/>
      <c r="K1213" s="17"/>
      <c r="L1213" s="17"/>
      <c r="M1213" s="17"/>
      <c r="N1213" s="17"/>
      <c r="O1213" s="17"/>
      <c r="P1213" s="17"/>
      <c r="Q1213" s="17"/>
      <c r="R1213" s="17"/>
      <c r="S1213" s="17"/>
      <c r="T1213" s="17"/>
      <c r="U1213" s="17"/>
      <c r="V1213" s="17"/>
      <c r="W1213" s="17"/>
      <c r="X1213" s="17"/>
      <c r="Y1213" s="46"/>
      <c r="Z1213" s="47"/>
      <c r="AA1213" s="48"/>
      <c r="AB1213" s="48"/>
      <c r="AC1213" s="48"/>
      <c r="AD1213" s="48"/>
      <c r="AE1213" s="48"/>
      <c r="AF1213" s="48"/>
      <c r="AG1213" s="48"/>
      <c r="AH1213" s="48"/>
      <c r="AI1213" s="48"/>
    </row>
    <row r="1214" spans="1:35" ht="12.5" hidden="1">
      <c r="A1214" s="37"/>
      <c r="B1214" s="38"/>
      <c r="C1214" s="63"/>
      <c r="D1214" s="17"/>
      <c r="E1214" s="17"/>
      <c r="F1214" s="17"/>
      <c r="G1214" s="17"/>
      <c r="H1214" s="65"/>
      <c r="I1214" s="24"/>
      <c r="J1214" s="17"/>
      <c r="K1214" s="17"/>
      <c r="L1214" s="17"/>
      <c r="M1214" s="17"/>
      <c r="N1214" s="17"/>
      <c r="O1214" s="17"/>
      <c r="P1214" s="17"/>
      <c r="Q1214" s="17"/>
      <c r="R1214" s="17"/>
      <c r="S1214" s="17"/>
      <c r="T1214" s="17"/>
      <c r="U1214" s="17"/>
      <c r="V1214" s="17"/>
      <c r="W1214" s="17"/>
      <c r="X1214" s="17"/>
      <c r="Y1214" s="46"/>
      <c r="Z1214" s="47"/>
      <c r="AA1214" s="48"/>
      <c r="AB1214" s="48"/>
      <c r="AC1214" s="48"/>
      <c r="AD1214" s="48"/>
      <c r="AE1214" s="48"/>
      <c r="AF1214" s="48"/>
      <c r="AG1214" s="48"/>
      <c r="AH1214" s="48"/>
      <c r="AI1214" s="48"/>
    </row>
    <row r="1215" spans="1:35" ht="12.5" hidden="1">
      <c r="A1215" s="37"/>
      <c r="B1215" s="38"/>
      <c r="C1215" s="63"/>
      <c r="D1215" s="17"/>
      <c r="E1215" s="17"/>
      <c r="F1215" s="17"/>
      <c r="G1215" s="17"/>
      <c r="H1215" s="65"/>
      <c r="I1215" s="24"/>
      <c r="J1215" s="17"/>
      <c r="K1215" s="17"/>
      <c r="L1215" s="17"/>
      <c r="M1215" s="17"/>
      <c r="N1215" s="17"/>
      <c r="O1215" s="17"/>
      <c r="P1215" s="17"/>
      <c r="Q1215" s="17"/>
      <c r="R1215" s="17"/>
      <c r="S1215" s="17"/>
      <c r="T1215" s="17"/>
      <c r="U1215" s="17"/>
      <c r="V1215" s="17"/>
      <c r="W1215" s="17"/>
      <c r="X1215" s="17"/>
      <c r="Y1215" s="46"/>
      <c r="Z1215" s="47"/>
      <c r="AA1215" s="48"/>
      <c r="AB1215" s="48"/>
      <c r="AC1215" s="48"/>
      <c r="AD1215" s="48"/>
      <c r="AE1215" s="48"/>
      <c r="AF1215" s="48"/>
      <c r="AG1215" s="48"/>
      <c r="AH1215" s="48"/>
      <c r="AI1215" s="48"/>
    </row>
    <row r="1216" spans="1:35" ht="12.5" hidden="1">
      <c r="A1216" s="37"/>
      <c r="B1216" s="38"/>
      <c r="C1216" s="63"/>
      <c r="D1216" s="17"/>
      <c r="E1216" s="17"/>
      <c r="F1216" s="17"/>
      <c r="G1216" s="17"/>
      <c r="H1216" s="65"/>
      <c r="I1216" s="24"/>
      <c r="J1216" s="17"/>
      <c r="K1216" s="17"/>
      <c r="L1216" s="17"/>
      <c r="M1216" s="17"/>
      <c r="N1216" s="17"/>
      <c r="O1216" s="17"/>
      <c r="P1216" s="17"/>
      <c r="Q1216" s="17"/>
      <c r="R1216" s="17"/>
      <c r="S1216" s="17"/>
      <c r="T1216" s="17"/>
      <c r="U1216" s="17"/>
      <c r="V1216" s="17"/>
      <c r="W1216" s="17"/>
      <c r="X1216" s="17"/>
      <c r="Y1216" s="46"/>
      <c r="Z1216" s="47"/>
      <c r="AA1216" s="48"/>
      <c r="AB1216" s="48"/>
      <c r="AC1216" s="48"/>
      <c r="AD1216" s="48"/>
      <c r="AE1216" s="48"/>
      <c r="AF1216" s="48"/>
      <c r="AG1216" s="48"/>
      <c r="AH1216" s="48"/>
      <c r="AI1216" s="48"/>
    </row>
    <row r="1217" spans="1:35" ht="12.5" hidden="1">
      <c r="A1217" s="37"/>
      <c r="B1217" s="38"/>
      <c r="C1217" s="63"/>
      <c r="D1217" s="17"/>
      <c r="E1217" s="17"/>
      <c r="F1217" s="17"/>
      <c r="G1217" s="17"/>
      <c r="H1217" s="65"/>
      <c r="I1217" s="24"/>
      <c r="J1217" s="44"/>
      <c r="K1217" s="17"/>
      <c r="L1217" s="17"/>
      <c r="M1217" s="17"/>
      <c r="N1217" s="17"/>
      <c r="O1217" s="17"/>
      <c r="P1217" s="17"/>
      <c r="Q1217" s="17"/>
      <c r="R1217" s="17"/>
      <c r="S1217" s="17"/>
      <c r="T1217" s="17"/>
      <c r="U1217" s="17"/>
      <c r="V1217" s="17"/>
      <c r="W1217" s="17"/>
      <c r="X1217" s="17"/>
      <c r="Y1217" s="46"/>
      <c r="Z1217" s="47"/>
      <c r="AA1217" s="48"/>
      <c r="AB1217" s="48"/>
      <c r="AC1217" s="48"/>
      <c r="AD1217" s="48"/>
      <c r="AE1217" s="48"/>
      <c r="AF1217" s="48"/>
      <c r="AG1217" s="48"/>
      <c r="AH1217" s="48"/>
      <c r="AI1217" s="48"/>
    </row>
    <row r="1218" spans="1:35" ht="12.5" hidden="1">
      <c r="A1218" s="37"/>
      <c r="B1218" s="38"/>
      <c r="C1218" s="63"/>
      <c r="D1218" s="17"/>
      <c r="E1218" s="17"/>
      <c r="F1218" s="17"/>
      <c r="G1218" s="17"/>
      <c r="H1218" s="65"/>
      <c r="I1218" s="24"/>
      <c r="J1218" s="17"/>
      <c r="K1218" s="17"/>
      <c r="L1218" s="17"/>
      <c r="M1218" s="17"/>
      <c r="N1218" s="17"/>
      <c r="O1218" s="17"/>
      <c r="P1218" s="17"/>
      <c r="Q1218" s="17"/>
      <c r="R1218" s="17"/>
      <c r="S1218" s="17"/>
      <c r="T1218" s="17"/>
      <c r="U1218" s="17"/>
      <c r="V1218" s="17"/>
      <c r="W1218" s="17"/>
      <c r="X1218" s="17"/>
      <c r="Y1218" s="46"/>
      <c r="Z1218" s="47"/>
      <c r="AA1218" s="48"/>
      <c r="AB1218" s="48"/>
      <c r="AC1218" s="48"/>
      <c r="AD1218" s="48"/>
      <c r="AE1218" s="48"/>
      <c r="AF1218" s="48"/>
      <c r="AG1218" s="48"/>
      <c r="AH1218" s="48"/>
      <c r="AI1218" s="48"/>
    </row>
    <row r="1219" spans="1:35" ht="12.5" hidden="1">
      <c r="A1219" s="37"/>
      <c r="B1219" s="38"/>
      <c r="C1219" s="63"/>
      <c r="D1219" s="17"/>
      <c r="E1219" s="17"/>
      <c r="F1219" s="17"/>
      <c r="G1219" s="17"/>
      <c r="H1219" s="65"/>
      <c r="I1219" s="24"/>
      <c r="J1219" s="17"/>
      <c r="K1219" s="17"/>
      <c r="L1219" s="17"/>
      <c r="M1219" s="17"/>
      <c r="N1219" s="17"/>
      <c r="O1219" s="17"/>
      <c r="P1219" s="17"/>
      <c r="Q1219" s="17"/>
      <c r="R1219" s="17"/>
      <c r="S1219" s="17"/>
      <c r="T1219" s="17"/>
      <c r="U1219" s="17"/>
      <c r="V1219" s="17"/>
      <c r="W1219" s="17"/>
      <c r="X1219" s="17"/>
      <c r="Y1219" s="46"/>
      <c r="Z1219" s="47"/>
      <c r="AA1219" s="48"/>
      <c r="AB1219" s="48"/>
      <c r="AC1219" s="48"/>
      <c r="AD1219" s="48"/>
      <c r="AE1219" s="48"/>
      <c r="AF1219" s="48"/>
      <c r="AG1219" s="48"/>
      <c r="AH1219" s="48"/>
      <c r="AI1219" s="48"/>
    </row>
    <row r="1220" spans="1:35" ht="12.5" hidden="1">
      <c r="A1220" s="37"/>
      <c r="B1220" s="38"/>
      <c r="C1220" s="63"/>
      <c r="D1220" s="17"/>
      <c r="E1220" s="17"/>
      <c r="F1220" s="17"/>
      <c r="G1220" s="17"/>
      <c r="H1220" s="65"/>
      <c r="I1220" s="24"/>
      <c r="J1220" s="17"/>
      <c r="K1220" s="17"/>
      <c r="L1220" s="17"/>
      <c r="M1220" s="17"/>
      <c r="N1220" s="17"/>
      <c r="O1220" s="17"/>
      <c r="P1220" s="17"/>
      <c r="Q1220" s="17"/>
      <c r="R1220" s="17"/>
      <c r="S1220" s="17"/>
      <c r="T1220" s="17"/>
      <c r="U1220" s="17"/>
      <c r="V1220" s="17"/>
      <c r="W1220" s="17"/>
      <c r="X1220" s="17"/>
      <c r="Y1220" s="46"/>
      <c r="Z1220" s="47"/>
      <c r="AA1220" s="48"/>
      <c r="AB1220" s="48"/>
      <c r="AC1220" s="48"/>
      <c r="AD1220" s="48"/>
      <c r="AE1220" s="48"/>
      <c r="AF1220" s="48"/>
      <c r="AG1220" s="48"/>
      <c r="AH1220" s="48"/>
      <c r="AI1220" s="48"/>
    </row>
    <row r="1221" spans="1:35" ht="12.5" hidden="1">
      <c r="A1221" s="37"/>
      <c r="B1221" s="38"/>
      <c r="C1221" s="63"/>
      <c r="D1221" s="17"/>
      <c r="E1221" s="17"/>
      <c r="F1221" s="17"/>
      <c r="G1221" s="17"/>
      <c r="H1221" s="65"/>
      <c r="I1221" s="24"/>
      <c r="J1221" s="17"/>
      <c r="K1221" s="17"/>
      <c r="L1221" s="17"/>
      <c r="M1221" s="17"/>
      <c r="N1221" s="17"/>
      <c r="O1221" s="17"/>
      <c r="P1221" s="17"/>
      <c r="Q1221" s="17"/>
      <c r="R1221" s="17"/>
      <c r="S1221" s="17"/>
      <c r="T1221" s="17"/>
      <c r="U1221" s="17"/>
      <c r="V1221" s="17"/>
      <c r="W1221" s="17"/>
      <c r="X1221" s="17"/>
      <c r="Y1221" s="46"/>
      <c r="Z1221" s="47"/>
      <c r="AA1221" s="48"/>
      <c r="AB1221" s="48"/>
      <c r="AC1221" s="48"/>
      <c r="AD1221" s="48"/>
      <c r="AE1221" s="48"/>
      <c r="AF1221" s="48"/>
      <c r="AG1221" s="48"/>
      <c r="AH1221" s="48"/>
      <c r="AI1221" s="48"/>
    </row>
    <row r="1222" spans="1:35" ht="12.5" hidden="1">
      <c r="A1222" s="37"/>
      <c r="B1222" s="38"/>
      <c r="C1222" s="63"/>
      <c r="D1222" s="17"/>
      <c r="E1222" s="17"/>
      <c r="F1222" s="17"/>
      <c r="G1222" s="17"/>
      <c r="H1222" s="65"/>
      <c r="I1222" s="24"/>
      <c r="J1222" s="17"/>
      <c r="K1222" s="17"/>
      <c r="L1222" s="17"/>
      <c r="M1222" s="17"/>
      <c r="N1222" s="17"/>
      <c r="O1222" s="17"/>
      <c r="P1222" s="17"/>
      <c r="Q1222" s="17"/>
      <c r="R1222" s="17"/>
      <c r="S1222" s="17"/>
      <c r="T1222" s="17"/>
      <c r="U1222" s="17"/>
      <c r="V1222" s="17"/>
      <c r="W1222" s="17"/>
      <c r="X1222" s="17"/>
      <c r="Y1222" s="46"/>
      <c r="Z1222" s="47"/>
      <c r="AA1222" s="48"/>
      <c r="AB1222" s="48"/>
      <c r="AC1222" s="48"/>
      <c r="AD1222" s="48"/>
      <c r="AE1222" s="48"/>
      <c r="AF1222" s="48"/>
      <c r="AG1222" s="48"/>
      <c r="AH1222" s="48"/>
      <c r="AI1222" s="48"/>
    </row>
    <row r="1223" spans="1:35" ht="12.5" hidden="1">
      <c r="A1223" s="37"/>
      <c r="B1223" s="38"/>
      <c r="C1223" s="63"/>
      <c r="D1223" s="17"/>
      <c r="E1223" s="17"/>
      <c r="F1223" s="17"/>
      <c r="G1223" s="17"/>
      <c r="H1223" s="65"/>
      <c r="I1223" s="24"/>
      <c r="J1223" s="17"/>
      <c r="K1223" s="17"/>
      <c r="L1223" s="17"/>
      <c r="M1223" s="17"/>
      <c r="N1223" s="17"/>
      <c r="O1223" s="17"/>
      <c r="P1223" s="17"/>
      <c r="Q1223" s="17"/>
      <c r="R1223" s="17"/>
      <c r="S1223" s="17"/>
      <c r="T1223" s="17"/>
      <c r="U1223" s="17"/>
      <c r="V1223" s="17"/>
      <c r="W1223" s="17"/>
      <c r="X1223" s="17"/>
      <c r="Y1223" s="46"/>
      <c r="Z1223" s="47"/>
      <c r="AA1223" s="48"/>
      <c r="AB1223" s="48"/>
      <c r="AC1223" s="48"/>
      <c r="AD1223" s="48"/>
      <c r="AE1223" s="48"/>
      <c r="AF1223" s="48"/>
      <c r="AG1223" s="48"/>
      <c r="AH1223" s="48"/>
      <c r="AI1223" s="48"/>
    </row>
    <row r="1224" spans="1:35" ht="12.5" hidden="1">
      <c r="A1224" s="37"/>
      <c r="B1224" s="38"/>
      <c r="C1224" s="63"/>
      <c r="D1224" s="17"/>
      <c r="E1224" s="17"/>
      <c r="F1224" s="17"/>
      <c r="G1224" s="17"/>
      <c r="H1224" s="65"/>
      <c r="I1224" s="24"/>
      <c r="J1224" s="44"/>
      <c r="K1224" s="17"/>
      <c r="L1224" s="17"/>
      <c r="M1224" s="17"/>
      <c r="N1224" s="17"/>
      <c r="O1224" s="17"/>
      <c r="P1224" s="17"/>
      <c r="Q1224" s="17"/>
      <c r="R1224" s="17"/>
      <c r="S1224" s="17"/>
      <c r="T1224" s="17"/>
      <c r="U1224" s="17"/>
      <c r="V1224" s="17"/>
      <c r="W1224" s="17"/>
      <c r="X1224" s="17"/>
      <c r="Y1224" s="46"/>
      <c r="Z1224" s="47"/>
      <c r="AA1224" s="48"/>
      <c r="AB1224" s="48"/>
      <c r="AC1224" s="48"/>
      <c r="AD1224" s="48"/>
      <c r="AE1224" s="48"/>
      <c r="AF1224" s="48"/>
      <c r="AG1224" s="48"/>
      <c r="AH1224" s="48"/>
      <c r="AI1224" s="48"/>
    </row>
    <row r="1225" spans="1:35" ht="12.5" hidden="1">
      <c r="A1225" s="37"/>
      <c r="B1225" s="38"/>
      <c r="C1225" s="63"/>
      <c r="D1225" s="17"/>
      <c r="E1225" s="17"/>
      <c r="F1225" s="17"/>
      <c r="G1225" s="17"/>
      <c r="H1225" s="65"/>
      <c r="I1225" s="24"/>
      <c r="J1225" s="17"/>
      <c r="K1225" s="17"/>
      <c r="L1225" s="17"/>
      <c r="M1225" s="17"/>
      <c r="N1225" s="17"/>
      <c r="O1225" s="17"/>
      <c r="P1225" s="17"/>
      <c r="Q1225" s="17"/>
      <c r="R1225" s="17"/>
      <c r="S1225" s="17"/>
      <c r="T1225" s="17"/>
      <c r="U1225" s="17"/>
      <c r="V1225" s="17"/>
      <c r="W1225" s="17"/>
      <c r="X1225" s="17"/>
      <c r="Y1225" s="46"/>
      <c r="Z1225" s="47"/>
      <c r="AA1225" s="48"/>
      <c r="AB1225" s="48"/>
      <c r="AC1225" s="48"/>
      <c r="AD1225" s="48"/>
      <c r="AE1225" s="48"/>
      <c r="AF1225" s="48"/>
      <c r="AG1225" s="48"/>
      <c r="AH1225" s="48"/>
      <c r="AI1225" s="48"/>
    </row>
    <row r="1226" spans="1:35" ht="12.5" hidden="1">
      <c r="A1226" s="37"/>
      <c r="B1226" s="38"/>
      <c r="C1226" s="63"/>
      <c r="D1226" s="17"/>
      <c r="E1226" s="17"/>
      <c r="F1226" s="17"/>
      <c r="G1226" s="17"/>
      <c r="H1226" s="65"/>
      <c r="I1226" s="24"/>
      <c r="J1226" s="17"/>
      <c r="K1226" s="17"/>
      <c r="L1226" s="17"/>
      <c r="M1226" s="17"/>
      <c r="N1226" s="17"/>
      <c r="O1226" s="17"/>
      <c r="P1226" s="17"/>
      <c r="Q1226" s="17"/>
      <c r="R1226" s="17"/>
      <c r="S1226" s="17"/>
      <c r="T1226" s="17"/>
      <c r="U1226" s="17"/>
      <c r="V1226" s="17"/>
      <c r="W1226" s="17"/>
      <c r="X1226" s="17"/>
      <c r="Y1226" s="46"/>
      <c r="Z1226" s="47"/>
      <c r="AA1226" s="48"/>
      <c r="AB1226" s="48"/>
      <c r="AC1226" s="48"/>
      <c r="AD1226" s="48"/>
      <c r="AE1226" s="48"/>
      <c r="AF1226" s="48"/>
      <c r="AG1226" s="48"/>
      <c r="AH1226" s="48"/>
      <c r="AI1226" s="48"/>
    </row>
    <row r="1227" spans="1:35" ht="12.5" hidden="1">
      <c r="A1227" s="37"/>
      <c r="B1227" s="38"/>
      <c r="C1227" s="63"/>
      <c r="D1227" s="17"/>
      <c r="E1227" s="17"/>
      <c r="F1227" s="17"/>
      <c r="G1227" s="17"/>
      <c r="H1227" s="65"/>
      <c r="I1227" s="24"/>
      <c r="J1227" s="17"/>
      <c r="K1227" s="17"/>
      <c r="L1227" s="17"/>
      <c r="M1227" s="17"/>
      <c r="N1227" s="17"/>
      <c r="O1227" s="17"/>
      <c r="P1227" s="17"/>
      <c r="Q1227" s="17"/>
      <c r="R1227" s="17"/>
      <c r="S1227" s="17"/>
      <c r="T1227" s="17"/>
      <c r="U1227" s="17"/>
      <c r="V1227" s="17"/>
      <c r="W1227" s="17"/>
      <c r="X1227" s="17"/>
      <c r="Y1227" s="46"/>
      <c r="Z1227" s="47"/>
      <c r="AA1227" s="48"/>
      <c r="AB1227" s="48"/>
      <c r="AC1227" s="48"/>
      <c r="AD1227" s="48"/>
      <c r="AE1227" s="48"/>
      <c r="AF1227" s="48"/>
      <c r="AG1227" s="48"/>
      <c r="AH1227" s="48"/>
      <c r="AI1227" s="48"/>
    </row>
    <row r="1228" spans="1:35" ht="12.5" hidden="1">
      <c r="A1228" s="37"/>
      <c r="B1228" s="38"/>
      <c r="C1228" s="63"/>
      <c r="D1228" s="17"/>
      <c r="E1228" s="17"/>
      <c r="F1228" s="17"/>
      <c r="G1228" s="17"/>
      <c r="H1228" s="65"/>
      <c r="I1228" s="24"/>
      <c r="J1228" s="17"/>
      <c r="K1228" s="17"/>
      <c r="L1228" s="17"/>
      <c r="M1228" s="17"/>
      <c r="N1228" s="17"/>
      <c r="O1228" s="17"/>
      <c r="P1228" s="17"/>
      <c r="Q1228" s="17"/>
      <c r="R1228" s="17"/>
      <c r="S1228" s="17"/>
      <c r="T1228" s="17"/>
      <c r="U1228" s="17"/>
      <c r="V1228" s="17"/>
      <c r="W1228" s="17"/>
      <c r="X1228" s="17"/>
      <c r="Y1228" s="46"/>
      <c r="Z1228" s="47"/>
      <c r="AA1228" s="48"/>
      <c r="AB1228" s="48"/>
      <c r="AC1228" s="48"/>
      <c r="AD1228" s="48"/>
      <c r="AE1228" s="48"/>
      <c r="AF1228" s="48"/>
      <c r="AG1228" s="48"/>
      <c r="AH1228" s="48"/>
      <c r="AI1228" s="48"/>
    </row>
    <row r="1229" spans="1:35" ht="12.5" hidden="1">
      <c r="A1229" s="37"/>
      <c r="B1229" s="38"/>
      <c r="C1229" s="63"/>
      <c r="D1229" s="17"/>
      <c r="E1229" s="17"/>
      <c r="F1229" s="17"/>
      <c r="G1229" s="17"/>
      <c r="H1229" s="65"/>
      <c r="I1229" s="24"/>
      <c r="J1229" s="17"/>
      <c r="K1229" s="17"/>
      <c r="L1229" s="17"/>
      <c r="M1229" s="17"/>
      <c r="N1229" s="17"/>
      <c r="O1229" s="17"/>
      <c r="P1229" s="17"/>
      <c r="Q1229" s="17"/>
      <c r="R1229" s="17"/>
      <c r="S1229" s="17"/>
      <c r="T1229" s="17"/>
      <c r="U1229" s="17"/>
      <c r="V1229" s="17"/>
      <c r="W1229" s="17"/>
      <c r="X1229" s="17"/>
      <c r="Y1229" s="46"/>
      <c r="Z1229" s="47"/>
      <c r="AA1229" s="48"/>
      <c r="AB1229" s="48"/>
      <c r="AC1229" s="48"/>
      <c r="AD1229" s="48"/>
      <c r="AE1229" s="48"/>
      <c r="AF1229" s="48"/>
      <c r="AG1229" s="48"/>
      <c r="AH1229" s="48"/>
      <c r="AI1229" s="48"/>
    </row>
    <row r="1230" spans="1:35" ht="12.5" hidden="1">
      <c r="A1230" s="37"/>
      <c r="B1230" s="38"/>
      <c r="C1230" s="63"/>
      <c r="D1230" s="17"/>
      <c r="E1230" s="17"/>
      <c r="F1230" s="17"/>
      <c r="G1230" s="17"/>
      <c r="H1230" s="65"/>
      <c r="I1230" s="24"/>
      <c r="J1230" s="17"/>
      <c r="K1230" s="17"/>
      <c r="L1230" s="17"/>
      <c r="M1230" s="17"/>
      <c r="N1230" s="17"/>
      <c r="O1230" s="17"/>
      <c r="P1230" s="17"/>
      <c r="Q1230" s="17"/>
      <c r="R1230" s="17"/>
      <c r="S1230" s="17"/>
      <c r="T1230" s="17"/>
      <c r="U1230" s="17"/>
      <c r="V1230" s="17"/>
      <c r="W1230" s="17"/>
      <c r="X1230" s="17"/>
      <c r="Y1230" s="46"/>
      <c r="Z1230" s="47"/>
      <c r="AA1230" s="48"/>
      <c r="AB1230" s="48"/>
      <c r="AC1230" s="48"/>
      <c r="AD1230" s="48"/>
      <c r="AE1230" s="48"/>
      <c r="AF1230" s="48"/>
      <c r="AG1230" s="48"/>
      <c r="AH1230" s="48"/>
      <c r="AI1230" s="48"/>
    </row>
    <row r="1231" spans="1:35" ht="12.5" hidden="1">
      <c r="A1231" s="37"/>
      <c r="B1231" s="38"/>
      <c r="C1231" s="63"/>
      <c r="D1231" s="17"/>
      <c r="E1231" s="17"/>
      <c r="F1231" s="17"/>
      <c r="G1231" s="17"/>
      <c r="H1231" s="65"/>
      <c r="I1231" s="24"/>
      <c r="J1231" s="17"/>
      <c r="K1231" s="17"/>
      <c r="L1231" s="17"/>
      <c r="M1231" s="17"/>
      <c r="N1231" s="17"/>
      <c r="O1231" s="17"/>
      <c r="P1231" s="17"/>
      <c r="Q1231" s="17"/>
      <c r="R1231" s="17"/>
      <c r="S1231" s="17"/>
      <c r="T1231" s="17"/>
      <c r="U1231" s="17"/>
      <c r="V1231" s="17"/>
      <c r="W1231" s="17"/>
      <c r="X1231" s="17"/>
      <c r="Y1231" s="46"/>
      <c r="Z1231" s="47"/>
      <c r="AA1231" s="48"/>
      <c r="AB1231" s="48"/>
      <c r="AC1231" s="48"/>
      <c r="AD1231" s="48"/>
      <c r="AE1231" s="48"/>
      <c r="AF1231" s="48"/>
      <c r="AG1231" s="48"/>
      <c r="AH1231" s="48"/>
      <c r="AI1231" s="48"/>
    </row>
    <row r="1232" spans="1:35" ht="12.5" hidden="1">
      <c r="A1232" s="37"/>
      <c r="B1232" s="38"/>
      <c r="C1232" s="63"/>
      <c r="D1232" s="17"/>
      <c r="E1232" s="17"/>
      <c r="F1232" s="17"/>
      <c r="G1232" s="17"/>
      <c r="H1232" s="65"/>
      <c r="I1232" s="24"/>
      <c r="J1232" s="17"/>
      <c r="K1232" s="17"/>
      <c r="L1232" s="17"/>
      <c r="M1232" s="17"/>
      <c r="N1232" s="17"/>
      <c r="O1232" s="17"/>
      <c r="P1232" s="17"/>
      <c r="Q1232" s="17"/>
      <c r="R1232" s="17"/>
      <c r="S1232" s="17"/>
      <c r="T1232" s="17"/>
      <c r="U1232" s="17"/>
      <c r="V1232" s="17"/>
      <c r="W1232" s="17"/>
      <c r="X1232" s="17"/>
      <c r="Y1232" s="46"/>
      <c r="Z1232" s="47"/>
      <c r="AA1232" s="48"/>
      <c r="AB1232" s="48"/>
      <c r="AC1232" s="48"/>
      <c r="AD1232" s="48"/>
      <c r="AE1232" s="48"/>
      <c r="AF1232" s="48"/>
      <c r="AG1232" s="48"/>
      <c r="AH1232" s="48"/>
      <c r="AI1232" s="48"/>
    </row>
    <row r="1233" spans="1:35" ht="12.5" hidden="1">
      <c r="A1233" s="37"/>
      <c r="B1233" s="38"/>
      <c r="C1233" s="63"/>
      <c r="D1233" s="17"/>
      <c r="E1233" s="17"/>
      <c r="F1233" s="17"/>
      <c r="G1233" s="17"/>
      <c r="H1233" s="65"/>
      <c r="I1233" s="24"/>
      <c r="J1233" s="17"/>
      <c r="K1233" s="17"/>
      <c r="L1233" s="17"/>
      <c r="M1233" s="17"/>
      <c r="N1233" s="17"/>
      <c r="O1233" s="17"/>
      <c r="P1233" s="17"/>
      <c r="Q1233" s="17"/>
      <c r="R1233" s="17"/>
      <c r="S1233" s="17"/>
      <c r="T1233" s="17"/>
      <c r="U1233" s="17"/>
      <c r="V1233" s="17"/>
      <c r="W1233" s="17"/>
      <c r="X1233" s="17"/>
      <c r="Y1233" s="46"/>
      <c r="Z1233" s="47"/>
      <c r="AA1233" s="48"/>
      <c r="AB1233" s="48"/>
      <c r="AC1233" s="48"/>
      <c r="AD1233" s="48"/>
      <c r="AE1233" s="48"/>
      <c r="AF1233" s="48"/>
      <c r="AG1233" s="48"/>
      <c r="AH1233" s="48"/>
      <c r="AI1233" s="48"/>
    </row>
    <row r="1234" spans="1:35" ht="12.5" hidden="1">
      <c r="A1234" s="37"/>
      <c r="B1234" s="38"/>
      <c r="C1234" s="63"/>
      <c r="D1234" s="17"/>
      <c r="E1234" s="17"/>
      <c r="F1234" s="17"/>
      <c r="G1234" s="17"/>
      <c r="H1234" s="65"/>
      <c r="I1234" s="24"/>
      <c r="J1234" s="17"/>
      <c r="K1234" s="17"/>
      <c r="L1234" s="17"/>
      <c r="M1234" s="17"/>
      <c r="N1234" s="17"/>
      <c r="O1234" s="17"/>
      <c r="P1234" s="17"/>
      <c r="Q1234" s="17"/>
      <c r="R1234" s="17"/>
      <c r="S1234" s="17"/>
      <c r="T1234" s="17"/>
      <c r="U1234" s="17"/>
      <c r="V1234" s="17"/>
      <c r="W1234" s="17"/>
      <c r="X1234" s="17"/>
      <c r="Y1234" s="46"/>
      <c r="Z1234" s="47"/>
      <c r="AA1234" s="48"/>
      <c r="AB1234" s="48"/>
      <c r="AC1234" s="48"/>
      <c r="AD1234" s="48"/>
      <c r="AE1234" s="48"/>
      <c r="AF1234" s="48"/>
      <c r="AG1234" s="48"/>
      <c r="AH1234" s="48"/>
      <c r="AI1234" s="48"/>
    </row>
    <row r="1235" spans="1:35" ht="12.5" hidden="1">
      <c r="A1235" s="37"/>
      <c r="B1235" s="38"/>
      <c r="C1235" s="63"/>
      <c r="D1235" s="17"/>
      <c r="E1235" s="17"/>
      <c r="F1235" s="17"/>
      <c r="G1235" s="17"/>
      <c r="H1235" s="65"/>
      <c r="I1235" s="24"/>
      <c r="J1235" s="17"/>
      <c r="K1235" s="17"/>
      <c r="L1235" s="17"/>
      <c r="M1235" s="17"/>
      <c r="N1235" s="17"/>
      <c r="O1235" s="17"/>
      <c r="P1235" s="17"/>
      <c r="Q1235" s="17"/>
      <c r="R1235" s="17"/>
      <c r="S1235" s="17"/>
      <c r="T1235" s="17"/>
      <c r="U1235" s="17"/>
      <c r="V1235" s="17"/>
      <c r="W1235" s="17"/>
      <c r="X1235" s="17"/>
      <c r="Y1235" s="46"/>
      <c r="Z1235" s="47"/>
      <c r="AA1235" s="48"/>
      <c r="AB1235" s="48"/>
      <c r="AC1235" s="48"/>
      <c r="AD1235" s="48"/>
      <c r="AE1235" s="48"/>
      <c r="AF1235" s="48"/>
      <c r="AG1235" s="48"/>
      <c r="AH1235" s="48"/>
      <c r="AI1235" s="48"/>
    </row>
    <row r="1236" spans="1:35" ht="12.5" hidden="1">
      <c r="A1236" s="37"/>
      <c r="B1236" s="38"/>
      <c r="C1236" s="63"/>
      <c r="D1236" s="17"/>
      <c r="E1236" s="17"/>
      <c r="F1236" s="17"/>
      <c r="G1236" s="17"/>
      <c r="H1236" s="65"/>
      <c r="I1236" s="24"/>
      <c r="J1236" s="17"/>
      <c r="K1236" s="17"/>
      <c r="L1236" s="17"/>
      <c r="M1236" s="17"/>
      <c r="N1236" s="17"/>
      <c r="O1236" s="17"/>
      <c r="P1236" s="17"/>
      <c r="Q1236" s="17"/>
      <c r="R1236" s="17"/>
      <c r="S1236" s="17"/>
      <c r="T1236" s="17"/>
      <c r="U1236" s="17"/>
      <c r="V1236" s="17"/>
      <c r="W1236" s="17"/>
      <c r="X1236" s="17"/>
      <c r="Y1236" s="46"/>
      <c r="Z1236" s="47"/>
      <c r="AA1236" s="48"/>
      <c r="AB1236" s="48"/>
      <c r="AC1236" s="48"/>
      <c r="AD1236" s="48"/>
      <c r="AE1236" s="48"/>
      <c r="AF1236" s="48"/>
      <c r="AG1236" s="48"/>
      <c r="AH1236" s="48"/>
      <c r="AI1236" s="48"/>
    </row>
    <row r="1237" spans="1:35" ht="12.5" hidden="1">
      <c r="A1237" s="37"/>
      <c r="B1237" s="38"/>
      <c r="C1237" s="63"/>
      <c r="D1237" s="17"/>
      <c r="E1237" s="17"/>
      <c r="F1237" s="17"/>
      <c r="G1237" s="17"/>
      <c r="H1237" s="65"/>
      <c r="I1237" s="24"/>
      <c r="J1237" s="44"/>
      <c r="K1237" s="17"/>
      <c r="L1237" s="17"/>
      <c r="M1237" s="17"/>
      <c r="N1237" s="17"/>
      <c r="O1237" s="17"/>
      <c r="P1237" s="17"/>
      <c r="Q1237" s="17"/>
      <c r="R1237" s="17"/>
      <c r="S1237" s="17"/>
      <c r="T1237" s="17"/>
      <c r="U1237" s="17"/>
      <c r="V1237" s="17"/>
      <c r="W1237" s="17"/>
      <c r="X1237" s="17"/>
      <c r="Y1237" s="46"/>
      <c r="Z1237" s="47"/>
      <c r="AA1237" s="48"/>
      <c r="AB1237" s="48"/>
      <c r="AC1237" s="48"/>
      <c r="AD1237" s="48"/>
      <c r="AE1237" s="48"/>
      <c r="AF1237" s="48"/>
      <c r="AG1237" s="48"/>
      <c r="AH1237" s="48"/>
      <c r="AI1237" s="48"/>
    </row>
    <row r="1238" spans="1:35" ht="12.5" hidden="1">
      <c r="A1238" s="37"/>
      <c r="B1238" s="38"/>
      <c r="C1238" s="63"/>
      <c r="D1238" s="17"/>
      <c r="E1238" s="17"/>
      <c r="F1238" s="17"/>
      <c r="G1238" s="17"/>
      <c r="H1238" s="65"/>
      <c r="I1238" s="24"/>
      <c r="J1238" s="17"/>
      <c r="K1238" s="17"/>
      <c r="L1238" s="17"/>
      <c r="M1238" s="17"/>
      <c r="N1238" s="17"/>
      <c r="O1238" s="17"/>
      <c r="P1238" s="17"/>
      <c r="Q1238" s="17"/>
      <c r="R1238" s="17"/>
      <c r="S1238" s="17"/>
      <c r="T1238" s="17"/>
      <c r="U1238" s="17"/>
      <c r="V1238" s="17"/>
      <c r="W1238" s="17"/>
      <c r="X1238" s="17"/>
      <c r="Y1238" s="46"/>
      <c r="Z1238" s="47"/>
      <c r="AA1238" s="48"/>
      <c r="AB1238" s="48"/>
      <c r="AC1238" s="48"/>
      <c r="AD1238" s="48"/>
      <c r="AE1238" s="48"/>
      <c r="AF1238" s="48"/>
      <c r="AG1238" s="48"/>
      <c r="AH1238" s="48"/>
      <c r="AI1238" s="48"/>
    </row>
    <row r="1239" spans="1:35" ht="12.5" hidden="1">
      <c r="A1239" s="37"/>
      <c r="B1239" s="38"/>
      <c r="C1239" s="63"/>
      <c r="D1239" s="17"/>
      <c r="E1239" s="17"/>
      <c r="F1239" s="17"/>
      <c r="G1239" s="17"/>
      <c r="H1239" s="65"/>
      <c r="I1239" s="24"/>
      <c r="J1239" s="17"/>
      <c r="K1239" s="17"/>
      <c r="L1239" s="17"/>
      <c r="M1239" s="17"/>
      <c r="N1239" s="17"/>
      <c r="O1239" s="17"/>
      <c r="P1239" s="17"/>
      <c r="Q1239" s="17"/>
      <c r="R1239" s="17"/>
      <c r="S1239" s="17"/>
      <c r="T1239" s="17"/>
      <c r="U1239" s="17"/>
      <c r="V1239" s="17"/>
      <c r="W1239" s="17"/>
      <c r="X1239" s="17"/>
      <c r="Y1239" s="46"/>
      <c r="Z1239" s="47"/>
      <c r="AA1239" s="48"/>
      <c r="AB1239" s="48"/>
      <c r="AC1239" s="48"/>
      <c r="AD1239" s="48"/>
      <c r="AE1239" s="48"/>
      <c r="AF1239" s="48"/>
      <c r="AG1239" s="48"/>
      <c r="AH1239" s="48"/>
      <c r="AI1239" s="48"/>
    </row>
    <row r="1240" spans="1:35" ht="12.5" hidden="1">
      <c r="A1240" s="37"/>
      <c r="B1240" s="38"/>
      <c r="C1240" s="63"/>
      <c r="D1240" s="17"/>
      <c r="E1240" s="17"/>
      <c r="F1240" s="17"/>
      <c r="G1240" s="17"/>
      <c r="H1240" s="65"/>
      <c r="I1240" s="24"/>
      <c r="J1240" s="17"/>
      <c r="K1240" s="17"/>
      <c r="L1240" s="17"/>
      <c r="M1240" s="17"/>
      <c r="N1240" s="17"/>
      <c r="O1240" s="17"/>
      <c r="P1240" s="17"/>
      <c r="Q1240" s="17"/>
      <c r="R1240" s="17"/>
      <c r="S1240" s="17"/>
      <c r="T1240" s="17"/>
      <c r="U1240" s="17"/>
      <c r="V1240" s="17"/>
      <c r="W1240" s="17"/>
      <c r="X1240" s="17"/>
      <c r="Y1240" s="46"/>
      <c r="Z1240" s="47"/>
      <c r="AA1240" s="48"/>
      <c r="AB1240" s="48"/>
      <c r="AC1240" s="48"/>
      <c r="AD1240" s="48"/>
      <c r="AE1240" s="48"/>
      <c r="AF1240" s="48"/>
      <c r="AG1240" s="48"/>
      <c r="AH1240" s="48"/>
      <c r="AI1240" s="48"/>
    </row>
    <row r="1241" spans="1:35" ht="12.5" hidden="1">
      <c r="A1241" s="37"/>
      <c r="B1241" s="38"/>
      <c r="C1241" s="63"/>
      <c r="D1241" s="17"/>
      <c r="E1241" s="17"/>
      <c r="F1241" s="17"/>
      <c r="G1241" s="17"/>
      <c r="H1241" s="65"/>
      <c r="I1241" s="24"/>
      <c r="J1241" s="17"/>
      <c r="K1241" s="17"/>
      <c r="L1241" s="17"/>
      <c r="M1241" s="17"/>
      <c r="N1241" s="17"/>
      <c r="O1241" s="17"/>
      <c r="P1241" s="17"/>
      <c r="Q1241" s="17"/>
      <c r="R1241" s="17"/>
      <c r="S1241" s="17"/>
      <c r="T1241" s="17"/>
      <c r="U1241" s="17"/>
      <c r="V1241" s="17"/>
      <c r="W1241" s="17"/>
      <c r="X1241" s="17"/>
      <c r="Y1241" s="46"/>
      <c r="Z1241" s="47"/>
      <c r="AA1241" s="48"/>
      <c r="AB1241" s="48"/>
      <c r="AC1241" s="48"/>
      <c r="AD1241" s="48"/>
      <c r="AE1241" s="48"/>
      <c r="AF1241" s="48"/>
      <c r="AG1241" s="48"/>
      <c r="AH1241" s="48"/>
      <c r="AI1241" s="48"/>
    </row>
    <row r="1242" spans="1:35" ht="12.5" hidden="1">
      <c r="A1242" s="37"/>
      <c r="B1242" s="38"/>
      <c r="C1242" s="63"/>
      <c r="D1242" s="17"/>
      <c r="E1242" s="17"/>
      <c r="F1242" s="17"/>
      <c r="G1242" s="17"/>
      <c r="H1242" s="65"/>
      <c r="I1242" s="24"/>
      <c r="J1242" s="17"/>
      <c r="K1242" s="17"/>
      <c r="L1242" s="17"/>
      <c r="M1242" s="17"/>
      <c r="N1242" s="17"/>
      <c r="O1242" s="17"/>
      <c r="P1242" s="17"/>
      <c r="Q1242" s="17"/>
      <c r="R1242" s="17"/>
      <c r="S1242" s="17"/>
      <c r="T1242" s="17"/>
      <c r="U1242" s="17"/>
      <c r="V1242" s="17"/>
      <c r="W1242" s="17"/>
      <c r="X1242" s="17"/>
      <c r="Y1242" s="46"/>
      <c r="Z1242" s="47"/>
      <c r="AA1242" s="48"/>
      <c r="AB1242" s="48"/>
      <c r="AC1242" s="48"/>
      <c r="AD1242" s="48"/>
      <c r="AE1242" s="48"/>
      <c r="AF1242" s="48"/>
      <c r="AG1242" s="48"/>
      <c r="AH1242" s="48"/>
      <c r="AI1242" s="48"/>
    </row>
    <row r="1243" spans="1:35" ht="12.5" hidden="1">
      <c r="A1243" s="37"/>
      <c r="B1243" s="38"/>
      <c r="C1243" s="63"/>
      <c r="D1243" s="17"/>
      <c r="E1243" s="17"/>
      <c r="F1243" s="17"/>
      <c r="G1243" s="17"/>
      <c r="H1243" s="65"/>
      <c r="I1243" s="24"/>
      <c r="J1243" s="17"/>
      <c r="K1243" s="17"/>
      <c r="L1243" s="17"/>
      <c r="M1243" s="17"/>
      <c r="N1243" s="17"/>
      <c r="O1243" s="17"/>
      <c r="P1243" s="17"/>
      <c r="Q1243" s="17"/>
      <c r="R1243" s="17"/>
      <c r="S1243" s="17"/>
      <c r="T1243" s="17"/>
      <c r="U1243" s="17"/>
      <c r="V1243" s="17"/>
      <c r="W1243" s="17"/>
      <c r="X1243" s="17"/>
      <c r="Y1243" s="46"/>
      <c r="Z1243" s="47"/>
      <c r="AA1243" s="48"/>
      <c r="AB1243" s="48"/>
      <c r="AC1243" s="48"/>
      <c r="AD1243" s="48"/>
      <c r="AE1243" s="48"/>
      <c r="AF1243" s="48"/>
      <c r="AG1243" s="48"/>
      <c r="AH1243" s="48"/>
      <c r="AI1243" s="48"/>
    </row>
    <row r="1244" spans="1:35" ht="12.5" hidden="1">
      <c r="A1244" s="37"/>
      <c r="B1244" s="38"/>
      <c r="C1244" s="63"/>
      <c r="D1244" s="17"/>
      <c r="E1244" s="17"/>
      <c r="F1244" s="17"/>
      <c r="G1244" s="17"/>
      <c r="H1244" s="65"/>
      <c r="I1244" s="24"/>
      <c r="J1244" s="17"/>
      <c r="K1244" s="17"/>
      <c r="L1244" s="17"/>
      <c r="M1244" s="17"/>
      <c r="N1244" s="17"/>
      <c r="O1244" s="17"/>
      <c r="P1244" s="17"/>
      <c r="Q1244" s="17"/>
      <c r="R1244" s="17"/>
      <c r="S1244" s="17"/>
      <c r="T1244" s="17"/>
      <c r="U1244" s="17"/>
      <c r="V1244" s="17"/>
      <c r="W1244" s="17"/>
      <c r="X1244" s="17"/>
      <c r="Y1244" s="46"/>
      <c r="Z1244" s="47"/>
      <c r="AA1244" s="48"/>
      <c r="AB1244" s="48"/>
      <c r="AC1244" s="48"/>
      <c r="AD1244" s="48"/>
      <c r="AE1244" s="48"/>
      <c r="AF1244" s="48"/>
      <c r="AG1244" s="48"/>
      <c r="AH1244" s="48"/>
      <c r="AI1244" s="48"/>
    </row>
    <row r="1245" spans="1:35" ht="12.5" hidden="1">
      <c r="A1245" s="37"/>
      <c r="B1245" s="38"/>
      <c r="C1245" s="63"/>
      <c r="D1245" s="17"/>
      <c r="E1245" s="17"/>
      <c r="F1245" s="17"/>
      <c r="G1245" s="17"/>
      <c r="H1245" s="65"/>
      <c r="I1245" s="24"/>
      <c r="J1245" s="17"/>
      <c r="K1245" s="17"/>
      <c r="L1245" s="17"/>
      <c r="M1245" s="17"/>
      <c r="N1245" s="17"/>
      <c r="O1245" s="17"/>
      <c r="P1245" s="17"/>
      <c r="Q1245" s="17"/>
      <c r="R1245" s="17"/>
      <c r="S1245" s="17"/>
      <c r="T1245" s="17"/>
      <c r="U1245" s="17"/>
      <c r="V1245" s="17"/>
      <c r="W1245" s="17"/>
      <c r="X1245" s="17"/>
      <c r="Y1245" s="46"/>
      <c r="Z1245" s="47"/>
      <c r="AA1245" s="48"/>
      <c r="AB1245" s="48"/>
      <c r="AC1245" s="48"/>
      <c r="AD1245" s="48"/>
      <c r="AE1245" s="48"/>
      <c r="AF1245" s="48"/>
      <c r="AG1245" s="48"/>
      <c r="AH1245" s="48"/>
      <c r="AI1245" s="48"/>
    </row>
    <row r="1246" spans="1:35" ht="12.5" hidden="1">
      <c r="A1246" s="37"/>
      <c r="B1246" s="38"/>
      <c r="C1246" s="63"/>
      <c r="D1246" s="17"/>
      <c r="E1246" s="17"/>
      <c r="F1246" s="17"/>
      <c r="G1246" s="17"/>
      <c r="H1246" s="65"/>
      <c r="I1246" s="24"/>
      <c r="J1246" s="17"/>
      <c r="K1246" s="17"/>
      <c r="L1246" s="17"/>
      <c r="M1246" s="17"/>
      <c r="N1246" s="17"/>
      <c r="O1246" s="17"/>
      <c r="P1246" s="17"/>
      <c r="Q1246" s="17"/>
      <c r="R1246" s="17"/>
      <c r="S1246" s="17"/>
      <c r="T1246" s="17"/>
      <c r="U1246" s="17"/>
      <c r="V1246" s="17"/>
      <c r="W1246" s="17"/>
      <c r="X1246" s="17"/>
      <c r="Y1246" s="46"/>
      <c r="Z1246" s="47"/>
      <c r="AA1246" s="48"/>
      <c r="AB1246" s="48"/>
      <c r="AC1246" s="48"/>
      <c r="AD1246" s="48"/>
      <c r="AE1246" s="48"/>
      <c r="AF1246" s="48"/>
      <c r="AG1246" s="48"/>
      <c r="AH1246" s="48"/>
      <c r="AI1246" s="48"/>
    </row>
    <row r="1247" spans="1:35" ht="12.5" hidden="1">
      <c r="A1247" s="37"/>
      <c r="B1247" s="38"/>
      <c r="C1247" s="63"/>
      <c r="D1247" s="17"/>
      <c r="E1247" s="17"/>
      <c r="F1247" s="17"/>
      <c r="G1247" s="17"/>
      <c r="H1247" s="65"/>
      <c r="I1247" s="24"/>
      <c r="J1247" s="17"/>
      <c r="K1247" s="17"/>
      <c r="L1247" s="17"/>
      <c r="M1247" s="17"/>
      <c r="N1247" s="17"/>
      <c r="O1247" s="17"/>
      <c r="P1247" s="17"/>
      <c r="Q1247" s="17"/>
      <c r="R1247" s="17"/>
      <c r="S1247" s="17"/>
      <c r="T1247" s="17"/>
      <c r="U1247" s="17"/>
      <c r="V1247" s="17"/>
      <c r="W1247" s="17"/>
      <c r="X1247" s="17"/>
      <c r="Y1247" s="46"/>
      <c r="Z1247" s="47"/>
      <c r="AA1247" s="48"/>
      <c r="AB1247" s="48"/>
      <c r="AC1247" s="48"/>
      <c r="AD1247" s="48"/>
      <c r="AE1247" s="48"/>
      <c r="AF1247" s="48"/>
      <c r="AG1247" s="48"/>
      <c r="AH1247" s="48"/>
      <c r="AI1247" s="48"/>
    </row>
    <row r="1248" spans="1:35" ht="12.5" hidden="1">
      <c r="A1248" s="37"/>
      <c r="B1248" s="38"/>
      <c r="C1248" s="63"/>
      <c r="D1248" s="17"/>
      <c r="E1248" s="17"/>
      <c r="F1248" s="17"/>
      <c r="G1248" s="17"/>
      <c r="H1248" s="65"/>
      <c r="I1248" s="24"/>
      <c r="J1248" s="17"/>
      <c r="K1248" s="17"/>
      <c r="L1248" s="17"/>
      <c r="M1248" s="17"/>
      <c r="N1248" s="17"/>
      <c r="O1248" s="17"/>
      <c r="P1248" s="17"/>
      <c r="Q1248" s="17"/>
      <c r="R1248" s="17"/>
      <c r="S1248" s="17"/>
      <c r="T1248" s="17"/>
      <c r="U1248" s="17"/>
      <c r="V1248" s="17"/>
      <c r="W1248" s="17"/>
      <c r="X1248" s="17"/>
      <c r="Y1248" s="46"/>
      <c r="Z1248" s="47"/>
      <c r="AA1248" s="48"/>
      <c r="AB1248" s="48"/>
      <c r="AC1248" s="48"/>
      <c r="AD1248" s="48"/>
      <c r="AE1248" s="48"/>
      <c r="AF1248" s="48"/>
      <c r="AG1248" s="48"/>
      <c r="AH1248" s="48"/>
      <c r="AI1248" s="48"/>
    </row>
    <row r="1249" spans="1:35" ht="12.5" hidden="1">
      <c r="A1249" s="37"/>
      <c r="B1249" s="38"/>
      <c r="C1249" s="63"/>
      <c r="D1249" s="17"/>
      <c r="E1249" s="17"/>
      <c r="F1249" s="17"/>
      <c r="G1249" s="17"/>
      <c r="H1249" s="65"/>
      <c r="I1249" s="24"/>
      <c r="J1249" s="17"/>
      <c r="K1249" s="17"/>
      <c r="L1249" s="17"/>
      <c r="M1249" s="17"/>
      <c r="N1249" s="17"/>
      <c r="O1249" s="17"/>
      <c r="P1249" s="17"/>
      <c r="Q1249" s="17"/>
      <c r="R1249" s="17"/>
      <c r="S1249" s="17"/>
      <c r="T1249" s="17"/>
      <c r="U1249" s="17"/>
      <c r="V1249" s="17"/>
      <c r="W1249" s="17"/>
      <c r="X1249" s="17"/>
      <c r="Y1249" s="46"/>
      <c r="Z1249" s="47"/>
      <c r="AA1249" s="48"/>
      <c r="AB1249" s="48"/>
      <c r="AC1249" s="48"/>
      <c r="AD1249" s="48"/>
      <c r="AE1249" s="48"/>
      <c r="AF1249" s="48"/>
      <c r="AG1249" s="48"/>
      <c r="AH1249" s="48"/>
      <c r="AI1249" s="48"/>
    </row>
    <row r="1250" spans="1:35" ht="12.5" hidden="1">
      <c r="A1250" s="37"/>
      <c r="B1250" s="38"/>
      <c r="C1250" s="63"/>
      <c r="D1250" s="17"/>
      <c r="E1250" s="17"/>
      <c r="F1250" s="17"/>
      <c r="G1250" s="17"/>
      <c r="H1250" s="65"/>
      <c r="I1250" s="24"/>
      <c r="J1250" s="17"/>
      <c r="K1250" s="17"/>
      <c r="L1250" s="17"/>
      <c r="M1250" s="17"/>
      <c r="N1250" s="17"/>
      <c r="O1250" s="17"/>
      <c r="P1250" s="17"/>
      <c r="Q1250" s="17"/>
      <c r="R1250" s="17"/>
      <c r="S1250" s="17"/>
      <c r="T1250" s="17"/>
      <c r="U1250" s="17"/>
      <c r="V1250" s="17"/>
      <c r="W1250" s="17"/>
      <c r="X1250" s="17"/>
      <c r="Y1250" s="46"/>
      <c r="Z1250" s="47"/>
      <c r="AA1250" s="48"/>
      <c r="AB1250" s="48"/>
      <c r="AC1250" s="48"/>
      <c r="AD1250" s="48"/>
      <c r="AE1250" s="48"/>
      <c r="AF1250" s="48"/>
      <c r="AG1250" s="48"/>
      <c r="AH1250" s="48"/>
      <c r="AI1250" s="48"/>
    </row>
    <row r="1251" spans="1:35" ht="12.5" hidden="1">
      <c r="A1251" s="37"/>
      <c r="B1251" s="38"/>
      <c r="C1251" s="63"/>
      <c r="D1251" s="17"/>
      <c r="E1251" s="17"/>
      <c r="F1251" s="17"/>
      <c r="G1251" s="17"/>
      <c r="H1251" s="65"/>
      <c r="I1251" s="24"/>
      <c r="J1251" s="17"/>
      <c r="K1251" s="17"/>
      <c r="L1251" s="17"/>
      <c r="M1251" s="17"/>
      <c r="N1251" s="17"/>
      <c r="O1251" s="17"/>
      <c r="P1251" s="17"/>
      <c r="Q1251" s="17"/>
      <c r="R1251" s="17"/>
      <c r="S1251" s="17"/>
      <c r="T1251" s="17"/>
      <c r="U1251" s="17"/>
      <c r="V1251" s="17"/>
      <c r="W1251" s="17"/>
      <c r="X1251" s="17"/>
      <c r="Y1251" s="46"/>
      <c r="Z1251" s="47"/>
      <c r="AA1251" s="48"/>
      <c r="AB1251" s="48"/>
      <c r="AC1251" s="48"/>
      <c r="AD1251" s="48"/>
      <c r="AE1251" s="48"/>
      <c r="AF1251" s="48"/>
      <c r="AG1251" s="48"/>
      <c r="AH1251" s="48"/>
      <c r="AI1251" s="48"/>
    </row>
    <row r="1252" spans="1:35" ht="12.5" hidden="1">
      <c r="A1252" s="37"/>
      <c r="B1252" s="38"/>
      <c r="C1252" s="63"/>
      <c r="D1252" s="17"/>
      <c r="E1252" s="17"/>
      <c r="F1252" s="17"/>
      <c r="G1252" s="17"/>
      <c r="H1252" s="65"/>
      <c r="I1252" s="24"/>
      <c r="J1252" s="17"/>
      <c r="K1252" s="17"/>
      <c r="L1252" s="17"/>
      <c r="M1252" s="17"/>
      <c r="N1252" s="17"/>
      <c r="O1252" s="17"/>
      <c r="P1252" s="17"/>
      <c r="Q1252" s="17"/>
      <c r="R1252" s="17"/>
      <c r="S1252" s="17"/>
      <c r="T1252" s="17"/>
      <c r="U1252" s="17"/>
      <c r="V1252" s="17"/>
      <c r="W1252" s="17"/>
      <c r="X1252" s="17"/>
      <c r="Y1252" s="46"/>
      <c r="Z1252" s="47"/>
      <c r="AA1252" s="48"/>
      <c r="AB1252" s="48"/>
      <c r="AC1252" s="48"/>
      <c r="AD1252" s="48"/>
      <c r="AE1252" s="48"/>
      <c r="AF1252" s="48"/>
      <c r="AG1252" s="48"/>
      <c r="AH1252" s="48"/>
      <c r="AI1252" s="48"/>
    </row>
    <row r="1253" spans="1:35" ht="12.5" hidden="1">
      <c r="A1253" s="37"/>
      <c r="B1253" s="38"/>
      <c r="C1253" s="63"/>
      <c r="D1253" s="17"/>
      <c r="E1253" s="17"/>
      <c r="F1253" s="17"/>
      <c r="G1253" s="17"/>
      <c r="H1253" s="65"/>
      <c r="I1253" s="24"/>
      <c r="J1253" s="17"/>
      <c r="K1253" s="17"/>
      <c r="L1253" s="17"/>
      <c r="M1253" s="17"/>
      <c r="N1253" s="17"/>
      <c r="O1253" s="17"/>
      <c r="P1253" s="17"/>
      <c r="Q1253" s="17"/>
      <c r="R1253" s="17"/>
      <c r="S1253" s="17"/>
      <c r="T1253" s="17"/>
      <c r="U1253" s="17"/>
      <c r="V1253" s="17"/>
      <c r="W1253" s="17"/>
      <c r="X1253" s="17"/>
      <c r="Y1253" s="46"/>
      <c r="Z1253" s="47"/>
      <c r="AA1253" s="48"/>
      <c r="AB1253" s="48"/>
      <c r="AC1253" s="48"/>
      <c r="AD1253" s="48"/>
      <c r="AE1253" s="48"/>
      <c r="AF1253" s="48"/>
      <c r="AG1253" s="48"/>
      <c r="AH1253" s="48"/>
      <c r="AI1253" s="48"/>
    </row>
    <row r="1254" spans="1:35" ht="12.5" hidden="1">
      <c r="A1254" s="37"/>
      <c r="B1254" s="38"/>
      <c r="C1254" s="63"/>
      <c r="D1254" s="17"/>
      <c r="E1254" s="17"/>
      <c r="F1254" s="17"/>
      <c r="G1254" s="17"/>
      <c r="H1254" s="65"/>
      <c r="I1254" s="24"/>
      <c r="J1254" s="17"/>
      <c r="K1254" s="17"/>
      <c r="L1254" s="17"/>
      <c r="M1254" s="17"/>
      <c r="N1254" s="17"/>
      <c r="O1254" s="17"/>
      <c r="P1254" s="17"/>
      <c r="Q1254" s="17"/>
      <c r="R1254" s="17"/>
      <c r="S1254" s="17"/>
      <c r="T1254" s="17"/>
      <c r="U1254" s="17"/>
      <c r="V1254" s="17"/>
      <c r="W1254" s="17"/>
      <c r="X1254" s="17"/>
      <c r="Y1254" s="46"/>
      <c r="Z1254" s="47"/>
      <c r="AA1254" s="48"/>
      <c r="AB1254" s="48"/>
      <c r="AC1254" s="48"/>
      <c r="AD1254" s="48"/>
      <c r="AE1254" s="48"/>
      <c r="AF1254" s="48"/>
      <c r="AG1254" s="48"/>
      <c r="AH1254" s="48"/>
      <c r="AI1254" s="48"/>
    </row>
    <row r="1255" spans="1:35" ht="12.5" hidden="1">
      <c r="A1255" s="37"/>
      <c r="B1255" s="38"/>
      <c r="C1255" s="63"/>
      <c r="D1255" s="17"/>
      <c r="E1255" s="17"/>
      <c r="F1255" s="17"/>
      <c r="G1255" s="17"/>
      <c r="H1255" s="65"/>
      <c r="I1255" s="24"/>
      <c r="J1255" s="17"/>
      <c r="K1255" s="17"/>
      <c r="L1255" s="17"/>
      <c r="M1255" s="17"/>
      <c r="N1255" s="17"/>
      <c r="O1255" s="17"/>
      <c r="P1255" s="17"/>
      <c r="Q1255" s="17"/>
      <c r="R1255" s="17"/>
      <c r="S1255" s="17"/>
      <c r="T1255" s="17"/>
      <c r="U1255" s="17"/>
      <c r="V1255" s="17"/>
      <c r="W1255" s="17"/>
      <c r="X1255" s="17"/>
      <c r="Y1255" s="46"/>
      <c r="Z1255" s="47"/>
      <c r="AA1255" s="48"/>
      <c r="AB1255" s="48"/>
      <c r="AC1255" s="48"/>
      <c r="AD1255" s="48"/>
      <c r="AE1255" s="48"/>
      <c r="AF1255" s="48"/>
      <c r="AG1255" s="48"/>
      <c r="AH1255" s="48"/>
      <c r="AI1255" s="48"/>
    </row>
    <row r="1256" spans="1:35" ht="12.5" hidden="1">
      <c r="A1256" s="37"/>
      <c r="B1256" s="38"/>
      <c r="C1256" s="63"/>
      <c r="D1256" s="17"/>
      <c r="E1256" s="17"/>
      <c r="F1256" s="17"/>
      <c r="G1256" s="17"/>
      <c r="H1256" s="65"/>
      <c r="I1256" s="24"/>
      <c r="J1256" s="44"/>
      <c r="K1256" s="17"/>
      <c r="L1256" s="17"/>
      <c r="M1256" s="17"/>
      <c r="N1256" s="17"/>
      <c r="O1256" s="17"/>
      <c r="P1256" s="17"/>
      <c r="Q1256" s="17"/>
      <c r="R1256" s="17"/>
      <c r="S1256" s="17"/>
      <c r="T1256" s="17"/>
      <c r="U1256" s="17"/>
      <c r="V1256" s="17"/>
      <c r="W1256" s="17"/>
      <c r="X1256" s="17"/>
      <c r="Y1256" s="46"/>
      <c r="Z1256" s="47"/>
      <c r="AA1256" s="48"/>
      <c r="AB1256" s="48"/>
      <c r="AC1256" s="48"/>
      <c r="AD1256" s="48"/>
      <c r="AE1256" s="48"/>
      <c r="AF1256" s="48"/>
      <c r="AG1256" s="48"/>
      <c r="AH1256" s="48"/>
      <c r="AI1256" s="48"/>
    </row>
    <row r="1257" spans="1:35" ht="12.5" hidden="1">
      <c r="A1257" s="37"/>
      <c r="B1257" s="38"/>
      <c r="C1257" s="63"/>
      <c r="D1257" s="17"/>
      <c r="E1257" s="17"/>
      <c r="F1257" s="17"/>
      <c r="G1257" s="17"/>
      <c r="H1257" s="65"/>
      <c r="I1257" s="24"/>
      <c r="J1257" s="17"/>
      <c r="K1257" s="17"/>
      <c r="L1257" s="17"/>
      <c r="M1257" s="17"/>
      <c r="N1257" s="17"/>
      <c r="O1257" s="17"/>
      <c r="P1257" s="17"/>
      <c r="Q1257" s="17"/>
      <c r="R1257" s="17"/>
      <c r="S1257" s="17"/>
      <c r="T1257" s="17"/>
      <c r="U1257" s="17"/>
      <c r="V1257" s="17"/>
      <c r="W1257" s="17"/>
      <c r="X1257" s="17"/>
      <c r="Y1257" s="46"/>
      <c r="Z1257" s="47"/>
      <c r="AA1257" s="48"/>
      <c r="AB1257" s="48"/>
      <c r="AC1257" s="48"/>
      <c r="AD1257" s="48"/>
      <c r="AE1257" s="48"/>
      <c r="AF1257" s="48"/>
      <c r="AG1257" s="48"/>
      <c r="AH1257" s="48"/>
      <c r="AI1257" s="48"/>
    </row>
    <row r="1258" spans="1:35" ht="12.5" hidden="1">
      <c r="A1258" s="37"/>
      <c r="B1258" s="38"/>
      <c r="C1258" s="63"/>
      <c r="D1258" s="17"/>
      <c r="E1258" s="17"/>
      <c r="F1258" s="17"/>
      <c r="G1258" s="17"/>
      <c r="H1258" s="65"/>
      <c r="I1258" s="24"/>
      <c r="J1258" s="17"/>
      <c r="K1258" s="17"/>
      <c r="L1258" s="17"/>
      <c r="M1258" s="17"/>
      <c r="N1258" s="17"/>
      <c r="O1258" s="17"/>
      <c r="P1258" s="17"/>
      <c r="Q1258" s="17"/>
      <c r="R1258" s="17"/>
      <c r="S1258" s="17"/>
      <c r="T1258" s="17"/>
      <c r="U1258" s="17"/>
      <c r="V1258" s="17"/>
      <c r="W1258" s="17"/>
      <c r="X1258" s="17"/>
      <c r="Y1258" s="46"/>
      <c r="Z1258" s="47"/>
      <c r="AA1258" s="48"/>
      <c r="AB1258" s="48"/>
      <c r="AC1258" s="48"/>
      <c r="AD1258" s="48"/>
      <c r="AE1258" s="48"/>
      <c r="AF1258" s="48"/>
      <c r="AG1258" s="48"/>
      <c r="AH1258" s="48"/>
      <c r="AI1258" s="48"/>
    </row>
    <row r="1259" spans="1:35" ht="12.5" hidden="1">
      <c r="A1259" s="37"/>
      <c r="B1259" s="38"/>
      <c r="C1259" s="63"/>
      <c r="D1259" s="17"/>
      <c r="E1259" s="17"/>
      <c r="F1259" s="17"/>
      <c r="G1259" s="17"/>
      <c r="H1259" s="65"/>
      <c r="I1259" s="24"/>
      <c r="J1259" s="17"/>
      <c r="K1259" s="17"/>
      <c r="L1259" s="17"/>
      <c r="M1259" s="17"/>
      <c r="N1259" s="17"/>
      <c r="O1259" s="17"/>
      <c r="P1259" s="17"/>
      <c r="Q1259" s="17"/>
      <c r="R1259" s="17"/>
      <c r="S1259" s="17"/>
      <c r="T1259" s="17"/>
      <c r="U1259" s="17"/>
      <c r="V1259" s="17"/>
      <c r="W1259" s="17"/>
      <c r="X1259" s="17"/>
      <c r="Y1259" s="46"/>
      <c r="Z1259" s="47"/>
      <c r="AA1259" s="48"/>
      <c r="AB1259" s="48"/>
      <c r="AC1259" s="48"/>
      <c r="AD1259" s="48"/>
      <c r="AE1259" s="48"/>
      <c r="AF1259" s="48"/>
      <c r="AG1259" s="48"/>
      <c r="AH1259" s="48"/>
      <c r="AI1259" s="48"/>
    </row>
    <row r="1260" spans="1:35" ht="12.5" hidden="1">
      <c r="A1260" s="37"/>
      <c r="B1260" s="38"/>
      <c r="C1260" s="63"/>
      <c r="D1260" s="17"/>
      <c r="E1260" s="17"/>
      <c r="F1260" s="17"/>
      <c r="G1260" s="17"/>
      <c r="H1260" s="65"/>
      <c r="I1260" s="24"/>
      <c r="J1260" s="17"/>
      <c r="K1260" s="17"/>
      <c r="L1260" s="17"/>
      <c r="M1260" s="17"/>
      <c r="N1260" s="17"/>
      <c r="O1260" s="17"/>
      <c r="P1260" s="17"/>
      <c r="Q1260" s="17"/>
      <c r="R1260" s="17"/>
      <c r="S1260" s="17"/>
      <c r="T1260" s="17"/>
      <c r="U1260" s="17"/>
      <c r="V1260" s="17"/>
      <c r="W1260" s="17"/>
      <c r="X1260" s="17"/>
      <c r="Y1260" s="46"/>
      <c r="Z1260" s="47"/>
      <c r="AA1260" s="48"/>
      <c r="AB1260" s="48"/>
      <c r="AC1260" s="48"/>
      <c r="AD1260" s="48"/>
      <c r="AE1260" s="48"/>
      <c r="AF1260" s="48"/>
      <c r="AG1260" s="48"/>
      <c r="AH1260" s="48"/>
      <c r="AI1260" s="48"/>
    </row>
    <row r="1261" spans="1:35" ht="12.5" hidden="1">
      <c r="A1261" s="37"/>
      <c r="B1261" s="38"/>
      <c r="C1261" s="63"/>
      <c r="D1261" s="17"/>
      <c r="E1261" s="17"/>
      <c r="F1261" s="17"/>
      <c r="G1261" s="17"/>
      <c r="H1261" s="65"/>
      <c r="I1261" s="24"/>
      <c r="J1261" s="17"/>
      <c r="K1261" s="17"/>
      <c r="L1261" s="17"/>
      <c r="M1261" s="17"/>
      <c r="N1261" s="17"/>
      <c r="O1261" s="17"/>
      <c r="P1261" s="17"/>
      <c r="Q1261" s="17"/>
      <c r="R1261" s="17"/>
      <c r="S1261" s="17"/>
      <c r="T1261" s="17"/>
      <c r="U1261" s="17"/>
      <c r="V1261" s="17"/>
      <c r="W1261" s="17"/>
      <c r="X1261" s="17"/>
      <c r="Y1261" s="46"/>
      <c r="Z1261" s="47"/>
      <c r="AA1261" s="48"/>
      <c r="AB1261" s="48"/>
      <c r="AC1261" s="48"/>
      <c r="AD1261" s="48"/>
      <c r="AE1261" s="48"/>
      <c r="AF1261" s="48"/>
      <c r="AG1261" s="48"/>
      <c r="AH1261" s="48"/>
      <c r="AI1261" s="48"/>
    </row>
    <row r="1262" spans="1:35" ht="12.5" hidden="1">
      <c r="A1262" s="37"/>
      <c r="B1262" s="38"/>
      <c r="C1262" s="63"/>
      <c r="D1262" s="17"/>
      <c r="E1262" s="17"/>
      <c r="F1262" s="17"/>
      <c r="G1262" s="17"/>
      <c r="H1262" s="65"/>
      <c r="I1262" s="24"/>
      <c r="J1262" s="17"/>
      <c r="K1262" s="17"/>
      <c r="L1262" s="17"/>
      <c r="M1262" s="17"/>
      <c r="N1262" s="17"/>
      <c r="O1262" s="17"/>
      <c r="P1262" s="17"/>
      <c r="Q1262" s="17"/>
      <c r="R1262" s="17"/>
      <c r="S1262" s="17"/>
      <c r="T1262" s="17"/>
      <c r="U1262" s="17"/>
      <c r="V1262" s="17"/>
      <c r="W1262" s="17"/>
      <c r="X1262" s="17"/>
      <c r="Y1262" s="46"/>
      <c r="Z1262" s="47"/>
      <c r="AA1262" s="48"/>
      <c r="AB1262" s="48"/>
      <c r="AC1262" s="48"/>
      <c r="AD1262" s="48"/>
      <c r="AE1262" s="48"/>
      <c r="AF1262" s="48"/>
      <c r="AG1262" s="48"/>
      <c r="AH1262" s="48"/>
      <c r="AI1262" s="48"/>
    </row>
    <row r="1263" spans="1:35" ht="12.5" hidden="1">
      <c r="A1263" s="37"/>
      <c r="B1263" s="38"/>
      <c r="C1263" s="63"/>
      <c r="D1263" s="17"/>
      <c r="E1263" s="17"/>
      <c r="F1263" s="17"/>
      <c r="G1263" s="17"/>
      <c r="H1263" s="65"/>
      <c r="I1263" s="24"/>
      <c r="J1263" s="17"/>
      <c r="K1263" s="17"/>
      <c r="L1263" s="17"/>
      <c r="M1263" s="17"/>
      <c r="N1263" s="17"/>
      <c r="O1263" s="17"/>
      <c r="P1263" s="17"/>
      <c r="Q1263" s="17"/>
      <c r="R1263" s="17"/>
      <c r="S1263" s="17"/>
      <c r="T1263" s="17"/>
      <c r="U1263" s="17"/>
      <c r="V1263" s="17"/>
      <c r="W1263" s="17"/>
      <c r="X1263" s="17"/>
      <c r="Y1263" s="46"/>
      <c r="Z1263" s="47"/>
      <c r="AA1263" s="48"/>
      <c r="AB1263" s="48"/>
      <c r="AC1263" s="48"/>
      <c r="AD1263" s="48"/>
      <c r="AE1263" s="48"/>
      <c r="AF1263" s="48"/>
      <c r="AG1263" s="48"/>
      <c r="AH1263" s="48"/>
      <c r="AI1263" s="48"/>
    </row>
    <row r="1264" spans="1:35" ht="12.5" hidden="1">
      <c r="A1264" s="37"/>
      <c r="B1264" s="38"/>
      <c r="C1264" s="63"/>
      <c r="D1264" s="17"/>
      <c r="E1264" s="17"/>
      <c r="F1264" s="17"/>
      <c r="G1264" s="17"/>
      <c r="H1264" s="65"/>
      <c r="I1264" s="24"/>
      <c r="J1264" s="17"/>
      <c r="K1264" s="17"/>
      <c r="L1264" s="17"/>
      <c r="M1264" s="17"/>
      <c r="N1264" s="17"/>
      <c r="O1264" s="17"/>
      <c r="P1264" s="17"/>
      <c r="Q1264" s="17"/>
      <c r="R1264" s="17"/>
      <c r="S1264" s="17"/>
      <c r="T1264" s="17"/>
      <c r="U1264" s="17"/>
      <c r="V1264" s="17"/>
      <c r="W1264" s="17"/>
      <c r="X1264" s="17"/>
      <c r="Y1264" s="46"/>
      <c r="Z1264" s="47"/>
      <c r="AA1264" s="48"/>
      <c r="AB1264" s="48"/>
      <c r="AC1264" s="48"/>
      <c r="AD1264" s="48"/>
      <c r="AE1264" s="48"/>
      <c r="AF1264" s="48"/>
      <c r="AG1264" s="48"/>
      <c r="AH1264" s="48"/>
      <c r="AI1264" s="48"/>
    </row>
    <row r="1265" spans="1:35" ht="12.5" hidden="1">
      <c r="A1265" s="37"/>
      <c r="B1265" s="38"/>
      <c r="C1265" s="63"/>
      <c r="D1265" s="17"/>
      <c r="E1265" s="17"/>
      <c r="F1265" s="17"/>
      <c r="G1265" s="17"/>
      <c r="H1265" s="65"/>
      <c r="I1265" s="24"/>
      <c r="J1265" s="17"/>
      <c r="K1265" s="17"/>
      <c r="L1265" s="17"/>
      <c r="M1265" s="17"/>
      <c r="N1265" s="17"/>
      <c r="O1265" s="17"/>
      <c r="P1265" s="17"/>
      <c r="Q1265" s="17"/>
      <c r="R1265" s="17"/>
      <c r="S1265" s="17"/>
      <c r="T1265" s="17"/>
      <c r="U1265" s="17"/>
      <c r="V1265" s="17"/>
      <c r="W1265" s="17"/>
      <c r="X1265" s="17"/>
      <c r="Y1265" s="46"/>
      <c r="Z1265" s="47"/>
      <c r="AA1265" s="48"/>
      <c r="AB1265" s="48"/>
      <c r="AC1265" s="48"/>
      <c r="AD1265" s="48"/>
      <c r="AE1265" s="48"/>
      <c r="AF1265" s="48"/>
      <c r="AG1265" s="48"/>
      <c r="AH1265" s="48"/>
      <c r="AI1265" s="48"/>
    </row>
    <row r="1266" spans="1:35" ht="12.5" hidden="1">
      <c r="A1266" s="37"/>
      <c r="B1266" s="38"/>
      <c r="C1266" s="63"/>
      <c r="D1266" s="17"/>
      <c r="E1266" s="17"/>
      <c r="F1266" s="17"/>
      <c r="G1266" s="17"/>
      <c r="H1266" s="65"/>
      <c r="I1266" s="24"/>
      <c r="J1266" s="17"/>
      <c r="K1266" s="17"/>
      <c r="L1266" s="17"/>
      <c r="M1266" s="17"/>
      <c r="N1266" s="17"/>
      <c r="O1266" s="17"/>
      <c r="P1266" s="17"/>
      <c r="Q1266" s="17"/>
      <c r="R1266" s="17"/>
      <c r="S1266" s="17"/>
      <c r="T1266" s="17"/>
      <c r="U1266" s="17"/>
      <c r="V1266" s="17"/>
      <c r="W1266" s="17"/>
      <c r="X1266" s="17"/>
      <c r="Y1266" s="46"/>
      <c r="Z1266" s="47"/>
      <c r="AA1266" s="48"/>
      <c r="AB1266" s="48"/>
      <c r="AC1266" s="48"/>
      <c r="AD1266" s="48"/>
      <c r="AE1266" s="48"/>
      <c r="AF1266" s="48"/>
      <c r="AG1266" s="48"/>
      <c r="AH1266" s="48"/>
      <c r="AI1266" s="48"/>
    </row>
    <row r="1267" spans="1:35" ht="12.5" hidden="1">
      <c r="A1267" s="37"/>
      <c r="B1267" s="38"/>
      <c r="C1267" s="63"/>
      <c r="D1267" s="17"/>
      <c r="E1267" s="17"/>
      <c r="F1267" s="17"/>
      <c r="G1267" s="17"/>
      <c r="H1267" s="65"/>
      <c r="I1267" s="24"/>
      <c r="J1267" s="17"/>
      <c r="K1267" s="17"/>
      <c r="L1267" s="17"/>
      <c r="M1267" s="17"/>
      <c r="N1267" s="17"/>
      <c r="O1267" s="17"/>
      <c r="P1267" s="17"/>
      <c r="Q1267" s="17"/>
      <c r="R1267" s="17"/>
      <c r="S1267" s="17"/>
      <c r="T1267" s="17"/>
      <c r="U1267" s="17"/>
      <c r="V1267" s="17"/>
      <c r="W1267" s="17"/>
      <c r="X1267" s="17"/>
      <c r="Y1267" s="46"/>
      <c r="Z1267" s="47"/>
      <c r="AA1267" s="48"/>
      <c r="AB1267" s="48"/>
      <c r="AC1267" s="48"/>
      <c r="AD1267" s="48"/>
      <c r="AE1267" s="48"/>
      <c r="AF1267" s="48"/>
      <c r="AG1267" s="48"/>
      <c r="AH1267" s="48"/>
      <c r="AI1267" s="48"/>
    </row>
    <row r="1268" spans="1:35" ht="12.5" hidden="1">
      <c r="A1268" s="37"/>
      <c r="B1268" s="38"/>
      <c r="C1268" s="63"/>
      <c r="D1268" s="17"/>
      <c r="E1268" s="17"/>
      <c r="F1268" s="17"/>
      <c r="G1268" s="17"/>
      <c r="H1268" s="65"/>
      <c r="I1268" s="24"/>
      <c r="J1268" s="17"/>
      <c r="K1268" s="17"/>
      <c r="L1268" s="17"/>
      <c r="M1268" s="17"/>
      <c r="N1268" s="17"/>
      <c r="O1268" s="17"/>
      <c r="P1268" s="17"/>
      <c r="Q1268" s="17"/>
      <c r="R1268" s="17"/>
      <c r="S1268" s="17"/>
      <c r="T1268" s="17"/>
      <c r="U1268" s="17"/>
      <c r="V1268" s="17"/>
      <c r="W1268" s="17"/>
      <c r="X1268" s="17"/>
      <c r="Y1268" s="46"/>
      <c r="Z1268" s="47"/>
      <c r="AA1268" s="48"/>
      <c r="AB1268" s="48"/>
      <c r="AC1268" s="48"/>
      <c r="AD1268" s="48"/>
      <c r="AE1268" s="48"/>
      <c r="AF1268" s="48"/>
      <c r="AG1268" s="48"/>
      <c r="AH1268" s="48"/>
      <c r="AI1268" s="48"/>
    </row>
    <row r="1269" spans="1:35" ht="12.5" hidden="1">
      <c r="A1269" s="37"/>
      <c r="B1269" s="38"/>
      <c r="C1269" s="63"/>
      <c r="D1269" s="17"/>
      <c r="E1269" s="17"/>
      <c r="F1269" s="17"/>
      <c r="G1269" s="17"/>
      <c r="H1269" s="65"/>
      <c r="I1269" s="24"/>
      <c r="J1269" s="17"/>
      <c r="K1269" s="17"/>
      <c r="L1269" s="17"/>
      <c r="M1269" s="17"/>
      <c r="N1269" s="17"/>
      <c r="O1269" s="17"/>
      <c r="P1269" s="17"/>
      <c r="Q1269" s="17"/>
      <c r="R1269" s="17"/>
      <c r="S1269" s="17"/>
      <c r="T1269" s="17"/>
      <c r="U1269" s="17"/>
      <c r="V1269" s="17"/>
      <c r="W1269" s="17"/>
      <c r="X1269" s="17"/>
      <c r="Y1269" s="46"/>
      <c r="Z1269" s="47"/>
      <c r="AA1269" s="48"/>
      <c r="AB1269" s="48"/>
      <c r="AC1269" s="48"/>
      <c r="AD1269" s="48"/>
      <c r="AE1269" s="48"/>
      <c r="AF1269" s="48"/>
      <c r="AG1269" s="48"/>
      <c r="AH1269" s="48"/>
      <c r="AI1269" s="48"/>
    </row>
    <row r="1270" spans="1:35" ht="12.5" hidden="1">
      <c r="A1270" s="37"/>
      <c r="B1270" s="38"/>
      <c r="C1270" s="63"/>
      <c r="D1270" s="17"/>
      <c r="E1270" s="17"/>
      <c r="F1270" s="17"/>
      <c r="G1270" s="17"/>
      <c r="H1270" s="65"/>
      <c r="I1270" s="24"/>
      <c r="J1270" s="17"/>
      <c r="K1270" s="17"/>
      <c r="L1270" s="17"/>
      <c r="M1270" s="17"/>
      <c r="N1270" s="17"/>
      <c r="O1270" s="17"/>
      <c r="P1270" s="17"/>
      <c r="Q1270" s="17"/>
      <c r="R1270" s="17"/>
      <c r="S1270" s="17"/>
      <c r="T1270" s="17"/>
      <c r="U1270" s="17"/>
      <c r="V1270" s="17"/>
      <c r="W1270" s="17"/>
      <c r="X1270" s="17"/>
      <c r="Y1270" s="46"/>
      <c r="Z1270" s="47"/>
      <c r="AA1270" s="48"/>
      <c r="AB1270" s="48"/>
      <c r="AC1270" s="48"/>
      <c r="AD1270" s="48"/>
      <c r="AE1270" s="48"/>
      <c r="AF1270" s="48"/>
      <c r="AG1270" s="48"/>
      <c r="AH1270" s="48"/>
      <c r="AI1270" s="48"/>
    </row>
    <row r="1271" spans="1:35" ht="12.5" hidden="1">
      <c r="A1271" s="37"/>
      <c r="B1271" s="38"/>
      <c r="C1271" s="63"/>
      <c r="D1271" s="17"/>
      <c r="E1271" s="17"/>
      <c r="F1271" s="17"/>
      <c r="G1271" s="17"/>
      <c r="H1271" s="65"/>
      <c r="I1271" s="24"/>
      <c r="J1271" s="17"/>
      <c r="K1271" s="17"/>
      <c r="L1271" s="17"/>
      <c r="M1271" s="17"/>
      <c r="N1271" s="17"/>
      <c r="O1271" s="17"/>
      <c r="P1271" s="17"/>
      <c r="Q1271" s="17"/>
      <c r="R1271" s="17"/>
      <c r="S1271" s="17"/>
      <c r="T1271" s="17"/>
      <c r="U1271" s="17"/>
      <c r="V1271" s="17"/>
      <c r="W1271" s="17"/>
      <c r="X1271" s="17"/>
      <c r="Y1271" s="46"/>
      <c r="Z1271" s="47"/>
      <c r="AA1271" s="48"/>
      <c r="AB1271" s="48"/>
      <c r="AC1271" s="48"/>
      <c r="AD1271" s="48"/>
      <c r="AE1271" s="48"/>
      <c r="AF1271" s="48"/>
      <c r="AG1271" s="48"/>
      <c r="AH1271" s="48"/>
      <c r="AI1271" s="48"/>
    </row>
    <row r="1272" spans="1:35" ht="12.5" hidden="1">
      <c r="A1272" s="37"/>
      <c r="B1272" s="38"/>
      <c r="C1272" s="63"/>
      <c r="D1272" s="17"/>
      <c r="E1272" s="17"/>
      <c r="F1272" s="17"/>
      <c r="G1272" s="17"/>
      <c r="H1272" s="65"/>
      <c r="I1272" s="24"/>
      <c r="J1272" s="17"/>
      <c r="K1272" s="17"/>
      <c r="L1272" s="17"/>
      <c r="M1272" s="17"/>
      <c r="N1272" s="17"/>
      <c r="O1272" s="17"/>
      <c r="P1272" s="17"/>
      <c r="Q1272" s="17"/>
      <c r="R1272" s="17"/>
      <c r="S1272" s="17"/>
      <c r="T1272" s="17"/>
      <c r="U1272" s="17"/>
      <c r="V1272" s="17"/>
      <c r="W1272" s="17"/>
      <c r="X1272" s="17"/>
      <c r="Y1272" s="46"/>
      <c r="Z1272" s="47"/>
      <c r="AA1272" s="48"/>
      <c r="AB1272" s="48"/>
      <c r="AC1272" s="48"/>
      <c r="AD1272" s="48"/>
      <c r="AE1272" s="48"/>
      <c r="AF1272" s="48"/>
      <c r="AG1272" s="48"/>
      <c r="AH1272" s="48"/>
      <c r="AI1272" s="48"/>
    </row>
    <row r="1273" spans="1:35" ht="12.5" hidden="1">
      <c r="A1273" s="37"/>
      <c r="B1273" s="38"/>
      <c r="C1273" s="63"/>
      <c r="D1273" s="17"/>
      <c r="E1273" s="17"/>
      <c r="F1273" s="17"/>
      <c r="G1273" s="17"/>
      <c r="H1273" s="65"/>
      <c r="I1273" s="24"/>
      <c r="J1273" s="17"/>
      <c r="K1273" s="17"/>
      <c r="L1273" s="17"/>
      <c r="M1273" s="17"/>
      <c r="N1273" s="17"/>
      <c r="O1273" s="17"/>
      <c r="P1273" s="17"/>
      <c r="Q1273" s="17"/>
      <c r="R1273" s="17"/>
      <c r="S1273" s="17"/>
      <c r="T1273" s="17"/>
      <c r="U1273" s="17"/>
      <c r="V1273" s="17"/>
      <c r="W1273" s="17"/>
      <c r="X1273" s="17"/>
      <c r="Y1273" s="46"/>
      <c r="Z1273" s="47"/>
      <c r="AA1273" s="48"/>
      <c r="AB1273" s="48"/>
      <c r="AC1273" s="48"/>
      <c r="AD1273" s="48"/>
      <c r="AE1273" s="48"/>
      <c r="AF1273" s="48"/>
      <c r="AG1273" s="48"/>
      <c r="AH1273" s="48"/>
      <c r="AI1273" s="48"/>
    </row>
    <row r="1274" spans="1:35" ht="12.5" hidden="1">
      <c r="A1274" s="37"/>
      <c r="B1274" s="38"/>
      <c r="C1274" s="63"/>
      <c r="D1274" s="17"/>
      <c r="E1274" s="17"/>
      <c r="F1274" s="17"/>
      <c r="G1274" s="17"/>
      <c r="H1274" s="65"/>
      <c r="I1274" s="24"/>
      <c r="J1274" s="17"/>
      <c r="K1274" s="17"/>
      <c r="L1274" s="17"/>
      <c r="M1274" s="17"/>
      <c r="N1274" s="17"/>
      <c r="O1274" s="17"/>
      <c r="P1274" s="17"/>
      <c r="Q1274" s="17"/>
      <c r="R1274" s="17"/>
      <c r="S1274" s="17"/>
      <c r="T1274" s="17"/>
      <c r="U1274" s="17"/>
      <c r="V1274" s="17"/>
      <c r="W1274" s="17"/>
      <c r="X1274" s="17"/>
      <c r="Y1274" s="46"/>
      <c r="Z1274" s="47"/>
      <c r="AA1274" s="48"/>
      <c r="AB1274" s="48"/>
      <c r="AC1274" s="48"/>
      <c r="AD1274" s="48"/>
      <c r="AE1274" s="48"/>
      <c r="AF1274" s="48"/>
      <c r="AG1274" s="48"/>
      <c r="AH1274" s="48"/>
      <c r="AI1274" s="48"/>
    </row>
    <row r="1275" spans="1:35" ht="12.5" hidden="1">
      <c r="A1275" s="37"/>
      <c r="B1275" s="38"/>
      <c r="C1275" s="63"/>
      <c r="D1275" s="17"/>
      <c r="E1275" s="17"/>
      <c r="F1275" s="17"/>
      <c r="G1275" s="17"/>
      <c r="H1275" s="65"/>
      <c r="I1275" s="24"/>
      <c r="J1275" s="17"/>
      <c r="K1275" s="17"/>
      <c r="L1275" s="17"/>
      <c r="M1275" s="17"/>
      <c r="N1275" s="17"/>
      <c r="O1275" s="17"/>
      <c r="P1275" s="17"/>
      <c r="Q1275" s="17"/>
      <c r="R1275" s="17"/>
      <c r="S1275" s="17"/>
      <c r="T1275" s="17"/>
      <c r="U1275" s="17"/>
      <c r="V1275" s="17"/>
      <c r="W1275" s="17"/>
      <c r="X1275" s="17"/>
      <c r="Y1275" s="46"/>
      <c r="Z1275" s="47"/>
      <c r="AA1275" s="48"/>
      <c r="AB1275" s="48"/>
      <c r="AC1275" s="48"/>
      <c r="AD1275" s="48"/>
      <c r="AE1275" s="48"/>
      <c r="AF1275" s="48"/>
      <c r="AG1275" s="48"/>
      <c r="AH1275" s="48"/>
      <c r="AI1275" s="48"/>
    </row>
    <row r="1276" spans="1:35" ht="12.5" hidden="1">
      <c r="A1276" s="37"/>
      <c r="B1276" s="38"/>
      <c r="C1276" s="63"/>
      <c r="D1276" s="17"/>
      <c r="E1276" s="17"/>
      <c r="F1276" s="17"/>
      <c r="G1276" s="17"/>
      <c r="H1276" s="65"/>
      <c r="I1276" s="24"/>
      <c r="J1276" s="17"/>
      <c r="K1276" s="17"/>
      <c r="L1276" s="17"/>
      <c r="M1276" s="17"/>
      <c r="N1276" s="17"/>
      <c r="O1276" s="17"/>
      <c r="P1276" s="17"/>
      <c r="Q1276" s="17"/>
      <c r="R1276" s="17"/>
      <c r="S1276" s="17"/>
      <c r="T1276" s="17"/>
      <c r="U1276" s="17"/>
      <c r="V1276" s="17"/>
      <c r="W1276" s="17"/>
      <c r="X1276" s="17"/>
      <c r="Y1276" s="46"/>
      <c r="Z1276" s="47"/>
      <c r="AA1276" s="48"/>
      <c r="AB1276" s="48"/>
      <c r="AC1276" s="48"/>
      <c r="AD1276" s="48"/>
      <c r="AE1276" s="48"/>
      <c r="AF1276" s="48"/>
      <c r="AG1276" s="48"/>
      <c r="AH1276" s="48"/>
      <c r="AI1276" s="48"/>
    </row>
    <row r="1277" spans="1:35" ht="12.5" hidden="1">
      <c r="A1277" s="37"/>
      <c r="B1277" s="38"/>
      <c r="C1277" s="63"/>
      <c r="D1277" s="17"/>
      <c r="E1277" s="17"/>
      <c r="F1277" s="17"/>
      <c r="G1277" s="17"/>
      <c r="H1277" s="65"/>
      <c r="I1277" s="24"/>
      <c r="J1277" s="17"/>
      <c r="K1277" s="17"/>
      <c r="L1277" s="17"/>
      <c r="M1277" s="17"/>
      <c r="N1277" s="17"/>
      <c r="O1277" s="17"/>
      <c r="P1277" s="17"/>
      <c r="Q1277" s="17"/>
      <c r="R1277" s="17"/>
      <c r="S1277" s="17"/>
      <c r="T1277" s="17"/>
      <c r="U1277" s="17"/>
      <c r="V1277" s="17"/>
      <c r="W1277" s="17"/>
      <c r="X1277" s="17"/>
      <c r="Y1277" s="46"/>
      <c r="Z1277" s="47"/>
      <c r="AA1277" s="48"/>
      <c r="AB1277" s="48"/>
      <c r="AC1277" s="48"/>
      <c r="AD1277" s="48"/>
      <c r="AE1277" s="48"/>
      <c r="AF1277" s="48"/>
      <c r="AG1277" s="48"/>
      <c r="AH1277" s="48"/>
      <c r="AI1277" s="48"/>
    </row>
    <row r="1278" spans="1:35" ht="12.5" hidden="1">
      <c r="A1278" s="37"/>
      <c r="B1278" s="38"/>
      <c r="C1278" s="63"/>
      <c r="D1278" s="17"/>
      <c r="E1278" s="17"/>
      <c r="F1278" s="17"/>
      <c r="G1278" s="17"/>
      <c r="H1278" s="65"/>
      <c r="I1278" s="24"/>
      <c r="J1278" s="17"/>
      <c r="K1278" s="17"/>
      <c r="L1278" s="17"/>
      <c r="M1278" s="17"/>
      <c r="N1278" s="17"/>
      <c r="O1278" s="17"/>
      <c r="P1278" s="17"/>
      <c r="Q1278" s="17"/>
      <c r="R1278" s="17"/>
      <c r="S1278" s="17"/>
      <c r="T1278" s="17"/>
      <c r="U1278" s="17"/>
      <c r="V1278" s="17"/>
      <c r="W1278" s="17"/>
      <c r="X1278" s="17"/>
      <c r="Y1278" s="46"/>
      <c r="Z1278" s="47"/>
      <c r="AA1278" s="48"/>
      <c r="AB1278" s="48"/>
      <c r="AC1278" s="48"/>
      <c r="AD1278" s="48"/>
      <c r="AE1278" s="48"/>
      <c r="AF1278" s="48"/>
      <c r="AG1278" s="48"/>
      <c r="AH1278" s="48"/>
      <c r="AI1278" s="48"/>
    </row>
    <row r="1279" spans="1:35" ht="12.5" hidden="1">
      <c r="A1279" s="37"/>
      <c r="B1279" s="38"/>
      <c r="C1279" s="63"/>
      <c r="D1279" s="17"/>
      <c r="E1279" s="17"/>
      <c r="F1279" s="17"/>
      <c r="G1279" s="17"/>
      <c r="H1279" s="65"/>
      <c r="I1279" s="24"/>
      <c r="J1279" s="17"/>
      <c r="K1279" s="17"/>
      <c r="L1279" s="17"/>
      <c r="M1279" s="17"/>
      <c r="N1279" s="17"/>
      <c r="O1279" s="17"/>
      <c r="P1279" s="17"/>
      <c r="Q1279" s="17"/>
      <c r="R1279" s="17"/>
      <c r="S1279" s="17"/>
      <c r="T1279" s="17"/>
      <c r="U1279" s="17"/>
      <c r="V1279" s="17"/>
      <c r="W1279" s="17"/>
      <c r="X1279" s="17"/>
      <c r="Y1279" s="46"/>
      <c r="Z1279" s="47"/>
      <c r="AA1279" s="48"/>
      <c r="AB1279" s="48"/>
      <c r="AC1279" s="48"/>
      <c r="AD1279" s="48"/>
      <c r="AE1279" s="48"/>
      <c r="AF1279" s="48"/>
      <c r="AG1279" s="48"/>
      <c r="AH1279" s="48"/>
      <c r="AI1279" s="48"/>
    </row>
    <row r="1280" spans="1:35" ht="12.5" hidden="1">
      <c r="A1280" s="37"/>
      <c r="B1280" s="38"/>
      <c r="C1280" s="63"/>
      <c r="D1280" s="17"/>
      <c r="E1280" s="17"/>
      <c r="F1280" s="17"/>
      <c r="G1280" s="17"/>
      <c r="H1280" s="65"/>
      <c r="I1280" s="24"/>
      <c r="J1280" s="17"/>
      <c r="K1280" s="17"/>
      <c r="L1280" s="17"/>
      <c r="M1280" s="17"/>
      <c r="N1280" s="17"/>
      <c r="O1280" s="17"/>
      <c r="P1280" s="17"/>
      <c r="Q1280" s="17"/>
      <c r="R1280" s="17"/>
      <c r="S1280" s="17"/>
      <c r="T1280" s="17"/>
      <c r="U1280" s="17"/>
      <c r="V1280" s="17"/>
      <c r="W1280" s="17"/>
      <c r="X1280" s="17"/>
      <c r="Y1280" s="46"/>
      <c r="Z1280" s="47"/>
      <c r="AA1280" s="48"/>
      <c r="AB1280" s="48"/>
      <c r="AC1280" s="48"/>
      <c r="AD1280" s="48"/>
      <c r="AE1280" s="48"/>
      <c r="AF1280" s="48"/>
      <c r="AG1280" s="48"/>
      <c r="AH1280" s="48"/>
      <c r="AI1280" s="48"/>
    </row>
    <row r="1281" spans="1:35" ht="12.5" hidden="1">
      <c r="A1281" s="37"/>
      <c r="B1281" s="38"/>
      <c r="C1281" s="63"/>
      <c r="D1281" s="17"/>
      <c r="E1281" s="17"/>
      <c r="F1281" s="17"/>
      <c r="G1281" s="17"/>
      <c r="H1281" s="65"/>
      <c r="I1281" s="24"/>
      <c r="J1281" s="17"/>
      <c r="K1281" s="17"/>
      <c r="L1281" s="17"/>
      <c r="M1281" s="17"/>
      <c r="N1281" s="17"/>
      <c r="O1281" s="17"/>
      <c r="P1281" s="17"/>
      <c r="Q1281" s="17"/>
      <c r="R1281" s="17"/>
      <c r="S1281" s="17"/>
      <c r="T1281" s="17"/>
      <c r="U1281" s="17"/>
      <c r="V1281" s="17"/>
      <c r="W1281" s="17"/>
      <c r="X1281" s="17"/>
      <c r="Y1281" s="46"/>
      <c r="Z1281" s="47"/>
      <c r="AA1281" s="48"/>
      <c r="AB1281" s="48"/>
      <c r="AC1281" s="48"/>
      <c r="AD1281" s="48"/>
      <c r="AE1281" s="48"/>
      <c r="AF1281" s="48"/>
      <c r="AG1281" s="48"/>
      <c r="AH1281" s="48"/>
      <c r="AI1281" s="48"/>
    </row>
    <row r="1282" spans="1:35" ht="12.5" hidden="1">
      <c r="A1282" s="37"/>
      <c r="B1282" s="38"/>
      <c r="C1282" s="63"/>
      <c r="D1282" s="17"/>
      <c r="E1282" s="17"/>
      <c r="F1282" s="17"/>
      <c r="G1282" s="17"/>
      <c r="H1282" s="65"/>
      <c r="I1282" s="24"/>
      <c r="J1282" s="17"/>
      <c r="K1282" s="17"/>
      <c r="L1282" s="17"/>
      <c r="M1282" s="17"/>
      <c r="N1282" s="17"/>
      <c r="O1282" s="17"/>
      <c r="P1282" s="17"/>
      <c r="Q1282" s="17"/>
      <c r="R1282" s="17"/>
      <c r="S1282" s="17"/>
      <c r="T1282" s="17"/>
      <c r="U1282" s="17"/>
      <c r="V1282" s="17"/>
      <c r="W1282" s="17"/>
      <c r="X1282" s="17"/>
      <c r="Y1282" s="46"/>
      <c r="Z1282" s="47"/>
      <c r="AA1282" s="48"/>
      <c r="AB1282" s="48"/>
      <c r="AC1282" s="48"/>
      <c r="AD1282" s="48"/>
      <c r="AE1282" s="48"/>
      <c r="AF1282" s="48"/>
      <c r="AG1282" s="48"/>
      <c r="AH1282" s="48"/>
      <c r="AI1282" s="48"/>
    </row>
    <row r="1283" spans="1:35" ht="12.5" hidden="1">
      <c r="A1283" s="37"/>
      <c r="B1283" s="38"/>
      <c r="C1283" s="63"/>
      <c r="D1283" s="17"/>
      <c r="E1283" s="17"/>
      <c r="F1283" s="17"/>
      <c r="G1283" s="17"/>
      <c r="H1283" s="65"/>
      <c r="I1283" s="24"/>
      <c r="J1283" s="17"/>
      <c r="K1283" s="17"/>
      <c r="L1283" s="17"/>
      <c r="M1283" s="17"/>
      <c r="N1283" s="17"/>
      <c r="O1283" s="17"/>
      <c r="P1283" s="17"/>
      <c r="Q1283" s="17"/>
      <c r="R1283" s="17"/>
      <c r="S1283" s="17"/>
      <c r="T1283" s="17"/>
      <c r="U1283" s="17"/>
      <c r="V1283" s="17"/>
      <c r="W1283" s="17"/>
      <c r="X1283" s="17"/>
      <c r="Y1283" s="46"/>
      <c r="Z1283" s="47"/>
      <c r="AA1283" s="48"/>
      <c r="AB1283" s="48"/>
      <c r="AC1283" s="48"/>
      <c r="AD1283" s="48"/>
      <c r="AE1283" s="48"/>
      <c r="AF1283" s="48"/>
      <c r="AG1283" s="48"/>
      <c r="AH1283" s="48"/>
      <c r="AI1283" s="48"/>
    </row>
    <row r="1284" spans="1:35" ht="12.5" hidden="1">
      <c r="A1284" s="37"/>
      <c r="B1284" s="38"/>
      <c r="C1284" s="63"/>
      <c r="D1284" s="17"/>
      <c r="E1284" s="17"/>
      <c r="F1284" s="17"/>
      <c r="G1284" s="17"/>
      <c r="H1284" s="65"/>
      <c r="I1284" s="24"/>
      <c r="J1284" s="17"/>
      <c r="K1284" s="17"/>
      <c r="L1284" s="17"/>
      <c r="M1284" s="17"/>
      <c r="N1284" s="17"/>
      <c r="O1284" s="17"/>
      <c r="P1284" s="17"/>
      <c r="Q1284" s="17"/>
      <c r="R1284" s="17"/>
      <c r="S1284" s="17"/>
      <c r="T1284" s="17"/>
      <c r="U1284" s="17"/>
      <c r="V1284" s="17"/>
      <c r="W1284" s="17"/>
      <c r="X1284" s="17"/>
      <c r="Y1284" s="46"/>
      <c r="Z1284" s="47"/>
      <c r="AA1284" s="48"/>
      <c r="AB1284" s="48"/>
      <c r="AC1284" s="48"/>
      <c r="AD1284" s="48"/>
      <c r="AE1284" s="48"/>
      <c r="AF1284" s="48"/>
      <c r="AG1284" s="48"/>
      <c r="AH1284" s="48"/>
      <c r="AI1284" s="48"/>
    </row>
    <row r="1285" spans="1:35" ht="12.5" hidden="1">
      <c r="A1285" s="37"/>
      <c r="B1285" s="38"/>
      <c r="C1285" s="63"/>
      <c r="D1285" s="17"/>
      <c r="E1285" s="17"/>
      <c r="F1285" s="17"/>
      <c r="G1285" s="17"/>
      <c r="H1285" s="65"/>
      <c r="I1285" s="24"/>
      <c r="J1285" s="17"/>
      <c r="K1285" s="17"/>
      <c r="L1285" s="17"/>
      <c r="M1285" s="17"/>
      <c r="N1285" s="17"/>
      <c r="O1285" s="17"/>
      <c r="P1285" s="17"/>
      <c r="Q1285" s="17"/>
      <c r="R1285" s="17"/>
      <c r="S1285" s="17"/>
      <c r="T1285" s="17"/>
      <c r="U1285" s="17"/>
      <c r="V1285" s="17"/>
      <c r="W1285" s="17"/>
      <c r="X1285" s="17"/>
      <c r="Y1285" s="46"/>
      <c r="Z1285" s="47"/>
      <c r="AA1285" s="48"/>
      <c r="AB1285" s="48"/>
      <c r="AC1285" s="48"/>
      <c r="AD1285" s="48"/>
      <c r="AE1285" s="48"/>
      <c r="AF1285" s="48"/>
      <c r="AG1285" s="48"/>
      <c r="AH1285" s="48"/>
      <c r="AI1285" s="48"/>
    </row>
    <row r="1286" spans="1:35" ht="12.5" hidden="1">
      <c r="A1286" s="37"/>
      <c r="B1286" s="38"/>
      <c r="C1286" s="63"/>
      <c r="D1286" s="17"/>
      <c r="E1286" s="17"/>
      <c r="F1286" s="17"/>
      <c r="G1286" s="17"/>
      <c r="H1286" s="65"/>
      <c r="I1286" s="24"/>
      <c r="J1286" s="17"/>
      <c r="K1286" s="17"/>
      <c r="L1286" s="17"/>
      <c r="M1286" s="17"/>
      <c r="N1286" s="17"/>
      <c r="O1286" s="17"/>
      <c r="P1286" s="17"/>
      <c r="Q1286" s="17"/>
      <c r="R1286" s="17"/>
      <c r="S1286" s="17"/>
      <c r="T1286" s="17"/>
      <c r="U1286" s="17"/>
      <c r="V1286" s="17"/>
      <c r="W1286" s="17"/>
      <c r="X1286" s="17"/>
      <c r="Y1286" s="46"/>
      <c r="Z1286" s="47"/>
      <c r="AA1286" s="48"/>
      <c r="AB1286" s="48"/>
      <c r="AC1286" s="48"/>
      <c r="AD1286" s="48"/>
      <c r="AE1286" s="48"/>
      <c r="AF1286" s="48"/>
      <c r="AG1286" s="48"/>
      <c r="AH1286" s="48"/>
      <c r="AI1286" s="48"/>
    </row>
    <row r="1287" spans="1:35" ht="12.5" hidden="1">
      <c r="A1287" s="37"/>
      <c r="B1287" s="38"/>
      <c r="C1287" s="63"/>
      <c r="D1287" s="17"/>
      <c r="E1287" s="17"/>
      <c r="F1287" s="17"/>
      <c r="G1287" s="17"/>
      <c r="H1287" s="65"/>
      <c r="I1287" s="24"/>
      <c r="J1287" s="17"/>
      <c r="K1287" s="17"/>
      <c r="L1287" s="17"/>
      <c r="M1287" s="17"/>
      <c r="N1287" s="17"/>
      <c r="O1287" s="17"/>
      <c r="P1287" s="17"/>
      <c r="Q1287" s="17"/>
      <c r="R1287" s="17"/>
      <c r="S1287" s="17"/>
      <c r="T1287" s="17"/>
      <c r="U1287" s="17"/>
      <c r="V1287" s="17"/>
      <c r="W1287" s="17"/>
      <c r="X1287" s="17"/>
      <c r="Y1287" s="46"/>
      <c r="Z1287" s="47"/>
      <c r="AA1287" s="48"/>
      <c r="AB1287" s="48"/>
      <c r="AC1287" s="48"/>
      <c r="AD1287" s="48"/>
      <c r="AE1287" s="48"/>
      <c r="AF1287" s="48"/>
      <c r="AG1287" s="48"/>
      <c r="AH1287" s="48"/>
      <c r="AI1287" s="48"/>
    </row>
    <row r="1288" spans="1:35" ht="12.5" hidden="1">
      <c r="A1288" s="37"/>
      <c r="B1288" s="38"/>
      <c r="C1288" s="63"/>
      <c r="D1288" s="17"/>
      <c r="E1288" s="17"/>
      <c r="F1288" s="17"/>
      <c r="G1288" s="17"/>
      <c r="H1288" s="65"/>
      <c r="I1288" s="24"/>
      <c r="J1288" s="17"/>
      <c r="K1288" s="17"/>
      <c r="L1288" s="17"/>
      <c r="M1288" s="17"/>
      <c r="N1288" s="17"/>
      <c r="O1288" s="17"/>
      <c r="P1288" s="17"/>
      <c r="Q1288" s="17"/>
      <c r="R1288" s="17"/>
      <c r="S1288" s="17"/>
      <c r="T1288" s="17"/>
      <c r="U1288" s="17"/>
      <c r="V1288" s="17"/>
      <c r="W1288" s="17"/>
      <c r="X1288" s="17"/>
      <c r="Y1288" s="46"/>
      <c r="Z1288" s="47"/>
      <c r="AA1288" s="48"/>
      <c r="AB1288" s="48"/>
      <c r="AC1288" s="48"/>
      <c r="AD1288" s="48"/>
      <c r="AE1288" s="48"/>
      <c r="AF1288" s="48"/>
      <c r="AG1288" s="48"/>
      <c r="AH1288" s="48"/>
      <c r="AI1288" s="48"/>
    </row>
    <row r="1289" spans="1:35" ht="12.5" hidden="1">
      <c r="A1289" s="37"/>
      <c r="B1289" s="38"/>
      <c r="C1289" s="63"/>
      <c r="D1289" s="17"/>
      <c r="E1289" s="17"/>
      <c r="F1289" s="17"/>
      <c r="G1289" s="17"/>
      <c r="H1289" s="65"/>
      <c r="I1289" s="24"/>
      <c r="J1289" s="17"/>
      <c r="K1289" s="17"/>
      <c r="L1289" s="17"/>
      <c r="M1289" s="17"/>
      <c r="N1289" s="17"/>
      <c r="O1289" s="17"/>
      <c r="P1289" s="17"/>
      <c r="Q1289" s="17"/>
      <c r="R1289" s="17"/>
      <c r="S1289" s="17"/>
      <c r="T1289" s="17"/>
      <c r="U1289" s="17"/>
      <c r="V1289" s="17"/>
      <c r="W1289" s="17"/>
      <c r="X1289" s="17"/>
      <c r="Y1289" s="46"/>
      <c r="Z1289" s="47"/>
      <c r="AA1289" s="48"/>
      <c r="AB1289" s="48"/>
      <c r="AC1289" s="48"/>
      <c r="AD1289" s="48"/>
      <c r="AE1289" s="48"/>
      <c r="AF1289" s="48"/>
      <c r="AG1289" s="48"/>
      <c r="AH1289" s="48"/>
      <c r="AI1289" s="48"/>
    </row>
    <row r="1290" spans="1:35" ht="12.5" hidden="1">
      <c r="A1290" s="37"/>
      <c r="B1290" s="38"/>
      <c r="C1290" s="63"/>
      <c r="D1290" s="17"/>
      <c r="E1290" s="17"/>
      <c r="F1290" s="17"/>
      <c r="G1290" s="17"/>
      <c r="H1290" s="65"/>
      <c r="I1290" s="24"/>
      <c r="J1290" s="44"/>
      <c r="K1290" s="17"/>
      <c r="L1290" s="17"/>
      <c r="M1290" s="17"/>
      <c r="N1290" s="17"/>
      <c r="O1290" s="17"/>
      <c r="P1290" s="17"/>
      <c r="Q1290" s="17"/>
      <c r="R1290" s="17"/>
      <c r="S1290" s="17"/>
      <c r="T1290" s="17"/>
      <c r="U1290" s="17"/>
      <c r="V1290" s="17"/>
      <c r="W1290" s="17"/>
      <c r="X1290" s="17"/>
      <c r="Y1290" s="46"/>
      <c r="Z1290" s="47"/>
      <c r="AA1290" s="48"/>
      <c r="AB1290" s="48"/>
      <c r="AC1290" s="48"/>
      <c r="AD1290" s="48"/>
      <c r="AE1290" s="48"/>
      <c r="AF1290" s="48"/>
      <c r="AG1290" s="48"/>
      <c r="AH1290" s="48"/>
      <c r="AI1290" s="48"/>
    </row>
    <row r="1291" spans="1:35" ht="12.5" hidden="1">
      <c r="A1291" s="37"/>
      <c r="B1291" s="38"/>
      <c r="C1291" s="63"/>
      <c r="D1291" s="17"/>
      <c r="E1291" s="17"/>
      <c r="F1291" s="17"/>
      <c r="G1291" s="17"/>
      <c r="H1291" s="65"/>
      <c r="I1291" s="24"/>
      <c r="J1291" s="17"/>
      <c r="K1291" s="17"/>
      <c r="L1291" s="17"/>
      <c r="M1291" s="17"/>
      <c r="N1291" s="17"/>
      <c r="O1291" s="17"/>
      <c r="P1291" s="17"/>
      <c r="Q1291" s="17"/>
      <c r="R1291" s="17"/>
      <c r="S1291" s="17"/>
      <c r="T1291" s="17"/>
      <c r="U1291" s="17"/>
      <c r="V1291" s="17"/>
      <c r="W1291" s="17"/>
      <c r="X1291" s="17"/>
      <c r="Y1291" s="46"/>
      <c r="Z1291" s="47"/>
      <c r="AA1291" s="48"/>
      <c r="AB1291" s="48"/>
      <c r="AC1291" s="48"/>
      <c r="AD1291" s="48"/>
      <c r="AE1291" s="48"/>
      <c r="AF1291" s="48"/>
      <c r="AG1291" s="48"/>
      <c r="AH1291" s="48"/>
      <c r="AI1291" s="48"/>
    </row>
    <row r="1292" spans="1:35" ht="12.5" hidden="1">
      <c r="A1292" s="37"/>
      <c r="B1292" s="38"/>
      <c r="C1292" s="63"/>
      <c r="D1292" s="17"/>
      <c r="E1292" s="17"/>
      <c r="F1292" s="17"/>
      <c r="G1292" s="17"/>
      <c r="H1292" s="65"/>
      <c r="I1292" s="24"/>
      <c r="J1292" s="17"/>
      <c r="K1292" s="17"/>
      <c r="L1292" s="17"/>
      <c r="M1292" s="17"/>
      <c r="N1292" s="17"/>
      <c r="O1292" s="17"/>
      <c r="P1292" s="17"/>
      <c r="Q1292" s="17"/>
      <c r="R1292" s="17"/>
      <c r="S1292" s="17"/>
      <c r="T1292" s="17"/>
      <c r="U1292" s="17"/>
      <c r="V1292" s="17"/>
      <c r="W1292" s="17"/>
      <c r="X1292" s="17"/>
      <c r="Y1292" s="46"/>
      <c r="Z1292" s="47"/>
      <c r="AA1292" s="48"/>
      <c r="AB1292" s="48"/>
      <c r="AC1292" s="48"/>
      <c r="AD1292" s="48"/>
      <c r="AE1292" s="48"/>
      <c r="AF1292" s="48"/>
      <c r="AG1292" s="48"/>
      <c r="AH1292" s="48"/>
      <c r="AI1292" s="48"/>
    </row>
    <row r="1293" spans="1:35" ht="12.5" hidden="1">
      <c r="A1293" s="37"/>
      <c r="B1293" s="38"/>
      <c r="C1293" s="63"/>
      <c r="D1293" s="17"/>
      <c r="E1293" s="17"/>
      <c r="F1293" s="17"/>
      <c r="G1293" s="17"/>
      <c r="H1293" s="65"/>
      <c r="I1293" s="24"/>
      <c r="J1293" s="17"/>
      <c r="K1293" s="17"/>
      <c r="L1293" s="17"/>
      <c r="M1293" s="17"/>
      <c r="N1293" s="17"/>
      <c r="O1293" s="17"/>
      <c r="P1293" s="17"/>
      <c r="Q1293" s="17"/>
      <c r="R1293" s="17"/>
      <c r="S1293" s="17"/>
      <c r="T1293" s="17"/>
      <c r="U1293" s="17"/>
      <c r="V1293" s="17"/>
      <c r="W1293" s="17"/>
      <c r="X1293" s="17"/>
      <c r="Y1293" s="46"/>
      <c r="Z1293" s="47"/>
      <c r="AA1293" s="48"/>
      <c r="AB1293" s="48"/>
      <c r="AC1293" s="48"/>
      <c r="AD1293" s="48"/>
      <c r="AE1293" s="48"/>
      <c r="AF1293" s="48"/>
      <c r="AG1293" s="48"/>
      <c r="AH1293" s="48"/>
      <c r="AI1293" s="48"/>
    </row>
    <row r="1294" spans="1:35" ht="12.5" hidden="1">
      <c r="A1294" s="37"/>
      <c r="B1294" s="38"/>
      <c r="C1294" s="63"/>
      <c r="D1294" s="17"/>
      <c r="E1294" s="17"/>
      <c r="F1294" s="17"/>
      <c r="G1294" s="17"/>
      <c r="H1294" s="65"/>
      <c r="I1294" s="24"/>
      <c r="J1294" s="17"/>
      <c r="K1294" s="17"/>
      <c r="L1294" s="17"/>
      <c r="M1294" s="17"/>
      <c r="N1294" s="17"/>
      <c r="O1294" s="17"/>
      <c r="P1294" s="17"/>
      <c r="Q1294" s="17"/>
      <c r="R1294" s="17"/>
      <c r="S1294" s="17"/>
      <c r="T1294" s="17"/>
      <c r="U1294" s="17"/>
      <c r="V1294" s="17"/>
      <c r="W1294" s="17"/>
      <c r="X1294" s="17"/>
      <c r="Y1294" s="46"/>
      <c r="Z1294" s="47"/>
      <c r="AA1294" s="48"/>
      <c r="AB1294" s="48"/>
      <c r="AC1294" s="48"/>
      <c r="AD1294" s="48"/>
      <c r="AE1294" s="48"/>
      <c r="AF1294" s="48"/>
      <c r="AG1294" s="48"/>
      <c r="AH1294" s="48"/>
      <c r="AI1294" s="48"/>
    </row>
    <row r="1295" spans="1:35" ht="12.5" hidden="1">
      <c r="A1295" s="37"/>
      <c r="B1295" s="38"/>
      <c r="C1295" s="63"/>
      <c r="D1295" s="17"/>
      <c r="E1295" s="17"/>
      <c r="F1295" s="17"/>
      <c r="G1295" s="17"/>
      <c r="H1295" s="65"/>
      <c r="I1295" s="24"/>
      <c r="J1295" s="17"/>
      <c r="K1295" s="17"/>
      <c r="L1295" s="17"/>
      <c r="M1295" s="17"/>
      <c r="N1295" s="17"/>
      <c r="O1295" s="17"/>
      <c r="P1295" s="17"/>
      <c r="Q1295" s="17"/>
      <c r="R1295" s="17"/>
      <c r="S1295" s="17"/>
      <c r="T1295" s="17"/>
      <c r="U1295" s="17"/>
      <c r="V1295" s="17"/>
      <c r="W1295" s="17"/>
      <c r="X1295" s="17"/>
      <c r="Y1295" s="46"/>
      <c r="Z1295" s="47"/>
      <c r="AA1295" s="48"/>
      <c r="AB1295" s="48"/>
      <c r="AC1295" s="48"/>
      <c r="AD1295" s="48"/>
      <c r="AE1295" s="48"/>
      <c r="AF1295" s="48"/>
      <c r="AG1295" s="48"/>
      <c r="AH1295" s="48"/>
      <c r="AI1295" s="48"/>
    </row>
    <row r="1296" spans="1:35" ht="12.5" hidden="1">
      <c r="A1296" s="37"/>
      <c r="B1296" s="38"/>
      <c r="C1296" s="63"/>
      <c r="D1296" s="17"/>
      <c r="E1296" s="17"/>
      <c r="F1296" s="17"/>
      <c r="G1296" s="17"/>
      <c r="H1296" s="65"/>
      <c r="I1296" s="24"/>
      <c r="J1296" s="17"/>
      <c r="K1296" s="17"/>
      <c r="L1296" s="17"/>
      <c r="M1296" s="17"/>
      <c r="N1296" s="17"/>
      <c r="O1296" s="17"/>
      <c r="P1296" s="17"/>
      <c r="Q1296" s="17"/>
      <c r="R1296" s="17"/>
      <c r="S1296" s="17"/>
      <c r="T1296" s="17"/>
      <c r="U1296" s="17"/>
      <c r="V1296" s="17"/>
      <c r="W1296" s="17"/>
      <c r="X1296" s="17"/>
      <c r="Y1296" s="46"/>
      <c r="Z1296" s="47"/>
      <c r="AA1296" s="48"/>
      <c r="AB1296" s="48"/>
      <c r="AC1296" s="48"/>
      <c r="AD1296" s="48"/>
      <c r="AE1296" s="48"/>
      <c r="AF1296" s="48"/>
      <c r="AG1296" s="48"/>
      <c r="AH1296" s="48"/>
      <c r="AI1296" s="48"/>
    </row>
    <row r="1297" spans="1:35" ht="12.5" hidden="1">
      <c r="A1297" s="37"/>
      <c r="B1297" s="38"/>
      <c r="C1297" s="63"/>
      <c r="D1297" s="17"/>
      <c r="E1297" s="17"/>
      <c r="F1297" s="17"/>
      <c r="G1297" s="17"/>
      <c r="H1297" s="65"/>
      <c r="I1297" s="24"/>
      <c r="J1297" s="17"/>
      <c r="K1297" s="17"/>
      <c r="L1297" s="17"/>
      <c r="M1297" s="17"/>
      <c r="N1297" s="17"/>
      <c r="O1297" s="17"/>
      <c r="P1297" s="17"/>
      <c r="Q1297" s="17"/>
      <c r="R1297" s="17"/>
      <c r="S1297" s="17"/>
      <c r="T1297" s="17"/>
      <c r="U1297" s="17"/>
      <c r="V1297" s="17"/>
      <c r="W1297" s="17"/>
      <c r="X1297" s="17"/>
      <c r="Y1297" s="46"/>
      <c r="Z1297" s="47"/>
      <c r="AA1297" s="48"/>
      <c r="AB1297" s="48"/>
      <c r="AC1297" s="48"/>
      <c r="AD1297" s="48"/>
      <c r="AE1297" s="48"/>
      <c r="AF1297" s="48"/>
      <c r="AG1297" s="48"/>
      <c r="AH1297" s="48"/>
      <c r="AI1297" s="48"/>
    </row>
    <row r="1298" spans="1:35" ht="12.5" hidden="1">
      <c r="A1298" s="37"/>
      <c r="B1298" s="38"/>
      <c r="C1298" s="63"/>
      <c r="D1298" s="17"/>
      <c r="E1298" s="17"/>
      <c r="F1298" s="17"/>
      <c r="G1298" s="17"/>
      <c r="H1298" s="65"/>
      <c r="I1298" s="24"/>
      <c r="J1298" s="17"/>
      <c r="K1298" s="17"/>
      <c r="L1298" s="17"/>
      <c r="M1298" s="17"/>
      <c r="N1298" s="17"/>
      <c r="O1298" s="17"/>
      <c r="P1298" s="17"/>
      <c r="Q1298" s="17"/>
      <c r="R1298" s="17"/>
      <c r="S1298" s="17"/>
      <c r="T1298" s="17"/>
      <c r="U1298" s="17"/>
      <c r="V1298" s="17"/>
      <c r="W1298" s="17"/>
      <c r="X1298" s="17"/>
      <c r="Y1298" s="46"/>
      <c r="Z1298" s="47"/>
      <c r="AA1298" s="48"/>
      <c r="AB1298" s="48"/>
      <c r="AC1298" s="48"/>
      <c r="AD1298" s="48"/>
      <c r="AE1298" s="48"/>
      <c r="AF1298" s="48"/>
      <c r="AG1298" s="48"/>
      <c r="AH1298" s="48"/>
      <c r="AI1298" s="48"/>
    </row>
    <row r="1299" spans="1:35" ht="12.5" hidden="1">
      <c r="A1299" s="37"/>
      <c r="B1299" s="38"/>
      <c r="C1299" s="63"/>
      <c r="D1299" s="17"/>
      <c r="E1299" s="17"/>
      <c r="F1299" s="17"/>
      <c r="G1299" s="17"/>
      <c r="H1299" s="65"/>
      <c r="I1299" s="24"/>
      <c r="J1299" s="17"/>
      <c r="K1299" s="17"/>
      <c r="L1299" s="17"/>
      <c r="M1299" s="17"/>
      <c r="N1299" s="17"/>
      <c r="O1299" s="17"/>
      <c r="P1299" s="17"/>
      <c r="Q1299" s="17"/>
      <c r="R1299" s="17"/>
      <c r="S1299" s="17"/>
      <c r="T1299" s="17"/>
      <c r="U1299" s="17"/>
      <c r="V1299" s="17"/>
      <c r="W1299" s="17"/>
      <c r="X1299" s="17"/>
      <c r="Y1299" s="46"/>
      <c r="Z1299" s="47"/>
      <c r="AA1299" s="48"/>
      <c r="AB1299" s="48"/>
      <c r="AC1299" s="48"/>
      <c r="AD1299" s="48"/>
      <c r="AE1299" s="48"/>
      <c r="AF1299" s="48"/>
      <c r="AG1299" s="48"/>
      <c r="AH1299" s="48"/>
      <c r="AI1299" s="48"/>
    </row>
    <row r="1300" spans="1:35" ht="12.5" hidden="1">
      <c r="A1300" s="37"/>
      <c r="B1300" s="38"/>
      <c r="C1300" s="63"/>
      <c r="D1300" s="17"/>
      <c r="E1300" s="17"/>
      <c r="F1300" s="17"/>
      <c r="G1300" s="17"/>
      <c r="H1300" s="65"/>
      <c r="I1300" s="24"/>
      <c r="J1300" s="17"/>
      <c r="K1300" s="17"/>
      <c r="L1300" s="17"/>
      <c r="M1300" s="17"/>
      <c r="N1300" s="17"/>
      <c r="O1300" s="17"/>
      <c r="P1300" s="17"/>
      <c r="Q1300" s="17"/>
      <c r="R1300" s="17"/>
      <c r="S1300" s="17"/>
      <c r="T1300" s="17"/>
      <c r="U1300" s="17"/>
      <c r="V1300" s="17"/>
      <c r="W1300" s="17"/>
      <c r="X1300" s="17"/>
      <c r="Y1300" s="46"/>
      <c r="Z1300" s="47"/>
      <c r="AA1300" s="48"/>
      <c r="AB1300" s="48"/>
      <c r="AC1300" s="48"/>
      <c r="AD1300" s="48"/>
      <c r="AE1300" s="48"/>
      <c r="AF1300" s="48"/>
      <c r="AG1300" s="48"/>
      <c r="AH1300" s="48"/>
      <c r="AI1300" s="48"/>
    </row>
    <row r="1301" spans="1:35" ht="12.5" hidden="1">
      <c r="A1301" s="37"/>
      <c r="B1301" s="38"/>
      <c r="C1301" s="63"/>
      <c r="D1301" s="17"/>
      <c r="E1301" s="17"/>
      <c r="F1301" s="17"/>
      <c r="G1301" s="17"/>
      <c r="H1301" s="65"/>
      <c r="I1301" s="24"/>
      <c r="J1301" s="17"/>
      <c r="K1301" s="17"/>
      <c r="L1301" s="17"/>
      <c r="M1301" s="17"/>
      <c r="N1301" s="17"/>
      <c r="O1301" s="17"/>
      <c r="P1301" s="17"/>
      <c r="Q1301" s="17"/>
      <c r="R1301" s="17"/>
      <c r="S1301" s="17"/>
      <c r="T1301" s="17"/>
      <c r="U1301" s="17"/>
      <c r="V1301" s="17"/>
      <c r="W1301" s="17"/>
      <c r="X1301" s="17"/>
      <c r="Y1301" s="46"/>
      <c r="Z1301" s="47"/>
      <c r="AA1301" s="48"/>
      <c r="AB1301" s="48"/>
      <c r="AC1301" s="48"/>
      <c r="AD1301" s="48"/>
      <c r="AE1301" s="48"/>
      <c r="AF1301" s="48"/>
      <c r="AG1301" s="48"/>
      <c r="AH1301" s="48"/>
      <c r="AI1301" s="48"/>
    </row>
    <row r="1302" spans="1:35" ht="12.5" hidden="1">
      <c r="A1302" s="37"/>
      <c r="B1302" s="38"/>
      <c r="C1302" s="63"/>
      <c r="D1302" s="17"/>
      <c r="E1302" s="17"/>
      <c r="F1302" s="17"/>
      <c r="G1302" s="17"/>
      <c r="H1302" s="65"/>
      <c r="I1302" s="24"/>
      <c r="J1302" s="17"/>
      <c r="K1302" s="17"/>
      <c r="L1302" s="17"/>
      <c r="M1302" s="17"/>
      <c r="N1302" s="17"/>
      <c r="O1302" s="17"/>
      <c r="P1302" s="17"/>
      <c r="Q1302" s="17"/>
      <c r="R1302" s="17"/>
      <c r="S1302" s="17"/>
      <c r="T1302" s="17"/>
      <c r="U1302" s="17"/>
      <c r="V1302" s="17"/>
      <c r="W1302" s="17"/>
      <c r="X1302" s="17"/>
      <c r="Y1302" s="46"/>
      <c r="Z1302" s="47"/>
      <c r="AA1302" s="48"/>
      <c r="AB1302" s="48"/>
      <c r="AC1302" s="48"/>
      <c r="AD1302" s="48"/>
      <c r="AE1302" s="48"/>
      <c r="AF1302" s="48"/>
      <c r="AG1302" s="48"/>
      <c r="AH1302" s="48"/>
      <c r="AI1302" s="48"/>
    </row>
    <row r="1303" spans="1:35" ht="12.5" hidden="1">
      <c r="A1303" s="37"/>
      <c r="B1303" s="38"/>
      <c r="C1303" s="63"/>
      <c r="D1303" s="17"/>
      <c r="E1303" s="17"/>
      <c r="F1303" s="17"/>
      <c r="G1303" s="17"/>
      <c r="H1303" s="65"/>
      <c r="I1303" s="24"/>
      <c r="J1303" s="17"/>
      <c r="K1303" s="17"/>
      <c r="L1303" s="17"/>
      <c r="M1303" s="17"/>
      <c r="N1303" s="17"/>
      <c r="O1303" s="17"/>
      <c r="P1303" s="17"/>
      <c r="Q1303" s="17"/>
      <c r="R1303" s="17"/>
      <c r="S1303" s="17"/>
      <c r="T1303" s="17"/>
      <c r="U1303" s="17"/>
      <c r="V1303" s="17"/>
      <c r="W1303" s="17"/>
      <c r="X1303" s="17"/>
      <c r="Y1303" s="46"/>
      <c r="Z1303" s="47"/>
      <c r="AA1303" s="48"/>
      <c r="AB1303" s="48"/>
      <c r="AC1303" s="48"/>
      <c r="AD1303" s="48"/>
      <c r="AE1303" s="48"/>
      <c r="AF1303" s="48"/>
      <c r="AG1303" s="48"/>
      <c r="AH1303" s="48"/>
      <c r="AI1303" s="48"/>
    </row>
    <row r="1304" spans="1:35" ht="12.5" hidden="1">
      <c r="A1304" s="37"/>
      <c r="B1304" s="38"/>
      <c r="C1304" s="63"/>
      <c r="D1304" s="17"/>
      <c r="E1304" s="17"/>
      <c r="F1304" s="17"/>
      <c r="G1304" s="17"/>
      <c r="H1304" s="65"/>
      <c r="I1304" s="24"/>
      <c r="J1304" s="17"/>
      <c r="K1304" s="17"/>
      <c r="L1304" s="17"/>
      <c r="M1304" s="17"/>
      <c r="N1304" s="17"/>
      <c r="O1304" s="17"/>
      <c r="P1304" s="17"/>
      <c r="Q1304" s="17"/>
      <c r="R1304" s="17"/>
      <c r="S1304" s="17"/>
      <c r="T1304" s="17"/>
      <c r="U1304" s="17"/>
      <c r="V1304" s="17"/>
      <c r="W1304" s="17"/>
      <c r="X1304" s="17"/>
      <c r="Y1304" s="46"/>
      <c r="Z1304" s="47"/>
      <c r="AA1304" s="48"/>
      <c r="AB1304" s="48"/>
      <c r="AC1304" s="48"/>
      <c r="AD1304" s="48"/>
      <c r="AE1304" s="48"/>
      <c r="AF1304" s="48"/>
      <c r="AG1304" s="48"/>
      <c r="AH1304" s="48"/>
      <c r="AI1304" s="48"/>
    </row>
    <row r="1305" spans="1:35" ht="12.5" hidden="1">
      <c r="A1305" s="37"/>
      <c r="B1305" s="38"/>
      <c r="C1305" s="63"/>
      <c r="D1305" s="17"/>
      <c r="E1305" s="17"/>
      <c r="F1305" s="17"/>
      <c r="G1305" s="17"/>
      <c r="H1305" s="65"/>
      <c r="I1305" s="24"/>
      <c r="J1305" s="17"/>
      <c r="K1305" s="17"/>
      <c r="L1305" s="17"/>
      <c r="M1305" s="17"/>
      <c r="N1305" s="17"/>
      <c r="O1305" s="17"/>
      <c r="P1305" s="17"/>
      <c r="Q1305" s="17"/>
      <c r="R1305" s="17"/>
      <c r="S1305" s="17"/>
      <c r="T1305" s="17"/>
      <c r="U1305" s="17"/>
      <c r="V1305" s="17"/>
      <c r="W1305" s="17"/>
      <c r="X1305" s="17"/>
      <c r="Y1305" s="46"/>
      <c r="Z1305" s="47"/>
      <c r="AA1305" s="48"/>
      <c r="AB1305" s="48"/>
      <c r="AC1305" s="48"/>
      <c r="AD1305" s="48"/>
      <c r="AE1305" s="48"/>
      <c r="AF1305" s="48"/>
      <c r="AG1305" s="48"/>
      <c r="AH1305" s="48"/>
      <c r="AI1305" s="48"/>
    </row>
    <row r="1306" spans="1:35" ht="12.5" hidden="1">
      <c r="A1306" s="37"/>
      <c r="B1306" s="38"/>
      <c r="C1306" s="63"/>
      <c r="D1306" s="17"/>
      <c r="E1306" s="17"/>
      <c r="F1306" s="17"/>
      <c r="G1306" s="17"/>
      <c r="H1306" s="65"/>
      <c r="I1306" s="24"/>
      <c r="J1306" s="17"/>
      <c r="K1306" s="17"/>
      <c r="L1306" s="17"/>
      <c r="M1306" s="17"/>
      <c r="N1306" s="17"/>
      <c r="O1306" s="17"/>
      <c r="P1306" s="17"/>
      <c r="Q1306" s="17"/>
      <c r="R1306" s="17"/>
      <c r="S1306" s="17"/>
      <c r="T1306" s="17"/>
      <c r="U1306" s="17"/>
      <c r="V1306" s="17"/>
      <c r="W1306" s="17"/>
      <c r="X1306" s="17"/>
      <c r="Y1306" s="46"/>
      <c r="Z1306" s="47"/>
      <c r="AA1306" s="48"/>
      <c r="AB1306" s="48"/>
      <c r="AC1306" s="48"/>
      <c r="AD1306" s="48"/>
      <c r="AE1306" s="48"/>
      <c r="AF1306" s="48"/>
      <c r="AG1306" s="48"/>
      <c r="AH1306" s="48"/>
      <c r="AI1306" s="48"/>
    </row>
    <row r="1307" spans="1:35" ht="12.5" hidden="1">
      <c r="A1307" s="37"/>
      <c r="B1307" s="38"/>
      <c r="C1307" s="63"/>
      <c r="D1307" s="17"/>
      <c r="E1307" s="17"/>
      <c r="F1307" s="17"/>
      <c r="G1307" s="17"/>
      <c r="H1307" s="65"/>
      <c r="I1307" s="24"/>
      <c r="J1307" s="17"/>
      <c r="K1307" s="17"/>
      <c r="L1307" s="17"/>
      <c r="M1307" s="17"/>
      <c r="N1307" s="17"/>
      <c r="O1307" s="17"/>
      <c r="P1307" s="17"/>
      <c r="Q1307" s="17"/>
      <c r="R1307" s="17"/>
      <c r="S1307" s="17"/>
      <c r="T1307" s="17"/>
      <c r="U1307" s="17"/>
      <c r="V1307" s="17"/>
      <c r="W1307" s="17"/>
      <c r="X1307" s="17"/>
      <c r="Y1307" s="46"/>
      <c r="Z1307" s="47"/>
      <c r="AA1307" s="48"/>
      <c r="AB1307" s="48"/>
      <c r="AC1307" s="48"/>
      <c r="AD1307" s="48"/>
      <c r="AE1307" s="48"/>
      <c r="AF1307" s="48"/>
      <c r="AG1307" s="48"/>
      <c r="AH1307" s="48"/>
      <c r="AI1307" s="48"/>
    </row>
    <row r="1308" spans="1:35" ht="12.5" hidden="1">
      <c r="A1308" s="37"/>
      <c r="B1308" s="38"/>
      <c r="C1308" s="63"/>
      <c r="D1308" s="17"/>
      <c r="E1308" s="17"/>
      <c r="F1308" s="17"/>
      <c r="G1308" s="17"/>
      <c r="H1308" s="65"/>
      <c r="I1308" s="24"/>
      <c r="J1308" s="44"/>
      <c r="K1308" s="17"/>
      <c r="L1308" s="17"/>
      <c r="M1308" s="17"/>
      <c r="N1308" s="17"/>
      <c r="O1308" s="17"/>
      <c r="P1308" s="17"/>
      <c r="Q1308" s="17"/>
      <c r="R1308" s="17"/>
      <c r="S1308" s="17"/>
      <c r="T1308" s="17"/>
      <c r="U1308" s="17"/>
      <c r="V1308" s="17"/>
      <c r="W1308" s="17"/>
      <c r="X1308" s="17"/>
      <c r="Y1308" s="46"/>
      <c r="Z1308" s="47"/>
      <c r="AA1308" s="48"/>
      <c r="AB1308" s="48"/>
      <c r="AC1308" s="48"/>
      <c r="AD1308" s="48"/>
      <c r="AE1308" s="48"/>
      <c r="AF1308" s="48"/>
      <c r="AG1308" s="48"/>
      <c r="AH1308" s="48"/>
      <c r="AI1308" s="48"/>
    </row>
    <row r="1309" spans="1:35" ht="12.5" hidden="1">
      <c r="A1309" s="37"/>
      <c r="B1309" s="38"/>
      <c r="C1309" s="63"/>
      <c r="D1309" s="17"/>
      <c r="E1309" s="17"/>
      <c r="F1309" s="17"/>
      <c r="G1309" s="17"/>
      <c r="H1309" s="65"/>
      <c r="I1309" s="24"/>
      <c r="J1309" s="17"/>
      <c r="K1309" s="17"/>
      <c r="L1309" s="17"/>
      <c r="M1309" s="17"/>
      <c r="N1309" s="17"/>
      <c r="O1309" s="17"/>
      <c r="P1309" s="17"/>
      <c r="Q1309" s="17"/>
      <c r="R1309" s="17"/>
      <c r="S1309" s="17"/>
      <c r="T1309" s="17"/>
      <c r="U1309" s="17"/>
      <c r="V1309" s="17"/>
      <c r="W1309" s="17"/>
      <c r="X1309" s="17"/>
      <c r="Y1309" s="46"/>
      <c r="Z1309" s="47"/>
      <c r="AA1309" s="48"/>
      <c r="AB1309" s="48"/>
      <c r="AC1309" s="48"/>
      <c r="AD1309" s="48"/>
      <c r="AE1309" s="48"/>
      <c r="AF1309" s="48"/>
      <c r="AG1309" s="48"/>
      <c r="AH1309" s="48"/>
      <c r="AI1309" s="48"/>
    </row>
    <row r="1310" spans="1:35" ht="12.5" hidden="1">
      <c r="A1310" s="37"/>
      <c r="B1310" s="38"/>
      <c r="C1310" s="63"/>
      <c r="D1310" s="17"/>
      <c r="E1310" s="17"/>
      <c r="F1310" s="17"/>
      <c r="G1310" s="17"/>
      <c r="H1310" s="65"/>
      <c r="I1310" s="24"/>
      <c r="J1310" s="17"/>
      <c r="K1310" s="17"/>
      <c r="L1310" s="17"/>
      <c r="M1310" s="17"/>
      <c r="N1310" s="17"/>
      <c r="O1310" s="17"/>
      <c r="P1310" s="17"/>
      <c r="Q1310" s="17"/>
      <c r="R1310" s="17"/>
      <c r="S1310" s="17"/>
      <c r="T1310" s="17"/>
      <c r="U1310" s="17"/>
      <c r="V1310" s="17"/>
      <c r="W1310" s="17"/>
      <c r="X1310" s="17"/>
      <c r="Y1310" s="46"/>
      <c r="Z1310" s="47"/>
      <c r="AA1310" s="48"/>
      <c r="AB1310" s="48"/>
      <c r="AC1310" s="48"/>
      <c r="AD1310" s="48"/>
      <c r="AE1310" s="48"/>
      <c r="AF1310" s="48"/>
      <c r="AG1310" s="48"/>
      <c r="AH1310" s="48"/>
      <c r="AI1310" s="48"/>
    </row>
    <row r="1311" spans="1:35" ht="12.5" hidden="1">
      <c r="A1311" s="37"/>
      <c r="B1311" s="38"/>
      <c r="C1311" s="63"/>
      <c r="D1311" s="17"/>
      <c r="E1311" s="17"/>
      <c r="F1311" s="17"/>
      <c r="G1311" s="17"/>
      <c r="H1311" s="65"/>
      <c r="I1311" s="24"/>
      <c r="J1311" s="17"/>
      <c r="K1311" s="17"/>
      <c r="L1311" s="17"/>
      <c r="M1311" s="17"/>
      <c r="N1311" s="17"/>
      <c r="O1311" s="17"/>
      <c r="P1311" s="17"/>
      <c r="Q1311" s="17"/>
      <c r="R1311" s="17"/>
      <c r="S1311" s="17"/>
      <c r="T1311" s="17"/>
      <c r="U1311" s="17"/>
      <c r="V1311" s="17"/>
      <c r="W1311" s="17"/>
      <c r="X1311" s="17"/>
      <c r="Y1311" s="46"/>
      <c r="Z1311" s="47"/>
      <c r="AA1311" s="48"/>
      <c r="AB1311" s="48"/>
      <c r="AC1311" s="48"/>
      <c r="AD1311" s="48"/>
      <c r="AE1311" s="48"/>
      <c r="AF1311" s="48"/>
      <c r="AG1311" s="48"/>
      <c r="AH1311" s="48"/>
      <c r="AI1311" s="48"/>
    </row>
    <row r="1312" spans="1:35" ht="12.5" hidden="1">
      <c r="A1312" s="37"/>
      <c r="B1312" s="38"/>
      <c r="C1312" s="63"/>
      <c r="D1312" s="17"/>
      <c r="E1312" s="17"/>
      <c r="F1312" s="17"/>
      <c r="G1312" s="17"/>
      <c r="H1312" s="65"/>
      <c r="I1312" s="24"/>
      <c r="J1312" s="17"/>
      <c r="K1312" s="17"/>
      <c r="L1312" s="17"/>
      <c r="M1312" s="17"/>
      <c r="N1312" s="17"/>
      <c r="O1312" s="17"/>
      <c r="P1312" s="17"/>
      <c r="Q1312" s="17"/>
      <c r="R1312" s="17"/>
      <c r="S1312" s="17"/>
      <c r="T1312" s="17"/>
      <c r="U1312" s="17"/>
      <c r="V1312" s="17"/>
      <c r="W1312" s="17"/>
      <c r="X1312" s="17"/>
      <c r="Y1312" s="46"/>
      <c r="Z1312" s="47"/>
      <c r="AA1312" s="48"/>
      <c r="AB1312" s="48"/>
      <c r="AC1312" s="48"/>
      <c r="AD1312" s="48"/>
      <c r="AE1312" s="48"/>
      <c r="AF1312" s="48"/>
      <c r="AG1312" s="48"/>
      <c r="AH1312" s="48"/>
      <c r="AI1312" s="48"/>
    </row>
    <row r="1313" spans="1:35" ht="12.5" hidden="1">
      <c r="A1313" s="37"/>
      <c r="B1313" s="38"/>
      <c r="C1313" s="63"/>
      <c r="D1313" s="17"/>
      <c r="E1313" s="17"/>
      <c r="F1313" s="17"/>
      <c r="G1313" s="17"/>
      <c r="H1313" s="65"/>
      <c r="I1313" s="24"/>
      <c r="J1313" s="17"/>
      <c r="K1313" s="17"/>
      <c r="L1313" s="17"/>
      <c r="M1313" s="17"/>
      <c r="N1313" s="17"/>
      <c r="O1313" s="17"/>
      <c r="P1313" s="17"/>
      <c r="Q1313" s="17"/>
      <c r="R1313" s="17"/>
      <c r="S1313" s="17"/>
      <c r="T1313" s="17"/>
      <c r="U1313" s="17"/>
      <c r="V1313" s="17"/>
      <c r="W1313" s="17"/>
      <c r="X1313" s="17"/>
      <c r="Y1313" s="46"/>
      <c r="Z1313" s="47"/>
      <c r="AA1313" s="48"/>
      <c r="AB1313" s="48"/>
      <c r="AC1313" s="48"/>
      <c r="AD1313" s="48"/>
      <c r="AE1313" s="48"/>
      <c r="AF1313" s="48"/>
      <c r="AG1313" s="48"/>
      <c r="AH1313" s="48"/>
      <c r="AI1313" s="48"/>
    </row>
    <row r="1314" spans="1:35" ht="12.5" hidden="1">
      <c r="A1314" s="37"/>
      <c r="B1314" s="38"/>
      <c r="C1314" s="63"/>
      <c r="D1314" s="17"/>
      <c r="E1314" s="17"/>
      <c r="F1314" s="17"/>
      <c r="G1314" s="17"/>
      <c r="H1314" s="65"/>
      <c r="I1314" s="24"/>
      <c r="J1314" s="44"/>
      <c r="K1314" s="17"/>
      <c r="L1314" s="17"/>
      <c r="M1314" s="17"/>
      <c r="N1314" s="17"/>
      <c r="O1314" s="17"/>
      <c r="P1314" s="17"/>
      <c r="Q1314" s="17"/>
      <c r="R1314" s="17"/>
      <c r="S1314" s="17"/>
      <c r="T1314" s="17"/>
      <c r="U1314" s="17"/>
      <c r="V1314" s="17"/>
      <c r="W1314" s="17"/>
      <c r="X1314" s="17"/>
      <c r="Y1314" s="46"/>
      <c r="Z1314" s="47"/>
      <c r="AA1314" s="48"/>
      <c r="AB1314" s="48"/>
      <c r="AC1314" s="48"/>
      <c r="AD1314" s="48"/>
      <c r="AE1314" s="48"/>
      <c r="AF1314" s="48"/>
      <c r="AG1314" s="48"/>
      <c r="AH1314" s="48"/>
      <c r="AI1314" s="48"/>
    </row>
    <row r="1315" spans="1:35" ht="12.5" hidden="1">
      <c r="A1315" s="37"/>
      <c r="B1315" s="38"/>
      <c r="C1315" s="63"/>
      <c r="D1315" s="17"/>
      <c r="E1315" s="17"/>
      <c r="F1315" s="17"/>
      <c r="G1315" s="17"/>
      <c r="H1315" s="65"/>
      <c r="I1315" s="24"/>
      <c r="J1315" s="17"/>
      <c r="K1315" s="17"/>
      <c r="L1315" s="17"/>
      <c r="M1315" s="17"/>
      <c r="N1315" s="17"/>
      <c r="O1315" s="17"/>
      <c r="P1315" s="17"/>
      <c r="Q1315" s="17"/>
      <c r="R1315" s="17"/>
      <c r="S1315" s="17"/>
      <c r="T1315" s="17"/>
      <c r="U1315" s="17"/>
      <c r="V1315" s="17"/>
      <c r="W1315" s="17"/>
      <c r="X1315" s="17"/>
      <c r="Y1315" s="46"/>
      <c r="Z1315" s="47"/>
      <c r="AA1315" s="48"/>
      <c r="AB1315" s="48"/>
      <c r="AC1315" s="48"/>
      <c r="AD1315" s="48"/>
      <c r="AE1315" s="48"/>
      <c r="AF1315" s="48"/>
      <c r="AG1315" s="48"/>
      <c r="AH1315" s="48"/>
      <c r="AI1315" s="48"/>
    </row>
    <row r="1316" spans="1:35" ht="12.5" hidden="1">
      <c r="A1316" s="37"/>
      <c r="B1316" s="38"/>
      <c r="C1316" s="63"/>
      <c r="D1316" s="17"/>
      <c r="E1316" s="17"/>
      <c r="F1316" s="17"/>
      <c r="G1316" s="17"/>
      <c r="H1316" s="65"/>
      <c r="I1316" s="24"/>
      <c r="J1316" s="17"/>
      <c r="K1316" s="17"/>
      <c r="L1316" s="17"/>
      <c r="M1316" s="17"/>
      <c r="N1316" s="17"/>
      <c r="O1316" s="17"/>
      <c r="P1316" s="17"/>
      <c r="Q1316" s="17"/>
      <c r="R1316" s="17"/>
      <c r="S1316" s="17"/>
      <c r="T1316" s="17"/>
      <c r="U1316" s="17"/>
      <c r="V1316" s="17"/>
      <c r="W1316" s="17"/>
      <c r="X1316" s="17"/>
      <c r="Y1316" s="46"/>
      <c r="Z1316" s="47"/>
      <c r="AA1316" s="48"/>
      <c r="AB1316" s="48"/>
      <c r="AC1316" s="48"/>
      <c r="AD1316" s="48"/>
      <c r="AE1316" s="48"/>
      <c r="AF1316" s="48"/>
      <c r="AG1316" s="48"/>
      <c r="AH1316" s="48"/>
      <c r="AI1316" s="48"/>
    </row>
    <row r="1317" spans="1:35" ht="12.5" hidden="1">
      <c r="A1317" s="37"/>
      <c r="B1317" s="38"/>
      <c r="C1317" s="63"/>
      <c r="D1317" s="17"/>
      <c r="E1317" s="17"/>
      <c r="F1317" s="17"/>
      <c r="G1317" s="17"/>
      <c r="H1317" s="65"/>
      <c r="I1317" s="24"/>
      <c r="J1317" s="17"/>
      <c r="K1317" s="17"/>
      <c r="L1317" s="17"/>
      <c r="M1317" s="17"/>
      <c r="N1317" s="17"/>
      <c r="O1317" s="17"/>
      <c r="P1317" s="17"/>
      <c r="Q1317" s="17"/>
      <c r="R1317" s="17"/>
      <c r="S1317" s="17"/>
      <c r="T1317" s="17"/>
      <c r="U1317" s="17"/>
      <c r="V1317" s="17"/>
      <c r="W1317" s="17"/>
      <c r="X1317" s="17"/>
      <c r="Y1317" s="46"/>
      <c r="Z1317" s="47"/>
      <c r="AA1317" s="48"/>
      <c r="AB1317" s="48"/>
      <c r="AC1317" s="48"/>
      <c r="AD1317" s="48"/>
      <c r="AE1317" s="48"/>
      <c r="AF1317" s="48"/>
      <c r="AG1317" s="48"/>
      <c r="AH1317" s="48"/>
      <c r="AI1317" s="48"/>
    </row>
    <row r="1318" spans="1:35" ht="12.5" hidden="1">
      <c r="A1318" s="37"/>
      <c r="B1318" s="38"/>
      <c r="C1318" s="63"/>
      <c r="D1318" s="17"/>
      <c r="E1318" s="17"/>
      <c r="F1318" s="17"/>
      <c r="G1318" s="17"/>
      <c r="H1318" s="65"/>
      <c r="I1318" s="24"/>
      <c r="J1318" s="17"/>
      <c r="K1318" s="17"/>
      <c r="L1318" s="17"/>
      <c r="M1318" s="17"/>
      <c r="N1318" s="17"/>
      <c r="O1318" s="17"/>
      <c r="P1318" s="17"/>
      <c r="Q1318" s="17"/>
      <c r="R1318" s="17"/>
      <c r="S1318" s="17"/>
      <c r="T1318" s="17"/>
      <c r="U1318" s="17"/>
      <c r="V1318" s="17"/>
      <c r="W1318" s="17"/>
      <c r="X1318" s="17"/>
      <c r="Y1318" s="46"/>
      <c r="Z1318" s="47"/>
      <c r="AA1318" s="48"/>
      <c r="AB1318" s="48"/>
      <c r="AC1318" s="48"/>
      <c r="AD1318" s="48"/>
      <c r="AE1318" s="48"/>
      <c r="AF1318" s="48"/>
      <c r="AG1318" s="48"/>
      <c r="AH1318" s="48"/>
      <c r="AI1318" s="48"/>
    </row>
    <row r="1319" spans="1:35" ht="12.5" hidden="1">
      <c r="A1319" s="37"/>
      <c r="B1319" s="38"/>
      <c r="C1319" s="63"/>
      <c r="D1319" s="17"/>
      <c r="E1319" s="17"/>
      <c r="F1319" s="17"/>
      <c r="G1319" s="65"/>
      <c r="H1319" s="65"/>
      <c r="I1319" s="24"/>
      <c r="J1319" s="17"/>
      <c r="K1319" s="17"/>
      <c r="L1319" s="17"/>
      <c r="M1319" s="17"/>
      <c r="N1319" s="17"/>
      <c r="O1319" s="17"/>
      <c r="P1319" s="17"/>
      <c r="Q1319" s="17"/>
      <c r="R1319" s="17"/>
      <c r="S1319" s="17"/>
      <c r="T1319" s="17"/>
      <c r="U1319" s="17"/>
      <c r="V1319" s="17"/>
      <c r="W1319" s="17"/>
      <c r="X1319" s="17"/>
      <c r="Y1319" s="46"/>
      <c r="Z1319" s="47"/>
      <c r="AA1319" s="48"/>
      <c r="AB1319" s="48"/>
      <c r="AC1319" s="48"/>
      <c r="AD1319" s="48"/>
      <c r="AE1319" s="48"/>
      <c r="AF1319" s="48"/>
      <c r="AG1319" s="48"/>
      <c r="AH1319" s="48"/>
      <c r="AI1319" s="48"/>
    </row>
    <row r="1320" spans="1:35" ht="12.5" hidden="1">
      <c r="A1320" s="37"/>
      <c r="B1320" s="38"/>
      <c r="C1320" s="63"/>
      <c r="D1320" s="17"/>
      <c r="E1320" s="17"/>
      <c r="F1320" s="17"/>
      <c r="G1320" s="17"/>
      <c r="H1320" s="65"/>
      <c r="I1320" s="24"/>
      <c r="J1320" s="17"/>
      <c r="K1320" s="17"/>
      <c r="L1320" s="17"/>
      <c r="M1320" s="17"/>
      <c r="N1320" s="17"/>
      <c r="O1320" s="17"/>
      <c r="P1320" s="17"/>
      <c r="Q1320" s="17"/>
      <c r="R1320" s="17"/>
      <c r="S1320" s="17"/>
      <c r="T1320" s="17"/>
      <c r="U1320" s="17"/>
      <c r="V1320" s="17"/>
      <c r="W1320" s="17"/>
      <c r="X1320" s="17"/>
      <c r="Y1320" s="46"/>
      <c r="Z1320" s="47"/>
      <c r="AA1320" s="48"/>
      <c r="AB1320" s="48"/>
      <c r="AC1320" s="48"/>
      <c r="AD1320" s="48"/>
      <c r="AE1320" s="48"/>
      <c r="AF1320" s="48"/>
      <c r="AG1320" s="48"/>
      <c r="AH1320" s="48"/>
      <c r="AI1320" s="48"/>
    </row>
    <row r="1321" spans="1:35" ht="12.5" hidden="1">
      <c r="A1321" s="37"/>
      <c r="B1321" s="38"/>
      <c r="C1321" s="63"/>
      <c r="D1321" s="17"/>
      <c r="E1321" s="17"/>
      <c r="F1321" s="17"/>
      <c r="G1321" s="17"/>
      <c r="H1321" s="65"/>
      <c r="I1321" s="24"/>
      <c r="J1321" s="17"/>
      <c r="K1321" s="17"/>
      <c r="L1321" s="17"/>
      <c r="M1321" s="17"/>
      <c r="N1321" s="17"/>
      <c r="O1321" s="17"/>
      <c r="P1321" s="17"/>
      <c r="Q1321" s="17"/>
      <c r="R1321" s="17"/>
      <c r="S1321" s="17"/>
      <c r="T1321" s="17"/>
      <c r="U1321" s="17"/>
      <c r="V1321" s="17"/>
      <c r="W1321" s="17"/>
      <c r="X1321" s="17"/>
      <c r="Y1321" s="46"/>
      <c r="Z1321" s="47"/>
      <c r="AA1321" s="48"/>
      <c r="AB1321" s="48"/>
      <c r="AC1321" s="48"/>
      <c r="AD1321" s="48"/>
      <c r="AE1321" s="48"/>
      <c r="AF1321" s="48"/>
      <c r="AG1321" s="48"/>
      <c r="AH1321" s="48"/>
      <c r="AI1321" s="48"/>
    </row>
    <row r="1322" spans="1:35" ht="12.5" hidden="1">
      <c r="A1322" s="37"/>
      <c r="B1322" s="38"/>
      <c r="C1322" s="63"/>
      <c r="D1322" s="17"/>
      <c r="E1322" s="17"/>
      <c r="F1322" s="17"/>
      <c r="G1322" s="17"/>
      <c r="H1322" s="65"/>
      <c r="I1322" s="24"/>
      <c r="J1322" s="17"/>
      <c r="K1322" s="17"/>
      <c r="L1322" s="17"/>
      <c r="M1322" s="17"/>
      <c r="N1322" s="17"/>
      <c r="O1322" s="17"/>
      <c r="P1322" s="17"/>
      <c r="Q1322" s="17"/>
      <c r="R1322" s="17"/>
      <c r="S1322" s="17"/>
      <c r="T1322" s="17"/>
      <c r="U1322" s="17"/>
      <c r="V1322" s="17"/>
      <c r="W1322" s="17"/>
      <c r="X1322" s="17"/>
      <c r="Y1322" s="46"/>
      <c r="Z1322" s="47"/>
      <c r="AA1322" s="48"/>
      <c r="AB1322" s="48"/>
      <c r="AC1322" s="48"/>
      <c r="AD1322" s="48"/>
      <c r="AE1322" s="48"/>
      <c r="AF1322" s="48"/>
      <c r="AG1322" s="48"/>
      <c r="AH1322" s="48"/>
      <c r="AI1322" s="48"/>
    </row>
    <row r="1323" spans="1:35" ht="12.5" hidden="1">
      <c r="A1323" s="37"/>
      <c r="B1323" s="38"/>
      <c r="C1323" s="63"/>
      <c r="D1323" s="17"/>
      <c r="E1323" s="17"/>
      <c r="F1323" s="17"/>
      <c r="G1323" s="17"/>
      <c r="H1323" s="65"/>
      <c r="I1323" s="24"/>
      <c r="J1323" s="17"/>
      <c r="K1323" s="17"/>
      <c r="L1323" s="17"/>
      <c r="M1323" s="17"/>
      <c r="N1323" s="17"/>
      <c r="O1323" s="17"/>
      <c r="P1323" s="17"/>
      <c r="Q1323" s="17"/>
      <c r="R1323" s="17"/>
      <c r="S1323" s="17"/>
      <c r="T1323" s="17"/>
      <c r="U1323" s="17"/>
      <c r="V1323" s="17"/>
      <c r="W1323" s="17"/>
      <c r="X1323" s="17"/>
      <c r="Y1323" s="46"/>
      <c r="Z1323" s="47"/>
      <c r="AA1323" s="48"/>
      <c r="AB1323" s="48"/>
      <c r="AC1323" s="48"/>
      <c r="AD1323" s="48"/>
      <c r="AE1323" s="48"/>
      <c r="AF1323" s="48"/>
      <c r="AG1323" s="48"/>
      <c r="AH1323" s="48"/>
      <c r="AI1323" s="48"/>
    </row>
    <row r="1324" spans="1:35" ht="12.5" hidden="1">
      <c r="A1324" s="37"/>
      <c r="B1324" s="38"/>
      <c r="C1324" s="63"/>
      <c r="D1324" s="17"/>
      <c r="E1324" s="17"/>
      <c r="F1324" s="17"/>
      <c r="G1324" s="17"/>
      <c r="H1324" s="65"/>
      <c r="I1324" s="24"/>
      <c r="J1324" s="17"/>
      <c r="K1324" s="17"/>
      <c r="L1324" s="17"/>
      <c r="M1324" s="17"/>
      <c r="N1324" s="17"/>
      <c r="O1324" s="17"/>
      <c r="P1324" s="17"/>
      <c r="Q1324" s="17"/>
      <c r="R1324" s="17"/>
      <c r="S1324" s="17"/>
      <c r="T1324" s="17"/>
      <c r="U1324" s="17"/>
      <c r="V1324" s="17"/>
      <c r="W1324" s="17"/>
      <c r="X1324" s="17"/>
      <c r="Y1324" s="46"/>
      <c r="Z1324" s="47"/>
      <c r="AA1324" s="48"/>
      <c r="AB1324" s="48"/>
      <c r="AC1324" s="48"/>
      <c r="AD1324" s="48"/>
      <c r="AE1324" s="48"/>
      <c r="AF1324" s="48"/>
      <c r="AG1324" s="48"/>
      <c r="AH1324" s="48"/>
      <c r="AI1324" s="48"/>
    </row>
    <row r="1325" spans="1:35" ht="12.5" hidden="1">
      <c r="A1325" s="37"/>
      <c r="B1325" s="38"/>
      <c r="C1325" s="63"/>
      <c r="D1325" s="17"/>
      <c r="E1325" s="17"/>
      <c r="F1325" s="17"/>
      <c r="G1325" s="17"/>
      <c r="H1325" s="65"/>
      <c r="I1325" s="24"/>
      <c r="J1325" s="17"/>
      <c r="K1325" s="17"/>
      <c r="L1325" s="17"/>
      <c r="M1325" s="17"/>
      <c r="N1325" s="17"/>
      <c r="O1325" s="17"/>
      <c r="P1325" s="17"/>
      <c r="Q1325" s="17"/>
      <c r="R1325" s="17"/>
      <c r="S1325" s="17"/>
      <c r="T1325" s="17"/>
      <c r="U1325" s="17"/>
      <c r="V1325" s="17"/>
      <c r="W1325" s="17"/>
      <c r="X1325" s="17"/>
      <c r="Y1325" s="46"/>
      <c r="Z1325" s="47"/>
      <c r="AA1325" s="48"/>
      <c r="AB1325" s="48"/>
      <c r="AC1325" s="48"/>
      <c r="AD1325" s="48"/>
      <c r="AE1325" s="48"/>
      <c r="AF1325" s="48"/>
      <c r="AG1325" s="48"/>
      <c r="AH1325" s="48"/>
      <c r="AI1325" s="48"/>
    </row>
    <row r="1326" spans="1:35" ht="12.5" hidden="1">
      <c r="A1326" s="37"/>
      <c r="B1326" s="38"/>
      <c r="C1326" s="63"/>
      <c r="D1326" s="17"/>
      <c r="E1326" s="17"/>
      <c r="F1326" s="17"/>
      <c r="G1326" s="17"/>
      <c r="H1326" s="65"/>
      <c r="I1326" s="24"/>
      <c r="J1326" s="44"/>
      <c r="K1326" s="17"/>
      <c r="L1326" s="17"/>
      <c r="M1326" s="17"/>
      <c r="N1326" s="17"/>
      <c r="O1326" s="17"/>
      <c r="P1326" s="17"/>
      <c r="Q1326" s="17"/>
      <c r="R1326" s="17"/>
      <c r="S1326" s="17"/>
      <c r="T1326" s="17"/>
      <c r="U1326" s="17"/>
      <c r="V1326" s="17"/>
      <c r="W1326" s="17"/>
      <c r="X1326" s="17"/>
      <c r="Y1326" s="46"/>
      <c r="Z1326" s="47"/>
      <c r="AA1326" s="48"/>
      <c r="AB1326" s="48"/>
      <c r="AC1326" s="48"/>
      <c r="AD1326" s="48"/>
      <c r="AE1326" s="48"/>
      <c r="AF1326" s="48"/>
      <c r="AG1326" s="48"/>
      <c r="AH1326" s="48"/>
      <c r="AI1326" s="48"/>
    </row>
    <row r="1327" spans="1:35" ht="12.5" hidden="1">
      <c r="A1327" s="37"/>
      <c r="B1327" s="38"/>
      <c r="C1327" s="63"/>
      <c r="D1327" s="17"/>
      <c r="E1327" s="17"/>
      <c r="F1327" s="17"/>
      <c r="G1327" s="17"/>
      <c r="H1327" s="65"/>
      <c r="I1327" s="24"/>
      <c r="J1327" s="17"/>
      <c r="K1327" s="17"/>
      <c r="L1327" s="17"/>
      <c r="M1327" s="17"/>
      <c r="N1327" s="17"/>
      <c r="O1327" s="17"/>
      <c r="P1327" s="17"/>
      <c r="Q1327" s="17"/>
      <c r="R1327" s="17"/>
      <c r="S1327" s="17"/>
      <c r="T1327" s="17"/>
      <c r="U1327" s="17"/>
      <c r="V1327" s="17"/>
      <c r="W1327" s="17"/>
      <c r="X1327" s="17"/>
      <c r="Y1327" s="46"/>
      <c r="Z1327" s="47"/>
      <c r="AA1327" s="48"/>
      <c r="AB1327" s="48"/>
      <c r="AC1327" s="48"/>
      <c r="AD1327" s="48"/>
      <c r="AE1327" s="48"/>
      <c r="AF1327" s="48"/>
      <c r="AG1327" s="48"/>
      <c r="AH1327" s="48"/>
      <c r="AI1327" s="48"/>
    </row>
    <row r="1328" spans="1:35" ht="12.5" hidden="1">
      <c r="A1328" s="37"/>
      <c r="B1328" s="38"/>
      <c r="C1328" s="63"/>
      <c r="D1328" s="17"/>
      <c r="E1328" s="17"/>
      <c r="F1328" s="17"/>
      <c r="G1328" s="17"/>
      <c r="H1328" s="65"/>
      <c r="I1328" s="24"/>
      <c r="J1328" s="17"/>
      <c r="K1328" s="17"/>
      <c r="L1328" s="17"/>
      <c r="M1328" s="17"/>
      <c r="N1328" s="17"/>
      <c r="O1328" s="17"/>
      <c r="P1328" s="17"/>
      <c r="Q1328" s="17"/>
      <c r="R1328" s="17"/>
      <c r="S1328" s="17"/>
      <c r="T1328" s="17"/>
      <c r="U1328" s="17"/>
      <c r="V1328" s="17"/>
      <c r="W1328" s="17"/>
      <c r="X1328" s="17"/>
      <c r="Y1328" s="46"/>
      <c r="Z1328" s="47"/>
      <c r="AA1328" s="48"/>
      <c r="AB1328" s="48"/>
      <c r="AC1328" s="48"/>
      <c r="AD1328" s="48"/>
      <c r="AE1328" s="48"/>
      <c r="AF1328" s="48"/>
      <c r="AG1328" s="48"/>
      <c r="AH1328" s="48"/>
      <c r="AI1328" s="48"/>
    </row>
    <row r="1329" spans="1:35" ht="12.5" hidden="1">
      <c r="A1329" s="37"/>
      <c r="B1329" s="38"/>
      <c r="C1329" s="63"/>
      <c r="D1329" s="17"/>
      <c r="E1329" s="17"/>
      <c r="F1329" s="17"/>
      <c r="G1329" s="17"/>
      <c r="H1329" s="65"/>
      <c r="I1329" s="24"/>
      <c r="J1329" s="17"/>
      <c r="K1329" s="17"/>
      <c r="L1329" s="17"/>
      <c r="M1329" s="17"/>
      <c r="N1329" s="17"/>
      <c r="O1329" s="17"/>
      <c r="P1329" s="17"/>
      <c r="Q1329" s="17"/>
      <c r="R1329" s="17"/>
      <c r="S1329" s="17"/>
      <c r="T1329" s="17"/>
      <c r="U1329" s="17"/>
      <c r="V1329" s="17"/>
      <c r="W1329" s="17"/>
      <c r="X1329" s="17"/>
      <c r="Y1329" s="46"/>
      <c r="Z1329" s="47"/>
      <c r="AA1329" s="48"/>
      <c r="AB1329" s="48"/>
      <c r="AC1329" s="48"/>
      <c r="AD1329" s="48"/>
      <c r="AE1329" s="48"/>
      <c r="AF1329" s="48"/>
      <c r="AG1329" s="48"/>
      <c r="AH1329" s="48"/>
      <c r="AI1329" s="48"/>
    </row>
    <row r="1330" spans="1:35" ht="12.5" hidden="1">
      <c r="A1330" s="37"/>
      <c r="B1330" s="38"/>
      <c r="C1330" s="63"/>
      <c r="D1330" s="17"/>
      <c r="E1330" s="17"/>
      <c r="F1330" s="17"/>
      <c r="G1330" s="17"/>
      <c r="H1330" s="65"/>
      <c r="I1330" s="24"/>
      <c r="J1330" s="17"/>
      <c r="K1330" s="17"/>
      <c r="L1330" s="17"/>
      <c r="M1330" s="17"/>
      <c r="N1330" s="17"/>
      <c r="O1330" s="17"/>
      <c r="P1330" s="17"/>
      <c r="Q1330" s="17"/>
      <c r="R1330" s="17"/>
      <c r="S1330" s="17"/>
      <c r="T1330" s="17"/>
      <c r="U1330" s="17"/>
      <c r="V1330" s="17"/>
      <c r="W1330" s="17"/>
      <c r="X1330" s="17"/>
      <c r="Y1330" s="46"/>
      <c r="Z1330" s="47"/>
      <c r="AA1330" s="48"/>
      <c r="AB1330" s="48"/>
      <c r="AC1330" s="48"/>
      <c r="AD1330" s="48"/>
      <c r="AE1330" s="48"/>
      <c r="AF1330" s="48"/>
      <c r="AG1330" s="48"/>
      <c r="AH1330" s="48"/>
      <c r="AI1330" s="48"/>
    </row>
    <row r="1331" spans="1:35" ht="12.5" hidden="1">
      <c r="A1331" s="37"/>
      <c r="B1331" s="38"/>
      <c r="C1331" s="63"/>
      <c r="D1331" s="17"/>
      <c r="E1331" s="17"/>
      <c r="F1331" s="17"/>
      <c r="G1331" s="17"/>
      <c r="H1331" s="65"/>
      <c r="I1331" s="24"/>
      <c r="J1331" s="44"/>
      <c r="K1331" s="17"/>
      <c r="L1331" s="17"/>
      <c r="M1331" s="17"/>
      <c r="N1331" s="17"/>
      <c r="O1331" s="17"/>
      <c r="P1331" s="17"/>
      <c r="Q1331" s="17"/>
      <c r="R1331" s="17"/>
      <c r="S1331" s="17"/>
      <c r="T1331" s="17"/>
      <c r="U1331" s="17"/>
      <c r="V1331" s="17"/>
      <c r="W1331" s="17"/>
      <c r="X1331" s="17"/>
      <c r="Y1331" s="46"/>
      <c r="Z1331" s="47"/>
      <c r="AA1331" s="48"/>
      <c r="AB1331" s="48"/>
      <c r="AC1331" s="48"/>
      <c r="AD1331" s="48"/>
      <c r="AE1331" s="48"/>
      <c r="AF1331" s="48"/>
      <c r="AG1331" s="48"/>
      <c r="AH1331" s="48"/>
      <c r="AI1331" s="48"/>
    </row>
    <row r="1332" spans="1:35" ht="12.5" hidden="1">
      <c r="A1332" s="37"/>
      <c r="B1332" s="38"/>
      <c r="C1332" s="63"/>
      <c r="D1332" s="17"/>
      <c r="E1332" s="17"/>
      <c r="F1332" s="17"/>
      <c r="G1332" s="17"/>
      <c r="H1332" s="65"/>
      <c r="I1332" s="24"/>
      <c r="J1332" s="17"/>
      <c r="K1332" s="17"/>
      <c r="L1332" s="17"/>
      <c r="M1332" s="17"/>
      <c r="N1332" s="17"/>
      <c r="O1332" s="17"/>
      <c r="P1332" s="17"/>
      <c r="Q1332" s="17"/>
      <c r="R1332" s="17"/>
      <c r="S1332" s="17"/>
      <c r="T1332" s="17"/>
      <c r="U1332" s="17"/>
      <c r="V1332" s="17"/>
      <c r="W1332" s="17"/>
      <c r="X1332" s="17"/>
      <c r="Y1332" s="46"/>
      <c r="Z1332" s="47"/>
      <c r="AA1332" s="48"/>
      <c r="AB1332" s="48"/>
      <c r="AC1332" s="48"/>
      <c r="AD1332" s="48"/>
      <c r="AE1332" s="48"/>
      <c r="AF1332" s="48"/>
      <c r="AG1332" s="48"/>
      <c r="AH1332" s="48"/>
      <c r="AI1332" s="48"/>
    </row>
    <row r="1333" spans="1:35" ht="12.5" hidden="1">
      <c r="A1333" s="37"/>
      <c r="B1333" s="38"/>
      <c r="C1333" s="63"/>
      <c r="D1333" s="17"/>
      <c r="E1333" s="17"/>
      <c r="F1333" s="17"/>
      <c r="G1333" s="17"/>
      <c r="H1333" s="65"/>
      <c r="I1333" s="24"/>
      <c r="J1333" s="17"/>
      <c r="K1333" s="17"/>
      <c r="L1333" s="17"/>
      <c r="M1333" s="17"/>
      <c r="N1333" s="17"/>
      <c r="O1333" s="17"/>
      <c r="P1333" s="17"/>
      <c r="Q1333" s="17"/>
      <c r="R1333" s="17"/>
      <c r="S1333" s="17"/>
      <c r="T1333" s="17"/>
      <c r="U1333" s="17"/>
      <c r="V1333" s="17"/>
      <c r="W1333" s="17"/>
      <c r="X1333" s="17"/>
      <c r="Y1333" s="46"/>
      <c r="Z1333" s="47"/>
      <c r="AA1333" s="48"/>
      <c r="AB1333" s="48"/>
      <c r="AC1333" s="48"/>
      <c r="AD1333" s="48"/>
      <c r="AE1333" s="48"/>
      <c r="AF1333" s="48"/>
      <c r="AG1333" s="48"/>
      <c r="AH1333" s="48"/>
      <c r="AI1333" s="48"/>
    </row>
    <row r="1334" spans="1:35" ht="12.5" hidden="1">
      <c r="A1334" s="37"/>
      <c r="B1334" s="38"/>
      <c r="C1334" s="63"/>
      <c r="D1334" s="17"/>
      <c r="E1334" s="17"/>
      <c r="F1334" s="17"/>
      <c r="G1334" s="17"/>
      <c r="H1334" s="65"/>
      <c r="I1334" s="24"/>
      <c r="J1334" s="17"/>
      <c r="K1334" s="17"/>
      <c r="L1334" s="17"/>
      <c r="M1334" s="17"/>
      <c r="N1334" s="17"/>
      <c r="O1334" s="17"/>
      <c r="P1334" s="17"/>
      <c r="Q1334" s="17"/>
      <c r="R1334" s="17"/>
      <c r="S1334" s="17"/>
      <c r="T1334" s="17"/>
      <c r="U1334" s="17"/>
      <c r="V1334" s="17"/>
      <c r="W1334" s="17"/>
      <c r="X1334" s="17"/>
      <c r="Y1334" s="46"/>
      <c r="Z1334" s="47"/>
      <c r="AA1334" s="48"/>
      <c r="AB1334" s="48"/>
      <c r="AC1334" s="48"/>
      <c r="AD1334" s="48"/>
      <c r="AE1334" s="48"/>
      <c r="AF1334" s="48"/>
      <c r="AG1334" s="48"/>
      <c r="AH1334" s="48"/>
      <c r="AI1334" s="48"/>
    </row>
    <row r="1335" spans="1:35" ht="12.5" hidden="1">
      <c r="A1335" s="37"/>
      <c r="B1335" s="38"/>
      <c r="C1335" s="63"/>
      <c r="D1335" s="17"/>
      <c r="E1335" s="17"/>
      <c r="F1335" s="17"/>
      <c r="G1335" s="17"/>
      <c r="H1335" s="65"/>
      <c r="I1335" s="24"/>
      <c r="J1335" s="17"/>
      <c r="K1335" s="17"/>
      <c r="L1335" s="17"/>
      <c r="M1335" s="17"/>
      <c r="N1335" s="17"/>
      <c r="O1335" s="17"/>
      <c r="P1335" s="17"/>
      <c r="Q1335" s="17"/>
      <c r="R1335" s="17"/>
      <c r="S1335" s="17"/>
      <c r="T1335" s="17"/>
      <c r="U1335" s="17"/>
      <c r="V1335" s="17"/>
      <c r="W1335" s="17"/>
      <c r="X1335" s="17"/>
      <c r="Y1335" s="46"/>
      <c r="Z1335" s="47"/>
      <c r="AA1335" s="48"/>
      <c r="AB1335" s="48"/>
      <c r="AC1335" s="48"/>
      <c r="AD1335" s="48"/>
      <c r="AE1335" s="48"/>
      <c r="AF1335" s="48"/>
      <c r="AG1335" s="48"/>
      <c r="AH1335" s="48"/>
      <c r="AI1335" s="48"/>
    </row>
    <row r="1336" spans="1:35" ht="12.5" hidden="1">
      <c r="A1336" s="37"/>
      <c r="B1336" s="38"/>
      <c r="C1336" s="63"/>
      <c r="D1336" s="17"/>
      <c r="E1336" s="17"/>
      <c r="F1336" s="17"/>
      <c r="G1336" s="17"/>
      <c r="H1336" s="65"/>
      <c r="I1336" s="24"/>
      <c r="J1336" s="17"/>
      <c r="K1336" s="17"/>
      <c r="L1336" s="17"/>
      <c r="M1336" s="17"/>
      <c r="N1336" s="17"/>
      <c r="O1336" s="17"/>
      <c r="P1336" s="17"/>
      <c r="Q1336" s="17"/>
      <c r="R1336" s="17"/>
      <c r="S1336" s="17"/>
      <c r="T1336" s="17"/>
      <c r="U1336" s="17"/>
      <c r="V1336" s="17"/>
      <c r="W1336" s="17"/>
      <c r="X1336" s="17"/>
      <c r="Y1336" s="46"/>
      <c r="Z1336" s="47"/>
      <c r="AA1336" s="48"/>
      <c r="AB1336" s="48"/>
      <c r="AC1336" s="48"/>
      <c r="AD1336" s="48"/>
      <c r="AE1336" s="48"/>
      <c r="AF1336" s="48"/>
      <c r="AG1336" s="48"/>
      <c r="AH1336" s="48"/>
      <c r="AI1336" s="48"/>
    </row>
    <row r="1337" spans="1:35" ht="12.5" hidden="1">
      <c r="A1337" s="37"/>
      <c r="B1337" s="38"/>
      <c r="C1337" s="63"/>
      <c r="D1337" s="17"/>
      <c r="E1337" s="17"/>
      <c r="F1337" s="17"/>
      <c r="G1337" s="17"/>
      <c r="H1337" s="65"/>
      <c r="I1337" s="24"/>
      <c r="J1337" s="17"/>
      <c r="K1337" s="17"/>
      <c r="L1337" s="17"/>
      <c r="M1337" s="17"/>
      <c r="N1337" s="17"/>
      <c r="O1337" s="17"/>
      <c r="P1337" s="17"/>
      <c r="Q1337" s="17"/>
      <c r="R1337" s="17"/>
      <c r="S1337" s="17"/>
      <c r="T1337" s="17"/>
      <c r="U1337" s="17"/>
      <c r="V1337" s="17"/>
      <c r="W1337" s="17"/>
      <c r="X1337" s="17"/>
      <c r="Y1337" s="46"/>
      <c r="Z1337" s="47"/>
      <c r="AA1337" s="48"/>
      <c r="AB1337" s="48"/>
      <c r="AC1337" s="48"/>
      <c r="AD1337" s="48"/>
      <c r="AE1337" s="48"/>
      <c r="AF1337" s="48"/>
      <c r="AG1337" s="48"/>
      <c r="AH1337" s="48"/>
      <c r="AI1337" s="48"/>
    </row>
    <row r="1338" spans="1:35" ht="12.5" hidden="1">
      <c r="A1338" s="37"/>
      <c r="B1338" s="38"/>
      <c r="C1338" s="63"/>
      <c r="D1338" s="17"/>
      <c r="E1338" s="17"/>
      <c r="F1338" s="17"/>
      <c r="G1338" s="17"/>
      <c r="H1338" s="65"/>
      <c r="I1338" s="24"/>
      <c r="J1338" s="17"/>
      <c r="K1338" s="17"/>
      <c r="L1338" s="17"/>
      <c r="M1338" s="17"/>
      <c r="N1338" s="17"/>
      <c r="O1338" s="17"/>
      <c r="P1338" s="17"/>
      <c r="Q1338" s="17"/>
      <c r="R1338" s="17"/>
      <c r="S1338" s="17"/>
      <c r="T1338" s="17"/>
      <c r="U1338" s="17"/>
      <c r="V1338" s="17"/>
      <c r="W1338" s="17"/>
      <c r="X1338" s="17"/>
      <c r="Y1338" s="46"/>
      <c r="Z1338" s="47"/>
      <c r="AA1338" s="48"/>
      <c r="AB1338" s="48"/>
      <c r="AC1338" s="48"/>
      <c r="AD1338" s="48"/>
      <c r="AE1338" s="48"/>
      <c r="AF1338" s="48"/>
      <c r="AG1338" s="48"/>
      <c r="AH1338" s="48"/>
      <c r="AI1338" s="48"/>
    </row>
    <row r="1339" spans="1:35" ht="12.5" hidden="1">
      <c r="A1339" s="37"/>
      <c r="B1339" s="38"/>
      <c r="C1339" s="63"/>
      <c r="D1339" s="17"/>
      <c r="E1339" s="17"/>
      <c r="F1339" s="17"/>
      <c r="G1339" s="17"/>
      <c r="H1339" s="65"/>
      <c r="I1339" s="24"/>
      <c r="J1339" s="17"/>
      <c r="K1339" s="17"/>
      <c r="L1339" s="17"/>
      <c r="M1339" s="17"/>
      <c r="N1339" s="17"/>
      <c r="O1339" s="17"/>
      <c r="P1339" s="17"/>
      <c r="Q1339" s="17"/>
      <c r="R1339" s="17"/>
      <c r="S1339" s="17"/>
      <c r="T1339" s="17"/>
      <c r="U1339" s="17"/>
      <c r="V1339" s="17"/>
      <c r="W1339" s="17"/>
      <c r="X1339" s="17"/>
      <c r="Y1339" s="46"/>
      <c r="Z1339" s="47"/>
      <c r="AA1339" s="48"/>
      <c r="AB1339" s="48"/>
      <c r="AC1339" s="48"/>
      <c r="AD1339" s="48"/>
      <c r="AE1339" s="48"/>
      <c r="AF1339" s="48"/>
      <c r="AG1339" s="48"/>
      <c r="AH1339" s="48"/>
      <c r="AI1339" s="48"/>
    </row>
    <row r="1340" spans="1:35" ht="12.5" hidden="1">
      <c r="A1340" s="37"/>
      <c r="B1340" s="38"/>
      <c r="C1340" s="63"/>
      <c r="D1340" s="17"/>
      <c r="E1340" s="17"/>
      <c r="F1340" s="17"/>
      <c r="G1340" s="17"/>
      <c r="H1340" s="65"/>
      <c r="I1340" s="24"/>
      <c r="J1340" s="17"/>
      <c r="K1340" s="17"/>
      <c r="L1340" s="17"/>
      <c r="M1340" s="17"/>
      <c r="N1340" s="17"/>
      <c r="O1340" s="17"/>
      <c r="P1340" s="17"/>
      <c r="Q1340" s="17"/>
      <c r="R1340" s="17"/>
      <c r="S1340" s="17"/>
      <c r="T1340" s="17"/>
      <c r="U1340" s="17"/>
      <c r="V1340" s="17"/>
      <c r="W1340" s="17"/>
      <c r="X1340" s="17"/>
      <c r="Y1340" s="46"/>
      <c r="Z1340" s="47"/>
      <c r="AA1340" s="48"/>
      <c r="AB1340" s="48"/>
      <c r="AC1340" s="48"/>
      <c r="AD1340" s="48"/>
      <c r="AE1340" s="48"/>
      <c r="AF1340" s="48"/>
      <c r="AG1340" s="48"/>
      <c r="AH1340" s="48"/>
      <c r="AI1340" s="48"/>
    </row>
    <row r="1341" spans="1:35" ht="12.5" hidden="1">
      <c r="A1341" s="37"/>
      <c r="B1341" s="38"/>
      <c r="C1341" s="63"/>
      <c r="D1341" s="17"/>
      <c r="E1341" s="17"/>
      <c r="F1341" s="17"/>
      <c r="G1341" s="17"/>
      <c r="H1341" s="65"/>
      <c r="I1341" s="24"/>
      <c r="J1341" s="17"/>
      <c r="K1341" s="17"/>
      <c r="L1341" s="17"/>
      <c r="M1341" s="17"/>
      <c r="N1341" s="17"/>
      <c r="O1341" s="17"/>
      <c r="P1341" s="17"/>
      <c r="Q1341" s="17"/>
      <c r="R1341" s="17"/>
      <c r="S1341" s="17"/>
      <c r="T1341" s="17"/>
      <c r="U1341" s="17"/>
      <c r="V1341" s="17"/>
      <c r="W1341" s="17"/>
      <c r="X1341" s="17"/>
      <c r="Y1341" s="46"/>
      <c r="Z1341" s="47"/>
      <c r="AA1341" s="48"/>
      <c r="AB1341" s="48"/>
      <c r="AC1341" s="48"/>
      <c r="AD1341" s="48"/>
      <c r="AE1341" s="48"/>
      <c r="AF1341" s="48"/>
      <c r="AG1341" s="48"/>
      <c r="AH1341" s="48"/>
      <c r="AI1341" s="48"/>
    </row>
    <row r="1342" spans="1:35" ht="12.5" hidden="1">
      <c r="A1342" s="37"/>
      <c r="B1342" s="38"/>
      <c r="C1342" s="63"/>
      <c r="D1342" s="17"/>
      <c r="E1342" s="17"/>
      <c r="F1342" s="17"/>
      <c r="G1342" s="17"/>
      <c r="H1342" s="65"/>
      <c r="I1342" s="24"/>
      <c r="J1342" s="17"/>
      <c r="K1342" s="17"/>
      <c r="L1342" s="17"/>
      <c r="M1342" s="17"/>
      <c r="N1342" s="17"/>
      <c r="O1342" s="17"/>
      <c r="P1342" s="17"/>
      <c r="Q1342" s="17"/>
      <c r="R1342" s="17"/>
      <c r="S1342" s="17"/>
      <c r="T1342" s="17"/>
      <c r="U1342" s="17"/>
      <c r="V1342" s="17"/>
      <c r="W1342" s="17"/>
      <c r="X1342" s="17"/>
      <c r="Y1342" s="46"/>
      <c r="Z1342" s="47"/>
      <c r="AA1342" s="48"/>
      <c r="AB1342" s="48"/>
      <c r="AC1342" s="48"/>
      <c r="AD1342" s="48"/>
      <c r="AE1342" s="48"/>
      <c r="AF1342" s="48"/>
      <c r="AG1342" s="48"/>
      <c r="AH1342" s="48"/>
      <c r="AI1342" s="48"/>
    </row>
    <row r="1343" spans="1:35" ht="12.5" hidden="1">
      <c r="A1343" s="37"/>
      <c r="B1343" s="38"/>
      <c r="C1343" s="63"/>
      <c r="D1343" s="17"/>
      <c r="E1343" s="17"/>
      <c r="F1343" s="17"/>
      <c r="G1343" s="17"/>
      <c r="H1343" s="65"/>
      <c r="I1343" s="24"/>
      <c r="J1343" s="17"/>
      <c r="K1343" s="17"/>
      <c r="L1343" s="17"/>
      <c r="M1343" s="17"/>
      <c r="N1343" s="17"/>
      <c r="O1343" s="17"/>
      <c r="P1343" s="17"/>
      <c r="Q1343" s="17"/>
      <c r="R1343" s="17"/>
      <c r="S1343" s="17"/>
      <c r="T1343" s="17"/>
      <c r="U1343" s="17"/>
      <c r="V1343" s="17"/>
      <c r="W1343" s="17"/>
      <c r="X1343" s="17"/>
      <c r="Y1343" s="46"/>
      <c r="Z1343" s="47"/>
      <c r="AA1343" s="48"/>
      <c r="AB1343" s="48"/>
      <c r="AC1343" s="48"/>
      <c r="AD1343" s="48"/>
      <c r="AE1343" s="48"/>
      <c r="AF1343" s="48"/>
      <c r="AG1343" s="48"/>
      <c r="AH1343" s="48"/>
      <c r="AI1343" s="48"/>
    </row>
    <row r="1344" spans="1:35" ht="12.5" hidden="1">
      <c r="A1344" s="37"/>
      <c r="B1344" s="38"/>
      <c r="C1344" s="63"/>
      <c r="D1344" s="17"/>
      <c r="E1344" s="17"/>
      <c r="F1344" s="17"/>
      <c r="G1344" s="17"/>
      <c r="H1344" s="65"/>
      <c r="I1344" s="24"/>
      <c r="J1344" s="17"/>
      <c r="K1344" s="17"/>
      <c r="L1344" s="17"/>
      <c r="M1344" s="17"/>
      <c r="N1344" s="17"/>
      <c r="O1344" s="17"/>
      <c r="P1344" s="17"/>
      <c r="Q1344" s="17"/>
      <c r="R1344" s="17"/>
      <c r="S1344" s="17"/>
      <c r="T1344" s="17"/>
      <c r="U1344" s="17"/>
      <c r="V1344" s="17"/>
      <c r="W1344" s="17"/>
      <c r="X1344" s="17"/>
      <c r="Y1344" s="46"/>
      <c r="Z1344" s="47"/>
      <c r="AA1344" s="48"/>
      <c r="AB1344" s="48"/>
      <c r="AC1344" s="48"/>
      <c r="AD1344" s="48"/>
      <c r="AE1344" s="48"/>
      <c r="AF1344" s="48"/>
      <c r="AG1344" s="48"/>
      <c r="AH1344" s="48"/>
      <c r="AI1344" s="48"/>
    </row>
    <row r="1345" spans="1:35" ht="12.5" hidden="1">
      <c r="A1345" s="37"/>
      <c r="B1345" s="38"/>
      <c r="C1345" s="63"/>
      <c r="D1345" s="17"/>
      <c r="E1345" s="17"/>
      <c r="F1345" s="17"/>
      <c r="G1345" s="17"/>
      <c r="H1345" s="65"/>
      <c r="I1345" s="24"/>
      <c r="J1345" s="17"/>
      <c r="K1345" s="17"/>
      <c r="L1345" s="17"/>
      <c r="M1345" s="17"/>
      <c r="N1345" s="17"/>
      <c r="O1345" s="17"/>
      <c r="P1345" s="17"/>
      <c r="Q1345" s="17"/>
      <c r="R1345" s="17"/>
      <c r="S1345" s="17"/>
      <c r="T1345" s="17"/>
      <c r="U1345" s="17"/>
      <c r="V1345" s="17"/>
      <c r="W1345" s="17"/>
      <c r="X1345" s="17"/>
      <c r="Y1345" s="46"/>
      <c r="Z1345" s="47"/>
      <c r="AA1345" s="48"/>
      <c r="AB1345" s="48"/>
      <c r="AC1345" s="48"/>
      <c r="AD1345" s="48"/>
      <c r="AE1345" s="48"/>
      <c r="AF1345" s="48"/>
      <c r="AG1345" s="48"/>
      <c r="AH1345" s="48"/>
      <c r="AI1345" s="48"/>
    </row>
    <row r="1346" spans="1:35" ht="12.5" hidden="1">
      <c r="A1346" s="37"/>
      <c r="B1346" s="38"/>
      <c r="C1346" s="63"/>
      <c r="D1346" s="17"/>
      <c r="E1346" s="17"/>
      <c r="F1346" s="17"/>
      <c r="G1346" s="17"/>
      <c r="H1346" s="65"/>
      <c r="I1346" s="24"/>
      <c r="J1346" s="44"/>
      <c r="K1346" s="17"/>
      <c r="L1346" s="17"/>
      <c r="M1346" s="17"/>
      <c r="N1346" s="17"/>
      <c r="O1346" s="17"/>
      <c r="P1346" s="17"/>
      <c r="Q1346" s="17"/>
      <c r="R1346" s="17"/>
      <c r="S1346" s="17"/>
      <c r="T1346" s="17"/>
      <c r="U1346" s="17"/>
      <c r="V1346" s="17"/>
      <c r="W1346" s="17"/>
      <c r="X1346" s="17"/>
      <c r="Y1346" s="46"/>
      <c r="Z1346" s="47"/>
      <c r="AA1346" s="48"/>
      <c r="AB1346" s="48"/>
      <c r="AC1346" s="48"/>
      <c r="AD1346" s="48"/>
      <c r="AE1346" s="48"/>
      <c r="AF1346" s="48"/>
      <c r="AG1346" s="48"/>
      <c r="AH1346" s="48"/>
      <c r="AI1346" s="48"/>
    </row>
    <row r="1347" spans="1:35" ht="12.5" hidden="1">
      <c r="A1347" s="37"/>
      <c r="B1347" s="38"/>
      <c r="C1347" s="63"/>
      <c r="D1347" s="17"/>
      <c r="E1347" s="17"/>
      <c r="F1347" s="17"/>
      <c r="G1347" s="17"/>
      <c r="H1347" s="65"/>
      <c r="I1347" s="24"/>
      <c r="J1347" s="17"/>
      <c r="K1347" s="17"/>
      <c r="L1347" s="17"/>
      <c r="M1347" s="17"/>
      <c r="N1347" s="17"/>
      <c r="O1347" s="17"/>
      <c r="P1347" s="17"/>
      <c r="Q1347" s="17"/>
      <c r="R1347" s="17"/>
      <c r="S1347" s="17"/>
      <c r="T1347" s="17"/>
      <c r="U1347" s="17"/>
      <c r="V1347" s="17"/>
      <c r="W1347" s="17"/>
      <c r="X1347" s="17"/>
      <c r="Y1347" s="46"/>
      <c r="Z1347" s="47"/>
      <c r="AA1347" s="48"/>
      <c r="AB1347" s="48"/>
      <c r="AC1347" s="48"/>
      <c r="AD1347" s="48"/>
      <c r="AE1347" s="48"/>
      <c r="AF1347" s="48"/>
      <c r="AG1347" s="48"/>
      <c r="AH1347" s="48"/>
      <c r="AI1347" s="48"/>
    </row>
    <row r="1348" spans="1:35" ht="12.5" hidden="1">
      <c r="A1348" s="37"/>
      <c r="B1348" s="38"/>
      <c r="C1348" s="63"/>
      <c r="D1348" s="17"/>
      <c r="E1348" s="17"/>
      <c r="F1348" s="17"/>
      <c r="G1348" s="17"/>
      <c r="H1348" s="65"/>
      <c r="I1348" s="24"/>
      <c r="J1348" s="17"/>
      <c r="K1348" s="17"/>
      <c r="L1348" s="17"/>
      <c r="M1348" s="17"/>
      <c r="N1348" s="17"/>
      <c r="O1348" s="17"/>
      <c r="P1348" s="17"/>
      <c r="Q1348" s="17"/>
      <c r="R1348" s="17"/>
      <c r="S1348" s="17"/>
      <c r="T1348" s="17"/>
      <c r="U1348" s="17"/>
      <c r="V1348" s="17"/>
      <c r="W1348" s="17"/>
      <c r="X1348" s="17"/>
      <c r="Y1348" s="46"/>
      <c r="Z1348" s="47"/>
      <c r="AA1348" s="48"/>
      <c r="AB1348" s="48"/>
      <c r="AC1348" s="48"/>
      <c r="AD1348" s="48"/>
      <c r="AE1348" s="48"/>
      <c r="AF1348" s="48"/>
      <c r="AG1348" s="48"/>
      <c r="AH1348" s="48"/>
      <c r="AI1348" s="48"/>
    </row>
    <row r="1349" spans="1:35" ht="12.5" hidden="1">
      <c r="A1349" s="37"/>
      <c r="B1349" s="38"/>
      <c r="C1349" s="63"/>
      <c r="D1349" s="17"/>
      <c r="E1349" s="17"/>
      <c r="F1349" s="17"/>
      <c r="G1349" s="17"/>
      <c r="H1349" s="65"/>
      <c r="I1349" s="24"/>
      <c r="J1349" s="17"/>
      <c r="K1349" s="17"/>
      <c r="L1349" s="17"/>
      <c r="M1349" s="17"/>
      <c r="N1349" s="17"/>
      <c r="O1349" s="17"/>
      <c r="P1349" s="17"/>
      <c r="Q1349" s="17"/>
      <c r="R1349" s="17"/>
      <c r="S1349" s="17"/>
      <c r="T1349" s="17"/>
      <c r="U1349" s="17"/>
      <c r="V1349" s="17"/>
      <c r="W1349" s="17"/>
      <c r="X1349" s="17"/>
      <c r="Y1349" s="46"/>
      <c r="Z1349" s="47"/>
      <c r="AA1349" s="48"/>
      <c r="AB1349" s="48"/>
      <c r="AC1349" s="48"/>
      <c r="AD1349" s="48"/>
      <c r="AE1349" s="48"/>
      <c r="AF1349" s="48"/>
      <c r="AG1349" s="48"/>
      <c r="AH1349" s="48"/>
      <c r="AI1349" s="48"/>
    </row>
    <row r="1350" spans="1:35" ht="12.5" hidden="1">
      <c r="A1350" s="37"/>
      <c r="B1350" s="38"/>
      <c r="C1350" s="63"/>
      <c r="D1350" s="17"/>
      <c r="E1350" s="17"/>
      <c r="F1350" s="17"/>
      <c r="G1350" s="17"/>
      <c r="H1350" s="65"/>
      <c r="I1350" s="24"/>
      <c r="J1350" s="17"/>
      <c r="K1350" s="17"/>
      <c r="L1350" s="17"/>
      <c r="M1350" s="17"/>
      <c r="N1350" s="17"/>
      <c r="O1350" s="17"/>
      <c r="P1350" s="17"/>
      <c r="Q1350" s="17"/>
      <c r="R1350" s="17"/>
      <c r="S1350" s="17"/>
      <c r="T1350" s="17"/>
      <c r="U1350" s="17"/>
      <c r="V1350" s="17"/>
      <c r="W1350" s="17"/>
      <c r="X1350" s="17"/>
      <c r="Y1350" s="46"/>
      <c r="Z1350" s="47"/>
      <c r="AA1350" s="48"/>
      <c r="AB1350" s="48"/>
      <c r="AC1350" s="48"/>
      <c r="AD1350" s="48"/>
      <c r="AE1350" s="48"/>
      <c r="AF1350" s="48"/>
      <c r="AG1350" s="48"/>
      <c r="AH1350" s="48"/>
      <c r="AI1350" s="48"/>
    </row>
    <row r="1351" spans="1:35" ht="12.5" hidden="1">
      <c r="A1351" s="37"/>
      <c r="B1351" s="38"/>
      <c r="C1351" s="63"/>
      <c r="D1351" s="17"/>
      <c r="E1351" s="17"/>
      <c r="F1351" s="17"/>
      <c r="G1351" s="17"/>
      <c r="H1351" s="65"/>
      <c r="I1351" s="24"/>
      <c r="J1351" s="17"/>
      <c r="K1351" s="17"/>
      <c r="L1351" s="17"/>
      <c r="M1351" s="17"/>
      <c r="N1351" s="17"/>
      <c r="O1351" s="17"/>
      <c r="P1351" s="17"/>
      <c r="Q1351" s="17"/>
      <c r="R1351" s="17"/>
      <c r="S1351" s="17"/>
      <c r="T1351" s="17"/>
      <c r="U1351" s="17"/>
      <c r="V1351" s="17"/>
      <c r="W1351" s="17"/>
      <c r="X1351" s="17"/>
      <c r="Y1351" s="46"/>
      <c r="Z1351" s="47"/>
      <c r="AA1351" s="48"/>
      <c r="AB1351" s="48"/>
      <c r="AC1351" s="48"/>
      <c r="AD1351" s="48"/>
      <c r="AE1351" s="48"/>
      <c r="AF1351" s="48"/>
      <c r="AG1351" s="48"/>
      <c r="AH1351" s="48"/>
      <c r="AI1351" s="48"/>
    </row>
    <row r="1352" spans="1:35" ht="12.5" hidden="1">
      <c r="A1352" s="37"/>
      <c r="B1352" s="38"/>
      <c r="C1352" s="63"/>
      <c r="D1352" s="17"/>
      <c r="E1352" s="17"/>
      <c r="F1352" s="17"/>
      <c r="G1352" s="17"/>
      <c r="H1352" s="65"/>
      <c r="I1352" s="24"/>
      <c r="J1352" s="17"/>
      <c r="K1352" s="17"/>
      <c r="L1352" s="17"/>
      <c r="M1352" s="17"/>
      <c r="N1352" s="17"/>
      <c r="O1352" s="17"/>
      <c r="P1352" s="17"/>
      <c r="Q1352" s="17"/>
      <c r="R1352" s="17"/>
      <c r="S1352" s="17"/>
      <c r="T1352" s="17"/>
      <c r="U1352" s="17"/>
      <c r="V1352" s="17"/>
      <c r="W1352" s="17"/>
      <c r="X1352" s="17"/>
      <c r="Y1352" s="46"/>
      <c r="Z1352" s="47"/>
      <c r="AA1352" s="48"/>
      <c r="AB1352" s="48"/>
      <c r="AC1352" s="48"/>
      <c r="AD1352" s="48"/>
      <c r="AE1352" s="48"/>
      <c r="AF1352" s="48"/>
      <c r="AG1352" s="48"/>
      <c r="AH1352" s="48"/>
      <c r="AI1352" s="48"/>
    </row>
    <row r="1353" spans="1:35" ht="12.5" hidden="1">
      <c r="A1353" s="37"/>
      <c r="B1353" s="38"/>
      <c r="C1353" s="63"/>
      <c r="D1353" s="17"/>
      <c r="E1353" s="17"/>
      <c r="F1353" s="17"/>
      <c r="G1353" s="17"/>
      <c r="H1353" s="65"/>
      <c r="I1353" s="24"/>
      <c r="J1353" s="17"/>
      <c r="K1353" s="17"/>
      <c r="L1353" s="17"/>
      <c r="M1353" s="17"/>
      <c r="N1353" s="17"/>
      <c r="O1353" s="17"/>
      <c r="P1353" s="17"/>
      <c r="Q1353" s="17"/>
      <c r="R1353" s="17"/>
      <c r="S1353" s="17"/>
      <c r="T1353" s="17"/>
      <c r="U1353" s="17"/>
      <c r="V1353" s="17"/>
      <c r="W1353" s="17"/>
      <c r="X1353" s="17"/>
      <c r="Y1353" s="46"/>
      <c r="Z1353" s="47"/>
      <c r="AA1353" s="48"/>
      <c r="AB1353" s="48"/>
      <c r="AC1353" s="48"/>
      <c r="AD1353" s="48"/>
      <c r="AE1353" s="48"/>
      <c r="AF1353" s="48"/>
      <c r="AG1353" s="48"/>
      <c r="AH1353" s="48"/>
      <c r="AI1353" s="48"/>
    </row>
    <row r="1354" spans="1:35" ht="12.5" hidden="1">
      <c r="A1354" s="37"/>
      <c r="B1354" s="38"/>
      <c r="C1354" s="63"/>
      <c r="D1354" s="17"/>
      <c r="E1354" s="17"/>
      <c r="F1354" s="17"/>
      <c r="G1354" s="17"/>
      <c r="H1354" s="65"/>
      <c r="I1354" s="24"/>
      <c r="J1354" s="17"/>
      <c r="K1354" s="17"/>
      <c r="L1354" s="17"/>
      <c r="M1354" s="17"/>
      <c r="N1354" s="17"/>
      <c r="O1354" s="17"/>
      <c r="P1354" s="17"/>
      <c r="Q1354" s="17"/>
      <c r="R1354" s="17"/>
      <c r="S1354" s="17"/>
      <c r="T1354" s="17"/>
      <c r="U1354" s="17"/>
      <c r="V1354" s="17"/>
      <c r="W1354" s="17"/>
      <c r="X1354" s="17"/>
      <c r="Y1354" s="46"/>
      <c r="Z1354" s="47"/>
      <c r="AA1354" s="48"/>
      <c r="AB1354" s="48"/>
      <c r="AC1354" s="48"/>
      <c r="AD1354" s="48"/>
      <c r="AE1354" s="48"/>
      <c r="AF1354" s="48"/>
      <c r="AG1354" s="48"/>
      <c r="AH1354" s="48"/>
      <c r="AI1354" s="48"/>
    </row>
    <row r="1355" spans="1:35" ht="12.5" hidden="1">
      <c r="A1355" s="37"/>
      <c r="B1355" s="38"/>
      <c r="C1355" s="63"/>
      <c r="D1355" s="17"/>
      <c r="E1355" s="17"/>
      <c r="F1355" s="17"/>
      <c r="G1355" s="17"/>
      <c r="H1355" s="65"/>
      <c r="I1355" s="24"/>
      <c r="J1355" s="17"/>
      <c r="K1355" s="17"/>
      <c r="L1355" s="17"/>
      <c r="M1355" s="17"/>
      <c r="N1355" s="17"/>
      <c r="O1355" s="17"/>
      <c r="P1355" s="17"/>
      <c r="Q1355" s="17"/>
      <c r="R1355" s="17"/>
      <c r="S1355" s="17"/>
      <c r="T1355" s="17"/>
      <c r="U1355" s="17"/>
      <c r="V1355" s="17"/>
      <c r="W1355" s="17"/>
      <c r="X1355" s="17"/>
      <c r="Y1355" s="46"/>
      <c r="Z1355" s="47"/>
      <c r="AA1355" s="48"/>
      <c r="AB1355" s="48"/>
      <c r="AC1355" s="48"/>
      <c r="AD1355" s="48"/>
      <c r="AE1355" s="48"/>
      <c r="AF1355" s="48"/>
      <c r="AG1355" s="48"/>
      <c r="AH1355" s="48"/>
      <c r="AI1355" s="48"/>
    </row>
    <row r="1356" spans="1:35" ht="12.5" hidden="1">
      <c r="A1356" s="37"/>
      <c r="B1356" s="38"/>
      <c r="C1356" s="63"/>
      <c r="D1356" s="17"/>
      <c r="E1356" s="17"/>
      <c r="F1356" s="17"/>
      <c r="G1356" s="17"/>
      <c r="H1356" s="65"/>
      <c r="I1356" s="24"/>
      <c r="J1356" s="17"/>
      <c r="K1356" s="17"/>
      <c r="L1356" s="17"/>
      <c r="M1356" s="17"/>
      <c r="N1356" s="17"/>
      <c r="O1356" s="17"/>
      <c r="P1356" s="17"/>
      <c r="Q1356" s="17"/>
      <c r="R1356" s="17"/>
      <c r="S1356" s="17"/>
      <c r="T1356" s="17"/>
      <c r="U1356" s="17"/>
      <c r="V1356" s="17"/>
      <c r="W1356" s="17"/>
      <c r="X1356" s="17"/>
      <c r="Y1356" s="46"/>
      <c r="Z1356" s="47"/>
      <c r="AA1356" s="48"/>
      <c r="AB1356" s="48"/>
      <c r="AC1356" s="48"/>
      <c r="AD1356" s="48"/>
      <c r="AE1356" s="48"/>
      <c r="AF1356" s="48"/>
      <c r="AG1356" s="48"/>
      <c r="AH1356" s="48"/>
      <c r="AI1356" s="48"/>
    </row>
    <row r="1357" spans="1:35" ht="12.5" hidden="1">
      <c r="A1357" s="37"/>
      <c r="B1357" s="38"/>
      <c r="C1357" s="63"/>
      <c r="D1357" s="17"/>
      <c r="E1357" s="17"/>
      <c r="F1357" s="17"/>
      <c r="G1357" s="17"/>
      <c r="H1357" s="65"/>
      <c r="I1357" s="24"/>
      <c r="J1357" s="17"/>
      <c r="K1357" s="17"/>
      <c r="L1357" s="17"/>
      <c r="M1357" s="17"/>
      <c r="N1357" s="17"/>
      <c r="O1357" s="17"/>
      <c r="P1357" s="17"/>
      <c r="Q1357" s="17"/>
      <c r="R1357" s="17"/>
      <c r="S1357" s="17"/>
      <c r="T1357" s="17"/>
      <c r="U1357" s="17"/>
      <c r="V1357" s="17"/>
      <c r="W1357" s="17"/>
      <c r="X1357" s="17"/>
      <c r="Y1357" s="46"/>
      <c r="Z1357" s="47"/>
      <c r="AA1357" s="48"/>
      <c r="AB1357" s="48"/>
      <c r="AC1357" s="48"/>
      <c r="AD1357" s="48"/>
      <c r="AE1357" s="48"/>
      <c r="AF1357" s="48"/>
      <c r="AG1357" s="48"/>
      <c r="AH1357" s="48"/>
      <c r="AI1357" s="48"/>
    </row>
    <row r="1358" spans="1:35" ht="12.5" hidden="1">
      <c r="A1358" s="37"/>
      <c r="B1358" s="38"/>
      <c r="C1358" s="63"/>
      <c r="D1358" s="17"/>
      <c r="E1358" s="17"/>
      <c r="F1358" s="17"/>
      <c r="G1358" s="17"/>
      <c r="H1358" s="65"/>
      <c r="I1358" s="24"/>
      <c r="J1358" s="17"/>
      <c r="K1358" s="17"/>
      <c r="L1358" s="17"/>
      <c r="M1358" s="17"/>
      <c r="N1358" s="17"/>
      <c r="O1358" s="17"/>
      <c r="P1358" s="17"/>
      <c r="Q1358" s="17"/>
      <c r="R1358" s="17"/>
      <c r="S1358" s="17"/>
      <c r="T1358" s="17"/>
      <c r="U1358" s="17"/>
      <c r="V1358" s="17"/>
      <c r="W1358" s="17"/>
      <c r="X1358" s="17"/>
      <c r="Y1358" s="46"/>
      <c r="Z1358" s="47"/>
      <c r="AA1358" s="48"/>
      <c r="AB1358" s="48"/>
      <c r="AC1358" s="48"/>
      <c r="AD1358" s="48"/>
      <c r="AE1358" s="48"/>
      <c r="AF1358" s="48"/>
      <c r="AG1358" s="48"/>
      <c r="AH1358" s="48"/>
      <c r="AI1358" s="48"/>
    </row>
    <row r="1359" spans="1:35" ht="12.5" hidden="1">
      <c r="A1359" s="37"/>
      <c r="B1359" s="38"/>
      <c r="C1359" s="63"/>
      <c r="D1359" s="17"/>
      <c r="E1359" s="17"/>
      <c r="F1359" s="17"/>
      <c r="G1359" s="17"/>
      <c r="H1359" s="65"/>
      <c r="I1359" s="24"/>
      <c r="J1359" s="17"/>
      <c r="K1359" s="17"/>
      <c r="L1359" s="17"/>
      <c r="M1359" s="17"/>
      <c r="N1359" s="17"/>
      <c r="O1359" s="17"/>
      <c r="P1359" s="17"/>
      <c r="Q1359" s="17"/>
      <c r="R1359" s="17"/>
      <c r="S1359" s="17"/>
      <c r="T1359" s="17"/>
      <c r="U1359" s="17"/>
      <c r="V1359" s="17"/>
      <c r="W1359" s="17"/>
      <c r="X1359" s="17"/>
      <c r="Y1359" s="46"/>
      <c r="Z1359" s="47"/>
      <c r="AA1359" s="48"/>
      <c r="AB1359" s="48"/>
      <c r="AC1359" s="48"/>
      <c r="AD1359" s="48"/>
      <c r="AE1359" s="48"/>
      <c r="AF1359" s="48"/>
      <c r="AG1359" s="48"/>
      <c r="AH1359" s="48"/>
      <c r="AI1359" s="48"/>
    </row>
    <row r="1360" spans="1:35" ht="12.5" hidden="1">
      <c r="A1360" s="37"/>
      <c r="B1360" s="38"/>
      <c r="C1360" s="63"/>
      <c r="D1360" s="17"/>
      <c r="E1360" s="17"/>
      <c r="F1360" s="17"/>
      <c r="G1360" s="17"/>
      <c r="H1360" s="65"/>
      <c r="I1360" s="24"/>
      <c r="J1360" s="17"/>
      <c r="K1360" s="17"/>
      <c r="L1360" s="17"/>
      <c r="M1360" s="17"/>
      <c r="N1360" s="17"/>
      <c r="O1360" s="17"/>
      <c r="P1360" s="17"/>
      <c r="Q1360" s="17"/>
      <c r="R1360" s="17"/>
      <c r="S1360" s="17"/>
      <c r="T1360" s="17"/>
      <c r="U1360" s="17"/>
      <c r="V1360" s="17"/>
      <c r="W1360" s="17"/>
      <c r="X1360" s="17"/>
      <c r="Y1360" s="46"/>
      <c r="Z1360" s="47"/>
      <c r="AA1360" s="48"/>
      <c r="AB1360" s="48"/>
      <c r="AC1360" s="48"/>
      <c r="AD1360" s="48"/>
      <c r="AE1360" s="48"/>
      <c r="AF1360" s="48"/>
      <c r="AG1360" s="48"/>
      <c r="AH1360" s="48"/>
      <c r="AI1360" s="48"/>
    </row>
    <row r="1361" spans="1:35" ht="12.5" hidden="1">
      <c r="A1361" s="37"/>
      <c r="B1361" s="38"/>
      <c r="C1361" s="63"/>
      <c r="D1361" s="17"/>
      <c r="E1361" s="17"/>
      <c r="F1361" s="17"/>
      <c r="G1361" s="17"/>
      <c r="H1361" s="65"/>
      <c r="I1361" s="24"/>
      <c r="J1361" s="17"/>
      <c r="K1361" s="17"/>
      <c r="L1361" s="17"/>
      <c r="M1361" s="17"/>
      <c r="N1361" s="17"/>
      <c r="O1361" s="17"/>
      <c r="P1361" s="17"/>
      <c r="Q1361" s="17"/>
      <c r="R1361" s="17"/>
      <c r="S1361" s="17"/>
      <c r="T1361" s="17"/>
      <c r="U1361" s="17"/>
      <c r="V1361" s="17"/>
      <c r="W1361" s="17"/>
      <c r="X1361" s="17"/>
      <c r="Y1361" s="46"/>
      <c r="Z1361" s="47"/>
      <c r="AA1361" s="48"/>
      <c r="AB1361" s="48"/>
      <c r="AC1361" s="48"/>
      <c r="AD1361" s="48"/>
      <c r="AE1361" s="48"/>
      <c r="AF1361" s="48"/>
      <c r="AG1361" s="48"/>
      <c r="AH1361" s="48"/>
      <c r="AI1361" s="48"/>
    </row>
    <row r="1362" spans="1:35" ht="12.5" hidden="1">
      <c r="A1362" s="37"/>
      <c r="B1362" s="38"/>
      <c r="C1362" s="63"/>
      <c r="D1362" s="17"/>
      <c r="E1362" s="17"/>
      <c r="F1362" s="17"/>
      <c r="G1362" s="17"/>
      <c r="H1362" s="65"/>
      <c r="I1362" s="24"/>
      <c r="J1362" s="17"/>
      <c r="K1362" s="17"/>
      <c r="L1362" s="17"/>
      <c r="M1362" s="17"/>
      <c r="N1362" s="17"/>
      <c r="O1362" s="17"/>
      <c r="P1362" s="17"/>
      <c r="Q1362" s="17"/>
      <c r="R1362" s="17"/>
      <c r="S1362" s="17"/>
      <c r="T1362" s="17"/>
      <c r="U1362" s="17"/>
      <c r="V1362" s="17"/>
      <c r="W1362" s="17"/>
      <c r="X1362" s="17"/>
      <c r="Y1362" s="46"/>
      <c r="Z1362" s="47"/>
      <c r="AA1362" s="48"/>
      <c r="AB1362" s="48"/>
      <c r="AC1362" s="48"/>
      <c r="AD1362" s="48"/>
      <c r="AE1362" s="48"/>
      <c r="AF1362" s="48"/>
      <c r="AG1362" s="48"/>
      <c r="AH1362" s="48"/>
      <c r="AI1362" s="48"/>
    </row>
    <row r="1363" spans="1:35" ht="12.5" hidden="1">
      <c r="A1363" s="37"/>
      <c r="B1363" s="38"/>
      <c r="C1363" s="63"/>
      <c r="D1363" s="17"/>
      <c r="E1363" s="17"/>
      <c r="F1363" s="17"/>
      <c r="G1363" s="17"/>
      <c r="H1363" s="65"/>
      <c r="I1363" s="24"/>
      <c r="J1363" s="17"/>
      <c r="K1363" s="17"/>
      <c r="L1363" s="17"/>
      <c r="M1363" s="17"/>
      <c r="N1363" s="17"/>
      <c r="O1363" s="17"/>
      <c r="P1363" s="17"/>
      <c r="Q1363" s="17"/>
      <c r="R1363" s="17"/>
      <c r="S1363" s="17"/>
      <c r="T1363" s="17"/>
      <c r="U1363" s="17"/>
      <c r="V1363" s="17"/>
      <c r="W1363" s="17"/>
      <c r="X1363" s="17"/>
      <c r="Y1363" s="46"/>
      <c r="Z1363" s="47"/>
      <c r="AA1363" s="48"/>
      <c r="AB1363" s="48"/>
      <c r="AC1363" s="48"/>
      <c r="AD1363" s="48"/>
      <c r="AE1363" s="48"/>
      <c r="AF1363" s="48"/>
      <c r="AG1363" s="48"/>
      <c r="AH1363" s="48"/>
      <c r="AI1363" s="48"/>
    </row>
    <row r="1364" spans="1:35" ht="12.5" hidden="1">
      <c r="A1364" s="37"/>
      <c r="B1364" s="38"/>
      <c r="C1364" s="63"/>
      <c r="D1364" s="17"/>
      <c r="E1364" s="17"/>
      <c r="F1364" s="17"/>
      <c r="G1364" s="17"/>
      <c r="H1364" s="65"/>
      <c r="I1364" s="24"/>
      <c r="J1364" s="17"/>
      <c r="K1364" s="17"/>
      <c r="L1364" s="17"/>
      <c r="M1364" s="17"/>
      <c r="N1364" s="17"/>
      <c r="O1364" s="17"/>
      <c r="P1364" s="17"/>
      <c r="Q1364" s="17"/>
      <c r="R1364" s="17"/>
      <c r="S1364" s="17"/>
      <c r="T1364" s="17"/>
      <c r="U1364" s="17"/>
      <c r="V1364" s="17"/>
      <c r="W1364" s="17"/>
      <c r="X1364" s="17"/>
      <c r="Y1364" s="46"/>
      <c r="Z1364" s="47"/>
      <c r="AA1364" s="48"/>
      <c r="AB1364" s="48"/>
      <c r="AC1364" s="48"/>
      <c r="AD1364" s="48"/>
      <c r="AE1364" s="48"/>
      <c r="AF1364" s="48"/>
      <c r="AG1364" s="48"/>
      <c r="AH1364" s="48"/>
      <c r="AI1364" s="48"/>
    </row>
    <row r="1365" spans="1:35" ht="12.5" hidden="1">
      <c r="A1365" s="37"/>
      <c r="B1365" s="38"/>
      <c r="C1365" s="63"/>
      <c r="D1365" s="17"/>
      <c r="E1365" s="17"/>
      <c r="F1365" s="17"/>
      <c r="G1365" s="17"/>
      <c r="H1365" s="65"/>
      <c r="I1365" s="24"/>
      <c r="J1365" s="17"/>
      <c r="K1365" s="17"/>
      <c r="L1365" s="17"/>
      <c r="M1365" s="17"/>
      <c r="N1365" s="17"/>
      <c r="O1365" s="17"/>
      <c r="P1365" s="17"/>
      <c r="Q1365" s="17"/>
      <c r="R1365" s="17"/>
      <c r="S1365" s="17"/>
      <c r="T1365" s="17"/>
      <c r="U1365" s="17"/>
      <c r="V1365" s="17"/>
      <c r="W1365" s="17"/>
      <c r="X1365" s="17"/>
      <c r="Y1365" s="46"/>
      <c r="Z1365" s="47"/>
      <c r="AA1365" s="48"/>
      <c r="AB1365" s="48"/>
      <c r="AC1365" s="48"/>
      <c r="AD1365" s="48"/>
      <c r="AE1365" s="48"/>
      <c r="AF1365" s="48"/>
      <c r="AG1365" s="48"/>
      <c r="AH1365" s="48"/>
      <c r="AI1365" s="48"/>
    </row>
    <row r="1366" spans="1:35" ht="12.5" hidden="1">
      <c r="A1366" s="37"/>
      <c r="B1366" s="38"/>
      <c r="C1366" s="63"/>
      <c r="D1366" s="17"/>
      <c r="E1366" s="17"/>
      <c r="F1366" s="17"/>
      <c r="G1366" s="17"/>
      <c r="H1366" s="65"/>
      <c r="I1366" s="24"/>
      <c r="J1366" s="17"/>
      <c r="K1366" s="17"/>
      <c r="L1366" s="17"/>
      <c r="M1366" s="17"/>
      <c r="N1366" s="17"/>
      <c r="O1366" s="17"/>
      <c r="P1366" s="17"/>
      <c r="Q1366" s="17"/>
      <c r="R1366" s="17"/>
      <c r="S1366" s="17"/>
      <c r="T1366" s="17"/>
      <c r="U1366" s="17"/>
      <c r="V1366" s="17"/>
      <c r="W1366" s="17"/>
      <c r="X1366" s="17"/>
      <c r="Y1366" s="46"/>
      <c r="Z1366" s="47"/>
      <c r="AA1366" s="48"/>
      <c r="AB1366" s="48"/>
      <c r="AC1366" s="48"/>
      <c r="AD1366" s="48"/>
      <c r="AE1366" s="48"/>
      <c r="AF1366" s="48"/>
      <c r="AG1366" s="48"/>
      <c r="AH1366" s="48"/>
      <c r="AI1366" s="48"/>
    </row>
    <row r="1367" spans="1:35" ht="12.5" hidden="1">
      <c r="A1367" s="37"/>
      <c r="B1367" s="38"/>
      <c r="C1367" s="63"/>
      <c r="D1367" s="17"/>
      <c r="E1367" s="17"/>
      <c r="F1367" s="17"/>
      <c r="G1367" s="17"/>
      <c r="H1367" s="65"/>
      <c r="I1367" s="24"/>
      <c r="J1367" s="17"/>
      <c r="K1367" s="17"/>
      <c r="L1367" s="17"/>
      <c r="M1367" s="17"/>
      <c r="N1367" s="17"/>
      <c r="O1367" s="17"/>
      <c r="P1367" s="17"/>
      <c r="Q1367" s="17"/>
      <c r="R1367" s="17"/>
      <c r="S1367" s="17"/>
      <c r="T1367" s="17"/>
      <c r="U1367" s="17"/>
      <c r="V1367" s="17"/>
      <c r="W1367" s="17"/>
      <c r="X1367" s="17"/>
      <c r="Y1367" s="46"/>
      <c r="Z1367" s="47"/>
      <c r="AA1367" s="48"/>
      <c r="AB1367" s="48"/>
      <c r="AC1367" s="48"/>
      <c r="AD1367" s="48"/>
      <c r="AE1367" s="48"/>
      <c r="AF1367" s="48"/>
      <c r="AG1367" s="48"/>
      <c r="AH1367" s="48"/>
      <c r="AI1367" s="48"/>
    </row>
    <row r="1368" spans="1:35" ht="12.5" hidden="1">
      <c r="A1368" s="37"/>
      <c r="B1368" s="38"/>
      <c r="C1368" s="63"/>
      <c r="D1368" s="17"/>
      <c r="E1368" s="17"/>
      <c r="F1368" s="17"/>
      <c r="G1368" s="17"/>
      <c r="H1368" s="65"/>
      <c r="I1368" s="24"/>
      <c r="J1368" s="17"/>
      <c r="K1368" s="17"/>
      <c r="L1368" s="17"/>
      <c r="M1368" s="17"/>
      <c r="N1368" s="17"/>
      <c r="O1368" s="17"/>
      <c r="P1368" s="17"/>
      <c r="Q1368" s="17"/>
      <c r="R1368" s="17"/>
      <c r="S1368" s="17"/>
      <c r="T1368" s="17"/>
      <c r="U1368" s="17"/>
      <c r="V1368" s="17"/>
      <c r="W1368" s="17"/>
      <c r="X1368" s="17"/>
      <c r="Y1368" s="46"/>
      <c r="Z1368" s="47"/>
      <c r="AA1368" s="48"/>
      <c r="AB1368" s="48"/>
      <c r="AC1368" s="48"/>
      <c r="AD1368" s="48"/>
      <c r="AE1368" s="48"/>
      <c r="AF1368" s="48"/>
      <c r="AG1368" s="48"/>
      <c r="AH1368" s="48"/>
      <c r="AI1368" s="48"/>
    </row>
    <row r="1369" spans="1:35" ht="12.5" hidden="1">
      <c r="A1369" s="37"/>
      <c r="B1369" s="38"/>
      <c r="C1369" s="63"/>
      <c r="D1369" s="17"/>
      <c r="E1369" s="17"/>
      <c r="F1369" s="17"/>
      <c r="G1369" s="17"/>
      <c r="H1369" s="65"/>
      <c r="I1369" s="24"/>
      <c r="J1369" s="17"/>
      <c r="K1369" s="17"/>
      <c r="L1369" s="17"/>
      <c r="M1369" s="17"/>
      <c r="N1369" s="17"/>
      <c r="O1369" s="17"/>
      <c r="P1369" s="17"/>
      <c r="Q1369" s="17"/>
      <c r="R1369" s="17"/>
      <c r="S1369" s="17"/>
      <c r="T1369" s="17"/>
      <c r="U1369" s="17"/>
      <c r="V1369" s="17"/>
      <c r="W1369" s="17"/>
      <c r="X1369" s="17"/>
      <c r="Y1369" s="46"/>
      <c r="Z1369" s="47"/>
      <c r="AA1369" s="48"/>
      <c r="AB1369" s="48"/>
      <c r="AC1369" s="48"/>
      <c r="AD1369" s="48"/>
      <c r="AE1369" s="48"/>
      <c r="AF1369" s="48"/>
      <c r="AG1369" s="48"/>
      <c r="AH1369" s="48"/>
      <c r="AI1369" s="48"/>
    </row>
    <row r="1370" spans="1:35" ht="12.5" hidden="1">
      <c r="A1370" s="37"/>
      <c r="B1370" s="38"/>
      <c r="C1370" s="63"/>
      <c r="D1370" s="17"/>
      <c r="E1370" s="17"/>
      <c r="F1370" s="17"/>
      <c r="G1370" s="17"/>
      <c r="H1370" s="65"/>
      <c r="I1370" s="24"/>
      <c r="J1370" s="17"/>
      <c r="K1370" s="17"/>
      <c r="L1370" s="17"/>
      <c r="M1370" s="17"/>
      <c r="N1370" s="17"/>
      <c r="O1370" s="17"/>
      <c r="P1370" s="17"/>
      <c r="Q1370" s="17"/>
      <c r="R1370" s="17"/>
      <c r="S1370" s="17"/>
      <c r="T1370" s="17"/>
      <c r="U1370" s="17"/>
      <c r="V1370" s="17"/>
      <c r="W1370" s="17"/>
      <c r="X1370" s="17"/>
      <c r="Y1370" s="46"/>
      <c r="Z1370" s="47"/>
      <c r="AA1370" s="48"/>
      <c r="AB1370" s="48"/>
      <c r="AC1370" s="48"/>
      <c r="AD1370" s="48"/>
      <c r="AE1370" s="48"/>
      <c r="AF1370" s="48"/>
      <c r="AG1370" s="48"/>
      <c r="AH1370" s="48"/>
      <c r="AI1370" s="48"/>
    </row>
    <row r="1371" spans="1:35" ht="12.5" hidden="1">
      <c r="A1371" s="37"/>
      <c r="B1371" s="38"/>
      <c r="C1371" s="63"/>
      <c r="D1371" s="17"/>
      <c r="E1371" s="17"/>
      <c r="F1371" s="17"/>
      <c r="G1371" s="17"/>
      <c r="H1371" s="65"/>
      <c r="I1371" s="24"/>
      <c r="J1371" s="17"/>
      <c r="K1371" s="17"/>
      <c r="L1371" s="17"/>
      <c r="M1371" s="17"/>
      <c r="N1371" s="17"/>
      <c r="O1371" s="17"/>
      <c r="P1371" s="17"/>
      <c r="Q1371" s="17"/>
      <c r="R1371" s="17"/>
      <c r="S1371" s="17"/>
      <c r="T1371" s="17"/>
      <c r="U1371" s="17"/>
      <c r="V1371" s="17"/>
      <c r="W1371" s="17"/>
      <c r="X1371" s="17"/>
      <c r="Y1371" s="46"/>
      <c r="Z1371" s="47"/>
      <c r="AA1371" s="48"/>
      <c r="AB1371" s="48"/>
      <c r="AC1371" s="48"/>
      <c r="AD1371" s="48"/>
      <c r="AE1371" s="48"/>
      <c r="AF1371" s="48"/>
      <c r="AG1371" s="48"/>
      <c r="AH1371" s="48"/>
      <c r="AI1371" s="48"/>
    </row>
    <row r="1372" spans="1:35" ht="12.5" hidden="1">
      <c r="A1372" s="37"/>
      <c r="B1372" s="38"/>
      <c r="C1372" s="63"/>
      <c r="D1372" s="17"/>
      <c r="E1372" s="17"/>
      <c r="F1372" s="17"/>
      <c r="G1372" s="17"/>
      <c r="H1372" s="65"/>
      <c r="I1372" s="24"/>
      <c r="J1372" s="17"/>
      <c r="K1372" s="17"/>
      <c r="L1372" s="17"/>
      <c r="M1372" s="17"/>
      <c r="N1372" s="17"/>
      <c r="O1372" s="17"/>
      <c r="P1372" s="17"/>
      <c r="Q1372" s="17"/>
      <c r="R1372" s="17"/>
      <c r="S1372" s="17"/>
      <c r="T1372" s="17"/>
      <c r="U1372" s="17"/>
      <c r="V1372" s="17"/>
      <c r="W1372" s="17"/>
      <c r="X1372" s="17"/>
      <c r="Y1372" s="46"/>
      <c r="Z1372" s="47"/>
      <c r="AA1372" s="48"/>
      <c r="AB1372" s="48"/>
      <c r="AC1372" s="48"/>
      <c r="AD1372" s="48"/>
      <c r="AE1372" s="48"/>
      <c r="AF1372" s="48"/>
      <c r="AG1372" s="48"/>
      <c r="AH1372" s="48"/>
      <c r="AI1372" s="48"/>
    </row>
    <row r="1373" spans="1:35" ht="12.5" hidden="1">
      <c r="A1373" s="37"/>
      <c r="B1373" s="38"/>
      <c r="C1373" s="63"/>
      <c r="D1373" s="17"/>
      <c r="E1373" s="17"/>
      <c r="F1373" s="17"/>
      <c r="G1373" s="17"/>
      <c r="H1373" s="65"/>
      <c r="I1373" s="24"/>
      <c r="J1373" s="17"/>
      <c r="K1373" s="17"/>
      <c r="L1373" s="17"/>
      <c r="M1373" s="17"/>
      <c r="N1373" s="17"/>
      <c r="O1373" s="17"/>
      <c r="P1373" s="17"/>
      <c r="Q1373" s="17"/>
      <c r="R1373" s="17"/>
      <c r="S1373" s="17"/>
      <c r="T1373" s="17"/>
      <c r="U1373" s="17"/>
      <c r="V1373" s="17"/>
      <c r="W1373" s="17"/>
      <c r="X1373" s="17"/>
      <c r="Y1373" s="46"/>
      <c r="Z1373" s="47"/>
      <c r="AA1373" s="48"/>
      <c r="AB1373" s="48"/>
      <c r="AC1373" s="48"/>
      <c r="AD1373" s="48"/>
      <c r="AE1373" s="48"/>
      <c r="AF1373" s="48"/>
      <c r="AG1373" s="48"/>
      <c r="AH1373" s="48"/>
      <c r="AI1373" s="48"/>
    </row>
    <row r="1374" spans="1:35" ht="12.5" hidden="1">
      <c r="A1374" s="37"/>
      <c r="B1374" s="38"/>
      <c r="C1374" s="63"/>
      <c r="D1374" s="17"/>
      <c r="E1374" s="17"/>
      <c r="F1374" s="17"/>
      <c r="G1374" s="17"/>
      <c r="H1374" s="65"/>
      <c r="I1374" s="24"/>
      <c r="J1374" s="17"/>
      <c r="K1374" s="17"/>
      <c r="L1374" s="17"/>
      <c r="M1374" s="17"/>
      <c r="N1374" s="17"/>
      <c r="O1374" s="17"/>
      <c r="P1374" s="17"/>
      <c r="Q1374" s="17"/>
      <c r="R1374" s="17"/>
      <c r="S1374" s="17"/>
      <c r="T1374" s="17"/>
      <c r="U1374" s="17"/>
      <c r="V1374" s="17"/>
      <c r="W1374" s="17"/>
      <c r="X1374" s="17"/>
      <c r="Y1374" s="46"/>
      <c r="Z1374" s="47"/>
      <c r="AA1374" s="48"/>
      <c r="AB1374" s="48"/>
      <c r="AC1374" s="48"/>
      <c r="AD1374" s="48"/>
      <c r="AE1374" s="48"/>
      <c r="AF1374" s="48"/>
      <c r="AG1374" s="48"/>
      <c r="AH1374" s="48"/>
      <c r="AI1374" s="48"/>
    </row>
    <row r="1375" spans="1:35" ht="12.5" hidden="1">
      <c r="A1375" s="37"/>
      <c r="B1375" s="38"/>
      <c r="C1375" s="63"/>
      <c r="D1375" s="17"/>
      <c r="E1375" s="17"/>
      <c r="F1375" s="17"/>
      <c r="G1375" s="17"/>
      <c r="H1375" s="65"/>
      <c r="I1375" s="24"/>
      <c r="J1375" s="17"/>
      <c r="K1375" s="17"/>
      <c r="L1375" s="17"/>
      <c r="M1375" s="17"/>
      <c r="N1375" s="17"/>
      <c r="O1375" s="17"/>
      <c r="P1375" s="17"/>
      <c r="Q1375" s="17"/>
      <c r="R1375" s="17"/>
      <c r="S1375" s="17"/>
      <c r="T1375" s="17"/>
      <c r="U1375" s="17"/>
      <c r="V1375" s="17"/>
      <c r="W1375" s="17"/>
      <c r="X1375" s="17"/>
      <c r="Y1375" s="46"/>
      <c r="Z1375" s="47"/>
      <c r="AA1375" s="48"/>
      <c r="AB1375" s="48"/>
      <c r="AC1375" s="48"/>
      <c r="AD1375" s="48"/>
      <c r="AE1375" s="48"/>
      <c r="AF1375" s="48"/>
      <c r="AG1375" s="48"/>
      <c r="AH1375" s="48"/>
      <c r="AI1375" s="48"/>
    </row>
    <row r="1376" spans="1:35" ht="12.5" hidden="1">
      <c r="A1376" s="37"/>
      <c r="B1376" s="38"/>
      <c r="C1376" s="63"/>
      <c r="D1376" s="17"/>
      <c r="E1376" s="17"/>
      <c r="F1376" s="17"/>
      <c r="G1376" s="17"/>
      <c r="H1376" s="65"/>
      <c r="I1376" s="24"/>
      <c r="J1376" s="17"/>
      <c r="K1376" s="17"/>
      <c r="L1376" s="17"/>
      <c r="M1376" s="17"/>
      <c r="N1376" s="17"/>
      <c r="O1376" s="17"/>
      <c r="P1376" s="17"/>
      <c r="Q1376" s="17"/>
      <c r="R1376" s="17"/>
      <c r="S1376" s="17"/>
      <c r="T1376" s="17"/>
      <c r="U1376" s="17"/>
      <c r="V1376" s="17"/>
      <c r="W1376" s="17"/>
      <c r="X1376" s="17"/>
      <c r="Y1376" s="46"/>
      <c r="Z1376" s="47"/>
      <c r="AA1376" s="48"/>
      <c r="AB1376" s="48"/>
      <c r="AC1376" s="48"/>
      <c r="AD1376" s="48"/>
      <c r="AE1376" s="48"/>
      <c r="AF1376" s="48"/>
      <c r="AG1376" s="48"/>
      <c r="AH1376" s="48"/>
      <c r="AI1376" s="48"/>
    </row>
    <row r="1377" spans="1:35" ht="12.5" hidden="1">
      <c r="A1377" s="37"/>
      <c r="B1377" s="38"/>
      <c r="C1377" s="63"/>
      <c r="D1377" s="17"/>
      <c r="E1377" s="17"/>
      <c r="F1377" s="17"/>
      <c r="G1377" s="17"/>
      <c r="H1377" s="65"/>
      <c r="I1377" s="24"/>
      <c r="J1377" s="17"/>
      <c r="K1377" s="17"/>
      <c r="L1377" s="17"/>
      <c r="M1377" s="17"/>
      <c r="N1377" s="17"/>
      <c r="O1377" s="17"/>
      <c r="P1377" s="17"/>
      <c r="Q1377" s="17"/>
      <c r="R1377" s="17"/>
      <c r="S1377" s="17"/>
      <c r="T1377" s="17"/>
      <c r="U1377" s="17"/>
      <c r="V1377" s="17"/>
      <c r="W1377" s="17"/>
      <c r="X1377" s="17"/>
      <c r="Y1377" s="46"/>
      <c r="Z1377" s="47"/>
      <c r="AA1377" s="48"/>
      <c r="AB1377" s="48"/>
      <c r="AC1377" s="48"/>
      <c r="AD1377" s="48"/>
      <c r="AE1377" s="48"/>
      <c r="AF1377" s="48"/>
      <c r="AG1377" s="48"/>
      <c r="AH1377" s="48"/>
      <c r="AI1377" s="48"/>
    </row>
    <row r="1378" spans="1:35" ht="12.5" hidden="1">
      <c r="A1378" s="37"/>
      <c r="B1378" s="38"/>
      <c r="C1378" s="63"/>
      <c r="D1378" s="17"/>
      <c r="E1378" s="17"/>
      <c r="F1378" s="17"/>
      <c r="G1378" s="17"/>
      <c r="H1378" s="65"/>
      <c r="I1378" s="24"/>
      <c r="J1378" s="17"/>
      <c r="K1378" s="17"/>
      <c r="L1378" s="17"/>
      <c r="M1378" s="17"/>
      <c r="N1378" s="17"/>
      <c r="O1378" s="17"/>
      <c r="P1378" s="17"/>
      <c r="Q1378" s="17"/>
      <c r="R1378" s="17"/>
      <c r="S1378" s="17"/>
      <c r="T1378" s="17"/>
      <c r="U1378" s="17"/>
      <c r="V1378" s="17"/>
      <c r="W1378" s="17"/>
      <c r="X1378" s="17"/>
      <c r="Y1378" s="46"/>
      <c r="Z1378" s="47"/>
      <c r="AA1378" s="48"/>
      <c r="AB1378" s="48"/>
      <c r="AC1378" s="48"/>
      <c r="AD1378" s="48"/>
      <c r="AE1378" s="48"/>
      <c r="AF1378" s="48"/>
      <c r="AG1378" s="48"/>
      <c r="AH1378" s="48"/>
      <c r="AI1378" s="48"/>
    </row>
    <row r="1379" spans="1:35" ht="12.5" hidden="1">
      <c r="A1379" s="37"/>
      <c r="B1379" s="38"/>
      <c r="C1379" s="63"/>
      <c r="D1379" s="17"/>
      <c r="E1379" s="17"/>
      <c r="F1379" s="17"/>
      <c r="G1379" s="17"/>
      <c r="H1379" s="65"/>
      <c r="I1379" s="24"/>
      <c r="J1379" s="17"/>
      <c r="K1379" s="17"/>
      <c r="L1379" s="17"/>
      <c r="M1379" s="17"/>
      <c r="N1379" s="17"/>
      <c r="O1379" s="17"/>
      <c r="P1379" s="17"/>
      <c r="Q1379" s="17"/>
      <c r="R1379" s="17"/>
      <c r="S1379" s="17"/>
      <c r="T1379" s="17"/>
      <c r="U1379" s="17"/>
      <c r="V1379" s="17"/>
      <c r="W1379" s="17"/>
      <c r="X1379" s="17"/>
      <c r="Y1379" s="46"/>
      <c r="Z1379" s="47"/>
      <c r="AA1379" s="48"/>
      <c r="AB1379" s="48"/>
      <c r="AC1379" s="48"/>
      <c r="AD1379" s="48"/>
      <c r="AE1379" s="48"/>
      <c r="AF1379" s="48"/>
      <c r="AG1379" s="48"/>
      <c r="AH1379" s="48"/>
      <c r="AI1379" s="48"/>
    </row>
    <row r="1380" spans="1:35" ht="12.5" hidden="1">
      <c r="A1380" s="37"/>
      <c r="B1380" s="38"/>
      <c r="C1380" s="63"/>
      <c r="D1380" s="17"/>
      <c r="E1380" s="17"/>
      <c r="F1380" s="17"/>
      <c r="G1380" s="17"/>
      <c r="H1380" s="65"/>
      <c r="I1380" s="24"/>
      <c r="J1380" s="17"/>
      <c r="K1380" s="17"/>
      <c r="L1380" s="17"/>
      <c r="M1380" s="17"/>
      <c r="N1380" s="17"/>
      <c r="O1380" s="17"/>
      <c r="P1380" s="17"/>
      <c r="Q1380" s="17"/>
      <c r="R1380" s="17"/>
      <c r="S1380" s="17"/>
      <c r="T1380" s="17"/>
      <c r="U1380" s="17"/>
      <c r="V1380" s="17"/>
      <c r="W1380" s="17"/>
      <c r="X1380" s="17"/>
      <c r="Y1380" s="46"/>
      <c r="Z1380" s="47"/>
      <c r="AA1380" s="48"/>
      <c r="AB1380" s="48"/>
      <c r="AC1380" s="48"/>
      <c r="AD1380" s="48"/>
      <c r="AE1380" s="48"/>
      <c r="AF1380" s="48"/>
      <c r="AG1380" s="48"/>
      <c r="AH1380" s="48"/>
      <c r="AI1380" s="48"/>
    </row>
    <row r="1381" spans="1:35" ht="12.5" hidden="1">
      <c r="A1381" s="37"/>
      <c r="B1381" s="38"/>
      <c r="C1381" s="63"/>
      <c r="D1381" s="17"/>
      <c r="E1381" s="17"/>
      <c r="F1381" s="17"/>
      <c r="G1381" s="17"/>
      <c r="H1381" s="65"/>
      <c r="I1381" s="24"/>
      <c r="J1381" s="17"/>
      <c r="K1381" s="17"/>
      <c r="L1381" s="17"/>
      <c r="M1381" s="17"/>
      <c r="N1381" s="17"/>
      <c r="O1381" s="17"/>
      <c r="P1381" s="17"/>
      <c r="Q1381" s="17"/>
      <c r="R1381" s="17"/>
      <c r="S1381" s="17"/>
      <c r="T1381" s="17"/>
      <c r="U1381" s="17"/>
      <c r="V1381" s="17"/>
      <c r="W1381" s="17"/>
      <c r="X1381" s="17"/>
      <c r="Y1381" s="46"/>
      <c r="Z1381" s="47"/>
      <c r="AA1381" s="48"/>
      <c r="AB1381" s="48"/>
      <c r="AC1381" s="48"/>
      <c r="AD1381" s="48"/>
      <c r="AE1381" s="48"/>
      <c r="AF1381" s="48"/>
      <c r="AG1381" s="48"/>
      <c r="AH1381" s="48"/>
      <c r="AI1381" s="48"/>
    </row>
    <row r="1382" spans="1:35" ht="12.5" hidden="1">
      <c r="A1382" s="37"/>
      <c r="B1382" s="38"/>
      <c r="C1382" s="63"/>
      <c r="D1382" s="17"/>
      <c r="E1382" s="17"/>
      <c r="F1382" s="17"/>
      <c r="G1382" s="17"/>
      <c r="H1382" s="65"/>
      <c r="I1382" s="24"/>
      <c r="J1382" s="17"/>
      <c r="K1382" s="17"/>
      <c r="L1382" s="17"/>
      <c r="M1382" s="17"/>
      <c r="N1382" s="17"/>
      <c r="O1382" s="17"/>
      <c r="P1382" s="17"/>
      <c r="Q1382" s="17"/>
      <c r="R1382" s="17"/>
      <c r="S1382" s="17"/>
      <c r="T1382" s="17"/>
      <c r="U1382" s="17"/>
      <c r="V1382" s="17"/>
      <c r="W1382" s="17"/>
      <c r="X1382" s="17"/>
      <c r="Y1382" s="46"/>
      <c r="Z1382" s="47"/>
      <c r="AA1382" s="48"/>
      <c r="AB1382" s="48"/>
      <c r="AC1382" s="48"/>
      <c r="AD1382" s="48"/>
      <c r="AE1382" s="48"/>
      <c r="AF1382" s="48"/>
      <c r="AG1382" s="48"/>
      <c r="AH1382" s="48"/>
      <c r="AI1382" s="48"/>
    </row>
    <row r="1383" spans="1:35" ht="12.5" hidden="1">
      <c r="A1383" s="37"/>
      <c r="B1383" s="38"/>
      <c r="C1383" s="63"/>
      <c r="D1383" s="17"/>
      <c r="E1383" s="17"/>
      <c r="F1383" s="17"/>
      <c r="G1383" s="17"/>
      <c r="H1383" s="65"/>
      <c r="I1383" s="24"/>
      <c r="J1383" s="17"/>
      <c r="K1383" s="17"/>
      <c r="L1383" s="17"/>
      <c r="M1383" s="17"/>
      <c r="N1383" s="17"/>
      <c r="O1383" s="17"/>
      <c r="P1383" s="17"/>
      <c r="Q1383" s="17"/>
      <c r="R1383" s="17"/>
      <c r="S1383" s="17"/>
      <c r="T1383" s="17"/>
      <c r="U1383" s="17"/>
      <c r="V1383" s="17"/>
      <c r="W1383" s="17"/>
      <c r="X1383" s="17"/>
      <c r="Y1383" s="46"/>
      <c r="Z1383" s="47"/>
      <c r="AA1383" s="48"/>
      <c r="AB1383" s="48"/>
      <c r="AC1383" s="48"/>
      <c r="AD1383" s="48"/>
      <c r="AE1383" s="48"/>
      <c r="AF1383" s="48"/>
      <c r="AG1383" s="48"/>
      <c r="AH1383" s="48"/>
      <c r="AI1383" s="48"/>
    </row>
    <row r="1384" spans="1:35" ht="12.5" hidden="1">
      <c r="A1384" s="37"/>
      <c r="B1384" s="38"/>
      <c r="C1384" s="63"/>
      <c r="D1384" s="17"/>
      <c r="E1384" s="17"/>
      <c r="F1384" s="17"/>
      <c r="G1384" s="17"/>
      <c r="H1384" s="65"/>
      <c r="I1384" s="24"/>
      <c r="J1384" s="17"/>
      <c r="K1384" s="17"/>
      <c r="L1384" s="17"/>
      <c r="M1384" s="17"/>
      <c r="N1384" s="17"/>
      <c r="O1384" s="17"/>
      <c r="P1384" s="17"/>
      <c r="Q1384" s="17"/>
      <c r="R1384" s="17"/>
      <c r="S1384" s="17"/>
      <c r="T1384" s="17"/>
      <c r="U1384" s="17"/>
      <c r="V1384" s="17"/>
      <c r="W1384" s="17"/>
      <c r="X1384" s="17"/>
      <c r="Y1384" s="46"/>
      <c r="Z1384" s="47"/>
      <c r="AA1384" s="48"/>
      <c r="AB1384" s="48"/>
      <c r="AC1384" s="48"/>
      <c r="AD1384" s="48"/>
      <c r="AE1384" s="48"/>
      <c r="AF1384" s="48"/>
      <c r="AG1384" s="48"/>
      <c r="AH1384" s="48"/>
      <c r="AI1384" s="48"/>
    </row>
    <row r="1385" spans="1:35" ht="12.5" hidden="1">
      <c r="A1385" s="37"/>
      <c r="B1385" s="38"/>
      <c r="C1385" s="63"/>
      <c r="D1385" s="17"/>
      <c r="E1385" s="17"/>
      <c r="F1385" s="17"/>
      <c r="G1385" s="17"/>
      <c r="H1385" s="65"/>
      <c r="I1385" s="24"/>
      <c r="J1385" s="17"/>
      <c r="K1385" s="17"/>
      <c r="L1385" s="17"/>
      <c r="M1385" s="17"/>
      <c r="N1385" s="17"/>
      <c r="O1385" s="17"/>
      <c r="P1385" s="17"/>
      <c r="Q1385" s="17"/>
      <c r="R1385" s="17"/>
      <c r="S1385" s="17"/>
      <c r="T1385" s="17"/>
      <c r="U1385" s="17"/>
      <c r="V1385" s="17"/>
      <c r="W1385" s="17"/>
      <c r="X1385" s="17"/>
      <c r="Y1385" s="46"/>
      <c r="Z1385" s="47"/>
      <c r="AA1385" s="48"/>
      <c r="AB1385" s="48"/>
      <c r="AC1385" s="48"/>
      <c r="AD1385" s="48"/>
      <c r="AE1385" s="48"/>
      <c r="AF1385" s="48"/>
      <c r="AG1385" s="48"/>
      <c r="AH1385" s="48"/>
      <c r="AI1385" s="48"/>
    </row>
    <row r="1386" spans="1:35" ht="12.5" hidden="1">
      <c r="A1386" s="37"/>
      <c r="B1386" s="38"/>
      <c r="C1386" s="63"/>
      <c r="D1386" s="17"/>
      <c r="E1386" s="17"/>
      <c r="F1386" s="17"/>
      <c r="G1386" s="17"/>
      <c r="H1386" s="65"/>
      <c r="I1386" s="24"/>
      <c r="J1386" s="17"/>
      <c r="K1386" s="17"/>
      <c r="L1386" s="17"/>
      <c r="M1386" s="17"/>
      <c r="N1386" s="17"/>
      <c r="O1386" s="17"/>
      <c r="P1386" s="17"/>
      <c r="Q1386" s="17"/>
      <c r="R1386" s="17"/>
      <c r="S1386" s="17"/>
      <c r="T1386" s="17"/>
      <c r="U1386" s="17"/>
      <c r="V1386" s="17"/>
      <c r="W1386" s="17"/>
      <c r="X1386" s="17"/>
      <c r="Y1386" s="46"/>
      <c r="Z1386" s="47"/>
      <c r="AA1386" s="48"/>
      <c r="AB1386" s="48"/>
      <c r="AC1386" s="48"/>
      <c r="AD1386" s="48"/>
      <c r="AE1386" s="48"/>
      <c r="AF1386" s="48"/>
      <c r="AG1386" s="48"/>
      <c r="AH1386" s="48"/>
      <c r="AI1386" s="48"/>
    </row>
    <row r="1387" spans="1:35" ht="12.5" hidden="1">
      <c r="A1387" s="37"/>
      <c r="B1387" s="38"/>
      <c r="C1387" s="63"/>
      <c r="D1387" s="17"/>
      <c r="E1387" s="17"/>
      <c r="F1387" s="17"/>
      <c r="G1387" s="17"/>
      <c r="H1387" s="65"/>
      <c r="I1387" s="24"/>
      <c r="J1387" s="17"/>
      <c r="K1387" s="17"/>
      <c r="L1387" s="17"/>
      <c r="M1387" s="17"/>
      <c r="N1387" s="17"/>
      <c r="O1387" s="17"/>
      <c r="P1387" s="17"/>
      <c r="Q1387" s="17"/>
      <c r="R1387" s="17"/>
      <c r="S1387" s="17"/>
      <c r="T1387" s="17"/>
      <c r="U1387" s="17"/>
      <c r="V1387" s="17"/>
      <c r="W1387" s="17"/>
      <c r="X1387" s="17"/>
      <c r="Y1387" s="46"/>
      <c r="Z1387" s="47"/>
      <c r="AA1387" s="48"/>
      <c r="AB1387" s="48"/>
      <c r="AC1387" s="48"/>
      <c r="AD1387" s="48"/>
      <c r="AE1387" s="48"/>
      <c r="AF1387" s="48"/>
      <c r="AG1387" s="48"/>
      <c r="AH1387" s="48"/>
      <c r="AI1387" s="48"/>
    </row>
    <row r="1388" spans="1:35" ht="12.5" hidden="1">
      <c r="A1388" s="37"/>
      <c r="B1388" s="38"/>
      <c r="C1388" s="63"/>
      <c r="D1388" s="17"/>
      <c r="E1388" s="17"/>
      <c r="F1388" s="17"/>
      <c r="G1388" s="17"/>
      <c r="H1388" s="65"/>
      <c r="I1388" s="24"/>
      <c r="J1388" s="17"/>
      <c r="K1388" s="17"/>
      <c r="L1388" s="17"/>
      <c r="M1388" s="17"/>
      <c r="N1388" s="17"/>
      <c r="O1388" s="17"/>
      <c r="P1388" s="17"/>
      <c r="Q1388" s="17"/>
      <c r="R1388" s="17"/>
      <c r="S1388" s="17"/>
      <c r="T1388" s="17"/>
      <c r="U1388" s="17"/>
      <c r="V1388" s="17"/>
      <c r="W1388" s="17"/>
      <c r="X1388" s="17"/>
      <c r="Y1388" s="46"/>
      <c r="Z1388" s="47"/>
      <c r="AA1388" s="48"/>
      <c r="AB1388" s="48"/>
      <c r="AC1388" s="48"/>
      <c r="AD1388" s="48"/>
      <c r="AE1388" s="48"/>
      <c r="AF1388" s="48"/>
      <c r="AG1388" s="48"/>
      <c r="AH1388" s="48"/>
      <c r="AI1388" s="48"/>
    </row>
    <row r="1389" spans="1:35" ht="12.5" hidden="1">
      <c r="A1389" s="37"/>
      <c r="B1389" s="38"/>
      <c r="C1389" s="63"/>
      <c r="D1389" s="17"/>
      <c r="E1389" s="17"/>
      <c r="F1389" s="17"/>
      <c r="G1389" s="17"/>
      <c r="H1389" s="65"/>
      <c r="I1389" s="24"/>
      <c r="J1389" s="17"/>
      <c r="K1389" s="17"/>
      <c r="L1389" s="17"/>
      <c r="M1389" s="17"/>
      <c r="N1389" s="17"/>
      <c r="O1389" s="17"/>
      <c r="P1389" s="17"/>
      <c r="Q1389" s="17"/>
      <c r="R1389" s="17"/>
      <c r="S1389" s="17"/>
      <c r="T1389" s="17"/>
      <c r="U1389" s="17"/>
      <c r="V1389" s="17"/>
      <c r="W1389" s="17"/>
      <c r="X1389" s="17"/>
      <c r="Y1389" s="46"/>
      <c r="Z1389" s="47"/>
      <c r="AA1389" s="48"/>
      <c r="AB1389" s="48"/>
      <c r="AC1389" s="48"/>
      <c r="AD1389" s="48"/>
      <c r="AE1389" s="48"/>
      <c r="AF1389" s="48"/>
      <c r="AG1389" s="48"/>
      <c r="AH1389" s="48"/>
      <c r="AI1389" s="48"/>
    </row>
    <row r="1390" spans="1:35" ht="12.5" hidden="1">
      <c r="A1390" s="37"/>
      <c r="B1390" s="38"/>
      <c r="C1390" s="63"/>
      <c r="D1390" s="17"/>
      <c r="E1390" s="17"/>
      <c r="F1390" s="17"/>
      <c r="G1390" s="17"/>
      <c r="H1390" s="65"/>
      <c r="I1390" s="24"/>
      <c r="J1390" s="17"/>
      <c r="K1390" s="17"/>
      <c r="L1390" s="17"/>
      <c r="M1390" s="17"/>
      <c r="N1390" s="17"/>
      <c r="O1390" s="17"/>
      <c r="P1390" s="17"/>
      <c r="Q1390" s="17"/>
      <c r="R1390" s="17"/>
      <c r="S1390" s="17"/>
      <c r="T1390" s="17"/>
      <c r="U1390" s="17"/>
      <c r="V1390" s="17"/>
      <c r="W1390" s="17"/>
      <c r="X1390" s="17"/>
      <c r="Y1390" s="46"/>
      <c r="Z1390" s="47"/>
      <c r="AA1390" s="48"/>
      <c r="AB1390" s="48"/>
      <c r="AC1390" s="48"/>
      <c r="AD1390" s="48"/>
      <c r="AE1390" s="48"/>
      <c r="AF1390" s="48"/>
      <c r="AG1390" s="48"/>
      <c r="AH1390" s="48"/>
      <c r="AI1390" s="48"/>
    </row>
    <row r="1391" spans="1:35" ht="12.5" hidden="1">
      <c r="A1391" s="37"/>
      <c r="B1391" s="38"/>
      <c r="C1391" s="63"/>
      <c r="D1391" s="17"/>
      <c r="E1391" s="17"/>
      <c r="F1391" s="17"/>
      <c r="G1391" s="17"/>
      <c r="H1391" s="65"/>
      <c r="I1391" s="24"/>
      <c r="J1391" s="17"/>
      <c r="K1391" s="17"/>
      <c r="L1391" s="17"/>
      <c r="M1391" s="17"/>
      <c r="N1391" s="17"/>
      <c r="O1391" s="17"/>
      <c r="P1391" s="17"/>
      <c r="Q1391" s="17"/>
      <c r="R1391" s="17"/>
      <c r="S1391" s="17"/>
      <c r="T1391" s="17"/>
      <c r="U1391" s="17"/>
      <c r="V1391" s="17"/>
      <c r="W1391" s="17"/>
      <c r="X1391" s="17"/>
      <c r="Y1391" s="46"/>
      <c r="Z1391" s="47"/>
      <c r="AA1391" s="48"/>
      <c r="AB1391" s="48"/>
      <c r="AC1391" s="48"/>
      <c r="AD1391" s="48"/>
      <c r="AE1391" s="48"/>
      <c r="AF1391" s="48"/>
      <c r="AG1391" s="48"/>
      <c r="AH1391" s="48"/>
      <c r="AI1391" s="48"/>
    </row>
    <row r="1392" spans="1:35" ht="12.5" hidden="1">
      <c r="A1392" s="37"/>
      <c r="B1392" s="38"/>
      <c r="C1392" s="63"/>
      <c r="D1392" s="17"/>
      <c r="E1392" s="17"/>
      <c r="F1392" s="17"/>
      <c r="G1392" s="17"/>
      <c r="H1392" s="65"/>
      <c r="I1392" s="24"/>
      <c r="J1392" s="17"/>
      <c r="K1392" s="17"/>
      <c r="L1392" s="17"/>
      <c r="M1392" s="17"/>
      <c r="N1392" s="17"/>
      <c r="O1392" s="17"/>
      <c r="P1392" s="17"/>
      <c r="Q1392" s="17"/>
      <c r="R1392" s="17"/>
      <c r="S1392" s="17"/>
      <c r="T1392" s="17"/>
      <c r="U1392" s="17"/>
      <c r="V1392" s="17"/>
      <c r="W1392" s="17"/>
      <c r="X1392" s="17"/>
      <c r="Y1392" s="46"/>
      <c r="Z1392" s="47"/>
      <c r="AA1392" s="48"/>
      <c r="AB1392" s="48"/>
      <c r="AC1392" s="48"/>
      <c r="AD1392" s="48"/>
      <c r="AE1392" s="48"/>
      <c r="AF1392" s="48"/>
      <c r="AG1392" s="48"/>
      <c r="AH1392" s="48"/>
      <c r="AI1392" s="48"/>
    </row>
    <row r="1393" spans="1:35" ht="12.5" hidden="1">
      <c r="A1393" s="37"/>
      <c r="B1393" s="38"/>
      <c r="C1393" s="63"/>
      <c r="D1393" s="17"/>
      <c r="E1393" s="17"/>
      <c r="F1393" s="17"/>
      <c r="G1393" s="17"/>
      <c r="H1393" s="65"/>
      <c r="I1393" s="24"/>
      <c r="J1393" s="17"/>
      <c r="K1393" s="17"/>
      <c r="L1393" s="17"/>
      <c r="M1393" s="17"/>
      <c r="N1393" s="17"/>
      <c r="O1393" s="17"/>
      <c r="P1393" s="17"/>
      <c r="Q1393" s="17"/>
      <c r="R1393" s="17"/>
      <c r="S1393" s="17"/>
      <c r="T1393" s="17"/>
      <c r="U1393" s="17"/>
      <c r="V1393" s="17"/>
      <c r="W1393" s="17"/>
      <c r="X1393" s="17"/>
      <c r="Y1393" s="46"/>
      <c r="Z1393" s="47"/>
      <c r="AA1393" s="48"/>
      <c r="AB1393" s="48"/>
      <c r="AC1393" s="48"/>
      <c r="AD1393" s="48"/>
      <c r="AE1393" s="48"/>
      <c r="AF1393" s="48"/>
      <c r="AG1393" s="48"/>
      <c r="AH1393" s="48"/>
      <c r="AI1393" s="48"/>
    </row>
    <row r="1394" spans="1:35" ht="12.5" hidden="1">
      <c r="A1394" s="37"/>
      <c r="B1394" s="38"/>
      <c r="C1394" s="63"/>
      <c r="D1394" s="17"/>
      <c r="E1394" s="17"/>
      <c r="F1394" s="17"/>
      <c r="G1394" s="17"/>
      <c r="H1394" s="65"/>
      <c r="I1394" s="24"/>
      <c r="J1394" s="17"/>
      <c r="K1394" s="17"/>
      <c r="L1394" s="17"/>
      <c r="M1394" s="17"/>
      <c r="N1394" s="17"/>
      <c r="O1394" s="17"/>
      <c r="P1394" s="17"/>
      <c r="Q1394" s="17"/>
      <c r="R1394" s="17"/>
      <c r="S1394" s="17"/>
      <c r="T1394" s="17"/>
      <c r="U1394" s="17"/>
      <c r="V1394" s="17"/>
      <c r="W1394" s="17"/>
      <c r="X1394" s="17"/>
      <c r="Y1394" s="46"/>
      <c r="Z1394" s="47"/>
      <c r="AA1394" s="48"/>
      <c r="AB1394" s="48"/>
      <c r="AC1394" s="48"/>
      <c r="AD1394" s="48"/>
      <c r="AE1394" s="48"/>
      <c r="AF1394" s="48"/>
      <c r="AG1394" s="48"/>
      <c r="AH1394" s="48"/>
      <c r="AI1394" s="48"/>
    </row>
    <row r="1395" spans="1:35" ht="12.5" hidden="1">
      <c r="A1395" s="37"/>
      <c r="B1395" s="38"/>
      <c r="C1395" s="63"/>
      <c r="D1395" s="17"/>
      <c r="E1395" s="17"/>
      <c r="F1395" s="17"/>
      <c r="G1395" s="17"/>
      <c r="H1395" s="65"/>
      <c r="I1395" s="24"/>
      <c r="J1395" s="17"/>
      <c r="K1395" s="17"/>
      <c r="L1395" s="17"/>
      <c r="M1395" s="17"/>
      <c r="N1395" s="17"/>
      <c r="O1395" s="17"/>
      <c r="P1395" s="17"/>
      <c r="Q1395" s="17"/>
      <c r="R1395" s="17"/>
      <c r="S1395" s="17"/>
      <c r="T1395" s="17"/>
      <c r="U1395" s="17"/>
      <c r="V1395" s="17"/>
      <c r="W1395" s="17"/>
      <c r="X1395" s="17"/>
      <c r="Y1395" s="46"/>
      <c r="Z1395" s="47"/>
      <c r="AA1395" s="48"/>
      <c r="AB1395" s="48"/>
      <c r="AC1395" s="48"/>
      <c r="AD1395" s="48"/>
      <c r="AE1395" s="48"/>
      <c r="AF1395" s="48"/>
      <c r="AG1395" s="48"/>
      <c r="AH1395" s="48"/>
      <c r="AI1395" s="48"/>
    </row>
    <row r="1396" spans="1:35" ht="12.5" hidden="1">
      <c r="A1396" s="37"/>
      <c r="B1396" s="38"/>
      <c r="C1396" s="63"/>
      <c r="D1396" s="17"/>
      <c r="E1396" s="17"/>
      <c r="F1396" s="17"/>
      <c r="G1396" s="17"/>
      <c r="H1396" s="65"/>
      <c r="I1396" s="24"/>
      <c r="J1396" s="17"/>
      <c r="K1396" s="17"/>
      <c r="L1396" s="17"/>
      <c r="M1396" s="17"/>
      <c r="N1396" s="17"/>
      <c r="O1396" s="17"/>
      <c r="P1396" s="17"/>
      <c r="Q1396" s="17"/>
      <c r="R1396" s="17"/>
      <c r="S1396" s="17"/>
      <c r="T1396" s="17"/>
      <c r="U1396" s="17"/>
      <c r="V1396" s="17"/>
      <c r="W1396" s="17"/>
      <c r="X1396" s="17"/>
      <c r="Y1396" s="46"/>
      <c r="Z1396" s="47"/>
      <c r="AA1396" s="48"/>
      <c r="AB1396" s="48"/>
      <c r="AC1396" s="48"/>
      <c r="AD1396" s="48"/>
      <c r="AE1396" s="48"/>
      <c r="AF1396" s="48"/>
      <c r="AG1396" s="48"/>
      <c r="AH1396" s="48"/>
      <c r="AI1396" s="48"/>
    </row>
    <row r="1397" spans="1:35" ht="12.5" hidden="1">
      <c r="A1397" s="37"/>
      <c r="B1397" s="38"/>
      <c r="C1397" s="63"/>
      <c r="D1397" s="17"/>
      <c r="E1397" s="17"/>
      <c r="F1397" s="17"/>
      <c r="G1397" s="17"/>
      <c r="H1397" s="65"/>
      <c r="I1397" s="24"/>
      <c r="J1397" s="17"/>
      <c r="K1397" s="17"/>
      <c r="L1397" s="17"/>
      <c r="M1397" s="17"/>
      <c r="N1397" s="17"/>
      <c r="O1397" s="17"/>
      <c r="P1397" s="17"/>
      <c r="Q1397" s="17"/>
      <c r="R1397" s="17"/>
      <c r="S1397" s="17"/>
      <c r="T1397" s="17"/>
      <c r="U1397" s="17"/>
      <c r="V1397" s="17"/>
      <c r="W1397" s="17"/>
      <c r="X1397" s="17"/>
      <c r="Y1397" s="46"/>
      <c r="Z1397" s="47"/>
      <c r="AA1397" s="48"/>
      <c r="AB1397" s="48"/>
      <c r="AC1397" s="48"/>
      <c r="AD1397" s="48"/>
      <c r="AE1397" s="48"/>
      <c r="AF1397" s="48"/>
      <c r="AG1397" s="48"/>
      <c r="AH1397" s="48"/>
      <c r="AI1397" s="48"/>
    </row>
    <row r="1398" spans="1:35" ht="12.5" hidden="1">
      <c r="A1398" s="37"/>
      <c r="B1398" s="38"/>
      <c r="C1398" s="63"/>
      <c r="D1398" s="17"/>
      <c r="E1398" s="17"/>
      <c r="F1398" s="17"/>
      <c r="G1398" s="17"/>
      <c r="H1398" s="65"/>
      <c r="I1398" s="24"/>
      <c r="J1398" s="44"/>
      <c r="K1398" s="17"/>
      <c r="L1398" s="17"/>
      <c r="M1398" s="17"/>
      <c r="N1398" s="17"/>
      <c r="O1398" s="17"/>
      <c r="P1398" s="17"/>
      <c r="Q1398" s="17"/>
      <c r="R1398" s="17"/>
      <c r="S1398" s="17"/>
      <c r="T1398" s="17"/>
      <c r="U1398" s="17"/>
      <c r="V1398" s="17"/>
      <c r="W1398" s="17"/>
      <c r="X1398" s="17"/>
      <c r="Y1398" s="46"/>
      <c r="Z1398" s="47"/>
      <c r="AA1398" s="48"/>
      <c r="AB1398" s="48"/>
      <c r="AC1398" s="48"/>
      <c r="AD1398" s="48"/>
      <c r="AE1398" s="48"/>
      <c r="AF1398" s="48"/>
      <c r="AG1398" s="48"/>
      <c r="AH1398" s="48"/>
      <c r="AI1398" s="48"/>
    </row>
    <row r="1399" spans="1:35" ht="12.5" hidden="1">
      <c r="A1399" s="37"/>
      <c r="B1399" s="38"/>
      <c r="C1399" s="63"/>
      <c r="D1399" s="17"/>
      <c r="E1399" s="17"/>
      <c r="F1399" s="17"/>
      <c r="G1399" s="17"/>
      <c r="H1399" s="65"/>
      <c r="I1399" s="24"/>
      <c r="J1399" s="17"/>
      <c r="K1399" s="17"/>
      <c r="L1399" s="17"/>
      <c r="M1399" s="17"/>
      <c r="N1399" s="17"/>
      <c r="O1399" s="17"/>
      <c r="P1399" s="17"/>
      <c r="Q1399" s="17"/>
      <c r="R1399" s="17"/>
      <c r="S1399" s="17"/>
      <c r="T1399" s="17"/>
      <c r="U1399" s="17"/>
      <c r="V1399" s="17"/>
      <c r="W1399" s="17"/>
      <c r="X1399" s="17"/>
      <c r="Y1399" s="46"/>
      <c r="Z1399" s="47"/>
      <c r="AA1399" s="48"/>
      <c r="AB1399" s="48"/>
      <c r="AC1399" s="48"/>
      <c r="AD1399" s="48"/>
      <c r="AE1399" s="48"/>
      <c r="AF1399" s="48"/>
      <c r="AG1399" s="48"/>
      <c r="AH1399" s="48"/>
      <c r="AI1399" s="48"/>
    </row>
    <row r="1400" spans="1:35" ht="12.5" hidden="1">
      <c r="A1400" s="37"/>
      <c r="B1400" s="38"/>
      <c r="C1400" s="63"/>
      <c r="D1400" s="17"/>
      <c r="E1400" s="17"/>
      <c r="F1400" s="17"/>
      <c r="G1400" s="17"/>
      <c r="H1400" s="65"/>
      <c r="I1400" s="24"/>
      <c r="J1400" s="17"/>
      <c r="K1400" s="17"/>
      <c r="L1400" s="17"/>
      <c r="M1400" s="17"/>
      <c r="N1400" s="17"/>
      <c r="O1400" s="17"/>
      <c r="P1400" s="17"/>
      <c r="Q1400" s="17"/>
      <c r="R1400" s="17"/>
      <c r="S1400" s="17"/>
      <c r="T1400" s="17"/>
      <c r="U1400" s="17"/>
      <c r="V1400" s="17"/>
      <c r="W1400" s="17"/>
      <c r="X1400" s="17"/>
      <c r="Y1400" s="46"/>
      <c r="Z1400" s="47"/>
      <c r="AA1400" s="48"/>
      <c r="AB1400" s="48"/>
      <c r="AC1400" s="48"/>
      <c r="AD1400" s="48"/>
      <c r="AE1400" s="48"/>
      <c r="AF1400" s="48"/>
      <c r="AG1400" s="48"/>
      <c r="AH1400" s="48"/>
      <c r="AI1400" s="48"/>
    </row>
    <row r="1401" spans="1:35" ht="12.5" hidden="1">
      <c r="A1401" s="37"/>
      <c r="B1401" s="38"/>
      <c r="C1401" s="63"/>
      <c r="D1401" s="17"/>
      <c r="E1401" s="17"/>
      <c r="F1401" s="17"/>
      <c r="G1401" s="17"/>
      <c r="H1401" s="65"/>
      <c r="I1401" s="24"/>
      <c r="J1401" s="17"/>
      <c r="K1401" s="17"/>
      <c r="L1401" s="17"/>
      <c r="M1401" s="17"/>
      <c r="N1401" s="17"/>
      <c r="O1401" s="17"/>
      <c r="P1401" s="17"/>
      <c r="Q1401" s="17"/>
      <c r="R1401" s="17"/>
      <c r="S1401" s="17"/>
      <c r="T1401" s="17"/>
      <c r="U1401" s="17"/>
      <c r="V1401" s="17"/>
      <c r="W1401" s="17"/>
      <c r="X1401" s="17"/>
      <c r="Y1401" s="46"/>
      <c r="Z1401" s="47"/>
      <c r="AA1401" s="48"/>
      <c r="AB1401" s="48"/>
      <c r="AC1401" s="48"/>
      <c r="AD1401" s="48"/>
      <c r="AE1401" s="48"/>
      <c r="AF1401" s="48"/>
      <c r="AG1401" s="48"/>
      <c r="AH1401" s="48"/>
      <c r="AI1401" s="48"/>
    </row>
    <row r="1402" spans="1:35" ht="12.5" hidden="1">
      <c r="A1402" s="37"/>
      <c r="B1402" s="38"/>
      <c r="C1402" s="63"/>
      <c r="D1402" s="17"/>
      <c r="E1402" s="17"/>
      <c r="F1402" s="17"/>
      <c r="G1402" s="17"/>
      <c r="H1402" s="65"/>
      <c r="I1402" s="24"/>
      <c r="J1402" s="17"/>
      <c r="K1402" s="17"/>
      <c r="L1402" s="17"/>
      <c r="M1402" s="17"/>
      <c r="N1402" s="17"/>
      <c r="O1402" s="17"/>
      <c r="P1402" s="17"/>
      <c r="Q1402" s="17"/>
      <c r="R1402" s="17"/>
      <c r="S1402" s="17"/>
      <c r="T1402" s="17"/>
      <c r="U1402" s="17"/>
      <c r="V1402" s="17"/>
      <c r="W1402" s="17"/>
      <c r="X1402" s="17"/>
      <c r="Y1402" s="46"/>
      <c r="Z1402" s="47"/>
      <c r="AA1402" s="48"/>
      <c r="AB1402" s="48"/>
      <c r="AC1402" s="48"/>
      <c r="AD1402" s="48"/>
      <c r="AE1402" s="48"/>
      <c r="AF1402" s="48"/>
      <c r="AG1402" s="48"/>
      <c r="AH1402" s="48"/>
      <c r="AI1402" s="48"/>
    </row>
    <row r="1403" spans="1:35" ht="12.5" hidden="1">
      <c r="A1403" s="37"/>
      <c r="B1403" s="38"/>
      <c r="C1403" s="63"/>
      <c r="D1403" s="17"/>
      <c r="E1403" s="17"/>
      <c r="F1403" s="17"/>
      <c r="G1403" s="17"/>
      <c r="H1403" s="65"/>
      <c r="I1403" s="24"/>
      <c r="J1403" s="17"/>
      <c r="K1403" s="17"/>
      <c r="L1403" s="17"/>
      <c r="M1403" s="17"/>
      <c r="N1403" s="17"/>
      <c r="O1403" s="17"/>
      <c r="P1403" s="17"/>
      <c r="Q1403" s="17"/>
      <c r="R1403" s="17"/>
      <c r="S1403" s="17"/>
      <c r="T1403" s="17"/>
      <c r="U1403" s="17"/>
      <c r="V1403" s="17"/>
      <c r="W1403" s="17"/>
      <c r="X1403" s="17"/>
      <c r="Y1403" s="46"/>
      <c r="Z1403" s="47"/>
      <c r="AA1403" s="48"/>
      <c r="AB1403" s="48"/>
      <c r="AC1403" s="48"/>
      <c r="AD1403" s="48"/>
      <c r="AE1403" s="48"/>
      <c r="AF1403" s="48"/>
      <c r="AG1403" s="48"/>
      <c r="AH1403" s="48"/>
      <c r="AI1403" s="48"/>
    </row>
    <row r="1404" spans="1:35" ht="12.5" hidden="1">
      <c r="A1404" s="37"/>
      <c r="B1404" s="38"/>
      <c r="C1404" s="63"/>
      <c r="D1404" s="17"/>
      <c r="E1404" s="17"/>
      <c r="F1404" s="17"/>
      <c r="G1404" s="17"/>
      <c r="H1404" s="65"/>
      <c r="I1404" s="24"/>
      <c r="J1404" s="17"/>
      <c r="K1404" s="17"/>
      <c r="L1404" s="17"/>
      <c r="M1404" s="17"/>
      <c r="N1404" s="17"/>
      <c r="O1404" s="17"/>
      <c r="P1404" s="17"/>
      <c r="Q1404" s="17"/>
      <c r="R1404" s="17"/>
      <c r="S1404" s="17"/>
      <c r="T1404" s="17"/>
      <c r="U1404" s="17"/>
      <c r="V1404" s="17"/>
      <c r="W1404" s="17"/>
      <c r="X1404" s="17"/>
      <c r="Y1404" s="46"/>
      <c r="Z1404" s="47"/>
      <c r="AA1404" s="48"/>
      <c r="AB1404" s="48"/>
      <c r="AC1404" s="48"/>
      <c r="AD1404" s="48"/>
      <c r="AE1404" s="48"/>
      <c r="AF1404" s="48"/>
      <c r="AG1404" s="48"/>
      <c r="AH1404" s="48"/>
      <c r="AI1404" s="48"/>
    </row>
    <row r="1405" spans="1:35" ht="12.5" hidden="1">
      <c r="A1405" s="37"/>
      <c r="B1405" s="38"/>
      <c r="C1405" s="63"/>
      <c r="D1405" s="17"/>
      <c r="E1405" s="17"/>
      <c r="F1405" s="17"/>
      <c r="G1405" s="17"/>
      <c r="H1405" s="65"/>
      <c r="I1405" s="24"/>
      <c r="J1405" s="17"/>
      <c r="K1405" s="17"/>
      <c r="L1405" s="17"/>
      <c r="M1405" s="17"/>
      <c r="N1405" s="17"/>
      <c r="O1405" s="17"/>
      <c r="P1405" s="17"/>
      <c r="Q1405" s="17"/>
      <c r="R1405" s="17"/>
      <c r="S1405" s="17"/>
      <c r="T1405" s="17"/>
      <c r="U1405" s="17"/>
      <c r="V1405" s="17"/>
      <c r="W1405" s="17"/>
      <c r="X1405" s="17"/>
      <c r="Y1405" s="46"/>
      <c r="Z1405" s="47"/>
      <c r="AA1405" s="48"/>
      <c r="AB1405" s="48"/>
      <c r="AC1405" s="48"/>
      <c r="AD1405" s="48"/>
      <c r="AE1405" s="48"/>
      <c r="AF1405" s="48"/>
      <c r="AG1405" s="48"/>
      <c r="AH1405" s="48"/>
      <c r="AI1405" s="48"/>
    </row>
    <row r="1406" spans="1:35" ht="12.5" hidden="1">
      <c r="A1406" s="37"/>
      <c r="B1406" s="38"/>
      <c r="C1406" s="63"/>
      <c r="D1406" s="17"/>
      <c r="E1406" s="17"/>
      <c r="F1406" s="17"/>
      <c r="G1406" s="17"/>
      <c r="H1406" s="65"/>
      <c r="I1406" s="24"/>
      <c r="J1406" s="17"/>
      <c r="K1406" s="17"/>
      <c r="L1406" s="17"/>
      <c r="M1406" s="17"/>
      <c r="N1406" s="17"/>
      <c r="O1406" s="17"/>
      <c r="P1406" s="17"/>
      <c r="Q1406" s="17"/>
      <c r="R1406" s="17"/>
      <c r="S1406" s="17"/>
      <c r="T1406" s="17"/>
      <c r="U1406" s="17"/>
      <c r="V1406" s="17"/>
      <c r="W1406" s="17"/>
      <c r="X1406" s="17"/>
      <c r="Y1406" s="46"/>
      <c r="Z1406" s="47"/>
      <c r="AA1406" s="48"/>
      <c r="AB1406" s="48"/>
      <c r="AC1406" s="48"/>
      <c r="AD1406" s="48"/>
      <c r="AE1406" s="48"/>
      <c r="AF1406" s="48"/>
      <c r="AG1406" s="48"/>
      <c r="AH1406" s="48"/>
      <c r="AI1406" s="48"/>
    </row>
    <row r="1407" spans="1:35" ht="12.5" hidden="1">
      <c r="A1407" s="37"/>
      <c r="B1407" s="38"/>
      <c r="C1407" s="63"/>
      <c r="D1407" s="17"/>
      <c r="E1407" s="17"/>
      <c r="F1407" s="17"/>
      <c r="G1407" s="17"/>
      <c r="H1407" s="65"/>
      <c r="I1407" s="24"/>
      <c r="J1407" s="17"/>
      <c r="K1407" s="17"/>
      <c r="L1407" s="17"/>
      <c r="M1407" s="17"/>
      <c r="N1407" s="17"/>
      <c r="O1407" s="17"/>
      <c r="P1407" s="17"/>
      <c r="Q1407" s="17"/>
      <c r="R1407" s="17"/>
      <c r="S1407" s="17"/>
      <c r="T1407" s="17"/>
      <c r="U1407" s="17"/>
      <c r="V1407" s="17"/>
      <c r="W1407" s="17"/>
      <c r="X1407" s="17"/>
      <c r="Y1407" s="46"/>
      <c r="Z1407" s="47"/>
      <c r="AA1407" s="48"/>
      <c r="AB1407" s="48"/>
      <c r="AC1407" s="48"/>
      <c r="AD1407" s="48"/>
      <c r="AE1407" s="48"/>
      <c r="AF1407" s="48"/>
      <c r="AG1407" s="48"/>
      <c r="AH1407" s="48"/>
      <c r="AI1407" s="48"/>
    </row>
    <row r="1408" spans="1:35" ht="12.5" hidden="1">
      <c r="A1408" s="37"/>
      <c r="B1408" s="38"/>
      <c r="C1408" s="63"/>
      <c r="D1408" s="17"/>
      <c r="E1408" s="17"/>
      <c r="F1408" s="17"/>
      <c r="G1408" s="17"/>
      <c r="H1408" s="65"/>
      <c r="I1408" s="24"/>
      <c r="J1408" s="17"/>
      <c r="K1408" s="17"/>
      <c r="L1408" s="17"/>
      <c r="M1408" s="17"/>
      <c r="N1408" s="17"/>
      <c r="O1408" s="17"/>
      <c r="P1408" s="17"/>
      <c r="Q1408" s="17"/>
      <c r="R1408" s="17"/>
      <c r="S1408" s="17"/>
      <c r="T1408" s="17"/>
      <c r="U1408" s="17"/>
      <c r="V1408" s="17"/>
      <c r="W1408" s="17"/>
      <c r="X1408" s="17"/>
      <c r="Y1408" s="46"/>
      <c r="Z1408" s="47"/>
      <c r="AA1408" s="48"/>
      <c r="AB1408" s="48"/>
      <c r="AC1408" s="48"/>
      <c r="AD1408" s="48"/>
      <c r="AE1408" s="48"/>
      <c r="AF1408" s="48"/>
      <c r="AG1408" s="48"/>
      <c r="AH1408" s="48"/>
      <c r="AI1408" s="48"/>
    </row>
    <row r="1409" spans="1:35" ht="12.5" hidden="1">
      <c r="A1409" s="37"/>
      <c r="B1409" s="38"/>
      <c r="C1409" s="63"/>
      <c r="D1409" s="17"/>
      <c r="E1409" s="17"/>
      <c r="F1409" s="17"/>
      <c r="G1409" s="17"/>
      <c r="H1409" s="65"/>
      <c r="I1409" s="24"/>
      <c r="J1409" s="17"/>
      <c r="K1409" s="17"/>
      <c r="L1409" s="17"/>
      <c r="M1409" s="17"/>
      <c r="N1409" s="17"/>
      <c r="O1409" s="17"/>
      <c r="P1409" s="17"/>
      <c r="Q1409" s="17"/>
      <c r="R1409" s="17"/>
      <c r="S1409" s="17"/>
      <c r="T1409" s="17"/>
      <c r="U1409" s="17"/>
      <c r="V1409" s="17"/>
      <c r="W1409" s="17"/>
      <c r="X1409" s="17"/>
      <c r="Y1409" s="46"/>
      <c r="Z1409" s="47"/>
      <c r="AA1409" s="48"/>
      <c r="AB1409" s="48"/>
      <c r="AC1409" s="48"/>
      <c r="AD1409" s="48"/>
      <c r="AE1409" s="48"/>
      <c r="AF1409" s="48"/>
      <c r="AG1409" s="48"/>
      <c r="AH1409" s="48"/>
      <c r="AI1409" s="48"/>
    </row>
    <row r="1410" spans="1:35" ht="12.5" hidden="1">
      <c r="A1410" s="37"/>
      <c r="B1410" s="38"/>
      <c r="C1410" s="63"/>
      <c r="D1410" s="17"/>
      <c r="E1410" s="17"/>
      <c r="F1410" s="17"/>
      <c r="G1410" s="17"/>
      <c r="H1410" s="65"/>
      <c r="I1410" s="24"/>
      <c r="J1410" s="17"/>
      <c r="K1410" s="17"/>
      <c r="L1410" s="17"/>
      <c r="M1410" s="17"/>
      <c r="N1410" s="17"/>
      <c r="O1410" s="17"/>
      <c r="P1410" s="17"/>
      <c r="Q1410" s="17"/>
      <c r="R1410" s="17"/>
      <c r="S1410" s="17"/>
      <c r="T1410" s="17"/>
      <c r="U1410" s="17"/>
      <c r="V1410" s="17"/>
      <c r="W1410" s="17"/>
      <c r="X1410" s="17"/>
      <c r="Y1410" s="46"/>
      <c r="Z1410" s="47"/>
      <c r="AA1410" s="48"/>
      <c r="AB1410" s="48"/>
      <c r="AC1410" s="48"/>
      <c r="AD1410" s="48"/>
      <c r="AE1410" s="48"/>
      <c r="AF1410" s="48"/>
      <c r="AG1410" s="48"/>
      <c r="AH1410" s="48"/>
      <c r="AI1410" s="48"/>
    </row>
    <row r="1411" spans="1:35" ht="12.5" hidden="1">
      <c r="A1411" s="37"/>
      <c r="B1411" s="38"/>
      <c r="C1411" s="63"/>
      <c r="D1411" s="17"/>
      <c r="E1411" s="17"/>
      <c r="F1411" s="17"/>
      <c r="G1411" s="17"/>
      <c r="H1411" s="65"/>
      <c r="I1411" s="24"/>
      <c r="J1411" s="17"/>
      <c r="K1411" s="17"/>
      <c r="L1411" s="17"/>
      <c r="M1411" s="17"/>
      <c r="N1411" s="17"/>
      <c r="O1411" s="17"/>
      <c r="P1411" s="17"/>
      <c r="Q1411" s="17"/>
      <c r="R1411" s="17"/>
      <c r="S1411" s="17"/>
      <c r="T1411" s="17"/>
      <c r="U1411" s="17"/>
      <c r="V1411" s="17"/>
      <c r="W1411" s="17"/>
      <c r="X1411" s="17"/>
      <c r="Y1411" s="46"/>
      <c r="Z1411" s="47"/>
      <c r="AA1411" s="48"/>
      <c r="AB1411" s="48"/>
      <c r="AC1411" s="48"/>
      <c r="AD1411" s="48"/>
      <c r="AE1411" s="48"/>
      <c r="AF1411" s="48"/>
      <c r="AG1411" s="48"/>
      <c r="AH1411" s="48"/>
      <c r="AI1411" s="48"/>
    </row>
    <row r="1412" spans="1:35" ht="12.5" hidden="1">
      <c r="A1412" s="37"/>
      <c r="B1412" s="38"/>
      <c r="C1412" s="63"/>
      <c r="D1412" s="17"/>
      <c r="E1412" s="17"/>
      <c r="F1412" s="17"/>
      <c r="G1412" s="17"/>
      <c r="H1412" s="65"/>
      <c r="I1412" s="24"/>
      <c r="J1412" s="17"/>
      <c r="K1412" s="17"/>
      <c r="L1412" s="17"/>
      <c r="M1412" s="17"/>
      <c r="N1412" s="17"/>
      <c r="O1412" s="17"/>
      <c r="P1412" s="17"/>
      <c r="Q1412" s="17"/>
      <c r="R1412" s="17"/>
      <c r="S1412" s="17"/>
      <c r="T1412" s="17"/>
      <c r="U1412" s="17"/>
      <c r="V1412" s="17"/>
      <c r="W1412" s="17"/>
      <c r="X1412" s="17"/>
      <c r="Y1412" s="46"/>
      <c r="Z1412" s="47"/>
      <c r="AA1412" s="48"/>
      <c r="AB1412" s="48"/>
      <c r="AC1412" s="48"/>
      <c r="AD1412" s="48"/>
      <c r="AE1412" s="48"/>
      <c r="AF1412" s="48"/>
      <c r="AG1412" s="48"/>
      <c r="AH1412" s="48"/>
      <c r="AI1412" s="48"/>
    </row>
    <row r="1413" spans="1:35" ht="12.5" hidden="1">
      <c r="A1413" s="37"/>
      <c r="B1413" s="38"/>
      <c r="C1413" s="63"/>
      <c r="D1413" s="17"/>
      <c r="E1413" s="17"/>
      <c r="F1413" s="17"/>
      <c r="G1413" s="17"/>
      <c r="H1413" s="65"/>
      <c r="I1413" s="24"/>
      <c r="J1413" s="17"/>
      <c r="K1413" s="17"/>
      <c r="L1413" s="17"/>
      <c r="M1413" s="17"/>
      <c r="N1413" s="17"/>
      <c r="O1413" s="17"/>
      <c r="P1413" s="17"/>
      <c r="Q1413" s="17"/>
      <c r="R1413" s="17"/>
      <c r="S1413" s="17"/>
      <c r="T1413" s="17"/>
      <c r="U1413" s="17"/>
      <c r="V1413" s="17"/>
      <c r="W1413" s="17"/>
      <c r="X1413" s="17"/>
      <c r="Y1413" s="46"/>
      <c r="Z1413" s="47"/>
      <c r="AA1413" s="48"/>
      <c r="AB1413" s="48"/>
      <c r="AC1413" s="48"/>
      <c r="AD1413" s="48"/>
      <c r="AE1413" s="48"/>
      <c r="AF1413" s="48"/>
      <c r="AG1413" s="48"/>
      <c r="AH1413" s="48"/>
      <c r="AI1413" s="48"/>
    </row>
    <row r="1414" spans="1:35" ht="12.5" hidden="1">
      <c r="A1414" s="37"/>
      <c r="B1414" s="38"/>
      <c r="C1414" s="63"/>
      <c r="D1414" s="17"/>
      <c r="E1414" s="17"/>
      <c r="F1414" s="17"/>
      <c r="G1414" s="17"/>
      <c r="H1414" s="65"/>
      <c r="I1414" s="24"/>
      <c r="J1414" s="17"/>
      <c r="K1414" s="17"/>
      <c r="L1414" s="17"/>
      <c r="M1414" s="17"/>
      <c r="N1414" s="17"/>
      <c r="O1414" s="17"/>
      <c r="P1414" s="17"/>
      <c r="Q1414" s="17"/>
      <c r="R1414" s="17"/>
      <c r="S1414" s="17"/>
      <c r="T1414" s="17"/>
      <c r="U1414" s="17"/>
      <c r="V1414" s="17"/>
      <c r="W1414" s="17"/>
      <c r="X1414" s="17"/>
      <c r="Y1414" s="46"/>
      <c r="Z1414" s="47"/>
      <c r="AA1414" s="48"/>
      <c r="AB1414" s="48"/>
      <c r="AC1414" s="48"/>
      <c r="AD1414" s="48"/>
      <c r="AE1414" s="48"/>
      <c r="AF1414" s="48"/>
      <c r="AG1414" s="48"/>
      <c r="AH1414" s="48"/>
      <c r="AI1414" s="48"/>
    </row>
    <row r="1415" spans="1:35" ht="12.5" hidden="1">
      <c r="A1415" s="37"/>
      <c r="B1415" s="38"/>
      <c r="C1415" s="63"/>
      <c r="D1415" s="17"/>
      <c r="E1415" s="17"/>
      <c r="F1415" s="17"/>
      <c r="G1415" s="17"/>
      <c r="H1415" s="65"/>
      <c r="I1415" s="24"/>
      <c r="J1415" s="17"/>
      <c r="K1415" s="17"/>
      <c r="L1415" s="17"/>
      <c r="M1415" s="17"/>
      <c r="N1415" s="17"/>
      <c r="O1415" s="17"/>
      <c r="P1415" s="17"/>
      <c r="Q1415" s="17"/>
      <c r="R1415" s="17"/>
      <c r="S1415" s="17"/>
      <c r="T1415" s="17"/>
      <c r="U1415" s="17"/>
      <c r="V1415" s="17"/>
      <c r="W1415" s="17"/>
      <c r="X1415" s="17"/>
      <c r="Y1415" s="46"/>
      <c r="Z1415" s="47"/>
      <c r="AA1415" s="48"/>
      <c r="AB1415" s="48"/>
      <c r="AC1415" s="48"/>
      <c r="AD1415" s="48"/>
      <c r="AE1415" s="48"/>
      <c r="AF1415" s="48"/>
      <c r="AG1415" s="48"/>
      <c r="AH1415" s="48"/>
      <c r="AI1415" s="48"/>
    </row>
    <row r="1416" spans="1:35" ht="12.5" hidden="1">
      <c r="A1416" s="37"/>
      <c r="B1416" s="38"/>
      <c r="C1416" s="63"/>
      <c r="D1416" s="17"/>
      <c r="E1416" s="17"/>
      <c r="F1416" s="17"/>
      <c r="G1416" s="17"/>
      <c r="H1416" s="65"/>
      <c r="I1416" s="24"/>
      <c r="J1416" s="17"/>
      <c r="K1416" s="17"/>
      <c r="L1416" s="17"/>
      <c r="M1416" s="17"/>
      <c r="N1416" s="17"/>
      <c r="O1416" s="17"/>
      <c r="P1416" s="17"/>
      <c r="Q1416" s="17"/>
      <c r="R1416" s="17"/>
      <c r="S1416" s="17"/>
      <c r="T1416" s="17"/>
      <c r="U1416" s="17"/>
      <c r="V1416" s="17"/>
      <c r="W1416" s="17"/>
      <c r="X1416" s="17"/>
      <c r="Y1416" s="46"/>
      <c r="Z1416" s="47"/>
      <c r="AA1416" s="48"/>
      <c r="AB1416" s="48"/>
      <c r="AC1416" s="48"/>
      <c r="AD1416" s="48"/>
      <c r="AE1416" s="48"/>
      <c r="AF1416" s="48"/>
      <c r="AG1416" s="48"/>
      <c r="AH1416" s="48"/>
      <c r="AI1416" s="48"/>
    </row>
    <row r="1417" spans="1:35" ht="12.5" hidden="1">
      <c r="A1417" s="37"/>
      <c r="B1417" s="38"/>
      <c r="C1417" s="63"/>
      <c r="D1417" s="17"/>
      <c r="E1417" s="17"/>
      <c r="F1417" s="17"/>
      <c r="G1417" s="17"/>
      <c r="H1417" s="65"/>
      <c r="I1417" s="24"/>
      <c r="J1417" s="17"/>
      <c r="K1417" s="17"/>
      <c r="L1417" s="17"/>
      <c r="M1417" s="17"/>
      <c r="N1417" s="17"/>
      <c r="O1417" s="17"/>
      <c r="P1417" s="17"/>
      <c r="Q1417" s="17"/>
      <c r="R1417" s="17"/>
      <c r="S1417" s="17"/>
      <c r="T1417" s="17"/>
      <c r="U1417" s="17"/>
      <c r="V1417" s="17"/>
      <c r="W1417" s="17"/>
      <c r="X1417" s="17"/>
      <c r="Y1417" s="46"/>
      <c r="Z1417" s="47"/>
      <c r="AA1417" s="48"/>
      <c r="AB1417" s="48"/>
      <c r="AC1417" s="48"/>
      <c r="AD1417" s="48"/>
      <c r="AE1417" s="48"/>
      <c r="AF1417" s="48"/>
      <c r="AG1417" s="48"/>
      <c r="AH1417" s="48"/>
      <c r="AI1417" s="48"/>
    </row>
    <row r="1418" spans="1:35" ht="12.5" hidden="1">
      <c r="A1418" s="37"/>
      <c r="B1418" s="38"/>
      <c r="C1418" s="63"/>
      <c r="D1418" s="17"/>
      <c r="E1418" s="17"/>
      <c r="F1418" s="17"/>
      <c r="G1418" s="17"/>
      <c r="H1418" s="65"/>
      <c r="I1418" s="24"/>
      <c r="J1418" s="17"/>
      <c r="K1418" s="17"/>
      <c r="L1418" s="17"/>
      <c r="M1418" s="17"/>
      <c r="N1418" s="17"/>
      <c r="O1418" s="17"/>
      <c r="P1418" s="17"/>
      <c r="Q1418" s="17"/>
      <c r="R1418" s="17"/>
      <c r="S1418" s="17"/>
      <c r="T1418" s="17"/>
      <c r="U1418" s="17"/>
      <c r="V1418" s="17"/>
      <c r="W1418" s="17"/>
      <c r="X1418" s="17"/>
      <c r="Y1418" s="46"/>
      <c r="Z1418" s="47"/>
      <c r="AA1418" s="48"/>
      <c r="AB1418" s="48"/>
      <c r="AC1418" s="48"/>
      <c r="AD1418" s="48"/>
      <c r="AE1418" s="48"/>
      <c r="AF1418" s="48"/>
      <c r="AG1418" s="48"/>
      <c r="AH1418" s="48"/>
      <c r="AI1418" s="48"/>
    </row>
    <row r="1419" spans="1:35" ht="12.5" hidden="1">
      <c r="A1419" s="37"/>
      <c r="B1419" s="38"/>
      <c r="C1419" s="63"/>
      <c r="D1419" s="17"/>
      <c r="E1419" s="17"/>
      <c r="F1419" s="17"/>
      <c r="G1419" s="17"/>
      <c r="H1419" s="65"/>
      <c r="I1419" s="24"/>
      <c r="J1419" s="17"/>
      <c r="K1419" s="17"/>
      <c r="L1419" s="17"/>
      <c r="M1419" s="17"/>
      <c r="N1419" s="17"/>
      <c r="O1419" s="17"/>
      <c r="P1419" s="17"/>
      <c r="Q1419" s="17"/>
      <c r="R1419" s="17"/>
      <c r="S1419" s="17"/>
      <c r="T1419" s="17"/>
      <c r="U1419" s="17"/>
      <c r="V1419" s="17"/>
      <c r="W1419" s="17"/>
      <c r="X1419" s="17"/>
      <c r="Y1419" s="46"/>
      <c r="Z1419" s="47"/>
      <c r="AA1419" s="48"/>
      <c r="AB1419" s="48"/>
      <c r="AC1419" s="48"/>
      <c r="AD1419" s="48"/>
      <c r="AE1419" s="48"/>
      <c r="AF1419" s="48"/>
      <c r="AG1419" s="48"/>
      <c r="AH1419" s="48"/>
      <c r="AI1419" s="48"/>
    </row>
    <row r="1420" spans="1:35" ht="12.5" hidden="1">
      <c r="A1420" s="37"/>
      <c r="B1420" s="38"/>
      <c r="C1420" s="63"/>
      <c r="D1420" s="17"/>
      <c r="E1420" s="17"/>
      <c r="F1420" s="17"/>
      <c r="G1420" s="17"/>
      <c r="H1420" s="65"/>
      <c r="I1420" s="24"/>
      <c r="J1420" s="17"/>
      <c r="K1420" s="17"/>
      <c r="L1420" s="17"/>
      <c r="M1420" s="17"/>
      <c r="N1420" s="17"/>
      <c r="O1420" s="17"/>
      <c r="P1420" s="17"/>
      <c r="Q1420" s="17"/>
      <c r="R1420" s="17"/>
      <c r="S1420" s="17"/>
      <c r="T1420" s="17"/>
      <c r="U1420" s="17"/>
      <c r="V1420" s="17"/>
      <c r="W1420" s="17"/>
      <c r="X1420" s="17"/>
      <c r="Y1420" s="46"/>
      <c r="Z1420" s="47"/>
      <c r="AA1420" s="48"/>
      <c r="AB1420" s="48"/>
      <c r="AC1420" s="48"/>
      <c r="AD1420" s="48"/>
      <c r="AE1420" s="48"/>
      <c r="AF1420" s="48"/>
      <c r="AG1420" s="48"/>
      <c r="AH1420" s="48"/>
      <c r="AI1420" s="48"/>
    </row>
    <row r="1421" spans="1:35" ht="12.5" hidden="1">
      <c r="A1421" s="37"/>
      <c r="B1421" s="38"/>
      <c r="C1421" s="63"/>
      <c r="D1421" s="17"/>
      <c r="E1421" s="17"/>
      <c r="F1421" s="17"/>
      <c r="G1421" s="17"/>
      <c r="H1421" s="65"/>
      <c r="I1421" s="24"/>
      <c r="J1421" s="17"/>
      <c r="K1421" s="17"/>
      <c r="L1421" s="17"/>
      <c r="M1421" s="17"/>
      <c r="N1421" s="17"/>
      <c r="O1421" s="17"/>
      <c r="P1421" s="17"/>
      <c r="Q1421" s="17"/>
      <c r="R1421" s="17"/>
      <c r="S1421" s="17"/>
      <c r="T1421" s="17"/>
      <c r="U1421" s="17"/>
      <c r="V1421" s="17"/>
      <c r="W1421" s="17"/>
      <c r="X1421" s="17"/>
      <c r="Y1421" s="46"/>
      <c r="Z1421" s="47"/>
      <c r="AA1421" s="48"/>
      <c r="AB1421" s="48"/>
      <c r="AC1421" s="48"/>
      <c r="AD1421" s="48"/>
      <c r="AE1421" s="48"/>
      <c r="AF1421" s="48"/>
      <c r="AG1421" s="48"/>
      <c r="AH1421" s="48"/>
      <c r="AI1421" s="48"/>
    </row>
    <row r="1422" spans="1:35" ht="12.5" hidden="1">
      <c r="A1422" s="37"/>
      <c r="B1422" s="38"/>
      <c r="C1422" s="63"/>
      <c r="D1422" s="17"/>
      <c r="E1422" s="17"/>
      <c r="F1422" s="17"/>
      <c r="G1422" s="17"/>
      <c r="H1422" s="65"/>
      <c r="I1422" s="24"/>
      <c r="J1422" s="17"/>
      <c r="K1422" s="17"/>
      <c r="L1422" s="17"/>
      <c r="M1422" s="17"/>
      <c r="N1422" s="17"/>
      <c r="O1422" s="17"/>
      <c r="P1422" s="17"/>
      <c r="Q1422" s="17"/>
      <c r="R1422" s="17"/>
      <c r="S1422" s="17"/>
      <c r="T1422" s="17"/>
      <c r="U1422" s="17"/>
      <c r="V1422" s="17"/>
      <c r="W1422" s="17"/>
      <c r="X1422" s="17"/>
      <c r="Y1422" s="46"/>
      <c r="Z1422" s="47"/>
      <c r="AA1422" s="48"/>
      <c r="AB1422" s="48"/>
      <c r="AC1422" s="48"/>
      <c r="AD1422" s="48"/>
      <c r="AE1422" s="48"/>
      <c r="AF1422" s="48"/>
      <c r="AG1422" s="48"/>
      <c r="AH1422" s="48"/>
      <c r="AI1422" s="48"/>
    </row>
    <row r="1423" spans="1:35" ht="12.5" hidden="1">
      <c r="A1423" s="37"/>
      <c r="B1423" s="38"/>
      <c r="C1423" s="63"/>
      <c r="D1423" s="17"/>
      <c r="E1423" s="17"/>
      <c r="F1423" s="17"/>
      <c r="G1423" s="17"/>
      <c r="H1423" s="65"/>
      <c r="I1423" s="24"/>
      <c r="J1423" s="17"/>
      <c r="K1423" s="17"/>
      <c r="L1423" s="17"/>
      <c r="M1423" s="17"/>
      <c r="N1423" s="17"/>
      <c r="O1423" s="17"/>
      <c r="P1423" s="17"/>
      <c r="Q1423" s="17"/>
      <c r="R1423" s="17"/>
      <c r="S1423" s="17"/>
      <c r="T1423" s="17"/>
      <c r="U1423" s="17"/>
      <c r="V1423" s="17"/>
      <c r="W1423" s="17"/>
      <c r="X1423" s="17"/>
      <c r="Y1423" s="46"/>
      <c r="Z1423" s="47"/>
      <c r="AA1423" s="48"/>
      <c r="AB1423" s="48"/>
      <c r="AC1423" s="48"/>
      <c r="AD1423" s="48"/>
      <c r="AE1423" s="48"/>
      <c r="AF1423" s="48"/>
      <c r="AG1423" s="48"/>
      <c r="AH1423" s="48"/>
      <c r="AI1423" s="48"/>
    </row>
    <row r="1424" spans="1:35" ht="12.5" hidden="1">
      <c r="A1424" s="37"/>
      <c r="B1424" s="38"/>
      <c r="C1424" s="63"/>
      <c r="D1424" s="17"/>
      <c r="E1424" s="17"/>
      <c r="F1424" s="17"/>
      <c r="G1424" s="17"/>
      <c r="H1424" s="65"/>
      <c r="I1424" s="24"/>
      <c r="J1424" s="17"/>
      <c r="K1424" s="17"/>
      <c r="L1424" s="17"/>
      <c r="M1424" s="17"/>
      <c r="N1424" s="17"/>
      <c r="O1424" s="17"/>
      <c r="P1424" s="17"/>
      <c r="Q1424" s="17"/>
      <c r="R1424" s="17"/>
      <c r="S1424" s="17"/>
      <c r="T1424" s="17"/>
      <c r="U1424" s="17"/>
      <c r="V1424" s="17"/>
      <c r="W1424" s="17"/>
      <c r="X1424" s="17"/>
      <c r="Y1424" s="46"/>
      <c r="Z1424" s="47"/>
      <c r="AA1424" s="48"/>
      <c r="AB1424" s="48"/>
      <c r="AC1424" s="48"/>
      <c r="AD1424" s="48"/>
      <c r="AE1424" s="48"/>
      <c r="AF1424" s="48"/>
      <c r="AG1424" s="48"/>
      <c r="AH1424" s="48"/>
      <c r="AI1424" s="48"/>
    </row>
    <row r="1425" spans="1:35" ht="12.5" hidden="1">
      <c r="A1425" s="37"/>
      <c r="B1425" s="38"/>
      <c r="C1425" s="63"/>
      <c r="D1425" s="17"/>
      <c r="E1425" s="17"/>
      <c r="F1425" s="17"/>
      <c r="G1425" s="17"/>
      <c r="H1425" s="65"/>
      <c r="I1425" s="24"/>
      <c r="J1425" s="17"/>
      <c r="K1425" s="17"/>
      <c r="L1425" s="17"/>
      <c r="M1425" s="17"/>
      <c r="N1425" s="17"/>
      <c r="O1425" s="17"/>
      <c r="P1425" s="17"/>
      <c r="Q1425" s="17"/>
      <c r="R1425" s="17"/>
      <c r="S1425" s="17"/>
      <c r="T1425" s="17"/>
      <c r="U1425" s="17"/>
      <c r="V1425" s="17"/>
      <c r="W1425" s="17"/>
      <c r="X1425" s="17"/>
      <c r="Y1425" s="46"/>
      <c r="Z1425" s="47"/>
      <c r="AA1425" s="48"/>
      <c r="AB1425" s="48"/>
      <c r="AC1425" s="48"/>
      <c r="AD1425" s="48"/>
      <c r="AE1425" s="48"/>
      <c r="AF1425" s="48"/>
      <c r="AG1425" s="48"/>
      <c r="AH1425" s="48"/>
      <c r="AI1425" s="48"/>
    </row>
    <row r="1426" spans="1:35" ht="12.5" hidden="1">
      <c r="A1426" s="37"/>
      <c r="B1426" s="38"/>
      <c r="C1426" s="63"/>
      <c r="D1426" s="17"/>
      <c r="E1426" s="17"/>
      <c r="F1426" s="17"/>
      <c r="G1426" s="17"/>
      <c r="H1426" s="65"/>
      <c r="I1426" s="24"/>
      <c r="J1426" s="17"/>
      <c r="K1426" s="17"/>
      <c r="L1426" s="17"/>
      <c r="M1426" s="17"/>
      <c r="N1426" s="17"/>
      <c r="O1426" s="17"/>
      <c r="P1426" s="17"/>
      <c r="Q1426" s="17"/>
      <c r="R1426" s="17"/>
      <c r="S1426" s="17"/>
      <c r="T1426" s="17"/>
      <c r="U1426" s="17"/>
      <c r="V1426" s="17"/>
      <c r="W1426" s="17"/>
      <c r="X1426" s="17"/>
      <c r="Y1426" s="46"/>
      <c r="Z1426" s="47"/>
      <c r="AA1426" s="48"/>
      <c r="AB1426" s="48"/>
      <c r="AC1426" s="48"/>
      <c r="AD1426" s="48"/>
      <c r="AE1426" s="48"/>
      <c r="AF1426" s="48"/>
      <c r="AG1426" s="48"/>
      <c r="AH1426" s="48"/>
      <c r="AI1426" s="48"/>
    </row>
    <row r="1427" spans="1:35" ht="12.5" hidden="1">
      <c r="A1427" s="37"/>
      <c r="B1427" s="38"/>
      <c r="C1427" s="63"/>
      <c r="D1427" s="17"/>
      <c r="E1427" s="17"/>
      <c r="F1427" s="17"/>
      <c r="G1427" s="17"/>
      <c r="H1427" s="65"/>
      <c r="I1427" s="24"/>
      <c r="J1427" s="17"/>
      <c r="K1427" s="17"/>
      <c r="L1427" s="17"/>
      <c r="M1427" s="17"/>
      <c r="N1427" s="17"/>
      <c r="O1427" s="17"/>
      <c r="P1427" s="17"/>
      <c r="Q1427" s="17"/>
      <c r="R1427" s="17"/>
      <c r="S1427" s="17"/>
      <c r="T1427" s="17"/>
      <c r="U1427" s="17"/>
      <c r="V1427" s="17"/>
      <c r="W1427" s="17"/>
      <c r="X1427" s="17"/>
      <c r="Y1427" s="46"/>
      <c r="Z1427" s="47"/>
      <c r="AA1427" s="48"/>
      <c r="AB1427" s="48"/>
      <c r="AC1427" s="48"/>
      <c r="AD1427" s="48"/>
      <c r="AE1427" s="48"/>
      <c r="AF1427" s="48"/>
      <c r="AG1427" s="48"/>
      <c r="AH1427" s="48"/>
      <c r="AI1427" s="48"/>
    </row>
    <row r="1428" spans="1:35" ht="12.5" hidden="1">
      <c r="A1428" s="37"/>
      <c r="B1428" s="38"/>
      <c r="C1428" s="63"/>
      <c r="D1428" s="17"/>
      <c r="E1428" s="17"/>
      <c r="F1428" s="17"/>
      <c r="G1428" s="17"/>
      <c r="H1428" s="65"/>
      <c r="I1428" s="24"/>
      <c r="J1428" s="17"/>
      <c r="K1428" s="17"/>
      <c r="L1428" s="17"/>
      <c r="M1428" s="17"/>
      <c r="N1428" s="17"/>
      <c r="O1428" s="17"/>
      <c r="P1428" s="17"/>
      <c r="Q1428" s="17"/>
      <c r="R1428" s="17"/>
      <c r="S1428" s="17"/>
      <c r="T1428" s="17"/>
      <c r="U1428" s="17"/>
      <c r="V1428" s="17"/>
      <c r="W1428" s="17"/>
      <c r="X1428" s="17"/>
      <c r="Y1428" s="46"/>
      <c r="Z1428" s="47"/>
      <c r="AA1428" s="48"/>
      <c r="AB1428" s="48"/>
      <c r="AC1428" s="48"/>
      <c r="AD1428" s="48"/>
      <c r="AE1428" s="48"/>
      <c r="AF1428" s="48"/>
      <c r="AG1428" s="48"/>
      <c r="AH1428" s="48"/>
      <c r="AI1428" s="48"/>
    </row>
  </sheetData>
  <autoFilter ref="A12:AI1428" xr:uid="{00000000-0009-0000-0000-000001000000}">
    <filterColumn colId="10">
      <filters>
        <filter val="OPENAI *CHATGPT SUBSCR SAN FRANCISCO USA"/>
      </filters>
    </filterColumn>
    <sortState xmlns:xlrd2="http://schemas.microsoft.com/office/spreadsheetml/2017/richdata2" ref="A12:AI1428">
      <sortCondition ref="C12:C1428"/>
      <sortCondition descending="1" ref="G12:G1428"/>
    </sortState>
  </autoFilter>
  <customSheetViews>
    <customSheetView guid="{18015B2F-6A4E-48E4-91D0-56F14F5E9084}" filter="1" showAutoFilter="1">
      <pageMargins left="0.7" right="0.7" top="0.75" bottom="0.75" header="0.3" footer="0.3"/>
      <autoFilter ref="A12:C1428" xr:uid="{36EC02FF-CA15-493B-9D91-D94CDF9601D6}">
        <filterColumn colId="1">
          <filters blank="1">
            <filter val="-"/>
            <filter val="#24"/>
            <filter val="#26"/>
            <filter val="#28"/>
            <filter val="#30"/>
            <filter val="#31"/>
            <filter val="#34"/>
            <filter val="#35"/>
            <filter val="#40"/>
            <filter val="#41"/>
            <filter val="#42"/>
            <filter val="#44"/>
            <filter val="#49"/>
            <filter val="#52"/>
            <filter val="#53"/>
            <filter val="#55"/>
            <filter val="#56"/>
            <filter val="#58"/>
            <filter val="#64"/>
            <filter val="#66"/>
            <filter val="#68"/>
            <filter val="#69"/>
            <filter val="#70"/>
            <filter val="#74"/>
            <filter val="#75"/>
            <filter val="#77"/>
            <filter val="#78"/>
            <filter val="#79"/>
          </filters>
        </filterColumn>
      </autoFilter>
    </customSheetView>
    <customSheetView guid="{1C89AF85-178D-4493-9287-A6DD2E7E68F1}" filter="1" showAutoFilter="1">
      <pageMargins left="0.7" right="0.7" top="0.75" bottom="0.75" header="0.3" footer="0.3"/>
      <autoFilter ref="G12:Z1161" xr:uid="{D1B8AC9B-8F12-47DE-84A9-4A5444A12217}">
        <filterColumn colId="3">
          <filters>
            <filter val="Alfonso Bello"/>
            <filter val="Andres Camacho Herrera"/>
            <filter val="Antonio Lopez"/>
            <filter val="Cindy Aguirre"/>
            <filter val="Daniel Caraveo"/>
            <filter val="Gustavo Rivas"/>
            <filter val="Harold Pape"/>
            <filter val="Jeremy Moore"/>
            <filter val="Jorge Armando Ramirez Perez"/>
            <filter val="Jorge Pena De La Luz"/>
            <filter val="Jose Luis Franco Vaquero"/>
            <filter val="Jose Luis Ramirez Gonzalez"/>
            <filter val="Julio Cesar Guemes Reynoso"/>
            <filter val="Karen Alexandra Ballesteros Contreras"/>
            <filter val="KARLA CASIQUE"/>
            <filter val="Manuel Caldera Urcuyo"/>
            <filter val="Miguel De Lascurain"/>
            <filter val="Montserrat Camacho"/>
            <filter val="Naomi Gonzalez"/>
            <filter val="Patricio Servitje Azcarraga"/>
            <filter val="RENE GRANADOS"/>
            <filter val="Ricardo Malo de Molina"/>
            <filter val="Tommaso Rivetti Vinea"/>
            <filter val="TONANCY ISIDORO PENA"/>
          </filters>
        </filterColumn>
      </autoFilter>
    </customSheetView>
  </customSheetViews>
  <mergeCells count="17">
    <mergeCell ref="C1:G1"/>
    <mergeCell ref="C2:D2"/>
    <mergeCell ref="E2:G2"/>
    <mergeCell ref="C3:D3"/>
    <mergeCell ref="E3:G3"/>
    <mergeCell ref="C4:D4"/>
    <mergeCell ref="E4:G4"/>
    <mergeCell ref="C8:D8"/>
    <mergeCell ref="C9:D9"/>
    <mergeCell ref="C5:D5"/>
    <mergeCell ref="E5:G5"/>
    <mergeCell ref="C6:D6"/>
    <mergeCell ref="E6:G6"/>
    <mergeCell ref="C7:D7"/>
    <mergeCell ref="E7:G7"/>
    <mergeCell ref="E8:G8"/>
    <mergeCell ref="E9:G9"/>
  </mergeCells>
  <conditionalFormatting sqref="Y13:Y1428">
    <cfRule type="cellIs" dxfId="6" priority="11" operator="equal">
      <formula>"."</formula>
    </cfRule>
  </conditionalFormatting>
  <conditionalFormatting sqref="Y13:Z1428">
    <cfRule type="notContainsBlanks" dxfId="5" priority="2">
      <formula>LEN(TRIM(Y13))&gt;0</formula>
    </cfRule>
    <cfRule type="containsBlanks" dxfId="4" priority="3">
      <formula>LEN(TRIM(Y13))=0</formula>
    </cfRule>
  </conditionalFormatting>
  <conditionalFormatting sqref="Y13:AI1428">
    <cfRule type="cellIs" dxfId="3" priority="1" operator="equal">
      <formula>"-"</formula>
    </cfRule>
  </conditionalFormatting>
  <conditionalFormatting sqref="AA13:AI1428">
    <cfRule type="cellIs" dxfId="2" priority="7" operator="equal">
      <formula>"."</formula>
    </cfRule>
    <cfRule type="notContainsBlanks" dxfId="1" priority="9">
      <formula>LEN(TRIM(AA13))&gt;0</formula>
    </cfRule>
    <cfRule type="containsBlanks" dxfId="0" priority="10">
      <formula>LEN(TRIM(AA13))=0</formula>
    </cfRule>
  </conditionalFormatting>
  <hyperlinks>
    <hyperlink ref="K2" location="'#1 Annelies'!A1" display="#1" xr:uid="{00000000-0004-0000-0100-000000000000}"/>
    <hyperlink ref="L2" r:id="rId1" xr:uid="{00000000-0004-0000-0100-000001000000}"/>
    <hyperlink ref="N2" location="'#13 Miguel'!A1" display="#13" xr:uid="{00000000-0004-0000-0100-000002000000}"/>
    <hyperlink ref="O2" r:id="rId2" xr:uid="{00000000-0004-0000-0100-000003000000}"/>
    <hyperlink ref="Y2" location="'#26 Alexandra Ballesteros'!A1" display="#26" xr:uid="{00000000-0004-0000-0100-000004000000}"/>
    <hyperlink ref="AB2" location="'#41 Jose Arechavala'!A1" display="#41" xr:uid="{00000000-0004-0000-0100-000005000000}"/>
    <hyperlink ref="AC2" r:id="rId3" xr:uid="{00000000-0004-0000-0100-000006000000}"/>
    <hyperlink ref="AD2" location="'#53 Monserrat Benitez'!A1" display="#53" xr:uid="{00000000-0004-0000-0100-000007000000}"/>
    <hyperlink ref="AE2" r:id="rId4" xr:uid="{00000000-0004-0000-0100-000008000000}"/>
    <hyperlink ref="AF2" location="'#63 Diego Morodo'!A1" display="#63" xr:uid="{00000000-0004-0000-0100-000009000000}"/>
    <hyperlink ref="AG2" r:id="rId5" xr:uid="{00000000-0004-0000-0100-00000A000000}"/>
    <hyperlink ref="AH2" location="'#72 Julio Güemes'!A1" display="#72" xr:uid="{00000000-0004-0000-0100-00000B000000}"/>
    <hyperlink ref="AI2" r:id="rId6" xr:uid="{00000000-0004-0000-0100-00000C000000}"/>
    <hyperlink ref="K3" location="'#2 Cesar'!A1" display="#2" xr:uid="{00000000-0004-0000-0100-00000D000000}"/>
    <hyperlink ref="L3" r:id="rId7" xr:uid="{00000000-0004-0000-0100-00000E000000}"/>
    <hyperlink ref="N3" location="'#14 Patricio. '!A1" display="#14" xr:uid="{00000000-0004-0000-0100-00000F000000}"/>
    <hyperlink ref="O3" r:id="rId8" xr:uid="{00000000-0004-0000-0100-000010000000}"/>
    <hyperlink ref="Y3" location="'#28 Fernando Villalobos'!A1" display="#28" xr:uid="{00000000-0004-0000-0100-000011000000}"/>
    <hyperlink ref="Z3" r:id="rId9" xr:uid="{00000000-0004-0000-0100-000012000000}"/>
    <hyperlink ref="AB3" location="'#42 Rodrigo Perea'!A1" display="#42" xr:uid="{00000000-0004-0000-0100-000013000000}"/>
    <hyperlink ref="AC3" r:id="rId10" xr:uid="{00000000-0004-0000-0100-000014000000}"/>
    <hyperlink ref="AD3" location="'#54 Mario Castorela'!A1" display="#54" xr:uid="{00000000-0004-0000-0100-000015000000}"/>
    <hyperlink ref="AE3" r:id="rId11" xr:uid="{00000000-0004-0000-0100-000016000000}"/>
    <hyperlink ref="AF3" location="'#64 Erik Castillo'!A1" display="#64" xr:uid="{00000000-0004-0000-0100-000017000000}"/>
    <hyperlink ref="AG3" r:id="rId12" xr:uid="{00000000-0004-0000-0100-000018000000}"/>
    <hyperlink ref="AH3" location="'#73 Manuel Caldera'!A1" display="#73" xr:uid="{00000000-0004-0000-0100-000019000000}"/>
    <hyperlink ref="AI3" r:id="rId13" xr:uid="{00000000-0004-0000-0100-00001A000000}"/>
    <hyperlink ref="K4" location="'#3 Cesar Uriel'!A1" display="#3" xr:uid="{00000000-0004-0000-0100-00001B000000}"/>
    <hyperlink ref="L4" r:id="rId14" xr:uid="{00000000-0004-0000-0100-00001C000000}"/>
    <hyperlink ref="N4" location="'#16 Rogelio'!A1" display="#16" xr:uid="{00000000-0004-0000-0100-00001D000000}"/>
    <hyperlink ref="O4" r:id="rId15" xr:uid="{00000000-0004-0000-0100-00001E000000}"/>
    <hyperlink ref="Y4" location="'#29 Jonatan Cid'!A1" display="#29" xr:uid="{00000000-0004-0000-0100-00001F000000}"/>
    <hyperlink ref="Z4" r:id="rId16" location="gid=1404531132" xr:uid="{00000000-0004-0000-0100-000020000000}"/>
    <hyperlink ref="AB4" location="'#43 Pablo Ortiz'!A1" display="#43" xr:uid="{00000000-0004-0000-0100-000021000000}"/>
    <hyperlink ref="AC4" r:id="rId17" xr:uid="{00000000-0004-0000-0100-000022000000}"/>
    <hyperlink ref="AD4" location="'#55 Gerardo Madrid'!A1" display="#55" xr:uid="{00000000-0004-0000-0100-000023000000}"/>
    <hyperlink ref="AE4" r:id="rId18" xr:uid="{00000000-0004-0000-0100-000024000000}"/>
    <hyperlink ref="AF4" location="'#65 Diana Miranda'!A1" display="#65" xr:uid="{00000000-0004-0000-0100-000025000000}"/>
    <hyperlink ref="AG4" r:id="rId19" xr:uid="{00000000-0004-0000-0100-000026000000}"/>
    <hyperlink ref="AH4" location="'#74 Alan G'!A1" display="#74" xr:uid="{00000000-0004-0000-0100-000027000000}"/>
    <hyperlink ref="AI4" r:id="rId20" xr:uid="{00000000-0004-0000-0100-000028000000}"/>
    <hyperlink ref="K5" location="'#4 Daniel Autrique'!A1" display="#4" xr:uid="{00000000-0004-0000-0100-000029000000}"/>
    <hyperlink ref="L5" r:id="rId21" xr:uid="{00000000-0004-0000-0100-00002A000000}"/>
    <hyperlink ref="N5" location="'#17 Sebastian'!A1" display="#17" xr:uid="{00000000-0004-0000-0100-00002B000000}"/>
    <hyperlink ref="O5" r:id="rId22" xr:uid="{00000000-0004-0000-0100-00002C000000}"/>
    <hyperlink ref="Y5" location="'#30 Manuel Ibarra'!A1" display="#30" xr:uid="{00000000-0004-0000-0100-00002D000000}"/>
    <hyperlink ref="Z5" r:id="rId23" location="gid=1404531132" xr:uid="{00000000-0004-0000-0100-00002E000000}"/>
    <hyperlink ref="AB5" location="'#44 JP Hammerstein'!A1" display="#44" xr:uid="{00000000-0004-0000-0100-00002F000000}"/>
    <hyperlink ref="AC5" r:id="rId24" xr:uid="{00000000-0004-0000-0100-000030000000}"/>
    <hyperlink ref="AD5" location="'#56 Carlos Ivan Gonzalez Merino'!A1" display="#56" xr:uid="{00000000-0004-0000-0100-000031000000}"/>
    <hyperlink ref="AE5" r:id="rId25" xr:uid="{00000000-0004-0000-0100-000032000000}"/>
    <hyperlink ref="AF5" location="'#66 Jorge Ramirez'!A1" display="#66" xr:uid="{00000000-0004-0000-0100-000033000000}"/>
    <hyperlink ref="AG5" r:id="rId26" xr:uid="{00000000-0004-0000-0100-000034000000}"/>
    <hyperlink ref="K6" location="'#5 Fernanda'!A1" display="#5" xr:uid="{00000000-0004-0000-0100-000035000000}"/>
    <hyperlink ref="L6" r:id="rId27" xr:uid="{00000000-0004-0000-0100-000036000000}"/>
    <hyperlink ref="N6" location="'#19 Daniel Alejandro Castillo R'!A1" display="#19" xr:uid="{00000000-0004-0000-0100-000037000000}"/>
    <hyperlink ref="O6" r:id="rId28" location="gid=384009412" xr:uid="{00000000-0004-0000-0100-000038000000}"/>
    <hyperlink ref="Y6" location="' #31 Emiliano Cavazos'!A1" display="#31" xr:uid="{00000000-0004-0000-0100-000039000000}"/>
    <hyperlink ref="Z6" r:id="rId29" xr:uid="{00000000-0004-0000-0100-00003A000000}"/>
    <hyperlink ref="AB6" location="'#45 Erick Cival'!A1" display="#45" xr:uid="{00000000-0004-0000-0100-00003B000000}"/>
    <hyperlink ref="AC6" r:id="rId30" xr:uid="{00000000-0004-0000-0100-00003C000000}"/>
    <hyperlink ref="AD6" location="'#57 Paloma Santos'!A1" display="#57" xr:uid="{00000000-0004-0000-0100-00003D000000}"/>
    <hyperlink ref="AE6" r:id="rId31" xr:uid="{00000000-0004-0000-0100-00003E000000}"/>
    <hyperlink ref="AF6" location="'#67 Gustavo Rivas'!A1" display="#67" xr:uid="{00000000-0004-0000-0100-00003F000000}"/>
    <hyperlink ref="AG6" r:id="rId32" xr:uid="{00000000-0004-0000-0100-000040000000}"/>
    <hyperlink ref="K7" location="'#6 Fernando Sanchez'!A1" display="#6" xr:uid="{00000000-0004-0000-0100-000041000000}"/>
    <hyperlink ref="L7" r:id="rId33" xr:uid="{00000000-0004-0000-0100-000042000000}"/>
    <hyperlink ref="N7" location="'#20 Gerardo Guadalupe Ruiz Huer'!A1" display="#20" xr:uid="{00000000-0004-0000-0100-000043000000}"/>
    <hyperlink ref="O7" r:id="rId34" location="gid=1404531132" xr:uid="{00000000-0004-0000-0100-000044000000}"/>
    <hyperlink ref="Y7" location="'#34 Juan Pablo Ramos'!A1" display="#34" xr:uid="{00000000-0004-0000-0100-000045000000}"/>
    <hyperlink ref="Z7" r:id="rId35" xr:uid="{00000000-0004-0000-0100-000046000000}"/>
    <hyperlink ref="AB7" location="'#48 Andres Preza'!A1" display="#48" xr:uid="{00000000-0004-0000-0100-000047000000}"/>
    <hyperlink ref="AC7" r:id="rId36" xr:uid="{00000000-0004-0000-0100-000048000000}"/>
    <hyperlink ref="AD7" location="'#58 Jose Rosas'!A1" display="#58" xr:uid="{00000000-0004-0000-0100-000049000000}"/>
    <hyperlink ref="AE7" r:id="rId37" xr:uid="{00000000-0004-0000-0100-00004A000000}"/>
    <hyperlink ref="AF7" location="'#68 Alfonso Bello'!A1" display="#68" xr:uid="{00000000-0004-0000-0100-00004B000000}"/>
    <hyperlink ref="AG7" r:id="rId38" xr:uid="{00000000-0004-0000-0100-00004C000000}"/>
    <hyperlink ref="K8" location="'#7 Isaac'!A1" display="#7" xr:uid="{00000000-0004-0000-0100-00004D000000}"/>
    <hyperlink ref="L8" r:id="rId39" xr:uid="{00000000-0004-0000-0100-00004E000000}"/>
    <hyperlink ref="N8" location="'#21 Jesus Gonzalez Grana'!A1" display="#21" xr:uid="{00000000-0004-0000-0100-00004F000000}"/>
    <hyperlink ref="O8" r:id="rId40" location="gid=1404531132" xr:uid="{00000000-0004-0000-0100-000050000000}"/>
    <hyperlink ref="Y8" location="'#35 Termis'!A1" display="#35" xr:uid="{00000000-0004-0000-0100-000051000000}"/>
    <hyperlink ref="Z8" r:id="rId41" xr:uid="{00000000-0004-0000-0100-000052000000}"/>
    <hyperlink ref="AB8" location="'#49 Jahaziel Galan'!A1" display="#49" xr:uid="{00000000-0004-0000-0100-000053000000}"/>
    <hyperlink ref="AC8" r:id="rId42" xr:uid="{00000000-0004-0000-0100-000054000000}"/>
    <hyperlink ref="AD8" location="'#60 Carlos Aleman'!A1" display="#60" xr:uid="{00000000-0004-0000-0100-000055000000}"/>
    <hyperlink ref="AE8" r:id="rId43" location="gid=1404531132" xr:uid="{00000000-0004-0000-0100-000056000000}"/>
    <hyperlink ref="AF8" location="'#69 Cole Anderson'!A1" display="#69" xr:uid="{00000000-0004-0000-0100-000057000000}"/>
    <hyperlink ref="AG8" r:id="rId44" xr:uid="{00000000-0004-0000-0100-000058000000}"/>
    <hyperlink ref="K9" location="'#8 Jose Ignacio'!A1" display="#8" xr:uid="{00000000-0004-0000-0100-000059000000}"/>
    <hyperlink ref="L9" r:id="rId45" xr:uid="{00000000-0004-0000-0100-00005A000000}"/>
    <hyperlink ref="N9" location="'#24 Andres Camacho'!A1" display="#24" xr:uid="{00000000-0004-0000-0100-00005B000000}"/>
    <hyperlink ref="O9" r:id="rId46" location="gid=1404531132" xr:uid="{00000000-0004-0000-0100-00005C000000}"/>
    <hyperlink ref="Y9" location="'#37 Angel Pantoja'!A1" display="#37" xr:uid="{00000000-0004-0000-0100-00005D000000}"/>
    <hyperlink ref="Z9" r:id="rId47" xr:uid="{00000000-0004-0000-0100-00005E000000}"/>
    <hyperlink ref="AB9" location="'#51 Saul Murillo'!A1" display="#51" xr:uid="{00000000-0004-0000-0100-00005F000000}"/>
    <hyperlink ref="AC9" r:id="rId48" xr:uid="{00000000-0004-0000-0100-000060000000}"/>
    <hyperlink ref="AD9" location="'#61 Jorge Diaz'!A1" display="#61" xr:uid="{00000000-0004-0000-0100-000061000000}"/>
    <hyperlink ref="AE9" r:id="rId49" xr:uid="{00000000-0004-0000-0100-000062000000}"/>
    <hyperlink ref="AF9" location="'#70 Mariano Alcaraz'!A1" display="#70" xr:uid="{00000000-0004-0000-0100-000063000000}"/>
    <hyperlink ref="AG9" r:id="rId50" xr:uid="{00000000-0004-0000-0100-000064000000}"/>
    <hyperlink ref="K10" location="'#9 Jose Maria'!A1" display="#9" xr:uid="{00000000-0004-0000-0100-000065000000}"/>
    <hyperlink ref="L10" r:id="rId51" xr:uid="{00000000-0004-0000-0100-000066000000}"/>
    <hyperlink ref="N10" location="'#25 Jorge Estrada'!A1" display="#25" xr:uid="{00000000-0004-0000-0100-000067000000}"/>
    <hyperlink ref="O10" r:id="rId52" xr:uid="{00000000-0004-0000-0100-000068000000}"/>
    <hyperlink ref="Y10" location="'#40 Gabriela Zacarias'!A1" display="#40" xr:uid="{00000000-0004-0000-0100-000069000000}"/>
    <hyperlink ref="Z10" r:id="rId53" xr:uid="{00000000-0004-0000-0100-00006A000000}"/>
    <hyperlink ref="AB10" location="'#52 Tommaso Rivetti'!A1" display="#52" xr:uid="{00000000-0004-0000-0100-00006B000000}"/>
    <hyperlink ref="AC10" r:id="rId54" xr:uid="{00000000-0004-0000-0100-00006C000000}"/>
    <hyperlink ref="AD10" location="'#62 Jorge Rojas'!A1" display="#62" xr:uid="{00000000-0004-0000-0100-00006D000000}"/>
    <hyperlink ref="AE10" r:id="rId55" xr:uid="{00000000-0004-0000-0100-00006E000000}"/>
    <hyperlink ref="AF10" location="'#71 Alan R '!A1" display="#71" xr:uid="{00000000-0004-0000-0100-00006F000000}"/>
    <hyperlink ref="AG10" r:id="rId56" xr:uid="{00000000-0004-0000-0100-000070000000}"/>
    <hyperlink ref="L795" r:id="rId57" xr:uid="{00000000-0004-0000-0100-000071000000}"/>
    <hyperlink ref="L1148" r:id="rId58" xr:uid="{00000000-0004-0000-0100-000072000000}"/>
  </hyperlinks>
  <pageMargins left="0.7" right="0.7" top="0.75" bottom="0.75" header="0.3" footer="0.3"/>
  <legacyDrawing r:id="rId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2545"/>
  <sheetViews>
    <sheetView workbookViewId="0"/>
  </sheetViews>
  <sheetFormatPr baseColWidth="10" defaultColWidth="12.6328125" defaultRowHeight="15.75" customHeight="1"/>
  <cols>
    <col min="1" max="1" width="6.453125" customWidth="1"/>
    <col min="2" max="2" width="23.7265625" customWidth="1"/>
    <col min="3" max="3" width="4" customWidth="1"/>
    <col min="4" max="4" width="4.08984375" customWidth="1"/>
    <col min="6" max="6" width="13.08984375" customWidth="1"/>
  </cols>
  <sheetData>
    <row r="1" spans="1:8" ht="15.75" customHeight="1">
      <c r="A1" s="14" t="s">
        <v>62</v>
      </c>
      <c r="B1" s="15" t="s">
        <v>5</v>
      </c>
      <c r="C1" s="14" t="s">
        <v>62</v>
      </c>
      <c r="D1" s="16"/>
      <c r="E1" s="16" t="str">
        <f ca="1">IFERROR(__xludf.DUMMYFUNCTION("IMPORTRANGE(""https://docs.google.com/spreadsheets/d/1MBgQy-yF1OkA_9X0Qz48OHlR2f47Z50N37rUi7p114Y/edit#gid=1404531132"",""#1 Annelies!A11:A80"")"),"CODI")</f>
        <v>CODI</v>
      </c>
      <c r="F1" s="16" t="str">
        <f ca="1">IFERROR(__xludf.DUMMYFUNCTION("IMPORTRANGE(""https://docs.google.com/spreadsheets/d/1MBgQy-yF1OkA_9X0Qz48OHlR2f47Z50N37rUi7p114Y/edit#gid=1404531132"",""#1 Annelies!I11:K80"")"),"Expense Type")</f>
        <v>Expense Type</v>
      </c>
      <c r="G1" s="16" t="str">
        <f ca="1">IFERROR(__xludf.DUMMYFUNCTION("""COMPUTED_VALUE"""),"DESCRIPCION DEL GASTO")</f>
        <v>DESCRIPCION DEL GASTO</v>
      </c>
      <c r="H1" s="16" t="str">
        <f ca="1">IFERROR(__xludf.DUMMYFUNCTION("""COMPUTED_VALUE"""),"FOLIO FACTURA")</f>
        <v>FOLIO FACTURA</v>
      </c>
    </row>
    <row r="2" spans="1:8" ht="15.75" customHeight="1">
      <c r="A2" s="66" t="s">
        <v>64</v>
      </c>
      <c r="B2" s="41" t="s">
        <v>65</v>
      </c>
      <c r="C2" s="66" t="str">
        <f t="shared" ref="C2:C80" si="0">A2</f>
        <v>#1</v>
      </c>
      <c r="D2" s="16"/>
      <c r="E2" s="16" t="str">
        <f ca="1">IFERROR(__xludf.DUMMYFUNCTION("""COMPUTED_VALUE"""),"#N/A")</f>
        <v>#N/A</v>
      </c>
      <c r="F2" s="16" t="str">
        <f ca="1">IFERROR(__xludf.DUMMYFUNCTION("""COMPUTED_VALUE"""),"G&amp;A expenses")</f>
        <v>G&amp;A expenses</v>
      </c>
      <c r="G2" s="16" t="str">
        <f ca="1">IFERROR(__xludf.DUMMYFUNCTION("""COMPUTED_VALUE"""),"Intern lunch w Nitisha.&amp; Karn")</f>
        <v>Intern lunch w Nitisha.&amp; Karn</v>
      </c>
      <c r="H2" s="16" t="str">
        <f ca="1">IFERROR(__xludf.DUMMYFUNCTION("""COMPUTED_VALUE"""),".")</f>
        <v>.</v>
      </c>
    </row>
    <row r="3" spans="1:8" ht="15.75" customHeight="1">
      <c r="A3" s="66" t="s">
        <v>12</v>
      </c>
      <c r="B3" s="41" t="s">
        <v>75</v>
      </c>
      <c r="C3" s="66" t="str">
        <f t="shared" si="0"/>
        <v>#2</v>
      </c>
      <c r="D3" s="16"/>
      <c r="E3" s="16"/>
      <c r="F3" s="16"/>
      <c r="G3" s="16"/>
      <c r="H3" s="16" t="str">
        <f ca="1">IFERROR(__xludf.DUMMYFUNCTION("""COMPUTED_VALUE"""),".")</f>
        <v>.</v>
      </c>
    </row>
    <row r="4" spans="1:8" ht="15.75" customHeight="1">
      <c r="A4" s="66" t="s">
        <v>40</v>
      </c>
      <c r="B4" s="41" t="s">
        <v>84</v>
      </c>
      <c r="C4" s="66" t="str">
        <f t="shared" si="0"/>
        <v>#3</v>
      </c>
      <c r="D4" s="16"/>
      <c r="E4" s="16"/>
      <c r="F4" s="16"/>
      <c r="G4" s="16"/>
      <c r="H4" s="16" t="str">
        <f ca="1">IFERROR(__xludf.DUMMYFUNCTION("""COMPUTED_VALUE"""),".")</f>
        <v>.</v>
      </c>
    </row>
    <row r="5" spans="1:8" ht="15.75" customHeight="1">
      <c r="A5" s="66" t="s">
        <v>48</v>
      </c>
      <c r="B5" s="41" t="s">
        <v>95</v>
      </c>
      <c r="C5" s="66" t="str">
        <f t="shared" si="0"/>
        <v>#4</v>
      </c>
      <c r="D5" s="16"/>
      <c r="E5" s="16"/>
      <c r="F5" s="16"/>
      <c r="G5" s="16"/>
      <c r="H5" s="16" t="str">
        <f ca="1">IFERROR(__xludf.DUMMYFUNCTION("""COMPUTED_VALUE"""),".")</f>
        <v>.</v>
      </c>
    </row>
    <row r="6" spans="1:8" ht="15.75" customHeight="1">
      <c r="A6" s="66" t="s">
        <v>55</v>
      </c>
      <c r="B6" s="41" t="s">
        <v>104</v>
      </c>
      <c r="C6" s="66" t="str">
        <f t="shared" si="0"/>
        <v>#5</v>
      </c>
      <c r="D6" s="16"/>
      <c r="E6" s="16"/>
      <c r="F6" s="16"/>
      <c r="G6" s="16"/>
      <c r="H6" s="16" t="str">
        <f ca="1">IFERROR(__xludf.DUMMYFUNCTION("""COMPUTED_VALUE"""),".")</f>
        <v>.</v>
      </c>
    </row>
    <row r="7" spans="1:8" ht="15.75" customHeight="1">
      <c r="A7" s="66" t="s">
        <v>42</v>
      </c>
      <c r="B7" s="41" t="s">
        <v>114</v>
      </c>
      <c r="C7" s="66" t="str">
        <f t="shared" si="0"/>
        <v>#6</v>
      </c>
      <c r="D7" s="16"/>
      <c r="E7" s="16"/>
      <c r="F7" s="16"/>
      <c r="G7" s="16"/>
      <c r="H7" s="16" t="str">
        <f ca="1">IFERROR(__xludf.DUMMYFUNCTION("""COMPUTED_VALUE"""),".")</f>
        <v>.</v>
      </c>
    </row>
    <row r="8" spans="1:8" ht="15.75" customHeight="1">
      <c r="A8" s="66" t="s">
        <v>52</v>
      </c>
      <c r="B8" s="41" t="s">
        <v>121</v>
      </c>
      <c r="C8" s="66" t="str">
        <f t="shared" si="0"/>
        <v>#7</v>
      </c>
      <c r="D8" s="16"/>
      <c r="E8" s="16"/>
      <c r="F8" s="16"/>
      <c r="G8" s="16"/>
      <c r="H8" s="16" t="str">
        <f ca="1">IFERROR(__xludf.DUMMYFUNCTION("""COMPUTED_VALUE"""),".")</f>
        <v>.</v>
      </c>
    </row>
    <row r="9" spans="1:8" ht="15.75" customHeight="1">
      <c r="A9" s="66" t="s">
        <v>13</v>
      </c>
      <c r="B9" s="41" t="s">
        <v>128</v>
      </c>
      <c r="C9" s="66" t="str">
        <f t="shared" si="0"/>
        <v>#8</v>
      </c>
      <c r="D9" s="16"/>
      <c r="E9" s="16"/>
      <c r="F9" s="16"/>
      <c r="G9" s="16"/>
      <c r="H9" s="16" t="str">
        <f ca="1">IFERROR(__xludf.DUMMYFUNCTION("""COMPUTED_VALUE"""),".")</f>
        <v>.</v>
      </c>
    </row>
    <row r="10" spans="1:8" ht="15.75" customHeight="1">
      <c r="A10" s="66" t="s">
        <v>24</v>
      </c>
      <c r="B10" s="41" t="s">
        <v>134</v>
      </c>
      <c r="C10" s="66" t="str">
        <f t="shared" si="0"/>
        <v>#9</v>
      </c>
      <c r="D10" s="16"/>
      <c r="E10" s="16"/>
      <c r="F10" s="16"/>
      <c r="G10" s="16"/>
      <c r="H10" s="16" t="str">
        <f ca="1">IFERROR(__xludf.DUMMYFUNCTION("""COMPUTED_VALUE"""),".")</f>
        <v>.</v>
      </c>
    </row>
    <row r="11" spans="1:8" ht="15.75" customHeight="1">
      <c r="A11" s="66" t="s">
        <v>1934</v>
      </c>
      <c r="B11" s="41" t="s">
        <v>1935</v>
      </c>
      <c r="C11" s="66" t="str">
        <f t="shared" si="0"/>
        <v>#10</v>
      </c>
      <c r="D11" s="16"/>
      <c r="E11" s="16"/>
      <c r="F11" s="16"/>
      <c r="G11" s="16"/>
      <c r="H11" s="16" t="str">
        <f ca="1">IFERROR(__xludf.DUMMYFUNCTION("""COMPUTED_VALUE"""),".")</f>
        <v>.</v>
      </c>
    </row>
    <row r="12" spans="1:8" ht="15.75" customHeight="1">
      <c r="A12" s="66" t="s">
        <v>51</v>
      </c>
      <c r="B12" s="41" t="s">
        <v>1936</v>
      </c>
      <c r="C12" s="66" t="str">
        <f t="shared" si="0"/>
        <v>#11</v>
      </c>
      <c r="D12" s="16"/>
      <c r="E12" s="16"/>
      <c r="F12" s="16"/>
      <c r="G12" s="16"/>
      <c r="H12" s="16" t="str">
        <f ca="1">IFERROR(__xludf.DUMMYFUNCTION("""COMPUTED_VALUE"""),".")</f>
        <v>.</v>
      </c>
    </row>
    <row r="13" spans="1:8" ht="15.75" customHeight="1">
      <c r="A13" s="66" t="s">
        <v>1937</v>
      </c>
      <c r="B13" s="41" t="s">
        <v>1938</v>
      </c>
      <c r="C13" s="66" t="str">
        <f t="shared" si="0"/>
        <v>#12</v>
      </c>
      <c r="D13" s="16"/>
      <c r="E13" s="16"/>
      <c r="F13" s="16"/>
      <c r="G13" s="16"/>
      <c r="H13" s="16" t="str">
        <f ca="1">IFERROR(__xludf.DUMMYFUNCTION("""COMPUTED_VALUE"""),".")</f>
        <v>.</v>
      </c>
    </row>
    <row r="14" spans="1:8" ht="15.75" customHeight="1">
      <c r="A14" s="66" t="s">
        <v>25</v>
      </c>
      <c r="B14" s="41" t="s">
        <v>66</v>
      </c>
      <c r="C14" s="66" t="str">
        <f t="shared" si="0"/>
        <v>#13</v>
      </c>
      <c r="D14" s="16"/>
      <c r="E14" s="16"/>
      <c r="F14" s="16"/>
      <c r="G14" s="16"/>
      <c r="H14" s="16" t="str">
        <f ca="1">IFERROR(__xludf.DUMMYFUNCTION("""COMPUTED_VALUE"""),".")</f>
        <v>.</v>
      </c>
    </row>
    <row r="15" spans="1:8" ht="15.75" customHeight="1">
      <c r="A15" s="66" t="s">
        <v>58</v>
      </c>
      <c r="B15" s="41" t="s">
        <v>76</v>
      </c>
      <c r="C15" s="66" t="str">
        <f t="shared" si="0"/>
        <v>#14</v>
      </c>
      <c r="D15" s="16"/>
      <c r="E15" s="16"/>
      <c r="F15" s="16"/>
      <c r="G15" s="16"/>
      <c r="H15" s="16" t="str">
        <f ca="1">IFERROR(__xludf.DUMMYFUNCTION("""COMPUTED_VALUE"""),".")</f>
        <v>.</v>
      </c>
    </row>
    <row r="16" spans="1:8" ht="15.75" customHeight="1">
      <c r="A16" s="66" t="s">
        <v>1939</v>
      </c>
      <c r="B16" s="41" t="s">
        <v>1940</v>
      </c>
      <c r="C16" s="66" t="str">
        <f t="shared" si="0"/>
        <v>#15</v>
      </c>
      <c r="D16" s="16"/>
      <c r="E16" s="16"/>
      <c r="F16" s="16"/>
      <c r="G16" s="16"/>
      <c r="H16" s="16" t="str">
        <f ca="1">IFERROR(__xludf.DUMMYFUNCTION("""COMPUTED_VALUE"""),".")</f>
        <v>.</v>
      </c>
    </row>
    <row r="17" spans="1:8" ht="15.75" customHeight="1">
      <c r="A17" s="66" t="s">
        <v>11</v>
      </c>
      <c r="B17" s="41" t="s">
        <v>85</v>
      </c>
      <c r="C17" s="66" t="str">
        <f t="shared" si="0"/>
        <v>#16</v>
      </c>
      <c r="D17" s="16"/>
      <c r="E17" s="16"/>
      <c r="F17" s="16"/>
      <c r="G17" s="16"/>
      <c r="H17" s="16" t="str">
        <f ca="1">IFERROR(__xludf.DUMMYFUNCTION("""COMPUTED_VALUE"""),".")</f>
        <v>.</v>
      </c>
    </row>
    <row r="18" spans="1:8" ht="15.75" customHeight="1">
      <c r="A18" s="66" t="s">
        <v>49</v>
      </c>
      <c r="B18" s="41" t="s">
        <v>96</v>
      </c>
      <c r="C18" s="66" t="str">
        <f t="shared" si="0"/>
        <v>#17</v>
      </c>
      <c r="D18" s="16"/>
      <c r="E18" s="16"/>
      <c r="F18" s="16"/>
      <c r="G18" s="16"/>
      <c r="H18" s="16" t="str">
        <f ca="1">IFERROR(__xludf.DUMMYFUNCTION("""COMPUTED_VALUE"""),".")</f>
        <v>.</v>
      </c>
    </row>
    <row r="19" spans="1:8" ht="15.75" customHeight="1">
      <c r="A19" s="24" t="s">
        <v>1941</v>
      </c>
      <c r="B19" s="17" t="s">
        <v>1942</v>
      </c>
      <c r="C19" s="66" t="str">
        <f t="shared" si="0"/>
        <v>#18</v>
      </c>
      <c r="D19" s="16"/>
      <c r="E19" s="16"/>
      <c r="F19" s="16"/>
      <c r="G19" s="16"/>
      <c r="H19" s="16" t="str">
        <f ca="1">IFERROR(__xludf.DUMMYFUNCTION("""COMPUTED_VALUE"""),".")</f>
        <v>.</v>
      </c>
    </row>
    <row r="20" spans="1:8" ht="12.5">
      <c r="A20" s="24" t="s">
        <v>32</v>
      </c>
      <c r="B20" s="17" t="s">
        <v>105</v>
      </c>
      <c r="C20" s="66" t="str">
        <f t="shared" si="0"/>
        <v>#19</v>
      </c>
      <c r="D20" s="16"/>
      <c r="E20" s="16"/>
      <c r="F20" s="16"/>
      <c r="G20" s="16"/>
      <c r="H20" s="16" t="str">
        <f ca="1">IFERROR(__xludf.DUMMYFUNCTION("""COMPUTED_VALUE"""),".")</f>
        <v>.</v>
      </c>
    </row>
    <row r="21" spans="1:8" ht="12.5">
      <c r="A21" s="66" t="s">
        <v>43</v>
      </c>
      <c r="B21" s="17" t="s">
        <v>115</v>
      </c>
      <c r="C21" s="66" t="str">
        <f t="shared" si="0"/>
        <v>#20</v>
      </c>
      <c r="D21" s="16"/>
      <c r="E21" s="16"/>
      <c r="F21" s="16"/>
      <c r="G21" s="16"/>
      <c r="H21" s="16" t="str">
        <f ca="1">IFERROR(__xludf.DUMMYFUNCTION("""COMPUTED_VALUE"""),".")</f>
        <v>.</v>
      </c>
    </row>
    <row r="22" spans="1:8" ht="12.5">
      <c r="A22" s="24" t="s">
        <v>56</v>
      </c>
      <c r="B22" s="17" t="s">
        <v>122</v>
      </c>
      <c r="C22" s="66" t="str">
        <f t="shared" si="0"/>
        <v>#21</v>
      </c>
      <c r="D22" s="16"/>
      <c r="E22" s="16"/>
      <c r="F22" s="16"/>
      <c r="G22" s="16"/>
      <c r="H22" s="16" t="str">
        <f ca="1">IFERROR(__xludf.DUMMYFUNCTION("""COMPUTED_VALUE"""),".")</f>
        <v>.</v>
      </c>
    </row>
    <row r="23" spans="1:8" ht="12.5">
      <c r="A23" s="24" t="s">
        <v>1943</v>
      </c>
      <c r="B23" s="17" t="s">
        <v>1944</v>
      </c>
      <c r="C23" s="66" t="str">
        <f t="shared" si="0"/>
        <v>#22</v>
      </c>
      <c r="D23" s="16"/>
      <c r="E23" s="16"/>
      <c r="F23" s="16"/>
      <c r="G23" s="16"/>
      <c r="H23" s="16" t="str">
        <f ca="1">IFERROR(__xludf.DUMMYFUNCTION("""COMPUTED_VALUE"""),".")</f>
        <v>.</v>
      </c>
    </row>
    <row r="24" spans="1:8" ht="12.5">
      <c r="A24" s="66" t="s">
        <v>1945</v>
      </c>
      <c r="B24" s="17" t="s">
        <v>1946</v>
      </c>
      <c r="C24" s="66" t="str">
        <f t="shared" si="0"/>
        <v>#23</v>
      </c>
      <c r="D24" s="16"/>
      <c r="E24" s="16"/>
      <c r="F24" s="16"/>
      <c r="G24" s="16"/>
      <c r="H24" s="16" t="str">
        <f ca="1">IFERROR(__xludf.DUMMYFUNCTION("""COMPUTED_VALUE"""),".")</f>
        <v>.</v>
      </c>
    </row>
    <row r="25" spans="1:8" ht="12.5">
      <c r="A25" s="24" t="s">
        <v>34</v>
      </c>
      <c r="B25" s="17" t="s">
        <v>129</v>
      </c>
      <c r="C25" s="66" t="str">
        <f t="shared" si="0"/>
        <v>#24</v>
      </c>
      <c r="D25" s="16"/>
      <c r="E25" s="16"/>
      <c r="F25" s="16"/>
      <c r="G25" s="16"/>
      <c r="H25" s="16" t="str">
        <f ca="1">IFERROR(__xludf.DUMMYFUNCTION("""COMPUTED_VALUE"""),".")</f>
        <v>.</v>
      </c>
    </row>
    <row r="26" spans="1:8" ht="12.5">
      <c r="A26" s="24" t="s">
        <v>54</v>
      </c>
      <c r="B26" s="17" t="s">
        <v>135</v>
      </c>
      <c r="C26" s="66" t="str">
        <f t="shared" si="0"/>
        <v>#25</v>
      </c>
      <c r="D26" s="16"/>
      <c r="E26" s="16"/>
      <c r="F26" s="16"/>
      <c r="G26" s="16"/>
      <c r="H26" s="16" t="str">
        <f ca="1">IFERROR(__xludf.DUMMYFUNCTION("""COMPUTED_VALUE"""),".")</f>
        <v>.</v>
      </c>
    </row>
    <row r="27" spans="1:8" ht="12.5">
      <c r="A27" s="24" t="s">
        <v>18</v>
      </c>
      <c r="B27" s="17" t="s">
        <v>67</v>
      </c>
      <c r="C27" s="66" t="str">
        <f t="shared" si="0"/>
        <v>#26</v>
      </c>
      <c r="D27" s="16"/>
      <c r="E27" s="16"/>
      <c r="F27" s="16"/>
      <c r="G27" s="16"/>
      <c r="H27" s="16" t="str">
        <f ca="1">IFERROR(__xludf.DUMMYFUNCTION("""COMPUTED_VALUE"""),".")</f>
        <v>.</v>
      </c>
    </row>
    <row r="28" spans="1:8" ht="12.5">
      <c r="A28" s="24" t="s">
        <v>1947</v>
      </c>
      <c r="B28" s="17" t="s">
        <v>1948</v>
      </c>
      <c r="C28" s="66" t="str">
        <f t="shared" si="0"/>
        <v>#27</v>
      </c>
      <c r="D28" s="16"/>
      <c r="E28" s="16"/>
      <c r="F28" s="16"/>
      <c r="G28" s="16"/>
      <c r="H28" s="16" t="str">
        <f ca="1">IFERROR(__xludf.DUMMYFUNCTION("""COMPUTED_VALUE"""),".")</f>
        <v>.</v>
      </c>
    </row>
    <row r="29" spans="1:8" ht="12.5">
      <c r="A29" s="24" t="s">
        <v>28</v>
      </c>
      <c r="B29" s="17" t="s">
        <v>77</v>
      </c>
      <c r="C29" s="66" t="str">
        <f t="shared" si="0"/>
        <v>#28</v>
      </c>
      <c r="D29" s="16"/>
      <c r="E29" s="16"/>
      <c r="F29" s="16"/>
      <c r="G29" s="16"/>
      <c r="H29" s="16" t="str">
        <f ca="1">IFERROR(__xludf.DUMMYFUNCTION("""COMPUTED_VALUE"""),".")</f>
        <v>.</v>
      </c>
    </row>
    <row r="30" spans="1:8" ht="12.5">
      <c r="A30" s="24" t="s">
        <v>86</v>
      </c>
      <c r="B30" s="17" t="s">
        <v>87</v>
      </c>
      <c r="C30" s="66" t="str">
        <f t="shared" si="0"/>
        <v>#29</v>
      </c>
      <c r="D30" s="16"/>
      <c r="E30" s="16"/>
      <c r="F30" s="16"/>
      <c r="G30" s="16"/>
      <c r="H30" s="16" t="str">
        <f ca="1">IFERROR(__xludf.DUMMYFUNCTION("""COMPUTED_VALUE"""),".")</f>
        <v>.</v>
      </c>
    </row>
    <row r="31" spans="1:8" ht="12.5">
      <c r="A31" s="24" t="s">
        <v>19</v>
      </c>
      <c r="B31" s="17" t="s">
        <v>97</v>
      </c>
      <c r="C31" s="66" t="str">
        <f t="shared" si="0"/>
        <v>#30</v>
      </c>
      <c r="D31" s="16"/>
      <c r="E31" s="16"/>
      <c r="F31" s="16"/>
      <c r="G31" s="16"/>
      <c r="H31" s="16" t="str">
        <f ca="1">IFERROR(__xludf.DUMMYFUNCTION("""COMPUTED_VALUE"""),".")</f>
        <v>.</v>
      </c>
    </row>
    <row r="32" spans="1:8" ht="12.5">
      <c r="A32" s="24" t="s">
        <v>33</v>
      </c>
      <c r="B32" s="17" t="s">
        <v>106</v>
      </c>
      <c r="C32" s="66" t="str">
        <f t="shared" si="0"/>
        <v>#31</v>
      </c>
      <c r="D32" s="16"/>
      <c r="E32" s="16"/>
      <c r="F32" s="16"/>
      <c r="G32" s="16"/>
      <c r="H32" s="16" t="str">
        <f ca="1">IFERROR(__xludf.DUMMYFUNCTION("""COMPUTED_VALUE"""),".")</f>
        <v>.</v>
      </c>
    </row>
    <row r="33" spans="1:8" ht="12.5">
      <c r="A33" s="24" t="s">
        <v>1949</v>
      </c>
      <c r="B33" s="17" t="s">
        <v>1950</v>
      </c>
      <c r="C33" s="66" t="str">
        <f t="shared" si="0"/>
        <v>#32</v>
      </c>
      <c r="D33" s="16"/>
      <c r="E33" s="16"/>
      <c r="F33" s="16"/>
      <c r="G33" s="16"/>
      <c r="H33" s="16" t="str">
        <f ca="1">IFERROR(__xludf.DUMMYFUNCTION("""COMPUTED_VALUE"""),".")</f>
        <v>.</v>
      </c>
    </row>
    <row r="34" spans="1:8" ht="12.5">
      <c r="A34" s="24" t="s">
        <v>1951</v>
      </c>
      <c r="B34" s="17" t="s">
        <v>1952</v>
      </c>
      <c r="C34" s="66" t="str">
        <f t="shared" si="0"/>
        <v>#33</v>
      </c>
      <c r="D34" s="16"/>
      <c r="E34" s="16"/>
      <c r="F34" s="16"/>
      <c r="G34" s="16"/>
      <c r="H34" s="16" t="str">
        <f ca="1">IFERROR(__xludf.DUMMYFUNCTION("""COMPUTED_VALUE"""),".")</f>
        <v>.</v>
      </c>
    </row>
    <row r="35" spans="1:8" ht="12.5">
      <c r="A35" s="24" t="s">
        <v>39</v>
      </c>
      <c r="B35" s="17" t="s">
        <v>116</v>
      </c>
      <c r="C35" s="66" t="str">
        <f t="shared" si="0"/>
        <v>#34</v>
      </c>
      <c r="D35" s="16"/>
      <c r="E35" s="16"/>
      <c r="F35" s="16"/>
      <c r="G35" s="16"/>
      <c r="H35" s="16" t="str">
        <f ca="1">IFERROR(__xludf.DUMMYFUNCTION("""COMPUTED_VALUE"""),".")</f>
        <v>.</v>
      </c>
    </row>
    <row r="36" spans="1:8" ht="12.5">
      <c r="A36" s="24" t="s">
        <v>45</v>
      </c>
      <c r="B36" s="17" t="s">
        <v>123</v>
      </c>
      <c r="C36" s="66" t="str">
        <f t="shared" si="0"/>
        <v>#35</v>
      </c>
      <c r="D36" s="16"/>
      <c r="E36" s="16"/>
      <c r="F36" s="16"/>
      <c r="G36" s="16"/>
      <c r="H36" s="16" t="str">
        <f ca="1">IFERROR(__xludf.DUMMYFUNCTION("""COMPUTED_VALUE"""),".")</f>
        <v>.</v>
      </c>
    </row>
    <row r="37" spans="1:8" ht="12.5">
      <c r="A37" s="24" t="s">
        <v>1953</v>
      </c>
      <c r="B37" s="17" t="s">
        <v>1954</v>
      </c>
      <c r="C37" s="66" t="str">
        <f t="shared" si="0"/>
        <v>#36</v>
      </c>
      <c r="D37" s="16"/>
      <c r="E37" s="16"/>
      <c r="F37" s="16"/>
      <c r="G37" s="16"/>
      <c r="H37" s="16" t="str">
        <f ca="1">IFERROR(__xludf.DUMMYFUNCTION("""COMPUTED_VALUE"""),".")</f>
        <v>.</v>
      </c>
    </row>
    <row r="38" spans="1:8" ht="12.5">
      <c r="A38" s="24" t="s">
        <v>38</v>
      </c>
      <c r="B38" s="17" t="s">
        <v>130</v>
      </c>
      <c r="C38" s="66" t="str">
        <f t="shared" si="0"/>
        <v>#37</v>
      </c>
      <c r="D38" s="16"/>
      <c r="E38" s="16"/>
      <c r="F38" s="16"/>
      <c r="G38" s="16"/>
      <c r="H38" s="16" t="str">
        <f ca="1">IFERROR(__xludf.DUMMYFUNCTION("""COMPUTED_VALUE"""),".")</f>
        <v>.</v>
      </c>
    </row>
    <row r="39" spans="1:8" ht="12.5">
      <c r="A39" s="24" t="s">
        <v>1955</v>
      </c>
      <c r="B39" s="41" t="s">
        <v>1956</v>
      </c>
      <c r="C39" s="66" t="str">
        <f t="shared" si="0"/>
        <v>#38</v>
      </c>
      <c r="D39" s="16"/>
      <c r="E39" s="16"/>
      <c r="F39" s="16"/>
      <c r="G39" s="16"/>
      <c r="H39" s="16" t="str">
        <f ca="1">IFERROR(__xludf.DUMMYFUNCTION("""COMPUTED_VALUE"""),".")</f>
        <v>.</v>
      </c>
    </row>
    <row r="40" spans="1:8" ht="12.5">
      <c r="A40" s="24" t="s">
        <v>1957</v>
      </c>
      <c r="B40" s="17" t="s">
        <v>1958</v>
      </c>
      <c r="C40" s="66" t="str">
        <f t="shared" si="0"/>
        <v>#39</v>
      </c>
      <c r="D40" s="16"/>
      <c r="E40" s="16"/>
      <c r="F40" s="16"/>
      <c r="G40" s="16"/>
      <c r="H40" s="16" t="str">
        <f ca="1">IFERROR(__xludf.DUMMYFUNCTION("""COMPUTED_VALUE"""),".")</f>
        <v>.</v>
      </c>
    </row>
    <row r="41" spans="1:8" ht="12.5">
      <c r="A41" s="24" t="s">
        <v>21</v>
      </c>
      <c r="B41" s="17" t="s">
        <v>136</v>
      </c>
      <c r="C41" s="66" t="str">
        <f t="shared" si="0"/>
        <v>#40</v>
      </c>
      <c r="D41" s="16"/>
      <c r="E41" s="16"/>
      <c r="F41" s="16"/>
      <c r="G41" s="16"/>
      <c r="H41" s="16" t="str">
        <f ca="1">IFERROR(__xludf.DUMMYFUNCTION("""COMPUTED_VALUE"""),".")</f>
        <v>.</v>
      </c>
    </row>
    <row r="42" spans="1:8" ht="12.5">
      <c r="A42" s="24" t="s">
        <v>29</v>
      </c>
      <c r="B42" s="17" t="s">
        <v>68</v>
      </c>
      <c r="C42" s="66" t="str">
        <f t="shared" si="0"/>
        <v>#41</v>
      </c>
      <c r="D42" s="16"/>
      <c r="E42" s="16"/>
      <c r="F42" s="16"/>
      <c r="G42" s="16"/>
      <c r="H42" s="16" t="str">
        <f ca="1">IFERROR(__xludf.DUMMYFUNCTION("""COMPUTED_VALUE"""),".")</f>
        <v>.</v>
      </c>
    </row>
    <row r="43" spans="1:8" ht="12.5">
      <c r="A43" s="24" t="s">
        <v>41</v>
      </c>
      <c r="B43" s="17" t="s">
        <v>78</v>
      </c>
      <c r="C43" s="66" t="str">
        <f t="shared" si="0"/>
        <v>#42</v>
      </c>
      <c r="D43" s="16"/>
      <c r="E43" s="16"/>
      <c r="F43" s="16"/>
      <c r="G43" s="16"/>
      <c r="H43" s="16" t="str">
        <f ca="1">IFERROR(__xludf.DUMMYFUNCTION("""COMPUTED_VALUE"""),".")</f>
        <v>.</v>
      </c>
    </row>
    <row r="44" spans="1:8" ht="12.5">
      <c r="A44" s="24" t="s">
        <v>17</v>
      </c>
      <c r="B44" s="17" t="s">
        <v>1959</v>
      </c>
      <c r="C44" s="66" t="str">
        <f t="shared" si="0"/>
        <v>#43</v>
      </c>
      <c r="D44" s="16"/>
      <c r="E44" s="16"/>
      <c r="F44" s="16"/>
      <c r="G44" s="16"/>
      <c r="H44" s="16" t="str">
        <f ca="1">IFERROR(__xludf.DUMMYFUNCTION("""COMPUTED_VALUE"""),".")</f>
        <v>.</v>
      </c>
    </row>
    <row r="45" spans="1:8" ht="12.5">
      <c r="A45" s="24" t="s">
        <v>60</v>
      </c>
      <c r="B45" s="17" t="s">
        <v>98</v>
      </c>
      <c r="C45" s="66" t="str">
        <f t="shared" si="0"/>
        <v>#44</v>
      </c>
      <c r="D45" s="16"/>
      <c r="E45" s="16"/>
      <c r="F45" s="16"/>
      <c r="G45" s="16"/>
      <c r="H45" s="16" t="str">
        <f ca="1">IFERROR(__xludf.DUMMYFUNCTION("""COMPUTED_VALUE"""),".")</f>
        <v>.</v>
      </c>
    </row>
    <row r="46" spans="1:8" ht="12.5">
      <c r="A46" s="24" t="s">
        <v>47</v>
      </c>
      <c r="B46" s="17" t="s">
        <v>107</v>
      </c>
      <c r="C46" s="66" t="str">
        <f t="shared" si="0"/>
        <v>#45</v>
      </c>
      <c r="D46" s="16"/>
      <c r="E46" s="16"/>
      <c r="F46" s="16"/>
      <c r="G46" s="16"/>
      <c r="H46" s="16" t="str">
        <f ca="1">IFERROR(__xludf.DUMMYFUNCTION("""COMPUTED_VALUE"""),".")</f>
        <v>.</v>
      </c>
    </row>
    <row r="47" spans="1:8" ht="12.5">
      <c r="A47" s="24" t="s">
        <v>37</v>
      </c>
      <c r="B47" s="17" t="s">
        <v>1960</v>
      </c>
      <c r="C47" s="66" t="str">
        <f t="shared" si="0"/>
        <v>#46</v>
      </c>
      <c r="D47" s="16"/>
      <c r="E47" s="16"/>
      <c r="F47" s="16"/>
      <c r="G47" s="16"/>
      <c r="H47" s="16" t="str">
        <f ca="1">IFERROR(__xludf.DUMMYFUNCTION("""COMPUTED_VALUE"""),".")</f>
        <v>.</v>
      </c>
    </row>
    <row r="48" spans="1:8" ht="12.5">
      <c r="A48" s="24" t="s">
        <v>1961</v>
      </c>
      <c r="B48" s="17" t="s">
        <v>1962</v>
      </c>
      <c r="C48" s="66" t="str">
        <f t="shared" si="0"/>
        <v>#47</v>
      </c>
      <c r="D48" s="16"/>
      <c r="E48" s="16"/>
      <c r="F48" s="16"/>
      <c r="G48" s="16"/>
      <c r="H48" s="16" t="str">
        <f ca="1">IFERROR(__xludf.DUMMYFUNCTION("""COMPUTED_VALUE"""),".")</f>
        <v>.</v>
      </c>
    </row>
    <row r="49" spans="1:8" ht="12.5">
      <c r="A49" s="24" t="s">
        <v>57</v>
      </c>
      <c r="B49" s="17" t="s">
        <v>117</v>
      </c>
      <c r="C49" s="66" t="str">
        <f t="shared" si="0"/>
        <v>#48</v>
      </c>
      <c r="D49" s="16"/>
      <c r="E49" s="16"/>
      <c r="F49" s="16"/>
      <c r="G49" s="16"/>
      <c r="H49" s="16" t="str">
        <f ca="1">IFERROR(__xludf.DUMMYFUNCTION("""COMPUTED_VALUE"""),".")</f>
        <v>.</v>
      </c>
    </row>
    <row r="50" spans="1:8" ht="12.5">
      <c r="A50" s="24" t="s">
        <v>46</v>
      </c>
      <c r="B50" s="17" t="s">
        <v>124</v>
      </c>
      <c r="C50" s="66" t="str">
        <f t="shared" si="0"/>
        <v>#49</v>
      </c>
      <c r="D50" s="16"/>
      <c r="E50" s="16"/>
      <c r="F50" s="16"/>
      <c r="G50" s="16"/>
      <c r="H50" s="16" t="str">
        <f ca="1">IFERROR(__xludf.DUMMYFUNCTION("""COMPUTED_VALUE"""),".")</f>
        <v>.</v>
      </c>
    </row>
    <row r="51" spans="1:8" ht="12.5">
      <c r="A51" s="24" t="s">
        <v>1963</v>
      </c>
      <c r="B51" s="17" t="s">
        <v>1964</v>
      </c>
      <c r="C51" s="66" t="str">
        <f t="shared" si="0"/>
        <v>#50</v>
      </c>
      <c r="D51" s="16"/>
      <c r="E51" s="16"/>
      <c r="F51" s="16"/>
      <c r="G51" s="16"/>
      <c r="H51" s="16" t="str">
        <f ca="1">IFERROR(__xludf.DUMMYFUNCTION("""COMPUTED_VALUE"""),".")</f>
        <v>.</v>
      </c>
    </row>
    <row r="52" spans="1:8" ht="12.5">
      <c r="A52" s="24" t="s">
        <v>30</v>
      </c>
      <c r="B52" s="17" t="s">
        <v>131</v>
      </c>
      <c r="C52" s="66" t="str">
        <f t="shared" si="0"/>
        <v>#51</v>
      </c>
      <c r="D52" s="16"/>
      <c r="E52" s="16"/>
      <c r="F52" s="16"/>
      <c r="G52" s="16"/>
      <c r="H52" s="16" t="str">
        <f ca="1">IFERROR(__xludf.DUMMYFUNCTION("""COMPUTED_VALUE"""),".")</f>
        <v>.</v>
      </c>
    </row>
    <row r="53" spans="1:8" ht="12.5">
      <c r="A53" s="24" t="s">
        <v>35</v>
      </c>
      <c r="B53" s="41" t="s">
        <v>253</v>
      </c>
      <c r="C53" s="66" t="str">
        <f t="shared" si="0"/>
        <v>#52</v>
      </c>
      <c r="D53" s="16"/>
      <c r="E53" s="16"/>
      <c r="F53" s="16"/>
      <c r="G53" s="16"/>
      <c r="H53" s="16" t="str">
        <f ca="1">IFERROR(__xludf.DUMMYFUNCTION("""COMPUTED_VALUE"""),".")</f>
        <v>.</v>
      </c>
    </row>
    <row r="54" spans="1:8" ht="12.5">
      <c r="A54" s="24" t="s">
        <v>22</v>
      </c>
      <c r="B54" s="17" t="s">
        <v>69</v>
      </c>
      <c r="C54" s="66" t="str">
        <f t="shared" si="0"/>
        <v>#53</v>
      </c>
      <c r="D54" s="16"/>
      <c r="E54" s="16"/>
      <c r="F54" s="16"/>
      <c r="G54" s="16"/>
      <c r="H54" s="16" t="str">
        <f ca="1">IFERROR(__xludf.DUMMYFUNCTION("""COMPUTED_VALUE"""),".")</f>
        <v>.</v>
      </c>
    </row>
    <row r="55" spans="1:8" ht="12.5">
      <c r="A55" s="24" t="s">
        <v>53</v>
      </c>
      <c r="B55" s="17" t="s">
        <v>79</v>
      </c>
      <c r="C55" s="66" t="str">
        <f t="shared" si="0"/>
        <v>#54</v>
      </c>
      <c r="D55" s="16"/>
      <c r="E55" s="16"/>
      <c r="F55" s="16"/>
      <c r="G55" s="16"/>
      <c r="H55" s="16" t="str">
        <f ca="1">IFERROR(__xludf.DUMMYFUNCTION("""COMPUTED_VALUE"""),".")</f>
        <v>.</v>
      </c>
    </row>
    <row r="56" spans="1:8" ht="12.5">
      <c r="A56" s="24" t="s">
        <v>31</v>
      </c>
      <c r="B56" s="17" t="s">
        <v>89</v>
      </c>
      <c r="C56" s="66" t="str">
        <f t="shared" si="0"/>
        <v>#55</v>
      </c>
      <c r="D56" s="16"/>
      <c r="E56" s="16"/>
      <c r="F56" s="16"/>
      <c r="G56" s="16"/>
      <c r="H56" s="16" t="str">
        <f ca="1">IFERROR(__xludf.DUMMYFUNCTION("""COMPUTED_VALUE"""),".")</f>
        <v>.</v>
      </c>
    </row>
    <row r="57" spans="1:8" ht="12.5">
      <c r="A57" s="24" t="s">
        <v>15</v>
      </c>
      <c r="B57" s="17" t="s">
        <v>99</v>
      </c>
      <c r="C57" s="66" t="str">
        <f t="shared" si="0"/>
        <v>#56</v>
      </c>
      <c r="D57" s="16"/>
      <c r="E57" s="16"/>
      <c r="F57" s="16"/>
      <c r="G57" s="16"/>
      <c r="H57" s="16" t="str">
        <f ca="1">IFERROR(__xludf.DUMMYFUNCTION("""COMPUTED_VALUE"""),".")</f>
        <v>.</v>
      </c>
    </row>
    <row r="58" spans="1:8" ht="12.5">
      <c r="A58" s="24" t="s">
        <v>108</v>
      </c>
      <c r="B58" s="17" t="s">
        <v>109</v>
      </c>
      <c r="C58" s="66" t="str">
        <f t="shared" si="0"/>
        <v>#57</v>
      </c>
      <c r="D58" s="16"/>
      <c r="E58" s="16"/>
      <c r="F58" s="16"/>
      <c r="G58" s="16"/>
      <c r="H58" s="16" t="str">
        <f ca="1">IFERROR(__xludf.DUMMYFUNCTION("""COMPUTED_VALUE"""),".")</f>
        <v>.</v>
      </c>
    </row>
    <row r="59" spans="1:8" ht="12.5">
      <c r="A59" s="24" t="s">
        <v>44</v>
      </c>
      <c r="B59" s="17" t="s">
        <v>118</v>
      </c>
      <c r="C59" s="66" t="str">
        <f t="shared" si="0"/>
        <v>#58</v>
      </c>
      <c r="D59" s="16"/>
      <c r="E59" s="16"/>
      <c r="F59" s="16"/>
      <c r="G59" s="16"/>
      <c r="H59" s="16" t="str">
        <f ca="1">IFERROR(__xludf.DUMMYFUNCTION("""COMPUTED_VALUE"""),".")</f>
        <v>.</v>
      </c>
    </row>
    <row r="60" spans="1:8" ht="12.5">
      <c r="A60" s="24" t="s">
        <v>1965</v>
      </c>
      <c r="B60" s="17" t="s">
        <v>1966</v>
      </c>
      <c r="C60" s="66" t="str">
        <f t="shared" si="0"/>
        <v>#59</v>
      </c>
      <c r="D60" s="16"/>
      <c r="E60" s="16"/>
      <c r="F60" s="16"/>
      <c r="G60" s="16"/>
      <c r="H60" s="16" t="str">
        <f ca="1">IFERROR(__xludf.DUMMYFUNCTION("""COMPUTED_VALUE"""),".")</f>
        <v>.</v>
      </c>
    </row>
    <row r="61" spans="1:8" ht="12.5">
      <c r="A61" s="24" t="s">
        <v>14</v>
      </c>
      <c r="B61" s="17" t="s">
        <v>125</v>
      </c>
      <c r="C61" s="66" t="str">
        <f t="shared" si="0"/>
        <v>#60</v>
      </c>
      <c r="D61" s="16"/>
      <c r="E61" s="16"/>
      <c r="F61" s="16"/>
      <c r="G61" s="16"/>
      <c r="H61" s="16" t="str">
        <f ca="1">IFERROR(__xludf.DUMMYFUNCTION("""COMPUTED_VALUE"""),".")</f>
        <v>.</v>
      </c>
    </row>
    <row r="62" spans="1:8" ht="12.5">
      <c r="A62" s="24" t="s">
        <v>59</v>
      </c>
      <c r="B62" s="17" t="s">
        <v>132</v>
      </c>
      <c r="C62" s="66" t="str">
        <f t="shared" si="0"/>
        <v>#61</v>
      </c>
      <c r="D62" s="16"/>
      <c r="E62" s="16"/>
      <c r="F62" s="16"/>
      <c r="G62" s="16"/>
      <c r="H62" s="16" t="str">
        <f ca="1">IFERROR(__xludf.DUMMYFUNCTION("""COMPUTED_VALUE"""),".")</f>
        <v>.</v>
      </c>
    </row>
    <row r="63" spans="1:8" ht="12.5">
      <c r="A63" s="24" t="s">
        <v>138</v>
      </c>
      <c r="B63" s="17" t="s">
        <v>125</v>
      </c>
      <c r="C63" s="66" t="str">
        <f t="shared" si="0"/>
        <v>#62</v>
      </c>
      <c r="D63" s="16"/>
      <c r="E63" s="16"/>
      <c r="F63" s="16"/>
      <c r="G63" s="16"/>
      <c r="H63" s="16" t="str">
        <f ca="1">IFERROR(__xludf.DUMMYFUNCTION("""COMPUTED_VALUE"""),".")</f>
        <v>.</v>
      </c>
    </row>
    <row r="64" spans="1:8" ht="12.5">
      <c r="A64" s="24" t="s">
        <v>70</v>
      </c>
      <c r="B64" s="17" t="s">
        <v>132</v>
      </c>
      <c r="C64" s="66" t="str">
        <f t="shared" si="0"/>
        <v>#63</v>
      </c>
      <c r="D64" s="16"/>
      <c r="E64" s="16"/>
      <c r="F64" s="16"/>
      <c r="G64" s="16"/>
      <c r="H64" s="16" t="str">
        <f ca="1">IFERROR(__xludf.DUMMYFUNCTION("""COMPUTED_VALUE"""),".")</f>
        <v>.</v>
      </c>
    </row>
    <row r="65" spans="1:8" ht="12.5">
      <c r="A65" s="24" t="s">
        <v>26</v>
      </c>
      <c r="B65" s="17" t="s">
        <v>139</v>
      </c>
      <c r="C65" s="66" t="str">
        <f t="shared" si="0"/>
        <v>#64</v>
      </c>
      <c r="D65" s="16"/>
      <c r="E65" s="16"/>
      <c r="F65" s="16"/>
      <c r="G65" s="16"/>
      <c r="H65" s="16" t="str">
        <f ca="1">IFERROR(__xludf.DUMMYFUNCTION("""COMPUTED_VALUE"""),".")</f>
        <v>.</v>
      </c>
    </row>
    <row r="66" spans="1:8" ht="12.5">
      <c r="A66" s="24" t="s">
        <v>90</v>
      </c>
      <c r="B66" s="17" t="s">
        <v>71</v>
      </c>
      <c r="C66" s="66" t="str">
        <f t="shared" si="0"/>
        <v>#65</v>
      </c>
      <c r="D66" s="16"/>
      <c r="E66" s="16"/>
      <c r="F66" s="16"/>
      <c r="G66" s="16"/>
      <c r="H66" s="16" t="str">
        <f ca="1">IFERROR(__xludf.DUMMYFUNCTION("""COMPUTED_VALUE"""),".")</f>
        <v>.</v>
      </c>
    </row>
    <row r="67" spans="1:8" ht="12.5">
      <c r="A67" s="24" t="s">
        <v>20</v>
      </c>
      <c r="B67" s="17" t="s">
        <v>80</v>
      </c>
      <c r="C67" s="66" t="str">
        <f t="shared" si="0"/>
        <v>#66</v>
      </c>
      <c r="D67" s="16"/>
      <c r="E67" s="16"/>
      <c r="F67" s="16"/>
      <c r="G67" s="16"/>
      <c r="H67" s="16" t="str">
        <f ca="1">IFERROR(__xludf.DUMMYFUNCTION("""COMPUTED_VALUE"""),".")</f>
        <v>.</v>
      </c>
    </row>
    <row r="68" spans="1:8" ht="12.5">
      <c r="A68" s="24" t="s">
        <v>23</v>
      </c>
      <c r="B68" s="17" t="s">
        <v>91</v>
      </c>
      <c r="C68" s="66" t="str">
        <f t="shared" si="0"/>
        <v>#67</v>
      </c>
      <c r="D68" s="16"/>
      <c r="E68" s="16"/>
      <c r="F68" s="16"/>
      <c r="G68" s="16"/>
      <c r="H68" s="16" t="str">
        <f ca="1">IFERROR(__xludf.DUMMYFUNCTION("""COMPUTED_VALUE"""),".")</f>
        <v>.</v>
      </c>
    </row>
    <row r="69" spans="1:8" ht="12.5">
      <c r="A69" s="24" t="s">
        <v>16</v>
      </c>
      <c r="B69" s="17" t="s">
        <v>384</v>
      </c>
      <c r="C69" s="66" t="str">
        <f t="shared" si="0"/>
        <v>#68</v>
      </c>
      <c r="D69" s="16"/>
      <c r="E69" s="16"/>
      <c r="F69" s="16"/>
      <c r="G69" s="16"/>
      <c r="H69" s="16" t="str">
        <f ca="1">IFERROR(__xludf.DUMMYFUNCTION("""COMPUTED_VALUE"""),".")</f>
        <v>.</v>
      </c>
    </row>
    <row r="70" spans="1:8" ht="12.5">
      <c r="A70" s="24" t="s">
        <v>36</v>
      </c>
      <c r="B70" s="17" t="s">
        <v>110</v>
      </c>
      <c r="C70" s="66" t="str">
        <f t="shared" si="0"/>
        <v>#69</v>
      </c>
      <c r="D70" s="16"/>
      <c r="E70" s="16"/>
      <c r="F70" s="16"/>
      <c r="G70" s="16"/>
      <c r="H70" s="16" t="str">
        <f ca="1">IFERROR(__xludf.DUMMYFUNCTION("""COMPUTED_VALUE"""),".")</f>
        <v>.</v>
      </c>
    </row>
    <row r="71" spans="1:8" ht="12.5">
      <c r="A71" s="24" t="s">
        <v>50</v>
      </c>
      <c r="B71" s="17" t="s">
        <v>119</v>
      </c>
      <c r="C71" s="66" t="str">
        <f t="shared" si="0"/>
        <v>#70</v>
      </c>
      <c r="D71" s="16"/>
      <c r="E71" s="16"/>
      <c r="F71" s="16"/>
      <c r="G71" s="16"/>
      <c r="H71" s="16"/>
    </row>
    <row r="72" spans="1:8" ht="12.5">
      <c r="A72" s="24" t="s">
        <v>27</v>
      </c>
      <c r="B72" s="17" t="s">
        <v>1967</v>
      </c>
      <c r="C72" s="66" t="str">
        <f t="shared" si="0"/>
        <v>#71</v>
      </c>
      <c r="D72" s="16"/>
      <c r="E72" s="16"/>
      <c r="F72" s="16"/>
      <c r="G72" s="16"/>
      <c r="H72" s="16"/>
    </row>
    <row r="73" spans="1:8" ht="12.5">
      <c r="A73" s="24" t="s">
        <v>72</v>
      </c>
      <c r="B73" s="17" t="s">
        <v>1968</v>
      </c>
      <c r="C73" s="66" t="str">
        <f t="shared" si="0"/>
        <v>#72</v>
      </c>
      <c r="D73" s="16"/>
      <c r="E73" s="16"/>
      <c r="F73" s="16"/>
      <c r="G73" s="16"/>
      <c r="H73" s="16"/>
    </row>
    <row r="74" spans="1:8" ht="12.5">
      <c r="A74" s="24" t="s">
        <v>81</v>
      </c>
      <c r="B74" s="17" t="s">
        <v>1969</v>
      </c>
      <c r="C74" s="66" t="str">
        <f t="shared" si="0"/>
        <v>#73</v>
      </c>
      <c r="D74" s="16"/>
      <c r="E74" s="16"/>
      <c r="F74" s="16"/>
      <c r="G74" s="16"/>
      <c r="H74" s="16"/>
    </row>
    <row r="75" spans="1:8" ht="12.5">
      <c r="A75" s="24" t="s">
        <v>92</v>
      </c>
      <c r="B75" s="41" t="s">
        <v>286</v>
      </c>
      <c r="C75" s="66" t="str">
        <f t="shared" si="0"/>
        <v>#74</v>
      </c>
      <c r="D75" s="16"/>
      <c r="E75" s="16"/>
      <c r="F75" s="16"/>
      <c r="G75" s="16"/>
      <c r="H75" s="16"/>
    </row>
    <row r="76" spans="1:8" ht="12.5">
      <c r="A76" s="24" t="s">
        <v>101</v>
      </c>
      <c r="B76" s="17" t="s">
        <v>343</v>
      </c>
      <c r="C76" s="66" t="str">
        <f t="shared" si="0"/>
        <v>#75</v>
      </c>
      <c r="D76" s="16"/>
      <c r="E76" s="16"/>
      <c r="F76" s="16"/>
      <c r="G76" s="16"/>
      <c r="H76" s="16"/>
    </row>
    <row r="77" spans="1:8" ht="12.5">
      <c r="A77" s="24" t="s">
        <v>111</v>
      </c>
      <c r="B77" s="41" t="s">
        <v>1970</v>
      </c>
      <c r="C77" s="66" t="str">
        <f t="shared" si="0"/>
        <v>#76</v>
      </c>
      <c r="D77" s="16"/>
      <c r="E77" s="16"/>
      <c r="F77" s="16"/>
      <c r="G77" s="16"/>
      <c r="H77" s="16"/>
    </row>
    <row r="78" spans="1:8" ht="12.5">
      <c r="A78" s="24" t="s">
        <v>1971</v>
      </c>
      <c r="B78" s="17" t="s">
        <v>102</v>
      </c>
      <c r="C78" s="66" t="str">
        <f t="shared" si="0"/>
        <v>#77</v>
      </c>
      <c r="D78" s="16"/>
      <c r="E78" s="16"/>
      <c r="F78" s="16"/>
      <c r="G78" s="16"/>
      <c r="H78" s="16"/>
    </row>
    <row r="79" spans="1:8" ht="12.5">
      <c r="A79" s="24" t="s">
        <v>1972</v>
      </c>
      <c r="B79" s="17" t="s">
        <v>600</v>
      </c>
      <c r="C79" s="66" t="str">
        <f t="shared" si="0"/>
        <v>#78</v>
      </c>
      <c r="D79" s="16"/>
      <c r="E79" s="16"/>
      <c r="F79" s="16"/>
      <c r="G79" s="16"/>
      <c r="H79" s="16"/>
    </row>
    <row r="80" spans="1:8" ht="12.5">
      <c r="A80" s="24" t="s">
        <v>1973</v>
      </c>
      <c r="B80" s="17" t="s">
        <v>1974</v>
      </c>
      <c r="C80" s="66" t="str">
        <f t="shared" si="0"/>
        <v>#79</v>
      </c>
      <c r="D80" s="16"/>
      <c r="E80" s="16"/>
      <c r="F80" s="16"/>
      <c r="G80" s="16"/>
      <c r="H80" s="16"/>
    </row>
    <row r="81" spans="1:8" ht="12.5">
      <c r="A81" s="24"/>
      <c r="B81" s="17"/>
      <c r="C81" s="24"/>
      <c r="D81" s="37"/>
      <c r="E81" s="37" t="str">
        <f ca="1">IFERROR(__xludf.DUMMYFUNCTION("IMPORTRANGE(""https://docs.google.com/spreadsheets/d/1ghPq2GXSRxm4-7nokWB-4NeQT5BT6DZC88IPWta5RGM/edit#gid=188114201"",""#2 Cesar!A11:A80"")"),"CODI")</f>
        <v>CODI</v>
      </c>
      <c r="F81" s="37" t="str">
        <f ca="1">IFERROR(__xludf.DUMMYFUNCTION("IMPORTRANGE(""https://docs.google.com/spreadsheets/d/1ghPq2GXSRxm4-7nokWB-4NeQT5BT6DZC88IPWta5RGM/edit#gid=188114201"",""#2 Cesar!I11:K80"")"),"Expense Type")</f>
        <v>Expense Type</v>
      </c>
      <c r="G81" s="16" t="str">
        <f ca="1">IFERROR(__xludf.DUMMYFUNCTION("""COMPUTED_VALUE"""),"DESCRIPCION DEL CARGO")</f>
        <v>DESCRIPCION DEL CARGO</v>
      </c>
      <c r="H81" s="16" t="str">
        <f ca="1">IFERROR(__xludf.DUMMYFUNCTION("""COMPUTED_VALUE"""),"FOLIO DE FACTURA")</f>
        <v>FOLIO DE FACTURA</v>
      </c>
    </row>
    <row r="82" spans="1:8" ht="12.5">
      <c r="A82" s="24"/>
      <c r="B82" s="17"/>
      <c r="C82" s="24"/>
      <c r="D82" s="16"/>
      <c r="E82" s="16" t="str">
        <f ca="1">IFERROR(__xludf.DUMMYFUNCTION("""COMPUTED_VALUE"""),"TRX1286")</f>
        <v>TRX1286</v>
      </c>
      <c r="F82" s="16" t="str">
        <f ca="1">IFERROR(__xludf.DUMMYFUNCTION("""COMPUTED_VALUE"""),"Tech&amp;Product")</f>
        <v>Tech&amp;Product</v>
      </c>
      <c r="G82" s="16"/>
      <c r="H82" s="16" t="str">
        <f ca="1">IFERROR(__xludf.DUMMYFUNCTION("""COMPUTED_VALUE"""),".")</f>
        <v>.</v>
      </c>
    </row>
    <row r="83" spans="1:8" ht="12.5">
      <c r="A83" s="24"/>
      <c r="B83" s="17"/>
      <c r="C83" s="24"/>
      <c r="D83" s="16"/>
      <c r="E83" s="16" t="str">
        <f ca="1">IFERROR(__xludf.DUMMYFUNCTION("""COMPUTED_VALUE"""),"TRX1246")</f>
        <v>TRX1246</v>
      </c>
      <c r="F83" s="16" t="str">
        <f ca="1">IFERROR(__xludf.DUMMYFUNCTION("""COMPUTED_VALUE"""),"Tech&amp;Product")</f>
        <v>Tech&amp;Product</v>
      </c>
      <c r="G83" s="16"/>
      <c r="H83" s="16" t="str">
        <f ca="1">IFERROR(__xludf.DUMMYFUNCTION("""COMPUTED_VALUE"""),".")</f>
        <v>.</v>
      </c>
    </row>
    <row r="84" spans="1:8" ht="12.5">
      <c r="A84" s="24"/>
      <c r="B84" s="17"/>
      <c r="C84" s="24"/>
      <c r="D84" s="16"/>
      <c r="E84" s="16" t="str">
        <f ca="1">IFERROR(__xludf.DUMMYFUNCTION("""COMPUTED_VALUE"""),"TRX1242")</f>
        <v>TRX1242</v>
      </c>
      <c r="F84" s="16" t="str">
        <f ca="1">IFERROR(__xludf.DUMMYFUNCTION("""COMPUTED_VALUE"""),"Tech&amp;Product")</f>
        <v>Tech&amp;Product</v>
      </c>
      <c r="G84" s="16"/>
      <c r="H84" s="16" t="str">
        <f ca="1">IFERROR(__xludf.DUMMYFUNCTION("""COMPUTED_VALUE"""),".")</f>
        <v>.</v>
      </c>
    </row>
    <row r="85" spans="1:8" ht="12.5">
      <c r="A85" s="24"/>
      <c r="B85" s="17"/>
      <c r="C85" s="24"/>
      <c r="D85" s="16"/>
      <c r="E85" s="16" t="str">
        <f ca="1">IFERROR(__xludf.DUMMYFUNCTION("""COMPUTED_VALUE"""),"TRX1999")</f>
        <v>TRX1999</v>
      </c>
      <c r="F85" s="16" t="str">
        <f ca="1">IFERROR(__xludf.DUMMYFUNCTION("""COMPUTED_VALUE"""),"Tech&amp;Product")</f>
        <v>Tech&amp;Product</v>
      </c>
      <c r="G85" s="16"/>
      <c r="H85" s="16" t="str">
        <f ca="1">IFERROR(__xludf.DUMMYFUNCTION("""COMPUTED_VALUE"""),".")</f>
        <v>.</v>
      </c>
    </row>
    <row r="86" spans="1:8" ht="12.5">
      <c r="A86" s="24"/>
      <c r="B86" s="17"/>
      <c r="C86" s="24"/>
      <c r="D86" s="16"/>
      <c r="E86" s="16" t="str">
        <f ca="1">IFERROR(__xludf.DUMMYFUNCTION("""COMPUTED_VALUE"""),"TRX1875")</f>
        <v>TRX1875</v>
      </c>
      <c r="F86" s="16" t="str">
        <f ca="1">IFERROR(__xludf.DUMMYFUNCTION("""COMPUTED_VALUE"""),"Tech&amp;Product")</f>
        <v>Tech&amp;Product</v>
      </c>
      <c r="G86" s="16"/>
      <c r="H86" s="16" t="str">
        <f ca="1">IFERROR(__xludf.DUMMYFUNCTION("""COMPUTED_VALUE"""),".")</f>
        <v>.</v>
      </c>
    </row>
    <row r="87" spans="1:8" ht="12.5">
      <c r="A87" s="24"/>
      <c r="B87" s="17"/>
      <c r="C87" s="24"/>
      <c r="D87" s="16"/>
      <c r="E87" s="16" t="str">
        <f ca="1">IFERROR(__xludf.DUMMYFUNCTION("""COMPUTED_VALUE"""),"TRX1596")</f>
        <v>TRX1596</v>
      </c>
      <c r="F87" s="16" t="str">
        <f ca="1">IFERROR(__xludf.DUMMYFUNCTION("""COMPUTED_VALUE"""),"Tech&amp;Product")</f>
        <v>Tech&amp;Product</v>
      </c>
      <c r="G87" s="16"/>
      <c r="H87" s="16" t="str">
        <f ca="1">IFERROR(__xludf.DUMMYFUNCTION("""COMPUTED_VALUE"""),".")</f>
        <v>.</v>
      </c>
    </row>
    <row r="88" spans="1:8" ht="12.5">
      <c r="A88" s="24"/>
      <c r="B88" s="17"/>
      <c r="C88" s="24"/>
      <c r="D88" s="16"/>
      <c r="E88" s="16" t="str">
        <f ca="1">IFERROR(__xludf.DUMMYFUNCTION("""COMPUTED_VALUE"""),"TRX1641")</f>
        <v>TRX1641</v>
      </c>
      <c r="F88" s="16" t="str">
        <f ca="1">IFERROR(__xludf.DUMMYFUNCTION("""COMPUTED_VALUE"""),"Tech&amp;Product")</f>
        <v>Tech&amp;Product</v>
      </c>
      <c r="G88" s="16"/>
      <c r="H88" s="16" t="str">
        <f ca="1">IFERROR(__xludf.DUMMYFUNCTION("""COMPUTED_VALUE"""),".")</f>
        <v>.</v>
      </c>
    </row>
    <row r="89" spans="1:8" ht="12.5">
      <c r="A89" s="24"/>
      <c r="B89" s="17"/>
      <c r="C89" s="24"/>
      <c r="D89" s="16"/>
      <c r="E89" s="16" t="str">
        <f ca="1">IFERROR(__xludf.DUMMYFUNCTION("""COMPUTED_VALUE"""),"TRX1372")</f>
        <v>TRX1372</v>
      </c>
      <c r="F89" s="16" t="str">
        <f ca="1">IFERROR(__xludf.DUMMYFUNCTION("""COMPUTED_VALUE"""),"Tech&amp;Product")</f>
        <v>Tech&amp;Product</v>
      </c>
      <c r="G89" s="16"/>
      <c r="H89" s="16" t="str">
        <f ca="1">IFERROR(__xludf.DUMMYFUNCTION("""COMPUTED_VALUE"""),".")</f>
        <v>.</v>
      </c>
    </row>
    <row r="90" spans="1:8" ht="12.5">
      <c r="A90" s="24"/>
      <c r="B90" s="17"/>
      <c r="C90" s="24"/>
      <c r="D90" s="16"/>
      <c r="E90" s="16" t="str">
        <f ca="1">IFERROR(__xludf.DUMMYFUNCTION("""COMPUTED_VALUE"""),"TRX1245")</f>
        <v>TRX1245</v>
      </c>
      <c r="F90" s="16" t="str">
        <f ca="1">IFERROR(__xludf.DUMMYFUNCTION("""COMPUTED_VALUE"""),"Tech&amp;Product")</f>
        <v>Tech&amp;Product</v>
      </c>
      <c r="G90" s="16"/>
      <c r="H90" s="16" t="str">
        <f ca="1">IFERROR(__xludf.DUMMYFUNCTION("""COMPUTED_VALUE"""),".")</f>
        <v>.</v>
      </c>
    </row>
    <row r="91" spans="1:8" ht="12.5">
      <c r="A91" s="24"/>
      <c r="B91" s="17"/>
      <c r="C91" s="24"/>
      <c r="D91" s="16"/>
      <c r="E91" s="16" t="str">
        <f ca="1">IFERROR(__xludf.DUMMYFUNCTION("""COMPUTED_VALUE"""),"TRX1378")</f>
        <v>TRX1378</v>
      </c>
      <c r="F91" s="16" t="str">
        <f ca="1">IFERROR(__xludf.DUMMYFUNCTION("""COMPUTED_VALUE"""),"Tech&amp;Product")</f>
        <v>Tech&amp;Product</v>
      </c>
      <c r="G91" s="16"/>
      <c r="H91" s="16" t="str">
        <f ca="1">IFERROR(__xludf.DUMMYFUNCTION("""COMPUTED_VALUE"""),".")</f>
        <v>.</v>
      </c>
    </row>
    <row r="92" spans="1:8" ht="12.5">
      <c r="A92" s="24"/>
      <c r="B92" s="17"/>
      <c r="C92" s="24"/>
      <c r="D92" s="16"/>
      <c r="E92" s="16" t="str">
        <f ca="1">IFERROR(__xludf.DUMMYFUNCTION("""COMPUTED_VALUE"""),"TRX1821")</f>
        <v>TRX1821</v>
      </c>
      <c r="F92" s="16" t="str">
        <f ca="1">IFERROR(__xludf.DUMMYFUNCTION("""COMPUTED_VALUE"""),"Tech&amp;Product")</f>
        <v>Tech&amp;Product</v>
      </c>
      <c r="G92" s="16"/>
      <c r="H92" s="16" t="str">
        <f ca="1">IFERROR(__xludf.DUMMYFUNCTION("""COMPUTED_VALUE"""),".")</f>
        <v>.</v>
      </c>
    </row>
    <row r="93" spans="1:8" ht="12.5">
      <c r="A93" s="24"/>
      <c r="B93" s="17"/>
      <c r="C93" s="24"/>
      <c r="D93" s="16"/>
      <c r="E93" s="16" t="str">
        <f ca="1">IFERROR(__xludf.DUMMYFUNCTION("""COMPUTED_VALUE"""),"TRX1080")</f>
        <v>TRX1080</v>
      </c>
      <c r="F93" s="16" t="str">
        <f ca="1">IFERROR(__xludf.DUMMYFUNCTION("""COMPUTED_VALUE"""),"Tech&amp;Product")</f>
        <v>Tech&amp;Product</v>
      </c>
      <c r="G93" s="16"/>
      <c r="H93" s="16" t="str">
        <f ca="1">IFERROR(__xludf.DUMMYFUNCTION("""COMPUTED_VALUE"""),".")</f>
        <v>.</v>
      </c>
    </row>
    <row r="94" spans="1:8" ht="12.5">
      <c r="A94" s="24"/>
      <c r="B94" s="17"/>
      <c r="C94" s="24"/>
      <c r="D94" s="16"/>
      <c r="E94" s="16" t="str">
        <f ca="1">IFERROR(__xludf.DUMMYFUNCTION("""COMPUTED_VALUE"""),"TRX1119")</f>
        <v>TRX1119</v>
      </c>
      <c r="F94" s="16" t="str">
        <f ca="1">IFERROR(__xludf.DUMMYFUNCTION("""COMPUTED_VALUE"""),"Tech&amp;Product")</f>
        <v>Tech&amp;Product</v>
      </c>
      <c r="G94" s="16"/>
      <c r="H94" s="16" t="str">
        <f ca="1">IFERROR(__xludf.DUMMYFUNCTION("""COMPUTED_VALUE"""),".")</f>
        <v>.</v>
      </c>
    </row>
    <row r="95" spans="1:8" ht="12.5">
      <c r="A95" s="24"/>
      <c r="B95" s="17"/>
      <c r="C95" s="24"/>
      <c r="D95" s="16"/>
      <c r="E95" s="16" t="str">
        <f ca="1">IFERROR(__xludf.DUMMYFUNCTION("""COMPUTED_VALUE"""),"TRX1124")</f>
        <v>TRX1124</v>
      </c>
      <c r="F95" s="16" t="str">
        <f ca="1">IFERROR(__xludf.DUMMYFUNCTION("""COMPUTED_VALUE"""),"Tech&amp;Product")</f>
        <v>Tech&amp;Product</v>
      </c>
      <c r="G95" s="16"/>
      <c r="H95" s="16" t="str">
        <f ca="1">IFERROR(__xludf.DUMMYFUNCTION("""COMPUTED_VALUE"""),".")</f>
        <v>.</v>
      </c>
    </row>
    <row r="96" spans="1:8" ht="12.5">
      <c r="A96" s="24"/>
      <c r="B96" s="17"/>
      <c r="C96" s="24"/>
      <c r="D96" s="16"/>
      <c r="E96" s="16" t="str">
        <f ca="1">IFERROR(__xludf.DUMMYFUNCTION("""COMPUTED_VALUE"""),"TRX1127")</f>
        <v>TRX1127</v>
      </c>
      <c r="F96" s="16" t="str">
        <f ca="1">IFERROR(__xludf.DUMMYFUNCTION("""COMPUTED_VALUE"""),"Tech&amp;Product")</f>
        <v>Tech&amp;Product</v>
      </c>
      <c r="G96" s="16"/>
      <c r="H96" s="16" t="str">
        <f ca="1">IFERROR(__xludf.DUMMYFUNCTION("""COMPUTED_VALUE"""),".")</f>
        <v>.</v>
      </c>
    </row>
    <row r="97" spans="1:8" ht="12.5">
      <c r="A97" s="24"/>
      <c r="B97" s="17"/>
      <c r="C97" s="24"/>
      <c r="D97" s="16"/>
      <c r="E97" s="16"/>
      <c r="F97" s="16" t="str">
        <f ca="1">IFERROR(__xludf.DUMMYFUNCTION("""COMPUTED_VALUE"""),"Tech&amp;Product")</f>
        <v>Tech&amp;Product</v>
      </c>
      <c r="G97" s="16"/>
      <c r="H97" s="16" t="str">
        <f ca="1">IFERROR(__xludf.DUMMYFUNCTION("""COMPUTED_VALUE"""),".")</f>
        <v>.</v>
      </c>
    </row>
    <row r="98" spans="1:8" ht="12.5">
      <c r="A98" s="24"/>
      <c r="B98" s="17"/>
      <c r="C98" s="24"/>
      <c r="D98" s="16"/>
      <c r="E98" s="16"/>
      <c r="F98" s="16" t="str">
        <f ca="1">IFERROR(__xludf.DUMMYFUNCTION("""COMPUTED_VALUE"""),"Tech&amp;Product")</f>
        <v>Tech&amp;Product</v>
      </c>
      <c r="G98" s="16"/>
      <c r="H98" s="16" t="str">
        <f ca="1">IFERROR(__xludf.DUMMYFUNCTION("""COMPUTED_VALUE"""),".")</f>
        <v>.</v>
      </c>
    </row>
    <row r="99" spans="1:8" ht="12.5">
      <c r="A99" s="24"/>
      <c r="B99" s="17"/>
      <c r="C99" s="24"/>
      <c r="D99" s="16"/>
      <c r="E99" s="16"/>
      <c r="F99" s="16"/>
      <c r="G99" s="16"/>
      <c r="H99" s="16" t="str">
        <f ca="1">IFERROR(__xludf.DUMMYFUNCTION("""COMPUTED_VALUE"""),".")</f>
        <v>.</v>
      </c>
    </row>
    <row r="100" spans="1:8" ht="12.5">
      <c r="A100" s="24"/>
      <c r="B100" s="17"/>
      <c r="C100" s="24"/>
      <c r="D100" s="16"/>
      <c r="E100" s="16"/>
      <c r="F100" s="16"/>
      <c r="G100" s="16"/>
      <c r="H100" s="16" t="str">
        <f ca="1">IFERROR(__xludf.DUMMYFUNCTION("""COMPUTED_VALUE"""),".")</f>
        <v>.</v>
      </c>
    </row>
    <row r="101" spans="1:8" ht="12.5">
      <c r="A101" s="24"/>
      <c r="B101" s="17"/>
      <c r="C101" s="24"/>
      <c r="D101" s="16"/>
      <c r="E101" s="16"/>
      <c r="F101" s="16"/>
      <c r="G101" s="16"/>
      <c r="H101" s="16" t="str">
        <f ca="1">IFERROR(__xludf.DUMMYFUNCTION("""COMPUTED_VALUE"""),".")</f>
        <v>.</v>
      </c>
    </row>
    <row r="102" spans="1:8" ht="12.5">
      <c r="A102" s="24"/>
      <c r="B102" s="17"/>
      <c r="C102" s="24"/>
      <c r="D102" s="16"/>
      <c r="E102" s="16"/>
      <c r="F102" s="16"/>
      <c r="G102" s="16"/>
      <c r="H102" s="16" t="str">
        <f ca="1">IFERROR(__xludf.DUMMYFUNCTION("""COMPUTED_VALUE"""),".")</f>
        <v>.</v>
      </c>
    </row>
    <row r="103" spans="1:8" ht="12.5">
      <c r="A103" s="24"/>
      <c r="B103" s="17"/>
      <c r="C103" s="24"/>
      <c r="D103" s="16"/>
      <c r="E103" s="16"/>
      <c r="F103" s="16"/>
      <c r="G103" s="16"/>
      <c r="H103" s="16" t="str">
        <f ca="1">IFERROR(__xludf.DUMMYFUNCTION("""COMPUTED_VALUE"""),".")</f>
        <v>.</v>
      </c>
    </row>
    <row r="104" spans="1:8" ht="12.5">
      <c r="A104" s="24"/>
      <c r="B104" s="17"/>
      <c r="C104" s="24"/>
      <c r="D104" s="16"/>
      <c r="E104" s="16"/>
      <c r="F104" s="16"/>
      <c r="G104" s="16"/>
      <c r="H104" s="16" t="str">
        <f ca="1">IFERROR(__xludf.DUMMYFUNCTION("""COMPUTED_VALUE"""),".")</f>
        <v>.</v>
      </c>
    </row>
    <row r="105" spans="1:8" ht="12.5">
      <c r="A105" s="24"/>
      <c r="B105" s="17"/>
      <c r="C105" s="24"/>
      <c r="D105" s="16"/>
      <c r="E105" s="16"/>
      <c r="F105" s="16"/>
      <c r="G105" s="16"/>
      <c r="H105" s="16" t="str">
        <f ca="1">IFERROR(__xludf.DUMMYFUNCTION("""COMPUTED_VALUE"""),".")</f>
        <v>.</v>
      </c>
    </row>
    <row r="106" spans="1:8" ht="12.5">
      <c r="A106" s="24"/>
      <c r="B106" s="17"/>
      <c r="C106" s="24"/>
      <c r="D106" s="16"/>
      <c r="E106" s="16"/>
      <c r="F106" s="16"/>
      <c r="G106" s="16"/>
      <c r="H106" s="16" t="str">
        <f ca="1">IFERROR(__xludf.DUMMYFUNCTION("""COMPUTED_VALUE"""),".")</f>
        <v>.</v>
      </c>
    </row>
    <row r="107" spans="1:8" ht="12.5">
      <c r="A107" s="24"/>
      <c r="B107" s="17"/>
      <c r="C107" s="24"/>
      <c r="D107" s="16"/>
      <c r="E107" s="16"/>
      <c r="F107" s="16"/>
      <c r="G107" s="16"/>
      <c r="H107" s="16" t="str">
        <f ca="1">IFERROR(__xludf.DUMMYFUNCTION("""COMPUTED_VALUE"""),".")</f>
        <v>.</v>
      </c>
    </row>
    <row r="108" spans="1:8" ht="12.5">
      <c r="A108" s="24"/>
      <c r="B108" s="17"/>
      <c r="C108" s="24"/>
      <c r="D108" s="16"/>
      <c r="E108" s="16"/>
      <c r="F108" s="16"/>
      <c r="G108" s="16"/>
      <c r="H108" s="16" t="str">
        <f ca="1">IFERROR(__xludf.DUMMYFUNCTION("""COMPUTED_VALUE"""),".")</f>
        <v>.</v>
      </c>
    </row>
    <row r="109" spans="1:8" ht="12.5">
      <c r="A109" s="24"/>
      <c r="B109" s="17"/>
      <c r="C109" s="24"/>
      <c r="D109" s="16"/>
      <c r="E109" s="16"/>
      <c r="F109" s="16"/>
      <c r="G109" s="16"/>
      <c r="H109" s="16" t="str">
        <f ca="1">IFERROR(__xludf.DUMMYFUNCTION("""COMPUTED_VALUE"""),".")</f>
        <v>.</v>
      </c>
    </row>
    <row r="110" spans="1:8" ht="12.5">
      <c r="A110" s="24"/>
      <c r="B110" s="17"/>
      <c r="C110" s="24"/>
      <c r="D110" s="16"/>
      <c r="E110" s="16"/>
      <c r="F110" s="16"/>
      <c r="G110" s="16"/>
      <c r="H110" s="16" t="str">
        <f ca="1">IFERROR(__xludf.DUMMYFUNCTION("""COMPUTED_VALUE"""),".")</f>
        <v>.</v>
      </c>
    </row>
    <row r="111" spans="1:8" ht="12.5">
      <c r="A111" s="24"/>
      <c r="B111" s="17"/>
      <c r="C111" s="24"/>
      <c r="D111" s="16"/>
      <c r="E111" s="16"/>
      <c r="F111" s="16"/>
      <c r="G111" s="16"/>
      <c r="H111" s="16" t="str">
        <f ca="1">IFERROR(__xludf.DUMMYFUNCTION("""COMPUTED_VALUE"""),".")</f>
        <v>.</v>
      </c>
    </row>
    <row r="112" spans="1:8" ht="12.5">
      <c r="A112" s="24"/>
      <c r="B112" s="17"/>
      <c r="C112" s="24"/>
      <c r="D112" s="16"/>
      <c r="E112" s="16"/>
      <c r="F112" s="16"/>
      <c r="G112" s="16"/>
      <c r="H112" s="16" t="str">
        <f ca="1">IFERROR(__xludf.DUMMYFUNCTION("""COMPUTED_VALUE"""),".")</f>
        <v>.</v>
      </c>
    </row>
    <row r="113" spans="1:8" ht="12.5">
      <c r="A113" s="24"/>
      <c r="B113" s="17"/>
      <c r="C113" s="24"/>
      <c r="D113" s="16"/>
      <c r="E113" s="16"/>
      <c r="F113" s="16"/>
      <c r="G113" s="16"/>
      <c r="H113" s="16" t="str">
        <f ca="1">IFERROR(__xludf.DUMMYFUNCTION("""COMPUTED_VALUE"""),".")</f>
        <v>.</v>
      </c>
    </row>
    <row r="114" spans="1:8" ht="12.5">
      <c r="A114" s="24"/>
      <c r="B114" s="17"/>
      <c r="C114" s="24"/>
      <c r="D114" s="16"/>
      <c r="E114" s="16"/>
      <c r="F114" s="16"/>
      <c r="G114" s="16"/>
      <c r="H114" s="16" t="str">
        <f ca="1">IFERROR(__xludf.DUMMYFUNCTION("""COMPUTED_VALUE"""),".")</f>
        <v>.</v>
      </c>
    </row>
    <row r="115" spans="1:8" ht="12.5">
      <c r="A115" s="24"/>
      <c r="B115" s="17"/>
      <c r="C115" s="24"/>
      <c r="D115" s="16"/>
      <c r="E115" s="16"/>
      <c r="F115" s="16"/>
      <c r="G115" s="16"/>
      <c r="H115" s="16" t="str">
        <f ca="1">IFERROR(__xludf.DUMMYFUNCTION("""COMPUTED_VALUE"""),".")</f>
        <v>.</v>
      </c>
    </row>
    <row r="116" spans="1:8" ht="12.5">
      <c r="A116" s="24"/>
      <c r="B116" s="17"/>
      <c r="C116" s="24"/>
      <c r="D116" s="16"/>
      <c r="E116" s="16"/>
      <c r="F116" s="16"/>
      <c r="G116" s="16"/>
      <c r="H116" s="16" t="str">
        <f ca="1">IFERROR(__xludf.DUMMYFUNCTION("""COMPUTED_VALUE"""),".")</f>
        <v>.</v>
      </c>
    </row>
    <row r="117" spans="1:8" ht="12.5">
      <c r="A117" s="24"/>
      <c r="B117" s="17"/>
      <c r="C117" s="24"/>
      <c r="D117" s="16"/>
      <c r="E117" s="16"/>
      <c r="F117" s="16"/>
      <c r="G117" s="16"/>
      <c r="H117" s="16" t="str">
        <f ca="1">IFERROR(__xludf.DUMMYFUNCTION("""COMPUTED_VALUE"""),".")</f>
        <v>.</v>
      </c>
    </row>
    <row r="118" spans="1:8" ht="12.5">
      <c r="A118" s="24"/>
      <c r="B118" s="17"/>
      <c r="C118" s="24"/>
      <c r="D118" s="16"/>
      <c r="E118" s="16"/>
      <c r="F118" s="16"/>
      <c r="G118" s="16"/>
      <c r="H118" s="16" t="str">
        <f ca="1">IFERROR(__xludf.DUMMYFUNCTION("""COMPUTED_VALUE"""),".")</f>
        <v>.</v>
      </c>
    </row>
    <row r="119" spans="1:8" ht="12.5">
      <c r="A119" s="24"/>
      <c r="B119" s="17"/>
      <c r="C119" s="24"/>
      <c r="D119" s="16"/>
      <c r="E119" s="16"/>
      <c r="F119" s="16"/>
      <c r="G119" s="16"/>
      <c r="H119" s="16" t="str">
        <f ca="1">IFERROR(__xludf.DUMMYFUNCTION("""COMPUTED_VALUE"""),".")</f>
        <v>.</v>
      </c>
    </row>
    <row r="120" spans="1:8" ht="12.5">
      <c r="A120" s="24"/>
      <c r="B120" s="17"/>
      <c r="C120" s="24"/>
      <c r="D120" s="16"/>
      <c r="E120" s="16"/>
      <c r="F120" s="16"/>
      <c r="G120" s="16"/>
      <c r="H120" s="16" t="str">
        <f ca="1">IFERROR(__xludf.DUMMYFUNCTION("""COMPUTED_VALUE"""),".")</f>
        <v>.</v>
      </c>
    </row>
    <row r="121" spans="1:8" ht="12.5">
      <c r="A121" s="24"/>
      <c r="B121" s="17"/>
      <c r="C121" s="24"/>
      <c r="D121" s="16"/>
      <c r="E121" s="16"/>
      <c r="F121" s="16"/>
      <c r="G121" s="16"/>
      <c r="H121" s="16" t="str">
        <f ca="1">IFERROR(__xludf.DUMMYFUNCTION("""COMPUTED_VALUE"""),".")</f>
        <v>.</v>
      </c>
    </row>
    <row r="122" spans="1:8" ht="12.5">
      <c r="A122" s="24"/>
      <c r="B122" s="17"/>
      <c r="C122" s="24"/>
      <c r="D122" s="16"/>
      <c r="E122" s="16"/>
      <c r="F122" s="16"/>
      <c r="G122" s="16"/>
      <c r="H122" s="16" t="str">
        <f ca="1">IFERROR(__xludf.DUMMYFUNCTION("""COMPUTED_VALUE"""),".")</f>
        <v>.</v>
      </c>
    </row>
    <row r="123" spans="1:8" ht="12.5">
      <c r="A123" s="24"/>
      <c r="B123" s="17"/>
      <c r="C123" s="24"/>
      <c r="D123" s="16"/>
      <c r="E123" s="16"/>
      <c r="F123" s="16"/>
      <c r="G123" s="16"/>
      <c r="H123" s="16" t="str">
        <f ca="1">IFERROR(__xludf.DUMMYFUNCTION("""COMPUTED_VALUE"""),".")</f>
        <v>.</v>
      </c>
    </row>
    <row r="124" spans="1:8" ht="12.5">
      <c r="A124" s="24"/>
      <c r="B124" s="17"/>
      <c r="C124" s="24"/>
      <c r="D124" s="16"/>
      <c r="E124" s="16"/>
      <c r="F124" s="16"/>
      <c r="G124" s="16"/>
      <c r="H124" s="16" t="str">
        <f ca="1">IFERROR(__xludf.DUMMYFUNCTION("""COMPUTED_VALUE"""),".")</f>
        <v>.</v>
      </c>
    </row>
    <row r="125" spans="1:8" ht="12.5">
      <c r="A125" s="24"/>
      <c r="B125" s="17"/>
      <c r="C125" s="24"/>
      <c r="D125" s="16"/>
      <c r="E125" s="16"/>
      <c r="F125" s="16"/>
      <c r="G125" s="16"/>
      <c r="H125" s="16" t="str">
        <f ca="1">IFERROR(__xludf.DUMMYFUNCTION("""COMPUTED_VALUE"""),".")</f>
        <v>.</v>
      </c>
    </row>
    <row r="126" spans="1:8" ht="12.5">
      <c r="A126" s="24"/>
      <c r="B126" s="17"/>
      <c r="C126" s="24"/>
      <c r="D126" s="16"/>
      <c r="E126" s="16"/>
      <c r="F126" s="16"/>
      <c r="G126" s="16"/>
      <c r="H126" s="16" t="str">
        <f ca="1">IFERROR(__xludf.DUMMYFUNCTION("""COMPUTED_VALUE"""),".")</f>
        <v>.</v>
      </c>
    </row>
    <row r="127" spans="1:8" ht="12.5">
      <c r="A127" s="24"/>
      <c r="B127" s="17"/>
      <c r="C127" s="24"/>
      <c r="D127" s="16"/>
      <c r="E127" s="16"/>
      <c r="F127" s="16"/>
      <c r="G127" s="16"/>
      <c r="H127" s="16" t="str">
        <f ca="1">IFERROR(__xludf.DUMMYFUNCTION("""COMPUTED_VALUE"""),".")</f>
        <v>.</v>
      </c>
    </row>
    <row r="128" spans="1:8" ht="12.5">
      <c r="A128" s="24"/>
      <c r="B128" s="17"/>
      <c r="C128" s="24"/>
      <c r="D128" s="16"/>
      <c r="E128" s="16"/>
      <c r="F128" s="16"/>
      <c r="G128" s="16"/>
      <c r="H128" s="16" t="str">
        <f ca="1">IFERROR(__xludf.DUMMYFUNCTION("""COMPUTED_VALUE"""),".")</f>
        <v>.</v>
      </c>
    </row>
    <row r="129" spans="1:8" ht="12.5">
      <c r="A129" s="24"/>
      <c r="B129" s="17"/>
      <c r="C129" s="24"/>
      <c r="D129" s="16"/>
      <c r="E129" s="16"/>
      <c r="F129" s="16"/>
      <c r="G129" s="16"/>
      <c r="H129" s="16" t="str">
        <f ca="1">IFERROR(__xludf.DUMMYFUNCTION("""COMPUTED_VALUE"""),".")</f>
        <v>.</v>
      </c>
    </row>
    <row r="130" spans="1:8" ht="12.5">
      <c r="A130" s="24"/>
      <c r="B130" s="17"/>
      <c r="C130" s="24"/>
      <c r="D130" s="16"/>
      <c r="E130" s="16"/>
      <c r="F130" s="16"/>
      <c r="G130" s="16"/>
      <c r="H130" s="16" t="str">
        <f ca="1">IFERROR(__xludf.DUMMYFUNCTION("""COMPUTED_VALUE"""),".")</f>
        <v>.</v>
      </c>
    </row>
    <row r="131" spans="1:8" ht="12.5">
      <c r="A131" s="24"/>
      <c r="B131" s="17"/>
      <c r="C131" s="24"/>
      <c r="D131" s="16"/>
      <c r="E131" s="16"/>
      <c r="F131" s="16"/>
      <c r="G131" s="16"/>
      <c r="H131" s="16" t="str">
        <f ca="1">IFERROR(__xludf.DUMMYFUNCTION("""COMPUTED_VALUE"""),".")</f>
        <v>.</v>
      </c>
    </row>
    <row r="132" spans="1:8" ht="12.5">
      <c r="A132" s="24"/>
      <c r="B132" s="17"/>
      <c r="C132" s="24"/>
      <c r="D132" s="16"/>
      <c r="E132" s="16"/>
      <c r="F132" s="16"/>
      <c r="G132" s="16"/>
      <c r="H132" s="16" t="str">
        <f ca="1">IFERROR(__xludf.DUMMYFUNCTION("""COMPUTED_VALUE"""),".")</f>
        <v>.</v>
      </c>
    </row>
    <row r="133" spans="1:8" ht="12.5">
      <c r="A133" s="24"/>
      <c r="B133" s="17"/>
      <c r="C133" s="24"/>
      <c r="D133" s="16"/>
      <c r="E133" s="16"/>
      <c r="F133" s="16"/>
      <c r="G133" s="16"/>
      <c r="H133" s="16" t="str">
        <f ca="1">IFERROR(__xludf.DUMMYFUNCTION("""COMPUTED_VALUE"""),".")</f>
        <v>.</v>
      </c>
    </row>
    <row r="134" spans="1:8" ht="12.5">
      <c r="A134" s="24"/>
      <c r="B134" s="17"/>
      <c r="C134" s="24"/>
      <c r="D134" s="16"/>
      <c r="E134" s="16"/>
      <c r="F134" s="16"/>
      <c r="G134" s="16"/>
      <c r="H134" s="16" t="str">
        <f ca="1">IFERROR(__xludf.DUMMYFUNCTION("""COMPUTED_VALUE"""),".")</f>
        <v>.</v>
      </c>
    </row>
    <row r="135" spans="1:8" ht="12.5">
      <c r="A135" s="24"/>
      <c r="B135" s="17"/>
      <c r="C135" s="24"/>
      <c r="D135" s="16"/>
      <c r="E135" s="16"/>
      <c r="F135" s="16"/>
      <c r="G135" s="16"/>
      <c r="H135" s="16" t="str">
        <f ca="1">IFERROR(__xludf.DUMMYFUNCTION("""COMPUTED_VALUE"""),".")</f>
        <v>.</v>
      </c>
    </row>
    <row r="136" spans="1:8" ht="12.5">
      <c r="A136" s="24"/>
      <c r="B136" s="17"/>
      <c r="C136" s="24"/>
      <c r="D136" s="16"/>
      <c r="E136" s="16"/>
      <c r="F136" s="16"/>
      <c r="G136" s="16"/>
      <c r="H136" s="16" t="str">
        <f ca="1">IFERROR(__xludf.DUMMYFUNCTION("""COMPUTED_VALUE"""),".")</f>
        <v>.</v>
      </c>
    </row>
    <row r="137" spans="1:8" ht="12.5">
      <c r="A137" s="24"/>
      <c r="B137" s="17"/>
      <c r="C137" s="24"/>
      <c r="D137" s="16"/>
      <c r="E137" s="16"/>
      <c r="F137" s="16"/>
      <c r="G137" s="16"/>
      <c r="H137" s="16" t="str">
        <f ca="1">IFERROR(__xludf.DUMMYFUNCTION("""COMPUTED_VALUE"""),".")</f>
        <v>.</v>
      </c>
    </row>
    <row r="138" spans="1:8" ht="12.5">
      <c r="A138" s="24"/>
      <c r="B138" s="17"/>
      <c r="C138" s="24"/>
      <c r="D138" s="16"/>
      <c r="E138" s="16"/>
      <c r="F138" s="16"/>
      <c r="G138" s="16"/>
      <c r="H138" s="16" t="str">
        <f ca="1">IFERROR(__xludf.DUMMYFUNCTION("""COMPUTED_VALUE"""),".")</f>
        <v>.</v>
      </c>
    </row>
    <row r="139" spans="1:8" ht="12.5">
      <c r="A139" s="24"/>
      <c r="B139" s="17"/>
      <c r="C139" s="24"/>
      <c r="D139" s="16"/>
      <c r="E139" s="16"/>
      <c r="F139" s="16"/>
      <c r="G139" s="16"/>
      <c r="H139" s="16" t="str">
        <f ca="1">IFERROR(__xludf.DUMMYFUNCTION("""COMPUTED_VALUE"""),".")</f>
        <v>.</v>
      </c>
    </row>
    <row r="140" spans="1:8" ht="12.5">
      <c r="A140" s="24"/>
      <c r="B140" s="17"/>
      <c r="C140" s="24"/>
      <c r="D140" s="16"/>
      <c r="E140" s="16"/>
      <c r="F140" s="16"/>
      <c r="G140" s="16"/>
      <c r="H140" s="16" t="str">
        <f ca="1">IFERROR(__xludf.DUMMYFUNCTION("""COMPUTED_VALUE"""),".")</f>
        <v>.</v>
      </c>
    </row>
    <row r="141" spans="1:8" ht="12.5">
      <c r="A141" s="24"/>
      <c r="B141" s="17"/>
      <c r="C141" s="24"/>
      <c r="D141" s="16"/>
      <c r="E141" s="16"/>
      <c r="F141" s="16"/>
      <c r="G141" s="16"/>
      <c r="H141" s="16" t="str">
        <f ca="1">IFERROR(__xludf.DUMMYFUNCTION("""COMPUTED_VALUE"""),".")</f>
        <v>.</v>
      </c>
    </row>
    <row r="142" spans="1:8" ht="12.5">
      <c r="A142" s="24"/>
      <c r="B142" s="17"/>
      <c r="C142" s="24"/>
      <c r="D142" s="16"/>
      <c r="E142" s="16"/>
      <c r="F142" s="16"/>
      <c r="G142" s="16"/>
      <c r="H142" s="16" t="str">
        <f ca="1">IFERROR(__xludf.DUMMYFUNCTION("""COMPUTED_VALUE"""),".")</f>
        <v>.</v>
      </c>
    </row>
    <row r="143" spans="1:8" ht="12.5">
      <c r="A143" s="24"/>
      <c r="B143" s="17"/>
      <c r="C143" s="24"/>
      <c r="D143" s="16"/>
      <c r="E143" s="16"/>
      <c r="F143" s="16"/>
      <c r="G143" s="16"/>
      <c r="H143" s="16" t="str">
        <f ca="1">IFERROR(__xludf.DUMMYFUNCTION("""COMPUTED_VALUE"""),".")</f>
        <v>.</v>
      </c>
    </row>
    <row r="144" spans="1:8" ht="12.5">
      <c r="A144" s="24"/>
      <c r="B144" s="17"/>
      <c r="C144" s="24"/>
      <c r="D144" s="16"/>
      <c r="E144" s="16"/>
      <c r="F144" s="16"/>
      <c r="G144" s="16"/>
      <c r="H144" s="16" t="str">
        <f ca="1">IFERROR(__xludf.DUMMYFUNCTION("""COMPUTED_VALUE"""),".")</f>
        <v>.</v>
      </c>
    </row>
    <row r="145" spans="1:8" ht="12.5">
      <c r="A145" s="24"/>
      <c r="B145" s="17"/>
      <c r="C145" s="24"/>
      <c r="D145" s="16"/>
      <c r="E145" s="16"/>
      <c r="F145" s="16"/>
      <c r="G145" s="16"/>
      <c r="H145" s="16" t="str">
        <f ca="1">IFERROR(__xludf.DUMMYFUNCTION("""COMPUTED_VALUE"""),".")</f>
        <v>.</v>
      </c>
    </row>
    <row r="146" spans="1:8" ht="12.5">
      <c r="A146" s="24"/>
      <c r="B146" s="17"/>
      <c r="C146" s="24"/>
      <c r="D146" s="16"/>
      <c r="E146" s="16"/>
      <c r="F146" s="16"/>
      <c r="G146" s="16"/>
      <c r="H146" s="16" t="str">
        <f ca="1">IFERROR(__xludf.DUMMYFUNCTION("""COMPUTED_VALUE"""),".")</f>
        <v>.</v>
      </c>
    </row>
    <row r="147" spans="1:8" ht="12.5">
      <c r="A147" s="24"/>
      <c r="B147" s="17"/>
      <c r="C147" s="24"/>
      <c r="D147" s="16"/>
      <c r="E147" s="16"/>
      <c r="F147" s="16"/>
      <c r="G147" s="16"/>
      <c r="H147" s="16" t="str">
        <f ca="1">IFERROR(__xludf.DUMMYFUNCTION("""COMPUTED_VALUE"""),".")</f>
        <v>.</v>
      </c>
    </row>
    <row r="148" spans="1:8" ht="12.5">
      <c r="A148" s="24"/>
      <c r="B148" s="17"/>
      <c r="C148" s="24"/>
      <c r="D148" s="16"/>
      <c r="E148" s="16"/>
      <c r="F148" s="16"/>
      <c r="G148" s="16"/>
      <c r="H148" s="16" t="str">
        <f ca="1">IFERROR(__xludf.DUMMYFUNCTION("""COMPUTED_VALUE"""),".")</f>
        <v>.</v>
      </c>
    </row>
    <row r="149" spans="1:8" ht="12.5">
      <c r="A149" s="24"/>
      <c r="B149" s="17"/>
      <c r="C149" s="24"/>
      <c r="D149" s="16"/>
      <c r="E149" s="16"/>
      <c r="F149" s="16"/>
      <c r="G149" s="16"/>
      <c r="H149" s="16" t="str">
        <f ca="1">IFERROR(__xludf.DUMMYFUNCTION("""COMPUTED_VALUE"""),".")</f>
        <v>.</v>
      </c>
    </row>
    <row r="150" spans="1:8" ht="12.5">
      <c r="A150" s="24"/>
      <c r="B150" s="17"/>
      <c r="C150" s="24"/>
      <c r="D150" s="16"/>
      <c r="E150" s="16"/>
      <c r="F150" s="16"/>
      <c r="G150" s="16"/>
      <c r="H150" s="16" t="str">
        <f ca="1">IFERROR(__xludf.DUMMYFUNCTION("""COMPUTED_VALUE"""),".")</f>
        <v>.</v>
      </c>
    </row>
    <row r="151" spans="1:8" ht="12.5">
      <c r="A151" s="24"/>
      <c r="B151" s="17"/>
      <c r="C151" s="24"/>
      <c r="D151" s="16"/>
      <c r="E151" s="16"/>
      <c r="F151" s="16"/>
      <c r="G151" s="16"/>
      <c r="H151" s="16"/>
    </row>
    <row r="152" spans="1:8" ht="12.5">
      <c r="A152" s="24"/>
      <c r="B152" s="17"/>
      <c r="C152" s="24"/>
      <c r="D152" s="16"/>
      <c r="E152" s="16"/>
      <c r="F152" s="16"/>
      <c r="G152" s="16"/>
      <c r="H152" s="16"/>
    </row>
    <row r="153" spans="1:8" ht="12.5">
      <c r="A153" s="24"/>
      <c r="B153" s="17"/>
      <c r="C153" s="24"/>
      <c r="D153" s="16"/>
      <c r="E153" s="16"/>
      <c r="F153" s="16"/>
      <c r="G153" s="16"/>
      <c r="H153" s="16"/>
    </row>
    <row r="154" spans="1:8" ht="12.5">
      <c r="A154" s="24"/>
      <c r="B154" s="17"/>
      <c r="C154" s="24"/>
      <c r="D154" s="16"/>
      <c r="E154" s="16"/>
      <c r="F154" s="16"/>
      <c r="G154" s="16"/>
      <c r="H154" s="16"/>
    </row>
    <row r="155" spans="1:8" ht="12.5">
      <c r="A155" s="24"/>
      <c r="B155" s="17"/>
      <c r="C155" s="24"/>
      <c r="D155" s="16"/>
      <c r="E155" s="16"/>
      <c r="F155" s="16"/>
      <c r="G155" s="16"/>
      <c r="H155" s="16"/>
    </row>
    <row r="156" spans="1:8" ht="12.5">
      <c r="A156" s="24"/>
      <c r="B156" s="17"/>
      <c r="C156" s="24"/>
      <c r="D156" s="16"/>
      <c r="E156" s="16"/>
      <c r="F156" s="16"/>
      <c r="G156" s="16"/>
      <c r="H156" s="16"/>
    </row>
    <row r="157" spans="1:8" ht="12.5">
      <c r="A157" s="24"/>
      <c r="B157" s="17"/>
      <c r="C157" s="24"/>
      <c r="D157" s="16"/>
      <c r="E157" s="16"/>
      <c r="F157" s="16"/>
      <c r="G157" s="16"/>
      <c r="H157" s="16"/>
    </row>
    <row r="158" spans="1:8" ht="12.5">
      <c r="A158" s="24"/>
      <c r="B158" s="17"/>
      <c r="C158" s="24"/>
      <c r="D158" s="16"/>
      <c r="E158" s="16"/>
      <c r="F158" s="16"/>
      <c r="G158" s="16"/>
      <c r="H158" s="16"/>
    </row>
    <row r="159" spans="1:8" ht="12.5">
      <c r="A159" s="24"/>
      <c r="B159" s="17"/>
      <c r="C159" s="24"/>
      <c r="D159" s="16"/>
      <c r="E159" s="16"/>
      <c r="F159" s="16"/>
      <c r="G159" s="16"/>
      <c r="H159" s="16"/>
    </row>
    <row r="160" spans="1:8" ht="12.5">
      <c r="A160" s="24"/>
      <c r="B160" s="17"/>
      <c r="C160" s="24"/>
      <c r="D160" s="16"/>
      <c r="E160" s="16"/>
      <c r="F160" s="16"/>
      <c r="G160" s="16"/>
      <c r="H160" s="16"/>
    </row>
    <row r="161" spans="1:8" ht="12.5">
      <c r="A161" s="24"/>
      <c r="B161" s="17"/>
      <c r="C161" s="24"/>
      <c r="D161" s="16"/>
      <c r="E161" s="37" t="str">
        <f ca="1">IFERROR(__xludf.DUMMYFUNCTION("IMPORTRANGE(""https://docs.google.com/spreadsheets/d/1XvBdMcjRa-pDfZE7cTM91eH54JoxDdQOcSUyj_sXR-Q/edit#gid=1404531132"",""#3 Cesar Uriel!A11:A80"")"),"CODI")</f>
        <v>CODI</v>
      </c>
      <c r="F161" s="37" t="str">
        <f ca="1">IFERROR(__xludf.DUMMYFUNCTION("IMPORTRANGE(""https://docs.google.com/spreadsheets/d/1XvBdMcjRa-pDfZE7cTM91eH54JoxDdQOcSUyj_sXR-Q/edit#gid=1404531132"",""#3 Cesar Uriel!I11:K80"")"),"Expense Type")</f>
        <v>Expense Type</v>
      </c>
      <c r="G161" s="16" t="str">
        <f ca="1">IFERROR(__xludf.DUMMYFUNCTION("""COMPUTED_VALUE"""),"DESCRIPCION DEL GASTO")</f>
        <v>DESCRIPCION DEL GASTO</v>
      </c>
      <c r="H161" s="16" t="str">
        <f ca="1">IFERROR(__xludf.DUMMYFUNCTION("""COMPUTED_VALUE"""),"FOLIO FACTURA")</f>
        <v>FOLIO FACTURA</v>
      </c>
    </row>
    <row r="162" spans="1:8" ht="12.5">
      <c r="A162" s="24"/>
      <c r="B162" s="17"/>
      <c r="C162" s="24"/>
      <c r="D162" s="16"/>
      <c r="E162" s="16" t="str">
        <f ca="1">IFERROR(__xludf.DUMMYFUNCTION("""COMPUTED_VALUE"""),"TRX1239")</f>
        <v>TRX1239</v>
      </c>
      <c r="F162" s="16" t="str">
        <f ca="1">IFERROR(__xludf.DUMMYFUNCTION("""COMPUTED_VALUE"""),"Sales")</f>
        <v>Sales</v>
      </c>
      <c r="G162" s="16" t="str">
        <f ca="1">IFERROR(__xludf.DUMMYFUNCTION("""COMPUTED_VALUE"""),"Compra de Pulidora y discos para obra Grajales Robles PO1129")</f>
        <v>Compra de Pulidora y discos para obra Grajales Robles PO1129</v>
      </c>
      <c r="H162" s="16" t="str">
        <f ca="1">IFERROR(__xludf.DUMMYFUNCTION("""COMPUTED_VALUE"""),"TICKET")</f>
        <v>TICKET</v>
      </c>
    </row>
    <row r="163" spans="1:8" ht="12.5">
      <c r="A163" s="24"/>
      <c r="B163" s="17"/>
      <c r="C163" s="24"/>
      <c r="D163" s="16"/>
      <c r="E163" s="16" t="str">
        <f ca="1">IFERROR(__xludf.DUMMYFUNCTION("""COMPUTED_VALUE"""),"TRX1151")</f>
        <v>TRX1151</v>
      </c>
      <c r="F163" s="16" t="str">
        <f ca="1">IFERROR(__xludf.DUMMYFUNCTION("""COMPUTED_VALUE"""),"Sales")</f>
        <v>Sales</v>
      </c>
      <c r="G163" s="16" t="str">
        <f ca="1">IFERROR(__xludf.DUMMYFUNCTION("""COMPUTED_VALUE"""),"Gasolina visita desmontaje de Grua Grajales Robles PO1129")</f>
        <v>Gasolina visita desmontaje de Grua Grajales Robles PO1129</v>
      </c>
      <c r="H163" s="16" t="str">
        <f ca="1">IFERROR(__xludf.DUMMYFUNCTION("""COMPUTED_VALUE"""),"TICKET")</f>
        <v>TICKET</v>
      </c>
    </row>
    <row r="164" spans="1:8" ht="12.5">
      <c r="A164" s="24"/>
      <c r="B164" s="17"/>
      <c r="C164" s="24"/>
      <c r="D164" s="16"/>
      <c r="E164" s="16" t="str">
        <f ca="1">IFERROR(__xludf.DUMMYFUNCTION("""COMPUTED_VALUE"""),"TRX1538")</f>
        <v>TRX1538</v>
      </c>
      <c r="F164" s="16" t="str">
        <f ca="1">IFERROR(__xludf.DUMMYFUNCTION("""COMPUTED_VALUE"""),"Sales")</f>
        <v>Sales</v>
      </c>
      <c r="G164" s="16" t="str">
        <f ca="1">IFERROR(__xludf.DUMMYFUNCTION("""COMPUTED_VALUE"""),"Gasolina para Malacate Grajales Robles PO 1129")</f>
        <v>Gasolina para Malacate Grajales Robles PO 1129</v>
      </c>
      <c r="H164" s="16" t="str">
        <f ca="1">IFERROR(__xludf.DUMMYFUNCTION("""COMPUTED_VALUE"""),"TICKET")</f>
        <v>TICKET</v>
      </c>
    </row>
    <row r="165" spans="1:8" ht="12.5">
      <c r="A165" s="24"/>
      <c r="B165" s="17"/>
      <c r="C165" s="24"/>
      <c r="D165" s="16"/>
      <c r="E165" s="16" t="str">
        <f ca="1">IFERROR(__xludf.DUMMYFUNCTION("""COMPUTED_VALUE"""),"TRX1068")</f>
        <v>TRX1068</v>
      </c>
      <c r="F165" s="16" t="str">
        <f ca="1">IFERROR(__xludf.DUMMYFUNCTION("""COMPUTED_VALUE"""),"Sales")</f>
        <v>Sales</v>
      </c>
      <c r="G165" s="16" t="str">
        <f ca="1">IFERROR(__xludf.DUMMYFUNCTION("""COMPUTED_VALUE"""),"Gasolina visita equipo Elvic PO1129")</f>
        <v>Gasolina visita equipo Elvic PO1129</v>
      </c>
      <c r="H165" s="16" t="str">
        <f ca="1">IFERROR(__xludf.DUMMYFUNCTION("""COMPUTED_VALUE"""),"TICKET")</f>
        <v>TICKET</v>
      </c>
    </row>
    <row r="166" spans="1:8" ht="12.5">
      <c r="A166" s="24"/>
      <c r="B166" s="17"/>
      <c r="C166" s="24"/>
      <c r="D166" s="16"/>
      <c r="E166" s="16" t="str">
        <f ca="1">IFERROR(__xludf.DUMMYFUNCTION("""COMPUTED_VALUE"""),"TRX1608")</f>
        <v>TRX1608</v>
      </c>
      <c r="F166" s="16" t="str">
        <f ca="1">IFERROR(__xludf.DUMMYFUNCTION("""COMPUTED_VALUE"""),"Sales")</f>
        <v>Sales</v>
      </c>
      <c r="G166" s="16" t="str">
        <f ca="1">IFERROR(__xludf.DUMMYFUNCTION("""COMPUTED_VALUE"""),"Comida equipo Elvic  PO 1129")</f>
        <v>Comida equipo Elvic  PO 1129</v>
      </c>
      <c r="H166" s="16" t="str">
        <f ca="1">IFERROR(__xludf.DUMMYFUNCTION("""COMPUTED_VALUE"""),"TICKET")</f>
        <v>TICKET</v>
      </c>
    </row>
    <row r="167" spans="1:8" ht="12.5">
      <c r="A167" s="24"/>
      <c r="B167" s="17"/>
      <c r="C167" s="24"/>
      <c r="D167" s="16"/>
      <c r="E167" s="16" t="str">
        <f ca="1">IFERROR(__xludf.DUMMYFUNCTION("""COMPUTED_VALUE"""),"TRX1618")</f>
        <v>TRX1618</v>
      </c>
      <c r="F167" s="16" t="str">
        <f ca="1">IFERROR(__xludf.DUMMYFUNCTION("""COMPUTED_VALUE"""),"Sales")</f>
        <v>Sales</v>
      </c>
      <c r="G167" s="16" t="str">
        <f ca="1">IFERROR(__xludf.DUMMYFUNCTION("""COMPUTED_VALUE"""),"Gasolina Visita deal nuevo Grupo GSA")</f>
        <v>Gasolina Visita deal nuevo Grupo GSA</v>
      </c>
      <c r="H167" s="16" t="str">
        <f ca="1">IFERROR(__xludf.DUMMYFUNCTION("""COMPUTED_VALUE"""),"TICKET")</f>
        <v>TICKET</v>
      </c>
    </row>
    <row r="168" spans="1:8" ht="12.5">
      <c r="A168" s="24"/>
      <c r="B168" s="17"/>
      <c r="C168" s="24"/>
      <c r="D168" s="16"/>
      <c r="E168" s="16" t="str">
        <f ca="1">IFERROR(__xludf.DUMMYFUNCTION("""COMPUTED_VALUE"""),"TRX1068")</f>
        <v>TRX1068</v>
      </c>
      <c r="F168" s="16" t="str">
        <f ca="1">IFERROR(__xludf.DUMMYFUNCTION("""COMPUTED_VALUE"""),"Sales")</f>
        <v>Sales</v>
      </c>
      <c r="G168" s="16"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H168" s="16" t="str">
        <f ca="1">IFERROR(__xludf.DUMMYFUNCTION("""COMPUTED_VALUE"""),"TICKET")</f>
        <v>TICKET</v>
      </c>
    </row>
    <row r="169" spans="1:8" ht="12.5">
      <c r="A169" s="24"/>
      <c r="B169" s="17"/>
      <c r="C169" s="24"/>
      <c r="D169" s="16"/>
      <c r="E169" s="16" t="str">
        <f ca="1">IFERROR(__xludf.DUMMYFUNCTION("""COMPUTED_VALUE"""),"TRX1098")</f>
        <v>TRX1098</v>
      </c>
      <c r="F169" s="16" t="str">
        <f ca="1">IFERROR(__xludf.DUMMYFUNCTION("""COMPUTED_VALUE"""),"Sales")</f>
        <v>Sales</v>
      </c>
      <c r="G169" s="16" t="str">
        <f ca="1">IFERROR(__xludf.DUMMYFUNCTION("""COMPUTED_VALUE"""),"Compra de candado GRAJALES ROBLES PO 1129")</f>
        <v>Compra de candado GRAJALES ROBLES PO 1129</v>
      </c>
      <c r="H169" s="16" t="str">
        <f ca="1">IFERROR(__xludf.DUMMYFUNCTION("""COMPUTED_VALUE"""),"TICKET")</f>
        <v>TICKET</v>
      </c>
    </row>
    <row r="170" spans="1:8" ht="12.5">
      <c r="A170" s="24"/>
      <c r="B170" s="17"/>
      <c r="C170" s="24"/>
      <c r="D170" s="16"/>
      <c r="E170" s="16"/>
      <c r="F170" s="16" t="str">
        <f ca="1">IFERROR(__xludf.DUMMYFUNCTION("""COMPUTED_VALUE"""),"Sales")</f>
        <v>Sales</v>
      </c>
      <c r="G170" s="16"/>
      <c r="H170" s="16"/>
    </row>
    <row r="171" spans="1:8" ht="12.5">
      <c r="A171" s="24"/>
      <c r="B171" s="17"/>
      <c r="C171" s="24"/>
      <c r="D171" s="16"/>
      <c r="E171" s="16"/>
      <c r="F171" s="16" t="str">
        <f ca="1">IFERROR(__xludf.DUMMYFUNCTION("""COMPUTED_VALUE"""),"Sales")</f>
        <v>Sales</v>
      </c>
      <c r="G171" s="16"/>
      <c r="H171" s="16"/>
    </row>
    <row r="172" spans="1:8" ht="12.5">
      <c r="A172" s="24"/>
      <c r="B172" s="17"/>
      <c r="C172" s="24"/>
      <c r="D172" s="16"/>
      <c r="E172" s="16"/>
      <c r="F172" s="16" t="str">
        <f ca="1">IFERROR(__xludf.DUMMYFUNCTION("""COMPUTED_VALUE"""),"Sales")</f>
        <v>Sales</v>
      </c>
      <c r="G172" s="16"/>
      <c r="H172" s="16"/>
    </row>
    <row r="173" spans="1:8" ht="12.5">
      <c r="A173" s="24"/>
      <c r="B173" s="17"/>
      <c r="C173" s="24"/>
      <c r="D173" s="16"/>
      <c r="E173" s="16"/>
      <c r="F173" s="16" t="str">
        <f ca="1">IFERROR(__xludf.DUMMYFUNCTION("""COMPUTED_VALUE"""),"Sales")</f>
        <v>Sales</v>
      </c>
      <c r="G173" s="16"/>
      <c r="H173" s="16"/>
    </row>
    <row r="174" spans="1:8" ht="12.5">
      <c r="A174" s="24"/>
      <c r="B174" s="17"/>
      <c r="C174" s="24"/>
      <c r="D174" s="16"/>
      <c r="E174" s="16"/>
      <c r="F174" s="16" t="str">
        <f ca="1">IFERROR(__xludf.DUMMYFUNCTION("""COMPUTED_VALUE"""),"Sales")</f>
        <v>Sales</v>
      </c>
      <c r="G174" s="16"/>
      <c r="H174" s="16"/>
    </row>
    <row r="175" spans="1:8" ht="12.5">
      <c r="A175" s="24"/>
      <c r="B175" s="17"/>
      <c r="C175" s="24"/>
      <c r="D175" s="16"/>
      <c r="E175" s="16"/>
      <c r="F175" s="16" t="str">
        <f ca="1">IFERROR(__xludf.DUMMYFUNCTION("""COMPUTED_VALUE"""),"Sales")</f>
        <v>Sales</v>
      </c>
      <c r="G175" s="16"/>
      <c r="H175" s="16"/>
    </row>
    <row r="176" spans="1:8" ht="12.5">
      <c r="A176" s="24"/>
      <c r="B176" s="17"/>
      <c r="C176" s="24"/>
      <c r="D176" s="16"/>
      <c r="E176" s="16"/>
      <c r="F176" s="16" t="str">
        <f ca="1">IFERROR(__xludf.DUMMYFUNCTION("""COMPUTED_VALUE"""),"Sales")</f>
        <v>Sales</v>
      </c>
      <c r="G176" s="16"/>
      <c r="H176" s="16"/>
    </row>
    <row r="177" spans="1:8" ht="12.5">
      <c r="A177" s="24"/>
      <c r="B177" s="17"/>
      <c r="C177" s="24"/>
      <c r="D177" s="16"/>
      <c r="E177" s="16"/>
      <c r="F177" s="16" t="str">
        <f ca="1">IFERROR(__xludf.DUMMYFUNCTION("""COMPUTED_VALUE"""),"Sales")</f>
        <v>Sales</v>
      </c>
      <c r="G177" s="16"/>
      <c r="H177" s="16"/>
    </row>
    <row r="178" spans="1:8" ht="12.5">
      <c r="A178" s="24"/>
      <c r="B178" s="17"/>
      <c r="C178" s="24"/>
      <c r="D178" s="16"/>
      <c r="E178" s="16"/>
      <c r="F178" s="16" t="str">
        <f ca="1">IFERROR(__xludf.DUMMYFUNCTION("""COMPUTED_VALUE"""),"Sales")</f>
        <v>Sales</v>
      </c>
      <c r="G178" s="16"/>
      <c r="H178" s="16"/>
    </row>
    <row r="179" spans="1:8" ht="12.5">
      <c r="A179" s="24"/>
      <c r="B179" s="17"/>
      <c r="C179" s="24"/>
      <c r="D179" s="16"/>
      <c r="E179" s="16"/>
      <c r="F179" s="16" t="str">
        <f ca="1">IFERROR(__xludf.DUMMYFUNCTION("""COMPUTED_VALUE"""),"Sales")</f>
        <v>Sales</v>
      </c>
      <c r="G179" s="16"/>
      <c r="H179" s="16"/>
    </row>
    <row r="180" spans="1:8" ht="12.5">
      <c r="A180" s="24"/>
      <c r="B180" s="17"/>
      <c r="C180" s="24"/>
      <c r="D180" s="16"/>
      <c r="E180" s="16"/>
      <c r="F180" s="16" t="str">
        <f ca="1">IFERROR(__xludf.DUMMYFUNCTION("""COMPUTED_VALUE"""),"Sales")</f>
        <v>Sales</v>
      </c>
      <c r="G180" s="16"/>
      <c r="H180" s="16"/>
    </row>
    <row r="181" spans="1:8" ht="12.5">
      <c r="A181" s="24"/>
      <c r="B181" s="17"/>
      <c r="C181" s="24"/>
      <c r="D181" s="16"/>
      <c r="E181" s="16"/>
      <c r="F181" s="16" t="str">
        <f ca="1">IFERROR(__xludf.DUMMYFUNCTION("""COMPUTED_VALUE"""),"Sales")</f>
        <v>Sales</v>
      </c>
      <c r="G181" s="16"/>
      <c r="H181" s="16"/>
    </row>
    <row r="182" spans="1:8" ht="12.5">
      <c r="A182" s="24"/>
      <c r="B182" s="17"/>
      <c r="C182" s="24"/>
      <c r="D182" s="16"/>
      <c r="E182" s="16"/>
      <c r="F182" s="16" t="str">
        <f ca="1">IFERROR(__xludf.DUMMYFUNCTION("""COMPUTED_VALUE"""),"Sales")</f>
        <v>Sales</v>
      </c>
      <c r="G182" s="16"/>
      <c r="H182" s="16"/>
    </row>
    <row r="183" spans="1:8" ht="12.5">
      <c r="A183" s="24"/>
      <c r="B183" s="17"/>
      <c r="C183" s="24"/>
      <c r="D183" s="16"/>
      <c r="E183" s="16"/>
      <c r="F183" s="16"/>
      <c r="G183" s="16"/>
      <c r="H183" s="16" t="str">
        <f ca="1">IFERROR(__xludf.DUMMYFUNCTION("""COMPUTED_VALUE"""),".")</f>
        <v>.</v>
      </c>
    </row>
    <row r="184" spans="1:8" ht="12.5">
      <c r="A184" s="24"/>
      <c r="B184" s="17"/>
      <c r="C184" s="24"/>
      <c r="D184" s="16"/>
      <c r="E184" s="16"/>
      <c r="F184" s="16"/>
      <c r="G184" s="16"/>
      <c r="H184" s="16" t="str">
        <f ca="1">IFERROR(__xludf.DUMMYFUNCTION("""COMPUTED_VALUE"""),".")</f>
        <v>.</v>
      </c>
    </row>
    <row r="185" spans="1:8" ht="12.5">
      <c r="A185" s="24"/>
      <c r="B185" s="17"/>
      <c r="C185" s="24"/>
      <c r="D185" s="16"/>
      <c r="E185" s="16"/>
      <c r="F185" s="16"/>
      <c r="G185" s="16"/>
      <c r="H185" s="16" t="str">
        <f ca="1">IFERROR(__xludf.DUMMYFUNCTION("""COMPUTED_VALUE"""),".")</f>
        <v>.</v>
      </c>
    </row>
    <row r="186" spans="1:8" ht="12.5">
      <c r="A186" s="24"/>
      <c r="B186" s="17"/>
      <c r="C186" s="24"/>
      <c r="D186" s="16"/>
      <c r="E186" s="16"/>
      <c r="F186" s="16"/>
      <c r="G186" s="16"/>
      <c r="H186" s="16" t="str">
        <f ca="1">IFERROR(__xludf.DUMMYFUNCTION("""COMPUTED_VALUE"""),".")</f>
        <v>.</v>
      </c>
    </row>
    <row r="187" spans="1:8" ht="12.5">
      <c r="A187" s="24"/>
      <c r="B187" s="17"/>
      <c r="C187" s="24"/>
      <c r="D187" s="16"/>
      <c r="E187" s="16"/>
      <c r="F187" s="16"/>
      <c r="G187" s="16"/>
      <c r="H187" s="16" t="str">
        <f ca="1">IFERROR(__xludf.DUMMYFUNCTION("""COMPUTED_VALUE"""),".")</f>
        <v>.</v>
      </c>
    </row>
    <row r="188" spans="1:8" ht="12.5">
      <c r="A188" s="24"/>
      <c r="B188" s="17"/>
      <c r="C188" s="24"/>
      <c r="D188" s="16"/>
      <c r="E188" s="16"/>
      <c r="F188" s="16"/>
      <c r="G188" s="16"/>
      <c r="H188" s="16" t="str">
        <f ca="1">IFERROR(__xludf.DUMMYFUNCTION("""COMPUTED_VALUE"""),".")</f>
        <v>.</v>
      </c>
    </row>
    <row r="189" spans="1:8" ht="12.5">
      <c r="A189" s="24"/>
      <c r="B189" s="17"/>
      <c r="C189" s="24"/>
      <c r="D189" s="16"/>
      <c r="E189" s="16"/>
      <c r="F189" s="16"/>
      <c r="G189" s="16"/>
      <c r="H189" s="16" t="str">
        <f ca="1">IFERROR(__xludf.DUMMYFUNCTION("""COMPUTED_VALUE"""),".")</f>
        <v>.</v>
      </c>
    </row>
    <row r="190" spans="1:8" ht="12.5">
      <c r="A190" s="24"/>
      <c r="B190" s="17"/>
      <c r="C190" s="24"/>
      <c r="D190" s="16"/>
      <c r="E190" s="16"/>
      <c r="F190" s="16"/>
      <c r="G190" s="16"/>
      <c r="H190" s="16" t="str">
        <f ca="1">IFERROR(__xludf.DUMMYFUNCTION("""COMPUTED_VALUE"""),".")</f>
        <v>.</v>
      </c>
    </row>
    <row r="191" spans="1:8" ht="12.5">
      <c r="A191" s="24"/>
      <c r="B191" s="17"/>
      <c r="C191" s="24"/>
      <c r="D191" s="16"/>
      <c r="E191" s="16"/>
      <c r="F191" s="16"/>
      <c r="G191" s="16"/>
      <c r="H191" s="16" t="str">
        <f ca="1">IFERROR(__xludf.DUMMYFUNCTION("""COMPUTED_VALUE"""),".")</f>
        <v>.</v>
      </c>
    </row>
    <row r="192" spans="1:8" ht="12.5">
      <c r="A192" s="24"/>
      <c r="B192" s="17"/>
      <c r="C192" s="24"/>
      <c r="D192" s="16"/>
      <c r="E192" s="16"/>
      <c r="F192" s="16"/>
      <c r="G192" s="16"/>
      <c r="H192" s="16" t="str">
        <f ca="1">IFERROR(__xludf.DUMMYFUNCTION("""COMPUTED_VALUE"""),".")</f>
        <v>.</v>
      </c>
    </row>
    <row r="193" spans="1:8" ht="12.5">
      <c r="A193" s="24"/>
      <c r="B193" s="17"/>
      <c r="C193" s="24"/>
      <c r="D193" s="16"/>
      <c r="E193" s="16"/>
      <c r="F193" s="16"/>
      <c r="G193" s="16"/>
      <c r="H193" s="16" t="str">
        <f ca="1">IFERROR(__xludf.DUMMYFUNCTION("""COMPUTED_VALUE"""),".")</f>
        <v>.</v>
      </c>
    </row>
    <row r="194" spans="1:8" ht="12.5">
      <c r="A194" s="24"/>
      <c r="B194" s="17"/>
      <c r="C194" s="24"/>
      <c r="D194" s="16"/>
      <c r="E194" s="16"/>
      <c r="F194" s="16"/>
      <c r="G194" s="16"/>
      <c r="H194" s="16" t="str">
        <f ca="1">IFERROR(__xludf.DUMMYFUNCTION("""COMPUTED_VALUE"""),".")</f>
        <v>.</v>
      </c>
    </row>
    <row r="195" spans="1:8" ht="12.5">
      <c r="A195" s="24"/>
      <c r="B195" s="17"/>
      <c r="C195" s="24"/>
      <c r="D195" s="16"/>
      <c r="E195" s="16"/>
      <c r="F195" s="16"/>
      <c r="G195" s="16"/>
      <c r="H195" s="16" t="str">
        <f ca="1">IFERROR(__xludf.DUMMYFUNCTION("""COMPUTED_VALUE"""),".")</f>
        <v>.</v>
      </c>
    </row>
    <row r="196" spans="1:8" ht="12.5">
      <c r="A196" s="24"/>
      <c r="B196" s="17"/>
      <c r="C196" s="24"/>
      <c r="D196" s="16"/>
      <c r="E196" s="16"/>
      <c r="F196" s="16"/>
      <c r="G196" s="16"/>
      <c r="H196" s="16" t="str">
        <f ca="1">IFERROR(__xludf.DUMMYFUNCTION("""COMPUTED_VALUE"""),".")</f>
        <v>.</v>
      </c>
    </row>
    <row r="197" spans="1:8" ht="12.5">
      <c r="A197" s="24"/>
      <c r="B197" s="17"/>
      <c r="C197" s="24"/>
      <c r="D197" s="16"/>
      <c r="E197" s="16"/>
      <c r="F197" s="16"/>
      <c r="G197" s="16"/>
      <c r="H197" s="16" t="str">
        <f ca="1">IFERROR(__xludf.DUMMYFUNCTION("""COMPUTED_VALUE"""),".")</f>
        <v>.</v>
      </c>
    </row>
    <row r="198" spans="1:8" ht="12.5">
      <c r="A198" s="24"/>
      <c r="B198" s="17"/>
      <c r="C198" s="24"/>
      <c r="D198" s="16"/>
      <c r="E198" s="16"/>
      <c r="F198" s="16"/>
      <c r="G198" s="16"/>
      <c r="H198" s="16" t="str">
        <f ca="1">IFERROR(__xludf.DUMMYFUNCTION("""COMPUTED_VALUE"""),".")</f>
        <v>.</v>
      </c>
    </row>
    <row r="199" spans="1:8" ht="12.5">
      <c r="A199" s="24"/>
      <c r="B199" s="17"/>
      <c r="C199" s="24"/>
      <c r="D199" s="16"/>
      <c r="E199" s="16"/>
      <c r="F199" s="16"/>
      <c r="G199" s="16"/>
      <c r="H199" s="16" t="str">
        <f ca="1">IFERROR(__xludf.DUMMYFUNCTION("""COMPUTED_VALUE"""),".")</f>
        <v>.</v>
      </c>
    </row>
    <row r="200" spans="1:8" ht="12.5">
      <c r="A200" s="24"/>
      <c r="B200" s="17"/>
      <c r="C200" s="24"/>
      <c r="D200" s="16"/>
      <c r="E200" s="16"/>
      <c r="F200" s="16"/>
      <c r="G200" s="16"/>
      <c r="H200" s="16" t="str">
        <f ca="1">IFERROR(__xludf.DUMMYFUNCTION("""COMPUTED_VALUE"""),".")</f>
        <v>.</v>
      </c>
    </row>
    <row r="201" spans="1:8" ht="12.5">
      <c r="A201" s="24"/>
      <c r="B201" s="17"/>
      <c r="C201" s="24"/>
      <c r="D201" s="16"/>
      <c r="E201" s="16"/>
      <c r="F201" s="16"/>
      <c r="G201" s="16"/>
      <c r="H201" s="16" t="str">
        <f ca="1">IFERROR(__xludf.DUMMYFUNCTION("""COMPUTED_VALUE"""),".")</f>
        <v>.</v>
      </c>
    </row>
    <row r="202" spans="1:8" ht="12.5">
      <c r="A202" s="24"/>
      <c r="B202" s="17"/>
      <c r="C202" s="24"/>
      <c r="D202" s="16"/>
      <c r="E202" s="16"/>
      <c r="F202" s="16"/>
      <c r="G202" s="16"/>
      <c r="H202" s="16" t="str">
        <f ca="1">IFERROR(__xludf.DUMMYFUNCTION("""COMPUTED_VALUE"""),".")</f>
        <v>.</v>
      </c>
    </row>
    <row r="203" spans="1:8" ht="12.5">
      <c r="A203" s="24"/>
      <c r="B203" s="17"/>
      <c r="C203" s="24"/>
      <c r="D203" s="16"/>
      <c r="E203" s="16"/>
      <c r="F203" s="16"/>
      <c r="G203" s="16"/>
      <c r="H203" s="16" t="str">
        <f ca="1">IFERROR(__xludf.DUMMYFUNCTION("""COMPUTED_VALUE"""),".")</f>
        <v>.</v>
      </c>
    </row>
    <row r="204" spans="1:8" ht="12.5">
      <c r="A204" s="24"/>
      <c r="B204" s="17"/>
      <c r="C204" s="24"/>
      <c r="D204" s="16"/>
      <c r="E204" s="16"/>
      <c r="F204" s="16"/>
      <c r="G204" s="16"/>
      <c r="H204" s="16" t="str">
        <f ca="1">IFERROR(__xludf.DUMMYFUNCTION("""COMPUTED_VALUE"""),".")</f>
        <v>.</v>
      </c>
    </row>
    <row r="205" spans="1:8" ht="12.5">
      <c r="A205" s="24"/>
      <c r="B205" s="17"/>
      <c r="C205" s="24"/>
      <c r="D205" s="16"/>
      <c r="E205" s="16"/>
      <c r="F205" s="16"/>
      <c r="G205" s="16"/>
      <c r="H205" s="16" t="str">
        <f ca="1">IFERROR(__xludf.DUMMYFUNCTION("""COMPUTED_VALUE"""),".")</f>
        <v>.</v>
      </c>
    </row>
    <row r="206" spans="1:8" ht="12.5">
      <c r="A206" s="24"/>
      <c r="B206" s="17"/>
      <c r="C206" s="24"/>
      <c r="D206" s="16"/>
      <c r="E206" s="16"/>
      <c r="F206" s="16"/>
      <c r="G206" s="16"/>
      <c r="H206" s="16" t="str">
        <f ca="1">IFERROR(__xludf.DUMMYFUNCTION("""COMPUTED_VALUE"""),".")</f>
        <v>.</v>
      </c>
    </row>
    <row r="207" spans="1:8" ht="12.5">
      <c r="A207" s="24"/>
      <c r="B207" s="17"/>
      <c r="C207" s="24"/>
      <c r="D207" s="16"/>
      <c r="E207" s="16"/>
      <c r="F207" s="16"/>
      <c r="G207" s="16"/>
      <c r="H207" s="16" t="str">
        <f ca="1">IFERROR(__xludf.DUMMYFUNCTION("""COMPUTED_VALUE"""),".")</f>
        <v>.</v>
      </c>
    </row>
    <row r="208" spans="1:8" ht="12.5">
      <c r="A208" s="24"/>
      <c r="B208" s="17"/>
      <c r="C208" s="24"/>
      <c r="D208" s="16"/>
      <c r="E208" s="16"/>
      <c r="F208" s="16"/>
      <c r="G208" s="16"/>
      <c r="H208" s="16" t="str">
        <f ca="1">IFERROR(__xludf.DUMMYFUNCTION("""COMPUTED_VALUE"""),".")</f>
        <v>.</v>
      </c>
    </row>
    <row r="209" spans="1:8" ht="12.5">
      <c r="A209" s="24"/>
      <c r="B209" s="17"/>
      <c r="C209" s="24"/>
      <c r="D209" s="16"/>
      <c r="E209" s="16"/>
      <c r="F209" s="16"/>
      <c r="G209" s="16"/>
      <c r="H209" s="16" t="str">
        <f ca="1">IFERROR(__xludf.DUMMYFUNCTION("""COMPUTED_VALUE"""),".")</f>
        <v>.</v>
      </c>
    </row>
    <row r="210" spans="1:8" ht="12.5">
      <c r="A210" s="24"/>
      <c r="B210" s="17"/>
      <c r="C210" s="24"/>
      <c r="D210" s="16"/>
      <c r="E210" s="16"/>
      <c r="F210" s="16"/>
      <c r="G210" s="16"/>
      <c r="H210" s="16" t="str">
        <f ca="1">IFERROR(__xludf.DUMMYFUNCTION("""COMPUTED_VALUE"""),".")</f>
        <v>.</v>
      </c>
    </row>
    <row r="211" spans="1:8" ht="12.5">
      <c r="A211" s="24"/>
      <c r="B211" s="17"/>
      <c r="C211" s="24"/>
      <c r="D211" s="16"/>
      <c r="E211" s="16"/>
      <c r="F211" s="16"/>
      <c r="G211" s="16"/>
      <c r="H211" s="16" t="str">
        <f ca="1">IFERROR(__xludf.DUMMYFUNCTION("""COMPUTED_VALUE"""),".")</f>
        <v>.</v>
      </c>
    </row>
    <row r="212" spans="1:8" ht="12.5">
      <c r="A212" s="24"/>
      <c r="B212" s="17"/>
      <c r="C212" s="24"/>
      <c r="D212" s="16"/>
      <c r="E212" s="16"/>
      <c r="F212" s="16"/>
      <c r="G212" s="16"/>
      <c r="H212" s="16" t="str">
        <f ca="1">IFERROR(__xludf.DUMMYFUNCTION("""COMPUTED_VALUE"""),".")</f>
        <v>.</v>
      </c>
    </row>
    <row r="213" spans="1:8" ht="12.5">
      <c r="A213" s="24"/>
      <c r="B213" s="17"/>
      <c r="C213" s="24"/>
      <c r="D213" s="16"/>
      <c r="E213" s="16"/>
      <c r="F213" s="16"/>
      <c r="G213" s="16"/>
      <c r="H213" s="16" t="str">
        <f ca="1">IFERROR(__xludf.DUMMYFUNCTION("""COMPUTED_VALUE"""),".")</f>
        <v>.</v>
      </c>
    </row>
    <row r="214" spans="1:8" ht="12.5">
      <c r="A214" s="24"/>
      <c r="B214" s="17"/>
      <c r="C214" s="24"/>
      <c r="D214" s="16"/>
      <c r="E214" s="16"/>
      <c r="F214" s="16"/>
      <c r="G214" s="16"/>
      <c r="H214" s="16" t="str">
        <f ca="1">IFERROR(__xludf.DUMMYFUNCTION("""COMPUTED_VALUE"""),".")</f>
        <v>.</v>
      </c>
    </row>
    <row r="215" spans="1:8" ht="12.5">
      <c r="A215" s="24"/>
      <c r="B215" s="17"/>
      <c r="C215" s="24"/>
      <c r="D215" s="16"/>
      <c r="E215" s="16"/>
      <c r="F215" s="16"/>
      <c r="G215" s="16"/>
      <c r="H215" s="16" t="str">
        <f ca="1">IFERROR(__xludf.DUMMYFUNCTION("""COMPUTED_VALUE"""),".")</f>
        <v>.</v>
      </c>
    </row>
    <row r="216" spans="1:8" ht="12.5">
      <c r="A216" s="24"/>
      <c r="B216" s="17"/>
      <c r="C216" s="24"/>
      <c r="D216" s="16"/>
      <c r="E216" s="16"/>
      <c r="F216" s="16"/>
      <c r="G216" s="16"/>
      <c r="H216" s="16" t="str">
        <f ca="1">IFERROR(__xludf.DUMMYFUNCTION("""COMPUTED_VALUE"""),".")</f>
        <v>.</v>
      </c>
    </row>
    <row r="217" spans="1:8" ht="12.5">
      <c r="A217" s="24"/>
      <c r="B217" s="17"/>
      <c r="C217" s="24"/>
      <c r="D217" s="16"/>
      <c r="E217" s="16"/>
      <c r="F217" s="16"/>
      <c r="G217" s="16"/>
      <c r="H217" s="16" t="str">
        <f ca="1">IFERROR(__xludf.DUMMYFUNCTION("""COMPUTED_VALUE"""),".")</f>
        <v>.</v>
      </c>
    </row>
    <row r="218" spans="1:8" ht="12.5">
      <c r="A218" s="24"/>
      <c r="B218" s="17"/>
      <c r="C218" s="24"/>
      <c r="D218" s="16"/>
      <c r="E218" s="16"/>
      <c r="F218" s="16"/>
      <c r="G218" s="16"/>
      <c r="H218" s="16" t="str">
        <f ca="1">IFERROR(__xludf.DUMMYFUNCTION("""COMPUTED_VALUE"""),".")</f>
        <v>.</v>
      </c>
    </row>
    <row r="219" spans="1:8" ht="12.5">
      <c r="A219" s="24"/>
      <c r="B219" s="17"/>
      <c r="C219" s="24"/>
      <c r="D219" s="16"/>
      <c r="E219" s="16"/>
      <c r="F219" s="16"/>
      <c r="G219" s="16"/>
      <c r="H219" s="16" t="str">
        <f ca="1">IFERROR(__xludf.DUMMYFUNCTION("""COMPUTED_VALUE"""),".")</f>
        <v>.</v>
      </c>
    </row>
    <row r="220" spans="1:8" ht="12.5">
      <c r="A220" s="24"/>
      <c r="B220" s="17"/>
      <c r="C220" s="24"/>
      <c r="D220" s="16"/>
      <c r="E220" s="16"/>
      <c r="F220" s="16"/>
      <c r="G220" s="16"/>
      <c r="H220" s="16" t="str">
        <f ca="1">IFERROR(__xludf.DUMMYFUNCTION("""COMPUTED_VALUE"""),".")</f>
        <v>.</v>
      </c>
    </row>
    <row r="221" spans="1:8" ht="12.5">
      <c r="A221" s="24"/>
      <c r="B221" s="17"/>
      <c r="C221" s="24"/>
      <c r="D221" s="16"/>
      <c r="E221" s="16"/>
      <c r="F221" s="16"/>
      <c r="G221" s="16"/>
      <c r="H221" s="16" t="str">
        <f ca="1">IFERROR(__xludf.DUMMYFUNCTION("""COMPUTED_VALUE"""),".")</f>
        <v>.</v>
      </c>
    </row>
    <row r="222" spans="1:8" ht="12.5">
      <c r="A222" s="24"/>
      <c r="B222" s="17"/>
      <c r="C222" s="24"/>
      <c r="D222" s="16"/>
      <c r="E222" s="16"/>
      <c r="F222" s="16"/>
      <c r="G222" s="16"/>
      <c r="H222" s="16" t="str">
        <f ca="1">IFERROR(__xludf.DUMMYFUNCTION("""COMPUTED_VALUE"""),".")</f>
        <v>.</v>
      </c>
    </row>
    <row r="223" spans="1:8" ht="12.5">
      <c r="A223" s="24"/>
      <c r="B223" s="17"/>
      <c r="C223" s="24"/>
      <c r="D223" s="16"/>
      <c r="E223" s="16"/>
      <c r="F223" s="16"/>
      <c r="G223" s="16"/>
      <c r="H223" s="16" t="str">
        <f ca="1">IFERROR(__xludf.DUMMYFUNCTION("""COMPUTED_VALUE"""),".")</f>
        <v>.</v>
      </c>
    </row>
    <row r="224" spans="1:8" ht="12.5">
      <c r="A224" s="24"/>
      <c r="B224" s="17"/>
      <c r="C224" s="24"/>
      <c r="D224" s="16"/>
      <c r="E224" s="16"/>
      <c r="F224" s="16"/>
      <c r="G224" s="16"/>
      <c r="H224" s="16" t="str">
        <f ca="1">IFERROR(__xludf.DUMMYFUNCTION("""COMPUTED_VALUE"""),".")</f>
        <v>.</v>
      </c>
    </row>
    <row r="225" spans="1:8" ht="12.5">
      <c r="A225" s="24"/>
      <c r="B225" s="17"/>
      <c r="C225" s="24"/>
      <c r="D225" s="16"/>
      <c r="E225" s="16"/>
      <c r="F225" s="16"/>
      <c r="G225" s="16"/>
      <c r="H225" s="16" t="str">
        <f ca="1">IFERROR(__xludf.DUMMYFUNCTION("""COMPUTED_VALUE"""),".")</f>
        <v>.</v>
      </c>
    </row>
    <row r="226" spans="1:8" ht="12.5">
      <c r="A226" s="24"/>
      <c r="B226" s="17"/>
      <c r="C226" s="24"/>
      <c r="D226" s="16"/>
      <c r="E226" s="16"/>
      <c r="F226" s="16"/>
      <c r="G226" s="16"/>
      <c r="H226" s="16" t="str">
        <f ca="1">IFERROR(__xludf.DUMMYFUNCTION("""COMPUTED_VALUE"""),".")</f>
        <v>.</v>
      </c>
    </row>
    <row r="227" spans="1:8" ht="12.5">
      <c r="A227" s="24"/>
      <c r="B227" s="17"/>
      <c r="C227" s="24"/>
      <c r="D227" s="16"/>
      <c r="E227" s="16"/>
      <c r="F227" s="16"/>
      <c r="G227" s="16"/>
      <c r="H227" s="16" t="str">
        <f ca="1">IFERROR(__xludf.DUMMYFUNCTION("""COMPUTED_VALUE"""),".")</f>
        <v>.</v>
      </c>
    </row>
    <row r="228" spans="1:8" ht="12.5">
      <c r="A228" s="24"/>
      <c r="B228" s="17"/>
      <c r="C228" s="24"/>
      <c r="D228" s="16"/>
      <c r="E228" s="16"/>
      <c r="F228" s="16"/>
      <c r="G228" s="16"/>
      <c r="H228" s="16" t="str">
        <f ca="1">IFERROR(__xludf.DUMMYFUNCTION("""COMPUTED_VALUE"""),".")</f>
        <v>.</v>
      </c>
    </row>
    <row r="229" spans="1:8" ht="12.5">
      <c r="A229" s="24"/>
      <c r="B229" s="17"/>
      <c r="C229" s="24"/>
      <c r="D229" s="16"/>
      <c r="E229" s="16"/>
      <c r="F229" s="16"/>
      <c r="G229" s="16"/>
      <c r="H229" s="16" t="str">
        <f ca="1">IFERROR(__xludf.DUMMYFUNCTION("""COMPUTED_VALUE"""),".")</f>
        <v>.</v>
      </c>
    </row>
    <row r="230" spans="1:8" ht="12.5">
      <c r="A230" s="24"/>
      <c r="B230" s="17"/>
      <c r="C230" s="24"/>
      <c r="D230" s="16"/>
      <c r="E230" s="16"/>
      <c r="F230" s="16"/>
      <c r="G230" s="16"/>
      <c r="H230" s="16" t="str">
        <f ca="1">IFERROR(__xludf.DUMMYFUNCTION("""COMPUTED_VALUE"""),".")</f>
        <v>.</v>
      </c>
    </row>
    <row r="231" spans="1:8" ht="12.5">
      <c r="A231" s="24"/>
      <c r="B231" s="17"/>
      <c r="C231" s="24"/>
      <c r="D231" s="16"/>
      <c r="E231" s="16"/>
      <c r="F231" s="16"/>
      <c r="G231" s="16"/>
      <c r="H231" s="16"/>
    </row>
    <row r="232" spans="1:8" ht="12.5">
      <c r="A232" s="24"/>
      <c r="B232" s="17"/>
      <c r="C232" s="24"/>
      <c r="D232" s="16"/>
      <c r="E232" s="16"/>
      <c r="F232" s="16"/>
      <c r="G232" s="16"/>
      <c r="H232" s="16"/>
    </row>
    <row r="233" spans="1:8" ht="12.5">
      <c r="A233" s="24"/>
      <c r="B233" s="17"/>
      <c r="C233" s="24"/>
      <c r="D233" s="16"/>
      <c r="E233" s="16"/>
      <c r="F233" s="16"/>
      <c r="G233" s="16"/>
      <c r="H233" s="16"/>
    </row>
    <row r="234" spans="1:8" ht="12.5">
      <c r="A234" s="24"/>
      <c r="B234" s="17"/>
      <c r="C234" s="24"/>
      <c r="D234" s="16"/>
      <c r="E234" s="16"/>
      <c r="F234" s="16"/>
      <c r="G234" s="16"/>
      <c r="H234" s="16"/>
    </row>
    <row r="235" spans="1:8" ht="12.5">
      <c r="A235" s="24"/>
      <c r="B235" s="17"/>
      <c r="C235" s="24"/>
      <c r="D235" s="16"/>
      <c r="E235" s="16"/>
      <c r="F235" s="16"/>
      <c r="G235" s="16"/>
      <c r="H235" s="16"/>
    </row>
    <row r="236" spans="1:8" ht="12.5">
      <c r="A236" s="24"/>
      <c r="B236" s="17"/>
      <c r="C236" s="24"/>
      <c r="D236" s="16"/>
      <c r="E236" s="16"/>
      <c r="F236" s="16"/>
      <c r="G236" s="16"/>
      <c r="H236" s="16"/>
    </row>
    <row r="237" spans="1:8" ht="12.5">
      <c r="A237" s="24"/>
      <c r="B237" s="17"/>
      <c r="C237" s="24"/>
      <c r="D237" s="16"/>
      <c r="E237" s="16"/>
      <c r="F237" s="16"/>
      <c r="G237" s="16"/>
      <c r="H237" s="16"/>
    </row>
    <row r="238" spans="1:8" ht="12.5">
      <c r="A238" s="24"/>
      <c r="B238" s="17"/>
      <c r="C238" s="24"/>
      <c r="D238" s="16"/>
      <c r="E238" s="16"/>
      <c r="F238" s="16"/>
      <c r="G238" s="16"/>
      <c r="H238" s="16"/>
    </row>
    <row r="239" spans="1:8" ht="12.5">
      <c r="A239" s="24"/>
      <c r="B239" s="17"/>
      <c r="C239" s="24"/>
      <c r="D239" s="16"/>
      <c r="E239" s="16"/>
      <c r="F239" s="16"/>
      <c r="G239" s="16"/>
      <c r="H239" s="16"/>
    </row>
    <row r="240" spans="1:8" ht="12.5">
      <c r="A240" s="24"/>
      <c r="B240" s="17"/>
      <c r="C240" s="24"/>
      <c r="D240" s="16"/>
      <c r="E240" s="16"/>
      <c r="F240" s="16"/>
      <c r="G240" s="16"/>
      <c r="H240" s="16"/>
    </row>
    <row r="241" spans="1:8" ht="12.5">
      <c r="A241" s="24"/>
      <c r="B241" s="17"/>
      <c r="C241" s="24"/>
      <c r="D241" s="16"/>
      <c r="E241" s="16"/>
      <c r="F241" s="16"/>
      <c r="G241" s="16"/>
      <c r="H241" s="16"/>
    </row>
    <row r="242" spans="1:8" ht="12.5">
      <c r="A242" s="24"/>
      <c r="B242" s="17"/>
      <c r="C242" s="24"/>
      <c r="D242" s="16"/>
      <c r="E242" s="37" t="str">
        <f ca="1">IFERROR(__xludf.DUMMYFUNCTION("IMPORTRANGE(""https://docs.google.com/spreadsheets/d/1ghPq2GXSRxm4-7nokWB-4NeQT5BT6DZC88IPWta5RGM/edit#gid=188114201"",""#4 Daniel Autrique!A11:A80"")"),"CODI")</f>
        <v>CODI</v>
      </c>
      <c r="F242" s="37" t="str">
        <f ca="1">IFERROR(__xludf.DUMMYFUNCTION("IMPORTRANGE(""https://docs.google.com/spreadsheets/d/1ghPq2GXSRxm4-7nokWB-4NeQT5BT6DZC88IPWta5RGM/edit#gid=188114201"",""#4 Daniel Autrique!I11:K80"")"),"Expense Type")</f>
        <v>Expense Type</v>
      </c>
      <c r="G242" s="16" t="str">
        <f ca="1">IFERROR(__xludf.DUMMYFUNCTION("""COMPUTED_VALUE"""),"DESCRIPCION DEL CARGO")</f>
        <v>DESCRIPCION DEL CARGO</v>
      </c>
      <c r="H242" s="16" t="str">
        <f ca="1">IFERROR(__xludf.DUMMYFUNCTION("""COMPUTED_VALUE"""),"FOLIO DE FACTURA")</f>
        <v>FOLIO DE FACTURA</v>
      </c>
    </row>
    <row r="243" spans="1:8" ht="12.5">
      <c r="A243" s="24"/>
      <c r="B243" s="17"/>
      <c r="C243" s="24"/>
      <c r="D243" s="16"/>
      <c r="E243" s="16" t="str">
        <f ca="1">IFERROR(__xludf.DUMMYFUNCTION("""COMPUTED_VALUE"""),"TRX1288")</f>
        <v>TRX1288</v>
      </c>
      <c r="F243" s="16" t="str">
        <f ca="1">IFERROR(__xludf.DUMMYFUNCTION("""COMPUTED_VALUE"""),"Recruiting")</f>
        <v>Recruiting</v>
      </c>
      <c r="G243" s="16" t="str">
        <f ca="1">IFERROR(__xludf.DUMMYFUNCTION("""COMPUTED_VALUE"""),"LinkedIn")</f>
        <v>LinkedIn</v>
      </c>
      <c r="H243" s="16" t="str">
        <f ca="1">IFERROR(__xludf.DUMMYFUNCTION("""COMPUTED_VALUE"""),".")</f>
        <v>.</v>
      </c>
    </row>
    <row r="244" spans="1:8" ht="12.5">
      <c r="A244" s="24"/>
      <c r="B244" s="17"/>
      <c r="C244" s="24"/>
      <c r="D244" s="16"/>
      <c r="E244" s="16" t="str">
        <f ca="1">IFERROR(__xludf.DUMMYFUNCTION("""COMPUTED_VALUE"""),"TRX1279")</f>
        <v>TRX1279</v>
      </c>
      <c r="F244" s="16" t="str">
        <f ca="1">IFERROR(__xludf.DUMMYFUNCTION("""COMPUTED_VALUE"""),"Sales")</f>
        <v>Sales</v>
      </c>
      <c r="G244" s="16" t="str">
        <f ca="1">IFERROR(__xludf.DUMMYFUNCTION("""COMPUTED_VALUE"""),"Vuelo a chicago Radioflyer")</f>
        <v>Vuelo a chicago Radioflyer</v>
      </c>
      <c r="H244" s="16" t="str">
        <f ca="1">IFERROR(__xludf.DUMMYFUNCTION("""COMPUTED_VALUE"""),".")</f>
        <v>.</v>
      </c>
    </row>
    <row r="245" spans="1:8" ht="12.5">
      <c r="A245" s="24"/>
      <c r="B245" s="17"/>
      <c r="C245" s="24"/>
      <c r="D245" s="16"/>
      <c r="E245" s="16" t="str">
        <f ca="1">IFERROR(__xludf.DUMMYFUNCTION("""COMPUTED_VALUE"""),"TRX1272")</f>
        <v>TRX1272</v>
      </c>
      <c r="F245" s="16" t="str">
        <f ca="1">IFERROR(__xludf.DUMMYFUNCTION("""COMPUTED_VALUE"""),"Sales")</f>
        <v>Sales</v>
      </c>
      <c r="G245" s="16"/>
      <c r="H245" s="16" t="str">
        <f ca="1">IFERROR(__xludf.DUMMYFUNCTION("""COMPUTED_VALUE"""),".")</f>
        <v>.</v>
      </c>
    </row>
    <row r="246" spans="1:8" ht="12.5">
      <c r="A246" s="24"/>
      <c r="B246" s="17"/>
      <c r="C246" s="24"/>
      <c r="D246" s="16"/>
      <c r="E246" s="16" t="str">
        <f ca="1">IFERROR(__xludf.DUMMYFUNCTION("""COMPUTED_VALUE"""),"TRX1271")</f>
        <v>TRX1271</v>
      </c>
      <c r="F246" s="16" t="str">
        <f ca="1">IFERROR(__xludf.DUMMYFUNCTION("""COMPUTED_VALUE"""),"Sales")</f>
        <v>Sales</v>
      </c>
      <c r="G246" s="16"/>
      <c r="H246" s="16" t="str">
        <f ca="1">IFERROR(__xludf.DUMMYFUNCTION("""COMPUTED_VALUE"""),".")</f>
        <v>.</v>
      </c>
    </row>
    <row r="247" spans="1:8" ht="12.5">
      <c r="A247" s="24"/>
      <c r="B247" s="17"/>
      <c r="C247" s="24"/>
      <c r="D247" s="16"/>
      <c r="E247" s="16" t="str">
        <f ca="1">IFERROR(__xludf.DUMMYFUNCTION("""COMPUTED_VALUE"""),"TRX1197")</f>
        <v>TRX1197</v>
      </c>
      <c r="F247" s="16" t="str">
        <f ca="1">IFERROR(__xludf.DUMMYFUNCTION("""COMPUTED_VALUE"""),"G&amp;A expenses")</f>
        <v>G&amp;A expenses</v>
      </c>
      <c r="G247" s="16"/>
      <c r="H247" s="16" t="str">
        <f ca="1">IFERROR(__xludf.DUMMYFUNCTION("""COMPUTED_VALUE"""),".")</f>
        <v>.</v>
      </c>
    </row>
    <row r="248" spans="1:8" ht="12.5">
      <c r="A248" s="24"/>
      <c r="B248" s="17"/>
      <c r="C248" s="24"/>
      <c r="D248" s="16"/>
      <c r="E248" s="16" t="str">
        <f ca="1">IFERROR(__xludf.DUMMYFUNCTION("""COMPUTED_VALUE"""),"TRX1193")</f>
        <v>TRX1193</v>
      </c>
      <c r="F248" s="16" t="str">
        <f ca="1">IFERROR(__xludf.DUMMYFUNCTION("""COMPUTED_VALUE"""),"Sales")</f>
        <v>Sales</v>
      </c>
      <c r="G248" s="16"/>
      <c r="H248" s="16" t="str">
        <f ca="1">IFERROR(__xludf.DUMMYFUNCTION("""COMPUTED_VALUE"""),".")</f>
        <v>.</v>
      </c>
    </row>
    <row r="249" spans="1:8" ht="12.5">
      <c r="A249" s="24"/>
      <c r="B249" s="17"/>
      <c r="C249" s="24"/>
      <c r="D249" s="16"/>
      <c r="E249" s="16" t="str">
        <f ca="1">IFERROR(__xludf.DUMMYFUNCTION("""COMPUTED_VALUE"""),"TRX1576")</f>
        <v>TRX1576</v>
      </c>
      <c r="F249" s="16" t="str">
        <f ca="1">IFERROR(__xludf.DUMMYFUNCTION("""COMPUTED_VALUE"""),"Sales")</f>
        <v>Sales</v>
      </c>
      <c r="G249" s="16"/>
      <c r="H249" s="16" t="str">
        <f ca="1">IFERROR(__xludf.DUMMYFUNCTION("""COMPUTED_VALUE"""),".")</f>
        <v>.</v>
      </c>
    </row>
    <row r="250" spans="1:8" ht="12.5">
      <c r="A250" s="24"/>
      <c r="B250" s="17"/>
      <c r="C250" s="24"/>
      <c r="D250" s="16"/>
      <c r="E250" s="16" t="str">
        <f ca="1">IFERROR(__xludf.DUMMYFUNCTION("""COMPUTED_VALUE"""),"TRX1408")</f>
        <v>TRX1408</v>
      </c>
      <c r="F250" s="16" t="str">
        <f ca="1">IFERROR(__xludf.DUMMYFUNCTION("""COMPUTED_VALUE"""),"Sales")</f>
        <v>Sales</v>
      </c>
      <c r="G250" s="16"/>
      <c r="H250" s="16" t="str">
        <f ca="1">IFERROR(__xludf.DUMMYFUNCTION("""COMPUTED_VALUE"""),".")</f>
        <v>.</v>
      </c>
    </row>
    <row r="251" spans="1:8" ht="12.5">
      <c r="A251" s="24"/>
      <c r="B251" s="17"/>
      <c r="C251" s="24"/>
      <c r="D251" s="16"/>
      <c r="E251" s="16" t="str">
        <f ca="1">IFERROR(__xludf.DUMMYFUNCTION("""COMPUTED_VALUE"""),"TRX1758")</f>
        <v>TRX1758</v>
      </c>
      <c r="F251" s="16" t="str">
        <f ca="1">IFERROR(__xludf.DUMMYFUNCTION("""COMPUTED_VALUE"""),"Sales")</f>
        <v>Sales</v>
      </c>
      <c r="G251" s="16"/>
      <c r="H251" s="16" t="str">
        <f ca="1">IFERROR(__xludf.DUMMYFUNCTION("""COMPUTED_VALUE"""),".")</f>
        <v>.</v>
      </c>
    </row>
    <row r="252" spans="1:8" ht="12.5">
      <c r="A252" s="24"/>
      <c r="B252" s="17"/>
      <c r="C252" s="24"/>
      <c r="D252" s="16"/>
      <c r="E252" s="16" t="str">
        <f ca="1">IFERROR(__xludf.DUMMYFUNCTION("""COMPUTED_VALUE"""),"TRX1501")</f>
        <v>TRX1501</v>
      </c>
      <c r="F252" s="16"/>
      <c r="G252" s="16"/>
      <c r="H252" s="16" t="str">
        <f ca="1">IFERROR(__xludf.DUMMYFUNCTION("""COMPUTED_VALUE"""),".")</f>
        <v>.</v>
      </c>
    </row>
    <row r="253" spans="1:8" ht="12.5">
      <c r="A253" s="24"/>
      <c r="B253" s="17"/>
      <c r="C253" s="24"/>
      <c r="D253" s="16"/>
      <c r="E253" s="16" t="str">
        <f ca="1">IFERROR(__xludf.DUMMYFUNCTION("""COMPUTED_VALUE"""),"TRX1629")</f>
        <v>TRX1629</v>
      </c>
      <c r="F253" s="16"/>
      <c r="G253" s="16"/>
      <c r="H253" s="16" t="str">
        <f ca="1">IFERROR(__xludf.DUMMYFUNCTION("""COMPUTED_VALUE"""),".")</f>
        <v>.</v>
      </c>
    </row>
    <row r="254" spans="1:8" ht="12.5">
      <c r="A254" s="24"/>
      <c r="B254" s="17"/>
      <c r="C254" s="24"/>
      <c r="D254" s="16"/>
      <c r="E254" s="16" t="str">
        <f ca="1">IFERROR(__xludf.DUMMYFUNCTION("""COMPUTED_VALUE"""),"TRX1043")</f>
        <v>TRX1043</v>
      </c>
      <c r="F254" s="16"/>
      <c r="G254" s="16"/>
      <c r="H254" s="16" t="str">
        <f ca="1">IFERROR(__xludf.DUMMYFUNCTION("""COMPUTED_VALUE"""),".")</f>
        <v>.</v>
      </c>
    </row>
    <row r="255" spans="1:8" ht="12.5">
      <c r="A255" s="24"/>
      <c r="B255" s="17"/>
      <c r="C255" s="24"/>
      <c r="D255" s="16"/>
      <c r="E255" s="16"/>
      <c r="F255" s="16"/>
      <c r="G255" s="16"/>
      <c r="H255" s="16" t="str">
        <f ca="1">IFERROR(__xludf.DUMMYFUNCTION("""COMPUTED_VALUE"""),".")</f>
        <v>.</v>
      </c>
    </row>
    <row r="256" spans="1:8" ht="12.5">
      <c r="A256" s="24"/>
      <c r="B256" s="17"/>
      <c r="C256" s="24"/>
      <c r="D256" s="16"/>
      <c r="E256" s="16"/>
      <c r="F256" s="16"/>
      <c r="G256" s="16"/>
      <c r="H256" s="16" t="str">
        <f ca="1">IFERROR(__xludf.DUMMYFUNCTION("""COMPUTED_VALUE"""),".")</f>
        <v>.</v>
      </c>
    </row>
    <row r="257" spans="1:8" ht="12.5">
      <c r="A257" s="24"/>
      <c r="B257" s="17"/>
      <c r="C257" s="24"/>
      <c r="D257" s="16"/>
      <c r="E257" s="16"/>
      <c r="F257" s="16"/>
      <c r="G257" s="16"/>
      <c r="H257" s="16" t="str">
        <f ca="1">IFERROR(__xludf.DUMMYFUNCTION("""COMPUTED_VALUE"""),".")</f>
        <v>.</v>
      </c>
    </row>
    <row r="258" spans="1:8" ht="12.5">
      <c r="A258" s="24"/>
      <c r="B258" s="17"/>
      <c r="C258" s="24"/>
      <c r="D258" s="16"/>
      <c r="E258" s="16"/>
      <c r="F258" s="16"/>
      <c r="G258" s="16"/>
      <c r="H258" s="16" t="str">
        <f ca="1">IFERROR(__xludf.DUMMYFUNCTION("""COMPUTED_VALUE"""),".")</f>
        <v>.</v>
      </c>
    </row>
    <row r="259" spans="1:8" ht="12.5">
      <c r="A259" s="24"/>
      <c r="B259" s="17"/>
      <c r="C259" s="24"/>
      <c r="D259" s="16"/>
      <c r="E259" s="16"/>
      <c r="F259" s="16"/>
      <c r="G259" s="16"/>
      <c r="H259" s="16" t="str">
        <f ca="1">IFERROR(__xludf.DUMMYFUNCTION("""COMPUTED_VALUE"""),".")</f>
        <v>.</v>
      </c>
    </row>
    <row r="260" spans="1:8" ht="12.5">
      <c r="A260" s="24"/>
      <c r="B260" s="17"/>
      <c r="C260" s="24"/>
      <c r="D260" s="16"/>
      <c r="E260" s="16"/>
      <c r="F260" s="16"/>
      <c r="G260" s="16"/>
      <c r="H260" s="16" t="str">
        <f ca="1">IFERROR(__xludf.DUMMYFUNCTION("""COMPUTED_VALUE"""),".")</f>
        <v>.</v>
      </c>
    </row>
    <row r="261" spans="1:8" ht="12.5">
      <c r="A261" s="24"/>
      <c r="B261" s="17"/>
      <c r="C261" s="24"/>
      <c r="D261" s="16"/>
      <c r="E261" s="16"/>
      <c r="F261" s="16"/>
      <c r="G261" s="16"/>
      <c r="H261" s="16" t="str">
        <f ca="1">IFERROR(__xludf.DUMMYFUNCTION("""COMPUTED_VALUE"""),".")</f>
        <v>.</v>
      </c>
    </row>
    <row r="262" spans="1:8" ht="12.5">
      <c r="A262" s="24"/>
      <c r="B262" s="17"/>
      <c r="C262" s="24"/>
      <c r="D262" s="16"/>
      <c r="E262" s="16"/>
      <c r="F262" s="16"/>
      <c r="G262" s="16"/>
      <c r="H262" s="16" t="str">
        <f ca="1">IFERROR(__xludf.DUMMYFUNCTION("""COMPUTED_VALUE"""),".")</f>
        <v>.</v>
      </c>
    </row>
    <row r="263" spans="1:8" ht="12.5">
      <c r="A263" s="24"/>
      <c r="B263" s="17"/>
      <c r="C263" s="24"/>
      <c r="D263" s="16"/>
      <c r="E263" s="16"/>
      <c r="F263" s="16"/>
      <c r="G263" s="16"/>
      <c r="H263" s="16" t="str">
        <f ca="1">IFERROR(__xludf.DUMMYFUNCTION("""COMPUTED_VALUE"""),".")</f>
        <v>.</v>
      </c>
    </row>
    <row r="264" spans="1:8" ht="12.5">
      <c r="A264" s="24"/>
      <c r="B264" s="17"/>
      <c r="C264" s="24"/>
      <c r="D264" s="16"/>
      <c r="E264" s="16"/>
      <c r="F264" s="16"/>
      <c r="G264" s="16"/>
      <c r="H264" s="16" t="str">
        <f ca="1">IFERROR(__xludf.DUMMYFUNCTION("""COMPUTED_VALUE"""),".")</f>
        <v>.</v>
      </c>
    </row>
    <row r="265" spans="1:8" ht="12.5">
      <c r="A265" s="24"/>
      <c r="B265" s="17"/>
      <c r="C265" s="24"/>
      <c r="D265" s="16"/>
      <c r="E265" s="16"/>
      <c r="F265" s="16"/>
      <c r="G265" s="16"/>
      <c r="H265" s="16" t="str">
        <f ca="1">IFERROR(__xludf.DUMMYFUNCTION("""COMPUTED_VALUE"""),".")</f>
        <v>.</v>
      </c>
    </row>
    <row r="266" spans="1:8" ht="12.5">
      <c r="A266" s="24"/>
      <c r="B266" s="17"/>
      <c r="C266" s="24"/>
      <c r="D266" s="16"/>
      <c r="E266" s="16"/>
      <c r="F266" s="16"/>
      <c r="G266" s="16"/>
      <c r="H266" s="16" t="str">
        <f ca="1">IFERROR(__xludf.DUMMYFUNCTION("""COMPUTED_VALUE"""),".")</f>
        <v>.</v>
      </c>
    </row>
    <row r="267" spans="1:8" ht="12.5">
      <c r="A267" s="24"/>
      <c r="B267" s="17"/>
      <c r="C267" s="24"/>
      <c r="D267" s="16"/>
      <c r="E267" s="16"/>
      <c r="F267" s="16"/>
      <c r="G267" s="16"/>
      <c r="H267" s="16" t="str">
        <f ca="1">IFERROR(__xludf.DUMMYFUNCTION("""COMPUTED_VALUE"""),".")</f>
        <v>.</v>
      </c>
    </row>
    <row r="268" spans="1:8" ht="12.5">
      <c r="A268" s="24"/>
      <c r="B268" s="17"/>
      <c r="C268" s="24"/>
      <c r="D268" s="16"/>
      <c r="E268" s="16"/>
      <c r="F268" s="16"/>
      <c r="G268" s="16"/>
      <c r="H268" s="16" t="str">
        <f ca="1">IFERROR(__xludf.DUMMYFUNCTION("""COMPUTED_VALUE"""),".")</f>
        <v>.</v>
      </c>
    </row>
    <row r="269" spans="1:8" ht="12.5">
      <c r="A269" s="24"/>
      <c r="B269" s="17"/>
      <c r="C269" s="24"/>
      <c r="D269" s="16"/>
      <c r="E269" s="16"/>
      <c r="F269" s="16"/>
      <c r="G269" s="16"/>
      <c r="H269" s="16" t="str">
        <f ca="1">IFERROR(__xludf.DUMMYFUNCTION("""COMPUTED_VALUE"""),".")</f>
        <v>.</v>
      </c>
    </row>
    <row r="270" spans="1:8" ht="12.5">
      <c r="A270" s="24"/>
      <c r="B270" s="17"/>
      <c r="C270" s="24"/>
      <c r="D270" s="16"/>
      <c r="E270" s="16"/>
      <c r="F270" s="16"/>
      <c r="G270" s="16"/>
      <c r="H270" s="16" t="str">
        <f ca="1">IFERROR(__xludf.DUMMYFUNCTION("""COMPUTED_VALUE"""),".")</f>
        <v>.</v>
      </c>
    </row>
    <row r="271" spans="1:8" ht="12.5">
      <c r="A271" s="24"/>
      <c r="B271" s="17"/>
      <c r="C271" s="24"/>
      <c r="D271" s="16"/>
      <c r="E271" s="16"/>
      <c r="F271" s="16"/>
      <c r="G271" s="16"/>
      <c r="H271" s="16" t="str">
        <f ca="1">IFERROR(__xludf.DUMMYFUNCTION("""COMPUTED_VALUE"""),".")</f>
        <v>.</v>
      </c>
    </row>
    <row r="272" spans="1:8" ht="12.5">
      <c r="A272" s="24"/>
      <c r="B272" s="17"/>
      <c r="C272" s="24"/>
      <c r="D272" s="16"/>
      <c r="E272" s="16"/>
      <c r="F272" s="16"/>
      <c r="G272" s="16"/>
      <c r="H272" s="16" t="str">
        <f ca="1">IFERROR(__xludf.DUMMYFUNCTION("""COMPUTED_VALUE"""),".")</f>
        <v>.</v>
      </c>
    </row>
    <row r="273" spans="1:8" ht="12.5">
      <c r="A273" s="24"/>
      <c r="B273" s="17"/>
      <c r="C273" s="24"/>
      <c r="D273" s="16"/>
      <c r="E273" s="16"/>
      <c r="F273" s="16"/>
      <c r="G273" s="16"/>
      <c r="H273" s="16" t="str">
        <f ca="1">IFERROR(__xludf.DUMMYFUNCTION("""COMPUTED_VALUE"""),".")</f>
        <v>.</v>
      </c>
    </row>
    <row r="274" spans="1:8" ht="12.5">
      <c r="A274" s="24"/>
      <c r="B274" s="17"/>
      <c r="C274" s="24"/>
      <c r="D274" s="16"/>
      <c r="E274" s="16"/>
      <c r="F274" s="16"/>
      <c r="G274" s="16"/>
      <c r="H274" s="16" t="str">
        <f ca="1">IFERROR(__xludf.DUMMYFUNCTION("""COMPUTED_VALUE"""),".")</f>
        <v>.</v>
      </c>
    </row>
    <row r="275" spans="1:8" ht="12.5">
      <c r="A275" s="24"/>
      <c r="B275" s="17"/>
      <c r="C275" s="24"/>
      <c r="D275" s="16"/>
      <c r="E275" s="16"/>
      <c r="F275" s="16"/>
      <c r="G275" s="16"/>
      <c r="H275" s="16" t="str">
        <f ca="1">IFERROR(__xludf.DUMMYFUNCTION("""COMPUTED_VALUE"""),".")</f>
        <v>.</v>
      </c>
    </row>
    <row r="276" spans="1:8" ht="12.5">
      <c r="A276" s="24"/>
      <c r="B276" s="17"/>
      <c r="C276" s="24"/>
      <c r="D276" s="16"/>
      <c r="E276" s="16"/>
      <c r="F276" s="16"/>
      <c r="G276" s="16"/>
      <c r="H276" s="16" t="str">
        <f ca="1">IFERROR(__xludf.DUMMYFUNCTION("""COMPUTED_VALUE"""),".")</f>
        <v>.</v>
      </c>
    </row>
    <row r="277" spans="1:8" ht="12.5">
      <c r="A277" s="24"/>
      <c r="B277" s="17"/>
      <c r="C277" s="24"/>
      <c r="D277" s="16"/>
      <c r="E277" s="16"/>
      <c r="F277" s="16"/>
      <c r="G277" s="16"/>
      <c r="H277" s="16" t="str">
        <f ca="1">IFERROR(__xludf.DUMMYFUNCTION("""COMPUTED_VALUE"""),".")</f>
        <v>.</v>
      </c>
    </row>
    <row r="278" spans="1:8" ht="12.5">
      <c r="A278" s="24"/>
      <c r="B278" s="17"/>
      <c r="C278" s="24"/>
      <c r="D278" s="16"/>
      <c r="E278" s="16"/>
      <c r="F278" s="16"/>
      <c r="G278" s="16"/>
      <c r="H278" s="16" t="str">
        <f ca="1">IFERROR(__xludf.DUMMYFUNCTION("""COMPUTED_VALUE"""),".")</f>
        <v>.</v>
      </c>
    </row>
    <row r="279" spans="1:8" ht="12.5">
      <c r="A279" s="24"/>
      <c r="B279" s="17"/>
      <c r="C279" s="24"/>
      <c r="D279" s="16"/>
      <c r="E279" s="16"/>
      <c r="F279" s="16"/>
      <c r="G279" s="16"/>
      <c r="H279" s="16" t="str">
        <f ca="1">IFERROR(__xludf.DUMMYFUNCTION("""COMPUTED_VALUE"""),".")</f>
        <v>.</v>
      </c>
    </row>
    <row r="280" spans="1:8" ht="12.5">
      <c r="A280" s="24"/>
      <c r="B280" s="17"/>
      <c r="C280" s="24"/>
      <c r="D280" s="16"/>
      <c r="E280" s="16"/>
      <c r="F280" s="16"/>
      <c r="G280" s="16"/>
      <c r="H280" s="16" t="str">
        <f ca="1">IFERROR(__xludf.DUMMYFUNCTION("""COMPUTED_VALUE"""),".")</f>
        <v>.</v>
      </c>
    </row>
    <row r="281" spans="1:8" ht="12.5">
      <c r="A281" s="24"/>
      <c r="B281" s="17"/>
      <c r="C281" s="24"/>
      <c r="D281" s="16"/>
      <c r="E281" s="16"/>
      <c r="F281" s="16"/>
      <c r="G281" s="16"/>
      <c r="H281" s="16" t="str">
        <f ca="1">IFERROR(__xludf.DUMMYFUNCTION("""COMPUTED_VALUE"""),".")</f>
        <v>.</v>
      </c>
    </row>
    <row r="282" spans="1:8" ht="12.5">
      <c r="A282" s="24"/>
      <c r="B282" s="17"/>
      <c r="C282" s="24"/>
      <c r="D282" s="16"/>
      <c r="E282" s="16"/>
      <c r="F282" s="16"/>
      <c r="G282" s="16"/>
      <c r="H282" s="16" t="str">
        <f ca="1">IFERROR(__xludf.DUMMYFUNCTION("""COMPUTED_VALUE"""),".")</f>
        <v>.</v>
      </c>
    </row>
    <row r="283" spans="1:8" ht="12.5">
      <c r="A283" s="24"/>
      <c r="B283" s="17"/>
      <c r="C283" s="24"/>
      <c r="D283" s="16"/>
      <c r="E283" s="16"/>
      <c r="F283" s="16"/>
      <c r="G283" s="16"/>
      <c r="H283" s="16" t="str">
        <f ca="1">IFERROR(__xludf.DUMMYFUNCTION("""COMPUTED_VALUE"""),".")</f>
        <v>.</v>
      </c>
    </row>
    <row r="284" spans="1:8" ht="12.5">
      <c r="A284" s="24"/>
      <c r="B284" s="17"/>
      <c r="C284" s="24"/>
      <c r="D284" s="16"/>
      <c r="E284" s="16"/>
      <c r="F284" s="16"/>
      <c r="G284" s="16"/>
      <c r="H284" s="16" t="str">
        <f ca="1">IFERROR(__xludf.DUMMYFUNCTION("""COMPUTED_VALUE"""),".")</f>
        <v>.</v>
      </c>
    </row>
    <row r="285" spans="1:8" ht="12.5">
      <c r="A285" s="24"/>
      <c r="B285" s="17"/>
      <c r="C285" s="24"/>
      <c r="D285" s="16"/>
      <c r="E285" s="16"/>
      <c r="F285" s="16"/>
      <c r="G285" s="16"/>
      <c r="H285" s="16" t="str">
        <f ca="1">IFERROR(__xludf.DUMMYFUNCTION("""COMPUTED_VALUE"""),".")</f>
        <v>.</v>
      </c>
    </row>
    <row r="286" spans="1:8" ht="12.5">
      <c r="A286" s="24"/>
      <c r="B286" s="17"/>
      <c r="C286" s="24"/>
      <c r="D286" s="16"/>
      <c r="E286" s="16"/>
      <c r="F286" s="16"/>
      <c r="G286" s="16"/>
      <c r="H286" s="16" t="str">
        <f ca="1">IFERROR(__xludf.DUMMYFUNCTION("""COMPUTED_VALUE"""),".")</f>
        <v>.</v>
      </c>
    </row>
    <row r="287" spans="1:8" ht="12.5">
      <c r="A287" s="24"/>
      <c r="B287" s="17"/>
      <c r="C287" s="24"/>
      <c r="D287" s="16"/>
      <c r="E287" s="16"/>
      <c r="F287" s="16"/>
      <c r="G287" s="16"/>
      <c r="H287" s="16" t="str">
        <f ca="1">IFERROR(__xludf.DUMMYFUNCTION("""COMPUTED_VALUE"""),".")</f>
        <v>.</v>
      </c>
    </row>
    <row r="288" spans="1:8" ht="12.5">
      <c r="A288" s="24"/>
      <c r="B288" s="17"/>
      <c r="C288" s="24"/>
      <c r="D288" s="16"/>
      <c r="E288" s="16"/>
      <c r="F288" s="16"/>
      <c r="G288" s="16"/>
      <c r="H288" s="16" t="str">
        <f ca="1">IFERROR(__xludf.DUMMYFUNCTION("""COMPUTED_VALUE"""),".")</f>
        <v>.</v>
      </c>
    </row>
    <row r="289" spans="1:8" ht="12.5">
      <c r="A289" s="24"/>
      <c r="B289" s="17"/>
      <c r="C289" s="24"/>
      <c r="D289" s="16"/>
      <c r="E289" s="16"/>
      <c r="F289" s="16"/>
      <c r="G289" s="16"/>
      <c r="H289" s="16" t="str">
        <f ca="1">IFERROR(__xludf.DUMMYFUNCTION("""COMPUTED_VALUE"""),".")</f>
        <v>.</v>
      </c>
    </row>
    <row r="290" spans="1:8" ht="12.5">
      <c r="A290" s="24"/>
      <c r="B290" s="17"/>
      <c r="C290" s="24"/>
      <c r="D290" s="16"/>
      <c r="E290" s="16"/>
      <c r="F290" s="16"/>
      <c r="G290" s="16"/>
      <c r="H290" s="16" t="str">
        <f ca="1">IFERROR(__xludf.DUMMYFUNCTION("""COMPUTED_VALUE"""),".")</f>
        <v>.</v>
      </c>
    </row>
    <row r="291" spans="1:8" ht="12.5">
      <c r="A291" s="24"/>
      <c r="B291" s="17"/>
      <c r="C291" s="24"/>
      <c r="D291" s="16"/>
      <c r="E291" s="16"/>
      <c r="F291" s="16"/>
      <c r="G291" s="16"/>
      <c r="H291" s="16" t="str">
        <f ca="1">IFERROR(__xludf.DUMMYFUNCTION("""COMPUTED_VALUE"""),".")</f>
        <v>.</v>
      </c>
    </row>
    <row r="292" spans="1:8" ht="12.5">
      <c r="A292" s="24"/>
      <c r="B292" s="17"/>
      <c r="C292" s="24"/>
      <c r="D292" s="16"/>
      <c r="E292" s="16"/>
      <c r="F292" s="16"/>
      <c r="G292" s="16"/>
      <c r="H292" s="16" t="str">
        <f ca="1">IFERROR(__xludf.DUMMYFUNCTION("""COMPUTED_VALUE"""),".")</f>
        <v>.</v>
      </c>
    </row>
    <row r="293" spans="1:8" ht="12.5">
      <c r="A293" s="24"/>
      <c r="B293" s="17"/>
      <c r="C293" s="24"/>
      <c r="D293" s="16"/>
      <c r="E293" s="16"/>
      <c r="F293" s="16"/>
      <c r="G293" s="16"/>
      <c r="H293" s="16" t="str">
        <f ca="1">IFERROR(__xludf.DUMMYFUNCTION("""COMPUTED_VALUE"""),".")</f>
        <v>.</v>
      </c>
    </row>
    <row r="294" spans="1:8" ht="12.5">
      <c r="A294" s="24"/>
      <c r="B294" s="17"/>
      <c r="C294" s="24"/>
      <c r="D294" s="16"/>
      <c r="E294" s="16"/>
      <c r="F294" s="16"/>
      <c r="G294" s="16"/>
      <c r="H294" s="16" t="str">
        <f ca="1">IFERROR(__xludf.DUMMYFUNCTION("""COMPUTED_VALUE"""),".")</f>
        <v>.</v>
      </c>
    </row>
    <row r="295" spans="1:8" ht="12.5">
      <c r="A295" s="24"/>
      <c r="B295" s="17"/>
      <c r="C295" s="24"/>
      <c r="D295" s="16"/>
      <c r="E295" s="16"/>
      <c r="F295" s="16"/>
      <c r="G295" s="16"/>
      <c r="H295" s="16" t="str">
        <f ca="1">IFERROR(__xludf.DUMMYFUNCTION("""COMPUTED_VALUE"""),".")</f>
        <v>.</v>
      </c>
    </row>
    <row r="296" spans="1:8" ht="12.5">
      <c r="A296" s="24"/>
      <c r="B296" s="17"/>
      <c r="C296" s="24"/>
      <c r="D296" s="16"/>
      <c r="E296" s="16"/>
      <c r="F296" s="16"/>
      <c r="G296" s="16"/>
      <c r="H296" s="16" t="str">
        <f ca="1">IFERROR(__xludf.DUMMYFUNCTION("""COMPUTED_VALUE"""),".")</f>
        <v>.</v>
      </c>
    </row>
    <row r="297" spans="1:8" ht="12.5">
      <c r="A297" s="24"/>
      <c r="B297" s="17"/>
      <c r="C297" s="24"/>
      <c r="D297" s="16"/>
      <c r="E297" s="16"/>
      <c r="F297" s="16"/>
      <c r="G297" s="16"/>
      <c r="H297" s="16" t="str">
        <f ca="1">IFERROR(__xludf.DUMMYFUNCTION("""COMPUTED_VALUE"""),".")</f>
        <v>.</v>
      </c>
    </row>
    <row r="298" spans="1:8" ht="12.5">
      <c r="A298" s="24"/>
      <c r="B298" s="17"/>
      <c r="C298" s="24"/>
      <c r="D298" s="16"/>
      <c r="E298" s="16"/>
      <c r="F298" s="16"/>
      <c r="G298" s="16"/>
      <c r="H298" s="16" t="str">
        <f ca="1">IFERROR(__xludf.DUMMYFUNCTION("""COMPUTED_VALUE"""),".")</f>
        <v>.</v>
      </c>
    </row>
    <row r="299" spans="1:8" ht="12.5">
      <c r="A299" s="24"/>
      <c r="B299" s="17"/>
      <c r="C299" s="24"/>
      <c r="D299" s="16"/>
      <c r="E299" s="16"/>
      <c r="F299" s="16"/>
      <c r="G299" s="16"/>
      <c r="H299" s="16" t="str">
        <f ca="1">IFERROR(__xludf.DUMMYFUNCTION("""COMPUTED_VALUE"""),".")</f>
        <v>.</v>
      </c>
    </row>
    <row r="300" spans="1:8" ht="12.5">
      <c r="A300" s="24"/>
      <c r="B300" s="17"/>
      <c r="C300" s="24"/>
      <c r="D300" s="16"/>
      <c r="E300" s="16"/>
      <c r="F300" s="16"/>
      <c r="G300" s="16"/>
      <c r="H300" s="16" t="str">
        <f ca="1">IFERROR(__xludf.DUMMYFUNCTION("""COMPUTED_VALUE"""),".")</f>
        <v>.</v>
      </c>
    </row>
    <row r="301" spans="1:8" ht="12.5">
      <c r="A301" s="24"/>
      <c r="B301" s="17"/>
      <c r="C301" s="24"/>
      <c r="D301" s="16"/>
      <c r="E301" s="16"/>
      <c r="F301" s="16"/>
      <c r="G301" s="16"/>
      <c r="H301" s="16" t="str">
        <f ca="1">IFERROR(__xludf.DUMMYFUNCTION("""COMPUTED_VALUE"""),".")</f>
        <v>.</v>
      </c>
    </row>
    <row r="302" spans="1:8" ht="12.5">
      <c r="A302" s="24"/>
      <c r="B302" s="17"/>
      <c r="C302" s="24"/>
      <c r="D302" s="16"/>
      <c r="E302" s="16"/>
      <c r="F302" s="16"/>
      <c r="G302" s="16"/>
      <c r="H302" s="16" t="str">
        <f ca="1">IFERROR(__xludf.DUMMYFUNCTION("""COMPUTED_VALUE"""),".")</f>
        <v>.</v>
      </c>
    </row>
    <row r="303" spans="1:8" ht="12.5">
      <c r="A303" s="24"/>
      <c r="B303" s="17"/>
      <c r="C303" s="24"/>
      <c r="D303" s="16"/>
      <c r="E303" s="16"/>
      <c r="F303" s="16"/>
      <c r="G303" s="16"/>
      <c r="H303" s="16" t="str">
        <f ca="1">IFERROR(__xludf.DUMMYFUNCTION("""COMPUTED_VALUE"""),".")</f>
        <v>.</v>
      </c>
    </row>
    <row r="304" spans="1:8" ht="12.5">
      <c r="A304" s="24"/>
      <c r="B304" s="17"/>
      <c r="C304" s="24"/>
      <c r="D304" s="16"/>
      <c r="E304" s="16"/>
      <c r="F304" s="16"/>
      <c r="G304" s="16"/>
      <c r="H304" s="16" t="str">
        <f ca="1">IFERROR(__xludf.DUMMYFUNCTION("""COMPUTED_VALUE"""),".")</f>
        <v>.</v>
      </c>
    </row>
    <row r="305" spans="1:8" ht="12.5">
      <c r="A305" s="24"/>
      <c r="B305" s="17"/>
      <c r="C305" s="24"/>
      <c r="D305" s="16"/>
      <c r="E305" s="16"/>
      <c r="F305" s="16"/>
      <c r="G305" s="16"/>
      <c r="H305" s="16" t="str">
        <f ca="1">IFERROR(__xludf.DUMMYFUNCTION("""COMPUTED_VALUE"""),".")</f>
        <v>.</v>
      </c>
    </row>
    <row r="306" spans="1:8" ht="12.5">
      <c r="A306" s="24"/>
      <c r="B306" s="17"/>
      <c r="C306" s="24"/>
      <c r="D306" s="16"/>
      <c r="E306" s="16"/>
      <c r="F306" s="16"/>
      <c r="G306" s="16"/>
      <c r="H306" s="16" t="str">
        <f ca="1">IFERROR(__xludf.DUMMYFUNCTION("""COMPUTED_VALUE"""),".")</f>
        <v>.</v>
      </c>
    </row>
    <row r="307" spans="1:8" ht="12.5">
      <c r="A307" s="24"/>
      <c r="B307" s="17"/>
      <c r="C307" s="24"/>
      <c r="D307" s="16"/>
      <c r="E307" s="16"/>
      <c r="F307" s="16"/>
      <c r="G307" s="16"/>
      <c r="H307" s="16" t="str">
        <f ca="1">IFERROR(__xludf.DUMMYFUNCTION("""COMPUTED_VALUE"""),".")</f>
        <v>.</v>
      </c>
    </row>
    <row r="308" spans="1:8" ht="12.5">
      <c r="A308" s="24"/>
      <c r="B308" s="17"/>
      <c r="C308" s="24"/>
      <c r="D308" s="16"/>
      <c r="E308" s="16"/>
      <c r="F308" s="16"/>
      <c r="G308" s="16"/>
      <c r="H308" s="16" t="str">
        <f ca="1">IFERROR(__xludf.DUMMYFUNCTION("""COMPUTED_VALUE"""),".")</f>
        <v>.</v>
      </c>
    </row>
    <row r="309" spans="1:8" ht="12.5">
      <c r="A309" s="24"/>
      <c r="B309" s="17"/>
      <c r="C309" s="24"/>
      <c r="D309" s="16"/>
      <c r="E309" s="16"/>
      <c r="F309" s="16"/>
      <c r="G309" s="16"/>
      <c r="H309" s="16" t="str">
        <f ca="1">IFERROR(__xludf.DUMMYFUNCTION("""COMPUTED_VALUE"""),".")</f>
        <v>.</v>
      </c>
    </row>
    <row r="310" spans="1:8" ht="12.5">
      <c r="A310" s="24"/>
      <c r="B310" s="17"/>
      <c r="C310" s="24"/>
      <c r="D310" s="16"/>
      <c r="E310" s="16"/>
      <c r="F310" s="16"/>
      <c r="G310" s="16"/>
      <c r="H310" s="16" t="str">
        <f ca="1">IFERROR(__xludf.DUMMYFUNCTION("""COMPUTED_VALUE"""),".")</f>
        <v>.</v>
      </c>
    </row>
    <row r="311" spans="1:8" ht="12.5">
      <c r="A311" s="24"/>
      <c r="B311" s="17"/>
      <c r="C311" s="24"/>
      <c r="D311" s="16"/>
      <c r="E311" s="16"/>
      <c r="F311" s="16"/>
      <c r="G311" s="16"/>
      <c r="H311" s="16" t="str">
        <f ca="1">IFERROR(__xludf.DUMMYFUNCTION("""COMPUTED_VALUE"""),".")</f>
        <v>.</v>
      </c>
    </row>
    <row r="312" spans="1:8" ht="12.5">
      <c r="A312" s="24"/>
      <c r="B312" s="17"/>
      <c r="C312" s="24"/>
      <c r="D312" s="16"/>
      <c r="E312" s="16"/>
      <c r="F312" s="16"/>
      <c r="G312" s="16"/>
      <c r="H312" s="16"/>
    </row>
    <row r="313" spans="1:8" ht="12.5">
      <c r="A313" s="24"/>
      <c r="B313" s="17"/>
      <c r="C313" s="24"/>
      <c r="D313" s="16"/>
      <c r="E313" s="16"/>
      <c r="F313" s="16"/>
      <c r="G313" s="16"/>
      <c r="H313" s="16"/>
    </row>
    <row r="314" spans="1:8" ht="12.5">
      <c r="A314" s="24"/>
      <c r="B314" s="17"/>
      <c r="C314" s="24"/>
      <c r="D314" s="16"/>
      <c r="E314" s="16"/>
      <c r="F314" s="16"/>
      <c r="G314" s="16"/>
      <c r="H314" s="16"/>
    </row>
    <row r="315" spans="1:8" ht="12.5">
      <c r="A315" s="24"/>
      <c r="B315" s="17"/>
      <c r="C315" s="24"/>
      <c r="D315" s="16"/>
      <c r="E315" s="16"/>
      <c r="F315" s="16"/>
      <c r="G315" s="16"/>
      <c r="H315" s="16"/>
    </row>
    <row r="316" spans="1:8" ht="12.5">
      <c r="A316" s="24"/>
      <c r="B316" s="17"/>
      <c r="C316" s="24"/>
      <c r="D316" s="16"/>
      <c r="E316" s="16"/>
      <c r="F316" s="16"/>
      <c r="G316" s="16"/>
      <c r="H316" s="16"/>
    </row>
    <row r="317" spans="1:8" ht="12.5">
      <c r="A317" s="24"/>
      <c r="B317" s="17"/>
      <c r="C317" s="24"/>
      <c r="D317" s="16"/>
      <c r="E317" s="16"/>
      <c r="F317" s="16"/>
      <c r="G317" s="16"/>
      <c r="H317" s="16"/>
    </row>
    <row r="318" spans="1:8" ht="12.5">
      <c r="A318" s="24"/>
      <c r="B318" s="17"/>
      <c r="C318" s="24"/>
      <c r="D318" s="16"/>
      <c r="E318" s="16"/>
      <c r="F318" s="16"/>
      <c r="G318" s="16"/>
      <c r="H318" s="16"/>
    </row>
    <row r="319" spans="1:8" ht="12.5">
      <c r="A319" s="24"/>
      <c r="B319" s="17"/>
      <c r="C319" s="24"/>
      <c r="D319" s="16"/>
      <c r="E319" s="16"/>
      <c r="F319" s="16"/>
      <c r="G319" s="16"/>
      <c r="H319" s="16"/>
    </row>
    <row r="320" spans="1:8" ht="12.5">
      <c r="A320" s="24"/>
      <c r="B320" s="17"/>
      <c r="C320" s="24"/>
      <c r="D320" s="16"/>
      <c r="E320" s="16"/>
      <c r="F320" s="16"/>
      <c r="G320" s="16"/>
      <c r="H320" s="16"/>
    </row>
    <row r="321" spans="1:8" ht="12.5">
      <c r="A321" s="24"/>
      <c r="B321" s="17"/>
      <c r="C321" s="24"/>
      <c r="D321" s="16"/>
      <c r="E321" s="16"/>
      <c r="F321" s="16"/>
      <c r="G321" s="16"/>
      <c r="H321" s="16"/>
    </row>
    <row r="322" spans="1:8" ht="12.5">
      <c r="A322" s="24"/>
      <c r="B322" s="17"/>
      <c r="C322" s="24"/>
      <c r="D322" s="16"/>
      <c r="E322" s="16"/>
      <c r="F322" s="16"/>
      <c r="G322" s="16"/>
      <c r="H322" s="16"/>
    </row>
    <row r="323" spans="1:8" ht="12.5">
      <c r="A323" s="24"/>
      <c r="B323" s="17"/>
      <c r="C323" s="24"/>
      <c r="D323" s="16"/>
      <c r="E323" s="37" t="str">
        <f ca="1">IFERROR(__xludf.DUMMYFUNCTION("IMPORTRANGE(""https://docs.google.com/spreadsheets/d/1ghPq2GXSRxm4-7nokWB-4NeQT5BT6DZC88IPWta5RGM/edit#gid=188114201"",""#5 Fernanda!A11:A80"")"),"CODI")</f>
        <v>CODI</v>
      </c>
      <c r="F323" s="37" t="str">
        <f ca="1">IFERROR(__xludf.DUMMYFUNCTION("IMPORTRANGE(""https://docs.google.com/spreadsheets/d/1ghPq2GXSRxm4-7nokWB-4NeQT5BT6DZC88IPWta5RGM/edit#gid=188114201"",""#5 Fernanda!I11:K80"")"),"Expense Type")</f>
        <v>Expense Type</v>
      </c>
      <c r="G323" s="16" t="str">
        <f ca="1">IFERROR(__xludf.DUMMYFUNCTION("""COMPUTED_VALUE"""),"DESCRIPCION DEL CARGO")</f>
        <v>DESCRIPCION DEL CARGO</v>
      </c>
      <c r="H323" s="16" t="str">
        <f ca="1">IFERROR(__xludf.DUMMYFUNCTION("""COMPUTED_VALUE"""),"FOLIO DE FACTURA")</f>
        <v>FOLIO DE FACTURA</v>
      </c>
    </row>
    <row r="324" spans="1:8" ht="12.5">
      <c r="A324" s="24"/>
      <c r="B324" s="17"/>
      <c r="C324" s="24"/>
      <c r="D324" s="16"/>
      <c r="E324" s="16" t="str">
        <f ca="1">IFERROR(__xludf.DUMMYFUNCTION("""COMPUTED_VALUE"""),"TRX1219")</f>
        <v>TRX1219</v>
      </c>
      <c r="F324" s="16" t="str">
        <f ca="1">IFERROR(__xludf.DUMMYFUNCTION("""COMPUTED_VALUE"""),"Office expenses")</f>
        <v>Office expenses</v>
      </c>
      <c r="G324" s="16" t="str">
        <f ca="1">IFERROR(__xludf.DUMMYFUNCTION("""COMPUTED_VALUE"""),"Snacks para la oficina")</f>
        <v>Snacks para la oficina</v>
      </c>
      <c r="H324" s="16" t="str">
        <f ca="1">IFERROR(__xludf.DUMMYFUNCTION("""COMPUTED_VALUE"""),".")</f>
        <v>.</v>
      </c>
    </row>
    <row r="325" spans="1:8" ht="12.5">
      <c r="A325" s="24"/>
      <c r="B325" s="17"/>
      <c r="C325" s="24"/>
      <c r="D325" s="16"/>
      <c r="E325" s="16" t="str">
        <f ca="1">IFERROR(__xludf.DUMMYFUNCTION("""COMPUTED_VALUE"""),"TRX1206")</f>
        <v>TRX1206</v>
      </c>
      <c r="F325" s="16" t="str">
        <f ca="1">IFERROR(__xludf.DUMMYFUNCTION("""COMPUTED_VALUE"""),"Office expenses")</f>
        <v>Office expenses</v>
      </c>
      <c r="G325" s="16"/>
      <c r="H325" s="16" t="str">
        <f ca="1">IFERROR(__xludf.DUMMYFUNCTION("""COMPUTED_VALUE"""),".")</f>
        <v>.</v>
      </c>
    </row>
    <row r="326" spans="1:8" ht="12.5">
      <c r="A326" s="24"/>
      <c r="B326" s="17"/>
      <c r="C326" s="24"/>
      <c r="D326" s="16"/>
      <c r="E326" s="16" t="str">
        <f ca="1">IFERROR(__xludf.DUMMYFUNCTION("""COMPUTED_VALUE"""),"TRX1628")</f>
        <v>TRX1628</v>
      </c>
      <c r="F326" s="16" t="str">
        <f ca="1">IFERROR(__xludf.DUMMYFUNCTION("""COMPUTED_VALUE"""),"Office expenses")</f>
        <v>Office expenses</v>
      </c>
      <c r="G326" s="16" t="str">
        <f ca="1">IFERROR(__xludf.DUMMYFUNCTION("""COMPUTED_VALUE"""),"Snacks para la oficina")</f>
        <v>Snacks para la oficina</v>
      </c>
      <c r="H326" s="16" t="str">
        <f ca="1">IFERROR(__xludf.DUMMYFUNCTION("""COMPUTED_VALUE"""),".")</f>
        <v>.</v>
      </c>
    </row>
    <row r="327" spans="1:8" ht="12.5">
      <c r="A327" s="24"/>
      <c r="B327" s="17"/>
      <c r="C327" s="24"/>
      <c r="D327" s="16"/>
      <c r="E327" s="16" t="str">
        <f ca="1">IFERROR(__xludf.DUMMYFUNCTION("""COMPUTED_VALUE"""),"TRX1890")</f>
        <v>TRX1890</v>
      </c>
      <c r="F327" s="16" t="str">
        <f ca="1">IFERROR(__xludf.DUMMYFUNCTION("""COMPUTED_VALUE"""),"Office expenses")</f>
        <v>Office expenses</v>
      </c>
      <c r="G327" s="16" t="str">
        <f ca="1">IFERROR(__xludf.DUMMYFUNCTION("""COMPUTED_VALUE"""),"Snacks para la oficina")</f>
        <v>Snacks para la oficina</v>
      </c>
      <c r="H327" s="16" t="str">
        <f ca="1">IFERROR(__xludf.DUMMYFUNCTION("""COMPUTED_VALUE"""),".")</f>
        <v>.</v>
      </c>
    </row>
    <row r="328" spans="1:8" ht="12.5">
      <c r="A328" s="24"/>
      <c r="B328" s="17"/>
      <c r="C328" s="24"/>
      <c r="D328" s="16"/>
      <c r="E328" s="16" t="str">
        <f ca="1">IFERROR(__xludf.DUMMYFUNCTION("""COMPUTED_VALUE"""),"TRX1251")</f>
        <v>TRX1251</v>
      </c>
      <c r="F328" s="16" t="str">
        <f ca="1">IFERROR(__xludf.DUMMYFUNCTION("""COMPUTED_VALUE"""),"Office expenses")</f>
        <v>Office expenses</v>
      </c>
      <c r="G328" s="16" t="str">
        <f ca="1">IFERROR(__xludf.DUMMYFUNCTION("""COMPUTED_VALUE"""),"Botiquin ")</f>
        <v xml:space="preserve">Botiquin </v>
      </c>
      <c r="H328" s="16" t="str">
        <f ca="1">IFERROR(__xludf.DUMMYFUNCTION("""COMPUTED_VALUE"""),".")</f>
        <v>.</v>
      </c>
    </row>
    <row r="329" spans="1:8" ht="12.5">
      <c r="A329" s="24"/>
      <c r="B329" s="17"/>
      <c r="C329" s="24"/>
      <c r="D329" s="16"/>
      <c r="E329" s="16" t="str">
        <f ca="1">IFERROR(__xludf.DUMMYFUNCTION("""COMPUTED_VALUE"""),"TRX1643")</f>
        <v>TRX1643</v>
      </c>
      <c r="F329" s="16" t="str">
        <f ca="1">IFERROR(__xludf.DUMMYFUNCTION("""COMPUTED_VALUE"""),"Office expenses")</f>
        <v>Office expenses</v>
      </c>
      <c r="G329" s="16" t="str">
        <f ca="1">IFERROR(__xludf.DUMMYFUNCTION("""COMPUTED_VALUE"""),"Refill de botiquin")</f>
        <v>Refill de botiquin</v>
      </c>
      <c r="H329" s="16" t="str">
        <f ca="1">IFERROR(__xludf.DUMMYFUNCTION("""COMPUTED_VALUE"""),".")</f>
        <v>.</v>
      </c>
    </row>
    <row r="330" spans="1:8" ht="12.5">
      <c r="A330" s="24"/>
      <c r="B330" s="17"/>
      <c r="C330" s="24"/>
      <c r="D330" s="16"/>
      <c r="E330" s="16" t="str">
        <f ca="1">IFERROR(__xludf.DUMMYFUNCTION("""COMPUTED_VALUE"""),"TRX1775")</f>
        <v>TRX1775</v>
      </c>
      <c r="F330" s="16"/>
      <c r="G330" s="16"/>
      <c r="H330" s="16" t="str">
        <f ca="1">IFERROR(__xludf.DUMMYFUNCTION("""COMPUTED_VALUE"""),".")</f>
        <v>.</v>
      </c>
    </row>
    <row r="331" spans="1:8" ht="12.5">
      <c r="A331" s="24"/>
      <c r="B331" s="17"/>
      <c r="C331" s="24"/>
      <c r="D331" s="16"/>
      <c r="E331" s="16" t="str">
        <f ca="1">IFERROR(__xludf.DUMMYFUNCTION("""COMPUTED_VALUE"""),"TRX1734")</f>
        <v>TRX1734</v>
      </c>
      <c r="F331" s="16"/>
      <c r="G331" s="16"/>
      <c r="H331" s="16" t="str">
        <f ca="1">IFERROR(__xludf.DUMMYFUNCTION("""COMPUTED_VALUE"""),".")</f>
        <v>.</v>
      </c>
    </row>
    <row r="332" spans="1:8" ht="12.5">
      <c r="A332" s="24"/>
      <c r="B332" s="17"/>
      <c r="C332" s="24"/>
      <c r="D332" s="16"/>
      <c r="E332" s="16" t="str">
        <f ca="1">IFERROR(__xludf.DUMMYFUNCTION("""COMPUTED_VALUE"""),"TRX1953")</f>
        <v>TRX1953</v>
      </c>
      <c r="F332" s="16"/>
      <c r="G332" s="16"/>
      <c r="H332" s="16" t="str">
        <f ca="1">IFERROR(__xludf.DUMMYFUNCTION("""COMPUTED_VALUE"""),".")</f>
        <v>.</v>
      </c>
    </row>
    <row r="333" spans="1:8" ht="12.5">
      <c r="A333" s="24"/>
      <c r="B333" s="17"/>
      <c r="C333" s="24"/>
      <c r="D333" s="16"/>
      <c r="E333" s="16" t="str">
        <f ca="1">IFERROR(__xludf.DUMMYFUNCTION("""COMPUTED_VALUE"""),"TRX1925")</f>
        <v>TRX1925</v>
      </c>
      <c r="F333" s="16"/>
      <c r="G333" s="16"/>
      <c r="H333" s="16" t="str">
        <f ca="1">IFERROR(__xludf.DUMMYFUNCTION("""COMPUTED_VALUE"""),".")</f>
        <v>.</v>
      </c>
    </row>
    <row r="334" spans="1:8" ht="12.5">
      <c r="A334" s="24"/>
      <c r="B334" s="17"/>
      <c r="C334" s="24"/>
      <c r="D334" s="16"/>
      <c r="E334" s="16" t="str">
        <f ca="1">IFERROR(__xludf.DUMMYFUNCTION("""COMPUTED_VALUE"""),"TRX1228")</f>
        <v>TRX1228</v>
      </c>
      <c r="F334" s="16"/>
      <c r="G334" s="16"/>
      <c r="H334" s="16" t="str">
        <f ca="1">IFERROR(__xludf.DUMMYFUNCTION("""COMPUTED_VALUE"""),".")</f>
        <v>.</v>
      </c>
    </row>
    <row r="335" spans="1:8" ht="12.5">
      <c r="A335" s="24"/>
      <c r="B335" s="17"/>
      <c r="C335" s="24"/>
      <c r="D335" s="16"/>
      <c r="E335" s="16" t="str">
        <f ca="1">IFERROR(__xludf.DUMMYFUNCTION("""COMPUTED_VALUE"""),"TRX1222")</f>
        <v>TRX1222</v>
      </c>
      <c r="F335" s="16"/>
      <c r="G335" s="16"/>
      <c r="H335" s="16" t="str">
        <f ca="1">IFERROR(__xludf.DUMMYFUNCTION("""COMPUTED_VALUE"""),".")</f>
        <v>.</v>
      </c>
    </row>
    <row r="336" spans="1:8" ht="12.5">
      <c r="A336" s="24"/>
      <c r="B336" s="17"/>
      <c r="C336" s="24"/>
      <c r="D336" s="16"/>
      <c r="E336" s="16"/>
      <c r="F336" s="16"/>
      <c r="G336" s="16"/>
      <c r="H336" s="16" t="str">
        <f ca="1">IFERROR(__xludf.DUMMYFUNCTION("""COMPUTED_VALUE"""),".")</f>
        <v>.</v>
      </c>
    </row>
    <row r="337" spans="1:8" ht="12.5">
      <c r="A337" s="24"/>
      <c r="B337" s="17"/>
      <c r="C337" s="24"/>
      <c r="D337" s="16"/>
      <c r="E337" s="16"/>
      <c r="F337" s="16"/>
      <c r="G337" s="16"/>
      <c r="H337" s="16" t="str">
        <f ca="1">IFERROR(__xludf.DUMMYFUNCTION("""COMPUTED_VALUE"""),".")</f>
        <v>.</v>
      </c>
    </row>
    <row r="338" spans="1:8" ht="12.5">
      <c r="A338" s="24"/>
      <c r="B338" s="17"/>
      <c r="C338" s="24"/>
      <c r="D338" s="16"/>
      <c r="E338" s="16"/>
      <c r="F338" s="16"/>
      <c r="G338" s="16"/>
      <c r="H338" s="16" t="str">
        <f ca="1">IFERROR(__xludf.DUMMYFUNCTION("""COMPUTED_VALUE"""),".")</f>
        <v>.</v>
      </c>
    </row>
    <row r="339" spans="1:8" ht="12.5">
      <c r="A339" s="24"/>
      <c r="B339" s="17"/>
      <c r="C339" s="24"/>
      <c r="D339" s="16"/>
      <c r="E339" s="16"/>
      <c r="F339" s="16"/>
      <c r="G339" s="16"/>
      <c r="H339" s="16" t="str">
        <f ca="1">IFERROR(__xludf.DUMMYFUNCTION("""COMPUTED_VALUE"""),".")</f>
        <v>.</v>
      </c>
    </row>
    <row r="340" spans="1:8" ht="12.5">
      <c r="A340" s="24"/>
      <c r="B340" s="17"/>
      <c r="C340" s="24"/>
      <c r="D340" s="16"/>
      <c r="E340" s="16"/>
      <c r="F340" s="16"/>
      <c r="G340" s="16"/>
      <c r="H340" s="16" t="str">
        <f ca="1">IFERROR(__xludf.DUMMYFUNCTION("""COMPUTED_VALUE"""),".")</f>
        <v>.</v>
      </c>
    </row>
    <row r="341" spans="1:8" ht="12.5">
      <c r="A341" s="24"/>
      <c r="B341" s="17"/>
      <c r="C341" s="24"/>
      <c r="D341" s="16"/>
      <c r="E341" s="16"/>
      <c r="F341" s="16"/>
      <c r="G341" s="16"/>
      <c r="H341" s="16" t="str">
        <f ca="1">IFERROR(__xludf.DUMMYFUNCTION("""COMPUTED_VALUE"""),".")</f>
        <v>.</v>
      </c>
    </row>
    <row r="342" spans="1:8" ht="12.5">
      <c r="A342" s="24"/>
      <c r="B342" s="17"/>
      <c r="C342" s="24"/>
      <c r="D342" s="16"/>
      <c r="E342" s="16"/>
      <c r="F342" s="16"/>
      <c r="G342" s="16"/>
      <c r="H342" s="16" t="str">
        <f ca="1">IFERROR(__xludf.DUMMYFUNCTION("""COMPUTED_VALUE"""),".")</f>
        <v>.</v>
      </c>
    </row>
    <row r="343" spans="1:8" ht="12.5">
      <c r="A343" s="24"/>
      <c r="B343" s="17"/>
      <c r="C343" s="24"/>
      <c r="D343" s="16"/>
      <c r="E343" s="16"/>
      <c r="F343" s="16"/>
      <c r="G343" s="16"/>
      <c r="H343" s="16" t="str">
        <f ca="1">IFERROR(__xludf.DUMMYFUNCTION("""COMPUTED_VALUE"""),".")</f>
        <v>.</v>
      </c>
    </row>
    <row r="344" spans="1:8" ht="12.5">
      <c r="A344" s="24"/>
      <c r="B344" s="17"/>
      <c r="C344" s="24"/>
      <c r="D344" s="16"/>
      <c r="E344" s="16"/>
      <c r="F344" s="16"/>
      <c r="G344" s="16"/>
      <c r="H344" s="16" t="str">
        <f ca="1">IFERROR(__xludf.DUMMYFUNCTION("""COMPUTED_VALUE"""),".")</f>
        <v>.</v>
      </c>
    </row>
    <row r="345" spans="1:8" ht="12.5">
      <c r="A345" s="24"/>
      <c r="B345" s="17"/>
      <c r="C345" s="24"/>
      <c r="D345" s="16"/>
      <c r="E345" s="16"/>
      <c r="F345" s="16"/>
      <c r="G345" s="16"/>
      <c r="H345" s="16" t="str">
        <f ca="1">IFERROR(__xludf.DUMMYFUNCTION("""COMPUTED_VALUE"""),".")</f>
        <v>.</v>
      </c>
    </row>
    <row r="346" spans="1:8" ht="12.5">
      <c r="A346" s="24"/>
      <c r="B346" s="17"/>
      <c r="C346" s="24"/>
      <c r="D346" s="16"/>
      <c r="E346" s="16"/>
      <c r="F346" s="16"/>
      <c r="G346" s="16"/>
      <c r="H346" s="16" t="str">
        <f ca="1">IFERROR(__xludf.DUMMYFUNCTION("""COMPUTED_VALUE"""),".")</f>
        <v>.</v>
      </c>
    </row>
    <row r="347" spans="1:8" ht="12.5">
      <c r="A347" s="24"/>
      <c r="B347" s="17"/>
      <c r="C347" s="24"/>
      <c r="D347" s="16"/>
      <c r="E347" s="16"/>
      <c r="F347" s="16"/>
      <c r="G347" s="16"/>
      <c r="H347" s="16" t="str">
        <f ca="1">IFERROR(__xludf.DUMMYFUNCTION("""COMPUTED_VALUE"""),".")</f>
        <v>.</v>
      </c>
    </row>
    <row r="348" spans="1:8" ht="12.5">
      <c r="A348" s="24"/>
      <c r="B348" s="17"/>
      <c r="C348" s="24"/>
      <c r="D348" s="16"/>
      <c r="E348" s="16"/>
      <c r="F348" s="16"/>
      <c r="G348" s="16"/>
      <c r="H348" s="16" t="str">
        <f ca="1">IFERROR(__xludf.DUMMYFUNCTION("""COMPUTED_VALUE"""),".")</f>
        <v>.</v>
      </c>
    </row>
    <row r="349" spans="1:8" ht="12.5">
      <c r="A349" s="24"/>
      <c r="B349" s="17"/>
      <c r="C349" s="24"/>
      <c r="D349" s="16"/>
      <c r="E349" s="16"/>
      <c r="F349" s="16"/>
      <c r="G349" s="16"/>
      <c r="H349" s="16" t="str">
        <f ca="1">IFERROR(__xludf.DUMMYFUNCTION("""COMPUTED_VALUE"""),".")</f>
        <v>.</v>
      </c>
    </row>
    <row r="350" spans="1:8" ht="12.5">
      <c r="A350" s="24"/>
      <c r="B350" s="17"/>
      <c r="C350" s="24"/>
      <c r="D350" s="16"/>
      <c r="E350" s="16"/>
      <c r="F350" s="16"/>
      <c r="G350" s="16"/>
      <c r="H350" s="16" t="str">
        <f ca="1">IFERROR(__xludf.DUMMYFUNCTION("""COMPUTED_VALUE"""),".")</f>
        <v>.</v>
      </c>
    </row>
    <row r="351" spans="1:8" ht="12.5">
      <c r="A351" s="24"/>
      <c r="B351" s="17"/>
      <c r="C351" s="24"/>
      <c r="D351" s="16"/>
      <c r="E351" s="16"/>
      <c r="F351" s="16"/>
      <c r="G351" s="16"/>
      <c r="H351" s="16" t="str">
        <f ca="1">IFERROR(__xludf.DUMMYFUNCTION("""COMPUTED_VALUE"""),".")</f>
        <v>.</v>
      </c>
    </row>
    <row r="352" spans="1:8" ht="12.5">
      <c r="A352" s="24"/>
      <c r="B352" s="17"/>
      <c r="C352" s="24"/>
      <c r="D352" s="16"/>
      <c r="E352" s="16"/>
      <c r="F352" s="16"/>
      <c r="G352" s="16"/>
      <c r="H352" s="16" t="str">
        <f ca="1">IFERROR(__xludf.DUMMYFUNCTION("""COMPUTED_VALUE"""),".")</f>
        <v>.</v>
      </c>
    </row>
    <row r="353" spans="1:8" ht="12.5">
      <c r="A353" s="24"/>
      <c r="B353" s="17"/>
      <c r="C353" s="24"/>
      <c r="D353" s="16"/>
      <c r="E353" s="16"/>
      <c r="F353" s="16"/>
      <c r="G353" s="16"/>
      <c r="H353" s="16" t="str">
        <f ca="1">IFERROR(__xludf.DUMMYFUNCTION("""COMPUTED_VALUE"""),".")</f>
        <v>.</v>
      </c>
    </row>
    <row r="354" spans="1:8" ht="12.5">
      <c r="A354" s="24"/>
      <c r="B354" s="17"/>
      <c r="C354" s="24"/>
      <c r="D354" s="16"/>
      <c r="E354" s="16"/>
      <c r="F354" s="16"/>
      <c r="G354" s="16"/>
      <c r="H354" s="16" t="str">
        <f ca="1">IFERROR(__xludf.DUMMYFUNCTION("""COMPUTED_VALUE"""),".")</f>
        <v>.</v>
      </c>
    </row>
    <row r="355" spans="1:8" ht="12.5">
      <c r="A355" s="24"/>
      <c r="B355" s="17"/>
      <c r="C355" s="24"/>
      <c r="D355" s="16"/>
      <c r="E355" s="16"/>
      <c r="F355" s="16"/>
      <c r="G355" s="16"/>
      <c r="H355" s="16" t="str">
        <f ca="1">IFERROR(__xludf.DUMMYFUNCTION("""COMPUTED_VALUE"""),".")</f>
        <v>.</v>
      </c>
    </row>
    <row r="356" spans="1:8" ht="12.5">
      <c r="A356" s="24"/>
      <c r="B356" s="17"/>
      <c r="C356" s="24"/>
      <c r="D356" s="16"/>
      <c r="E356" s="16"/>
      <c r="F356" s="16"/>
      <c r="G356" s="16"/>
      <c r="H356" s="16" t="str">
        <f ca="1">IFERROR(__xludf.DUMMYFUNCTION("""COMPUTED_VALUE"""),".")</f>
        <v>.</v>
      </c>
    </row>
    <row r="357" spans="1:8" ht="12.5">
      <c r="A357" s="24"/>
      <c r="B357" s="17"/>
      <c r="C357" s="24"/>
      <c r="D357" s="16"/>
      <c r="E357" s="16"/>
      <c r="F357" s="16"/>
      <c r="G357" s="16"/>
      <c r="H357" s="16" t="str">
        <f ca="1">IFERROR(__xludf.DUMMYFUNCTION("""COMPUTED_VALUE"""),".")</f>
        <v>.</v>
      </c>
    </row>
    <row r="358" spans="1:8" ht="12.5">
      <c r="A358" s="24"/>
      <c r="B358" s="17"/>
      <c r="C358" s="24"/>
      <c r="D358" s="16"/>
      <c r="E358" s="16"/>
      <c r="F358" s="16"/>
      <c r="G358" s="16"/>
      <c r="H358" s="16" t="str">
        <f ca="1">IFERROR(__xludf.DUMMYFUNCTION("""COMPUTED_VALUE"""),".")</f>
        <v>.</v>
      </c>
    </row>
    <row r="359" spans="1:8" ht="12.5">
      <c r="A359" s="24"/>
      <c r="B359" s="17"/>
      <c r="C359" s="24"/>
      <c r="D359" s="16"/>
      <c r="E359" s="16"/>
      <c r="F359" s="16"/>
      <c r="G359" s="16"/>
      <c r="H359" s="16" t="str">
        <f ca="1">IFERROR(__xludf.DUMMYFUNCTION("""COMPUTED_VALUE"""),".")</f>
        <v>.</v>
      </c>
    </row>
    <row r="360" spans="1:8" ht="12.5">
      <c r="A360" s="24"/>
      <c r="B360" s="17"/>
      <c r="C360" s="24"/>
      <c r="D360" s="16"/>
      <c r="E360" s="16"/>
      <c r="F360" s="16"/>
      <c r="G360" s="16"/>
      <c r="H360" s="16" t="str">
        <f ca="1">IFERROR(__xludf.DUMMYFUNCTION("""COMPUTED_VALUE"""),".")</f>
        <v>.</v>
      </c>
    </row>
    <row r="361" spans="1:8" ht="12.5">
      <c r="A361" s="24"/>
      <c r="B361" s="17"/>
      <c r="C361" s="24"/>
      <c r="D361" s="16"/>
      <c r="E361" s="16"/>
      <c r="F361" s="16"/>
      <c r="G361" s="16"/>
      <c r="H361" s="16" t="str">
        <f ca="1">IFERROR(__xludf.DUMMYFUNCTION("""COMPUTED_VALUE"""),".")</f>
        <v>.</v>
      </c>
    </row>
    <row r="362" spans="1:8" ht="12.5">
      <c r="A362" s="24"/>
      <c r="B362" s="17"/>
      <c r="C362" s="24"/>
      <c r="D362" s="16"/>
      <c r="E362" s="16"/>
      <c r="F362" s="16"/>
      <c r="G362" s="16"/>
      <c r="H362" s="16" t="str">
        <f ca="1">IFERROR(__xludf.DUMMYFUNCTION("""COMPUTED_VALUE"""),".")</f>
        <v>.</v>
      </c>
    </row>
    <row r="363" spans="1:8" ht="12.5">
      <c r="A363" s="24"/>
      <c r="B363" s="17"/>
      <c r="C363" s="24"/>
      <c r="D363" s="16"/>
      <c r="E363" s="16"/>
      <c r="F363" s="16"/>
      <c r="G363" s="16"/>
      <c r="H363" s="16" t="str">
        <f ca="1">IFERROR(__xludf.DUMMYFUNCTION("""COMPUTED_VALUE"""),".")</f>
        <v>.</v>
      </c>
    </row>
    <row r="364" spans="1:8" ht="12.5">
      <c r="A364" s="24"/>
      <c r="B364" s="17"/>
      <c r="C364" s="24"/>
      <c r="D364" s="16"/>
      <c r="E364" s="16"/>
      <c r="F364" s="16"/>
      <c r="G364" s="16"/>
      <c r="H364" s="16" t="str">
        <f ca="1">IFERROR(__xludf.DUMMYFUNCTION("""COMPUTED_VALUE"""),".")</f>
        <v>.</v>
      </c>
    </row>
    <row r="365" spans="1:8" ht="12.5">
      <c r="A365" s="24"/>
      <c r="B365" s="17"/>
      <c r="C365" s="24"/>
      <c r="D365" s="16"/>
      <c r="E365" s="16"/>
      <c r="F365" s="16"/>
      <c r="G365" s="16"/>
      <c r="H365" s="16" t="str">
        <f ca="1">IFERROR(__xludf.DUMMYFUNCTION("""COMPUTED_VALUE"""),".")</f>
        <v>.</v>
      </c>
    </row>
    <row r="366" spans="1:8" ht="12.5">
      <c r="A366" s="24"/>
      <c r="B366" s="17"/>
      <c r="C366" s="24"/>
      <c r="D366" s="16"/>
      <c r="E366" s="16"/>
      <c r="F366" s="16"/>
      <c r="G366" s="16"/>
      <c r="H366" s="16" t="str">
        <f ca="1">IFERROR(__xludf.DUMMYFUNCTION("""COMPUTED_VALUE"""),".")</f>
        <v>.</v>
      </c>
    </row>
    <row r="367" spans="1:8" ht="12.5">
      <c r="A367" s="24"/>
      <c r="B367" s="17"/>
      <c r="C367" s="24"/>
      <c r="D367" s="16"/>
      <c r="E367" s="16"/>
      <c r="F367" s="16"/>
      <c r="G367" s="16"/>
      <c r="H367" s="16" t="str">
        <f ca="1">IFERROR(__xludf.DUMMYFUNCTION("""COMPUTED_VALUE"""),".")</f>
        <v>.</v>
      </c>
    </row>
    <row r="368" spans="1:8" ht="12.5">
      <c r="A368" s="24"/>
      <c r="B368" s="17"/>
      <c r="C368" s="24"/>
      <c r="D368" s="16"/>
      <c r="E368" s="16"/>
      <c r="F368" s="16"/>
      <c r="G368" s="16"/>
      <c r="H368" s="16" t="str">
        <f ca="1">IFERROR(__xludf.DUMMYFUNCTION("""COMPUTED_VALUE"""),".")</f>
        <v>.</v>
      </c>
    </row>
    <row r="369" spans="1:8" ht="12.5">
      <c r="A369" s="24"/>
      <c r="B369" s="17"/>
      <c r="C369" s="24"/>
      <c r="D369" s="16"/>
      <c r="E369" s="16"/>
      <c r="F369" s="16"/>
      <c r="G369" s="16"/>
      <c r="H369" s="16" t="str">
        <f ca="1">IFERROR(__xludf.DUMMYFUNCTION("""COMPUTED_VALUE"""),".")</f>
        <v>.</v>
      </c>
    </row>
    <row r="370" spans="1:8" ht="12.5">
      <c r="A370" s="24"/>
      <c r="B370" s="17"/>
      <c r="C370" s="24"/>
      <c r="D370" s="16"/>
      <c r="E370" s="16"/>
      <c r="F370" s="16"/>
      <c r="G370" s="16"/>
      <c r="H370" s="16" t="str">
        <f ca="1">IFERROR(__xludf.DUMMYFUNCTION("""COMPUTED_VALUE"""),".")</f>
        <v>.</v>
      </c>
    </row>
    <row r="371" spans="1:8" ht="12.5">
      <c r="A371" s="24"/>
      <c r="B371" s="17"/>
      <c r="C371" s="24"/>
      <c r="D371" s="16"/>
      <c r="E371" s="16"/>
      <c r="F371" s="16"/>
      <c r="G371" s="16"/>
      <c r="H371" s="16" t="str">
        <f ca="1">IFERROR(__xludf.DUMMYFUNCTION("""COMPUTED_VALUE"""),".")</f>
        <v>.</v>
      </c>
    </row>
    <row r="372" spans="1:8" ht="12.5">
      <c r="A372" s="24"/>
      <c r="B372" s="17"/>
      <c r="C372" s="24"/>
      <c r="D372" s="16"/>
      <c r="E372" s="16"/>
      <c r="F372" s="16"/>
      <c r="G372" s="16"/>
      <c r="H372" s="16" t="str">
        <f ca="1">IFERROR(__xludf.DUMMYFUNCTION("""COMPUTED_VALUE"""),".")</f>
        <v>.</v>
      </c>
    </row>
    <row r="373" spans="1:8" ht="12.5">
      <c r="A373" s="24"/>
      <c r="B373" s="17"/>
      <c r="C373" s="24"/>
      <c r="D373" s="16"/>
      <c r="E373" s="16"/>
      <c r="F373" s="16"/>
      <c r="G373" s="16"/>
      <c r="H373" s="16" t="str">
        <f ca="1">IFERROR(__xludf.DUMMYFUNCTION("""COMPUTED_VALUE"""),".")</f>
        <v>.</v>
      </c>
    </row>
    <row r="374" spans="1:8" ht="12.5">
      <c r="A374" s="24"/>
      <c r="B374" s="17"/>
      <c r="C374" s="24"/>
      <c r="D374" s="16"/>
      <c r="E374" s="16"/>
      <c r="F374" s="16"/>
      <c r="G374" s="16"/>
      <c r="H374" s="16" t="str">
        <f ca="1">IFERROR(__xludf.DUMMYFUNCTION("""COMPUTED_VALUE"""),".")</f>
        <v>.</v>
      </c>
    </row>
    <row r="375" spans="1:8" ht="12.5">
      <c r="A375" s="24"/>
      <c r="B375" s="17"/>
      <c r="C375" s="24"/>
      <c r="D375" s="16"/>
      <c r="E375" s="16"/>
      <c r="F375" s="16"/>
      <c r="G375" s="16"/>
      <c r="H375" s="16" t="str">
        <f ca="1">IFERROR(__xludf.DUMMYFUNCTION("""COMPUTED_VALUE"""),".")</f>
        <v>.</v>
      </c>
    </row>
    <row r="376" spans="1:8" ht="12.5">
      <c r="A376" s="24"/>
      <c r="B376" s="17"/>
      <c r="C376" s="24"/>
      <c r="D376" s="16"/>
      <c r="E376" s="16"/>
      <c r="F376" s="16"/>
      <c r="G376" s="16"/>
      <c r="H376" s="16" t="str">
        <f ca="1">IFERROR(__xludf.DUMMYFUNCTION("""COMPUTED_VALUE"""),".")</f>
        <v>.</v>
      </c>
    </row>
    <row r="377" spans="1:8" ht="12.5">
      <c r="A377" s="24"/>
      <c r="B377" s="17"/>
      <c r="C377" s="24"/>
      <c r="D377" s="16"/>
      <c r="E377" s="16"/>
      <c r="F377" s="16"/>
      <c r="G377" s="16"/>
      <c r="H377" s="16" t="str">
        <f ca="1">IFERROR(__xludf.DUMMYFUNCTION("""COMPUTED_VALUE"""),".")</f>
        <v>.</v>
      </c>
    </row>
    <row r="378" spans="1:8" ht="12.5">
      <c r="A378" s="24"/>
      <c r="B378" s="17"/>
      <c r="C378" s="24"/>
      <c r="D378" s="16"/>
      <c r="E378" s="16"/>
      <c r="F378" s="16"/>
      <c r="G378" s="16"/>
      <c r="H378" s="16" t="str">
        <f ca="1">IFERROR(__xludf.DUMMYFUNCTION("""COMPUTED_VALUE"""),".")</f>
        <v>.</v>
      </c>
    </row>
    <row r="379" spans="1:8" ht="12.5">
      <c r="A379" s="24"/>
      <c r="B379" s="17"/>
      <c r="C379" s="24"/>
      <c r="D379" s="16"/>
      <c r="E379" s="16"/>
      <c r="F379" s="16"/>
      <c r="G379" s="16"/>
      <c r="H379" s="16" t="str">
        <f ca="1">IFERROR(__xludf.DUMMYFUNCTION("""COMPUTED_VALUE"""),".")</f>
        <v>.</v>
      </c>
    </row>
    <row r="380" spans="1:8" ht="12.5">
      <c r="A380" s="24"/>
      <c r="B380" s="17"/>
      <c r="C380" s="24"/>
      <c r="D380" s="16"/>
      <c r="E380" s="16"/>
      <c r="F380" s="16"/>
      <c r="G380" s="16"/>
      <c r="H380" s="16" t="str">
        <f ca="1">IFERROR(__xludf.DUMMYFUNCTION("""COMPUTED_VALUE"""),".")</f>
        <v>.</v>
      </c>
    </row>
    <row r="381" spans="1:8" ht="12.5">
      <c r="A381" s="24"/>
      <c r="B381" s="17"/>
      <c r="C381" s="24"/>
      <c r="D381" s="16"/>
      <c r="E381" s="16"/>
      <c r="F381" s="16"/>
      <c r="G381" s="16"/>
      <c r="H381" s="16" t="str">
        <f ca="1">IFERROR(__xludf.DUMMYFUNCTION("""COMPUTED_VALUE"""),".")</f>
        <v>.</v>
      </c>
    </row>
    <row r="382" spans="1:8" ht="12.5">
      <c r="A382" s="24"/>
      <c r="B382" s="17"/>
      <c r="C382" s="24"/>
      <c r="D382" s="16"/>
      <c r="E382" s="16"/>
      <c r="F382" s="16"/>
      <c r="G382" s="16"/>
      <c r="H382" s="16" t="str">
        <f ca="1">IFERROR(__xludf.DUMMYFUNCTION("""COMPUTED_VALUE"""),".")</f>
        <v>.</v>
      </c>
    </row>
    <row r="383" spans="1:8" ht="12.5">
      <c r="A383" s="24"/>
      <c r="B383" s="17"/>
      <c r="C383" s="24"/>
      <c r="D383" s="16"/>
      <c r="E383" s="16"/>
      <c r="F383" s="16"/>
      <c r="G383" s="16"/>
      <c r="H383" s="16" t="str">
        <f ca="1">IFERROR(__xludf.DUMMYFUNCTION("""COMPUTED_VALUE"""),".")</f>
        <v>.</v>
      </c>
    </row>
    <row r="384" spans="1:8" ht="12.5">
      <c r="A384" s="24"/>
      <c r="B384" s="17"/>
      <c r="C384" s="24"/>
      <c r="D384" s="16"/>
      <c r="E384" s="16"/>
      <c r="F384" s="16"/>
      <c r="G384" s="16"/>
      <c r="H384" s="16" t="str">
        <f ca="1">IFERROR(__xludf.DUMMYFUNCTION("""COMPUTED_VALUE"""),".")</f>
        <v>.</v>
      </c>
    </row>
    <row r="385" spans="1:8" ht="12.5">
      <c r="A385" s="24"/>
      <c r="B385" s="17"/>
      <c r="C385" s="24"/>
      <c r="D385" s="16"/>
      <c r="E385" s="16"/>
      <c r="F385" s="16"/>
      <c r="G385" s="16"/>
      <c r="H385" s="16" t="str">
        <f ca="1">IFERROR(__xludf.DUMMYFUNCTION("""COMPUTED_VALUE"""),".")</f>
        <v>.</v>
      </c>
    </row>
    <row r="386" spans="1:8" ht="12.5">
      <c r="A386" s="24"/>
      <c r="B386" s="17"/>
      <c r="C386" s="24"/>
      <c r="D386" s="16"/>
      <c r="E386" s="16"/>
      <c r="F386" s="16"/>
      <c r="G386" s="16"/>
      <c r="H386" s="16" t="str">
        <f ca="1">IFERROR(__xludf.DUMMYFUNCTION("""COMPUTED_VALUE"""),".")</f>
        <v>.</v>
      </c>
    </row>
    <row r="387" spans="1:8" ht="12.5">
      <c r="A387" s="24"/>
      <c r="B387" s="17"/>
      <c r="C387" s="24"/>
      <c r="D387" s="16"/>
      <c r="E387" s="16"/>
      <c r="F387" s="16"/>
      <c r="G387" s="16"/>
      <c r="H387" s="16" t="str">
        <f ca="1">IFERROR(__xludf.DUMMYFUNCTION("""COMPUTED_VALUE"""),".")</f>
        <v>.</v>
      </c>
    </row>
    <row r="388" spans="1:8" ht="12.5">
      <c r="A388" s="24"/>
      <c r="B388" s="17"/>
      <c r="C388" s="24"/>
      <c r="D388" s="16"/>
      <c r="E388" s="16"/>
      <c r="F388" s="16"/>
      <c r="G388" s="16"/>
      <c r="H388" s="16" t="str">
        <f ca="1">IFERROR(__xludf.DUMMYFUNCTION("""COMPUTED_VALUE"""),".")</f>
        <v>.</v>
      </c>
    </row>
    <row r="389" spans="1:8" ht="12.5">
      <c r="A389" s="24"/>
      <c r="B389" s="17"/>
      <c r="C389" s="24"/>
      <c r="D389" s="16"/>
      <c r="E389" s="16"/>
      <c r="F389" s="16"/>
      <c r="G389" s="16"/>
      <c r="H389" s="16" t="str">
        <f ca="1">IFERROR(__xludf.DUMMYFUNCTION("""COMPUTED_VALUE"""),".")</f>
        <v>.</v>
      </c>
    </row>
    <row r="390" spans="1:8" ht="12.5">
      <c r="A390" s="24"/>
      <c r="B390" s="17"/>
      <c r="C390" s="24"/>
      <c r="D390" s="16"/>
      <c r="E390" s="16"/>
      <c r="F390" s="16"/>
      <c r="G390" s="16"/>
      <c r="H390" s="16" t="str">
        <f ca="1">IFERROR(__xludf.DUMMYFUNCTION("""COMPUTED_VALUE"""),".")</f>
        <v>.</v>
      </c>
    </row>
    <row r="391" spans="1:8" ht="12.5">
      <c r="A391" s="24"/>
      <c r="B391" s="17"/>
      <c r="C391" s="24"/>
      <c r="D391" s="16"/>
      <c r="E391" s="16"/>
      <c r="F391" s="16"/>
      <c r="G391" s="16"/>
      <c r="H391" s="16" t="str">
        <f ca="1">IFERROR(__xludf.DUMMYFUNCTION("""COMPUTED_VALUE"""),".")</f>
        <v>.</v>
      </c>
    </row>
    <row r="392" spans="1:8" ht="12.5">
      <c r="A392" s="24"/>
      <c r="B392" s="17"/>
      <c r="C392" s="24"/>
      <c r="D392" s="16"/>
      <c r="E392" s="16"/>
      <c r="F392" s="16"/>
      <c r="G392" s="16"/>
      <c r="H392" s="16" t="str">
        <f ca="1">IFERROR(__xludf.DUMMYFUNCTION("""COMPUTED_VALUE"""),".")</f>
        <v>.</v>
      </c>
    </row>
    <row r="393" spans="1:8" ht="12.5">
      <c r="A393" s="24"/>
      <c r="B393" s="17"/>
      <c r="C393" s="24"/>
      <c r="D393" s="16"/>
      <c r="E393" s="16"/>
      <c r="F393" s="16"/>
      <c r="G393" s="16"/>
      <c r="H393" s="16"/>
    </row>
    <row r="394" spans="1:8" ht="12.5">
      <c r="A394" s="24"/>
      <c r="B394" s="17"/>
      <c r="C394" s="24"/>
      <c r="D394" s="16"/>
      <c r="E394" s="16"/>
      <c r="F394" s="16"/>
      <c r="G394" s="16"/>
      <c r="H394" s="16"/>
    </row>
    <row r="395" spans="1:8" ht="12.5">
      <c r="A395" s="24"/>
      <c r="B395" s="17"/>
      <c r="C395" s="24"/>
      <c r="D395" s="16"/>
      <c r="E395" s="16"/>
      <c r="F395" s="16"/>
      <c r="G395" s="16"/>
      <c r="H395" s="16"/>
    </row>
    <row r="396" spans="1:8" ht="12.5">
      <c r="A396" s="24"/>
      <c r="B396" s="17"/>
      <c r="C396" s="24"/>
      <c r="D396" s="16"/>
      <c r="E396" s="16"/>
      <c r="F396" s="16"/>
      <c r="G396" s="16"/>
      <c r="H396" s="16"/>
    </row>
    <row r="397" spans="1:8" ht="12.5">
      <c r="A397" s="24"/>
      <c r="B397" s="17"/>
      <c r="C397" s="24"/>
      <c r="D397" s="16"/>
      <c r="E397" s="16"/>
      <c r="F397" s="16"/>
      <c r="G397" s="16"/>
      <c r="H397" s="16"/>
    </row>
    <row r="398" spans="1:8" ht="12.5">
      <c r="A398" s="24"/>
      <c r="B398" s="17"/>
      <c r="C398" s="24"/>
      <c r="D398" s="16"/>
      <c r="E398" s="16"/>
      <c r="F398" s="16"/>
      <c r="G398" s="16"/>
      <c r="H398" s="16"/>
    </row>
    <row r="399" spans="1:8" ht="12.5">
      <c r="A399" s="24"/>
      <c r="B399" s="17"/>
      <c r="C399" s="24"/>
      <c r="D399" s="16"/>
      <c r="E399" s="16"/>
      <c r="F399" s="16"/>
      <c r="G399" s="16"/>
      <c r="H399" s="16"/>
    </row>
    <row r="400" spans="1:8" ht="12.5">
      <c r="A400" s="24"/>
      <c r="B400" s="17"/>
      <c r="C400" s="24"/>
      <c r="D400" s="16"/>
      <c r="E400" s="16"/>
      <c r="F400" s="16"/>
      <c r="G400" s="16"/>
      <c r="H400" s="16"/>
    </row>
    <row r="401" spans="1:8" ht="12.5">
      <c r="A401" s="24"/>
      <c r="B401" s="17"/>
      <c r="C401" s="24"/>
      <c r="D401" s="16"/>
      <c r="E401" s="16"/>
      <c r="F401" s="16"/>
      <c r="G401" s="16"/>
      <c r="H401" s="16"/>
    </row>
    <row r="402" spans="1:8" ht="12.5">
      <c r="A402" s="24"/>
      <c r="B402" s="17"/>
      <c r="C402" s="24"/>
      <c r="D402" s="16"/>
      <c r="E402" s="16"/>
      <c r="F402" s="16"/>
      <c r="G402" s="16"/>
      <c r="H402" s="16"/>
    </row>
    <row r="403" spans="1:8" ht="12.5">
      <c r="A403" s="24"/>
      <c r="B403" s="17"/>
      <c r="C403" s="24"/>
      <c r="D403" s="16"/>
      <c r="E403" s="37" t="str">
        <f ca="1">IFERROR(__xludf.DUMMYFUNCTION("IMPORTRANGE(""https://docs.google.com/spreadsheets/d/1UrnnEgoRUhdzr46QM7K30e2kRMlXxzyr7EcuvAu5JLA/edit#gid=1404531132"",""#6 Fernando Sanchez!A11:A80"")"),"CODI")</f>
        <v>CODI</v>
      </c>
      <c r="F403" s="37" t="str">
        <f ca="1">IFERROR(__xludf.DUMMYFUNCTION("IMPORTRANGE(""https://docs.google.com/spreadsheets/d/1UrnnEgoRUhdzr46QM7K30e2kRMlXxzyr7EcuvAu5JLA/edit#gid=1404531132"",""#6 Fernando Sanchez!i11:k80"")"),"Expense Type")</f>
        <v>Expense Type</v>
      </c>
      <c r="G403" s="16" t="str">
        <f ca="1">IFERROR(__xludf.DUMMYFUNCTION("""COMPUTED_VALUE"""),"DESCRIPCION DEL GASTO")</f>
        <v>DESCRIPCION DEL GASTO</v>
      </c>
      <c r="H403" s="16" t="str">
        <f ca="1">IFERROR(__xludf.DUMMYFUNCTION("""COMPUTED_VALUE"""),"FOLIO FACTURA")</f>
        <v>FOLIO FACTURA</v>
      </c>
    </row>
    <row r="404" spans="1:8" ht="12.5">
      <c r="A404" s="24"/>
      <c r="B404" s="17"/>
      <c r="C404" s="24"/>
      <c r="D404" s="16"/>
      <c r="E404" s="16" t="str">
        <f ca="1">IFERROR(__xludf.DUMMYFUNCTION("""COMPUTED_VALUE"""),"TRX1222")</f>
        <v>TRX1222</v>
      </c>
      <c r="F404" s="16" t="str">
        <f ca="1">IFERROR(__xludf.DUMMYFUNCTION("""COMPUTED_VALUE"""),"Transaction cost")</f>
        <v>Transaction cost</v>
      </c>
      <c r="G404" s="16" t="str">
        <f ca="1">IFERROR(__xludf.DUMMYFUNCTION("""COMPUTED_VALUE"""),"Gasolina recolección Fer Marcelo")</f>
        <v>Gasolina recolección Fer Marcelo</v>
      </c>
      <c r="H404" s="16"/>
    </row>
    <row r="405" spans="1:8" ht="12.5">
      <c r="A405" s="24"/>
      <c r="B405" s="17"/>
      <c r="C405" s="24"/>
      <c r="D405" s="16"/>
      <c r="E405" s="16" t="str">
        <f ca="1">IFERROR(__xludf.DUMMYFUNCTION("""COMPUTED_VALUE"""),"TRX1202")</f>
        <v>TRX1202</v>
      </c>
      <c r="F405" s="16" t="str">
        <f ca="1">IFERROR(__xludf.DUMMYFUNCTION("""COMPUTED_VALUE"""),"Transaction cost")</f>
        <v>Transaction cost</v>
      </c>
      <c r="G405" s="16" t="str">
        <f ca="1">IFERROR(__xludf.DUMMYFUNCTION("""COMPUTED_VALUE"""),"Comida visita fer Marcelo ")</f>
        <v xml:space="preserve">Comida visita fer Marcelo </v>
      </c>
      <c r="H405" s="16"/>
    </row>
    <row r="406" spans="1:8" ht="12.5">
      <c r="A406" s="24"/>
      <c r="B406" s="17"/>
      <c r="C406" s="24"/>
      <c r="D406" s="16"/>
      <c r="E406" s="16" t="str">
        <f ca="1">IFERROR(__xludf.DUMMYFUNCTION("""COMPUTED_VALUE"""),"TRX1176")</f>
        <v>TRX1176</v>
      </c>
      <c r="F406" s="16" t="str">
        <f ca="1">IFERROR(__xludf.DUMMYFUNCTION("""COMPUTED_VALUE"""),"Transaction cost")</f>
        <v>Transaction cost</v>
      </c>
      <c r="G406" s="16" t="str">
        <f ca="1">IFERROR(__xludf.DUMMYFUNCTION("""COMPUTED_VALUE"""),"Recarga de tag")</f>
        <v>Recarga de tag</v>
      </c>
      <c r="H406" s="16"/>
    </row>
    <row r="407" spans="1:8" ht="12.5">
      <c r="A407" s="24"/>
      <c r="B407" s="17"/>
      <c r="C407" s="24"/>
      <c r="D407" s="16"/>
      <c r="E407" s="16" t="str">
        <f ca="1">IFERROR(__xludf.DUMMYFUNCTION("""COMPUTED_VALUE"""),"TRX1155")</f>
        <v>TRX1155</v>
      </c>
      <c r="F407" s="16" t="str">
        <f ca="1">IFERROR(__xludf.DUMMYFUNCTION("""COMPUTED_VALUE"""),"Transaction cost")</f>
        <v>Transaction cost</v>
      </c>
      <c r="G407" s="16" t="str">
        <f ca="1">IFERROR(__xludf.DUMMYFUNCTION("""COMPUTED_VALUE"""),"Gasolina, entrega en Deacero ")</f>
        <v xml:space="preserve">Gasolina, entrega en Deacero </v>
      </c>
      <c r="H407" s="16"/>
    </row>
    <row r="408" spans="1:8" ht="12.5">
      <c r="A408" s="24"/>
      <c r="B408" s="17"/>
      <c r="C408" s="24"/>
      <c r="D408" s="16"/>
      <c r="E408" s="16" t="str">
        <f ca="1">IFERROR(__xludf.DUMMYFUNCTION("""COMPUTED_VALUE"""),"TRX1149")</f>
        <v>TRX1149</v>
      </c>
      <c r="F408" s="16" t="str">
        <f ca="1">IFERROR(__xludf.DUMMYFUNCTION("""COMPUTED_VALUE"""),"Transaction cost")</f>
        <v>Transaction cost</v>
      </c>
      <c r="G408" s="16" t="str">
        <f ca="1">IFERROR(__xludf.DUMMYFUNCTION("""COMPUTED_VALUE"""),"Comida, entrega en Deacero ")</f>
        <v xml:space="preserve">Comida, entrega en Deacero </v>
      </c>
      <c r="H408" s="16"/>
    </row>
    <row r="409" spans="1:8" ht="12.5">
      <c r="A409" s="24"/>
      <c r="B409" s="17"/>
      <c r="C409" s="24"/>
      <c r="D409" s="16"/>
      <c r="E409" s="16" t="str">
        <f ca="1">IFERROR(__xludf.DUMMYFUNCTION("""COMPUTED_VALUE"""),"TRX1732")</f>
        <v>TRX1732</v>
      </c>
      <c r="F409" s="16" t="str">
        <f ca="1">IFERROR(__xludf.DUMMYFUNCTION("""COMPUTED_VALUE"""),"Transaction cost")</f>
        <v>Transaction cost</v>
      </c>
      <c r="G409" s="16" t="str">
        <f ca="1">IFERROR(__xludf.DUMMYFUNCTION("""COMPUTED_VALUE"""),"Comida, entrega en Deacero ")</f>
        <v xml:space="preserve">Comida, entrega en Deacero </v>
      </c>
      <c r="H409" s="16"/>
    </row>
    <row r="410" spans="1:8" ht="12.5">
      <c r="A410" s="24"/>
      <c r="B410" s="17"/>
      <c r="C410" s="24"/>
      <c r="D410" s="16"/>
      <c r="E410" s="16" t="str">
        <f ca="1">IFERROR(__xludf.DUMMYFUNCTION("""COMPUTED_VALUE"""),"TRX1815")</f>
        <v>TRX1815</v>
      </c>
      <c r="F410" s="16" t="str">
        <f ca="1">IFERROR(__xludf.DUMMYFUNCTION("""COMPUTED_VALUE"""),"Transaction cost")</f>
        <v>Transaction cost</v>
      </c>
      <c r="G410" s="16" t="str">
        <f ca="1">IFERROR(__xludf.DUMMYFUNCTION("""COMPUTED_VALUE"""),"Gasolina, entrega en SALJAMEX ")</f>
        <v xml:space="preserve">Gasolina, entrega en SALJAMEX </v>
      </c>
      <c r="H410" s="16"/>
    </row>
    <row r="411" spans="1:8" ht="12.5">
      <c r="A411" s="24"/>
      <c r="B411" s="17"/>
      <c r="C411" s="24"/>
      <c r="D411" s="16"/>
      <c r="E411" s="16" t="str">
        <f ca="1">IFERROR(__xludf.DUMMYFUNCTION("""COMPUTED_VALUE"""),"TRX1939")</f>
        <v>TRX1939</v>
      </c>
      <c r="F411" s="16" t="str">
        <f ca="1">IFERROR(__xludf.DUMMYFUNCTION("""COMPUTED_VALUE"""),"Transaction cost")</f>
        <v>Transaction cost</v>
      </c>
      <c r="G411" s="16"/>
      <c r="H411" s="16"/>
    </row>
    <row r="412" spans="1:8" ht="12.5">
      <c r="A412" s="24"/>
      <c r="B412" s="17"/>
      <c r="C412" s="24"/>
      <c r="D412" s="16"/>
      <c r="E412" s="16" t="str">
        <f ca="1">IFERROR(__xludf.DUMMYFUNCTION("""COMPUTED_VALUE"""),"TRX1504")</f>
        <v>TRX1504</v>
      </c>
      <c r="F412" s="16" t="str">
        <f ca="1">IFERROR(__xludf.DUMMYFUNCTION("""COMPUTED_VALUE"""),"Transaction cost")</f>
        <v>Transaction cost</v>
      </c>
      <c r="G412" s="16" t="str">
        <f ca="1">IFERROR(__xludf.DUMMYFUNCTION("""COMPUTED_VALUE"""),"Recolección Fer Marcelo ")</f>
        <v xml:space="preserve">Recolección Fer Marcelo </v>
      </c>
      <c r="H412" s="16"/>
    </row>
    <row r="413" spans="1:8" ht="12.5">
      <c r="A413" s="24"/>
      <c r="B413" s="17"/>
      <c r="C413" s="24"/>
      <c r="D413" s="16"/>
      <c r="E413" s="16" t="str">
        <f ca="1">IFERROR(__xludf.DUMMYFUNCTION("""COMPUTED_VALUE"""),"TRX1380")</f>
        <v>TRX1380</v>
      </c>
      <c r="F413" s="16" t="str">
        <f ca="1">IFERROR(__xludf.DUMMYFUNCTION("""COMPUTED_VALUE"""),"Transaction cost")</f>
        <v>Transaction cost</v>
      </c>
      <c r="G413" s="16" t="str">
        <f ca="1">IFERROR(__xludf.DUMMYFUNCTION("""COMPUTED_VALUE"""),"Gasolina recolección Fer Marcelo")</f>
        <v>Gasolina recolección Fer Marcelo</v>
      </c>
      <c r="H413" s="16"/>
    </row>
    <row r="414" spans="1:8" ht="12.5">
      <c r="A414" s="24"/>
      <c r="B414" s="17"/>
      <c r="C414" s="24"/>
      <c r="D414" s="16"/>
      <c r="E414" s="16" t="str">
        <f ca="1">IFERROR(__xludf.DUMMYFUNCTION("""COMPUTED_VALUE"""),"TRX1533")</f>
        <v>TRX1533</v>
      </c>
      <c r="F414" s="16" t="str">
        <f ca="1">IFERROR(__xludf.DUMMYFUNCTION("""COMPUTED_VALUE"""),"Transaction cost")</f>
        <v>Transaction cost</v>
      </c>
      <c r="G414" s="16" t="str">
        <f ca="1">IFERROR(__xludf.DUMMYFUNCTION("""COMPUTED_VALUE"""),"Parquímetro")</f>
        <v>Parquímetro</v>
      </c>
      <c r="H414" s="16"/>
    </row>
    <row r="415" spans="1:8" ht="12.5">
      <c r="A415" s="24"/>
      <c r="B415" s="17"/>
      <c r="C415" s="24"/>
      <c r="D415" s="16"/>
      <c r="E415" s="16" t="str">
        <f ca="1">IFERROR(__xludf.DUMMYFUNCTION("""COMPUTED_VALUE"""),"TRX1493")</f>
        <v>TRX1493</v>
      </c>
      <c r="F415" s="16" t="str">
        <f ca="1">IFERROR(__xludf.DUMMYFUNCTION("""COMPUTED_VALUE"""),"Transaction cost")</f>
        <v>Transaction cost</v>
      </c>
      <c r="G415" s="16" t="str">
        <f ca="1">IFERROR(__xludf.DUMMYFUNCTION("""COMPUTED_VALUE"""),"Recarga de tag")</f>
        <v>Recarga de tag</v>
      </c>
      <c r="H415" s="16"/>
    </row>
    <row r="416" spans="1:8" ht="12.5">
      <c r="A416" s="24"/>
      <c r="B416" s="17"/>
      <c r="C416" s="24"/>
      <c r="D416" s="16"/>
      <c r="E416" s="16" t="str">
        <f ca="1">IFERROR(__xludf.DUMMYFUNCTION("""COMPUTED_VALUE"""),"TRX1351")</f>
        <v>TRX1351</v>
      </c>
      <c r="F416" s="16" t="str">
        <f ca="1">IFERROR(__xludf.DUMMYFUNCTION("""COMPUTED_VALUE"""),"Transaction cost")</f>
        <v>Transaction cost</v>
      </c>
      <c r="G416" s="16" t="str">
        <f ca="1">IFERROR(__xludf.DUMMYFUNCTION("""COMPUTED_VALUE"""),"Gasolina, entrega en Deacero ")</f>
        <v xml:space="preserve">Gasolina, entrega en Deacero </v>
      </c>
      <c r="H416" s="16"/>
    </row>
    <row r="417" spans="1:8" ht="12.5">
      <c r="A417" s="24"/>
      <c r="B417" s="17"/>
      <c r="C417" s="24"/>
      <c r="D417" s="16"/>
      <c r="E417" s="16" t="str">
        <f ca="1">IFERROR(__xludf.DUMMYFUNCTION("""COMPUTED_VALUE"""),"TRX1066")</f>
        <v>TRX1066</v>
      </c>
      <c r="F417" s="16" t="str">
        <f ca="1">IFERROR(__xludf.DUMMYFUNCTION("""COMPUTED_VALUE"""),"Transaction cost")</f>
        <v>Transaction cost</v>
      </c>
      <c r="G417" s="16" t="str">
        <f ca="1">IFERROR(__xludf.DUMMYFUNCTION("""COMPUTED_VALUE"""),"Aceite camioneta")</f>
        <v>Aceite camioneta</v>
      </c>
      <c r="H417" s="16"/>
    </row>
    <row r="418" spans="1:8" ht="12.5">
      <c r="A418" s="24"/>
      <c r="B418" s="17"/>
      <c r="C418" s="24"/>
      <c r="D418" s="16"/>
      <c r="E418" s="16" t="str">
        <f ca="1">IFERROR(__xludf.DUMMYFUNCTION("""COMPUTED_VALUE"""),"TRX1690")</f>
        <v>TRX1690</v>
      </c>
      <c r="F418" s="16" t="str">
        <f ca="1">IFERROR(__xludf.DUMMYFUNCTION("""COMPUTED_VALUE"""),"Transaction cost")</f>
        <v>Transaction cost</v>
      </c>
      <c r="G418" s="16" t="str">
        <f ca="1">IFERROR(__xludf.DUMMYFUNCTION("""COMPUTED_VALUE"""),"Comida entrega en deacero")</f>
        <v>Comida entrega en deacero</v>
      </c>
      <c r="H418" s="16"/>
    </row>
    <row r="419" spans="1:8" ht="12.5">
      <c r="A419" s="24"/>
      <c r="B419" s="17"/>
      <c r="C419" s="24"/>
      <c r="D419" s="16"/>
      <c r="E419" s="16" t="str">
        <f ca="1">IFERROR(__xludf.DUMMYFUNCTION("""COMPUTED_VALUE"""),"TRX1102")</f>
        <v>TRX1102</v>
      </c>
      <c r="F419" s="16" t="str">
        <f ca="1">IFERROR(__xludf.DUMMYFUNCTION("""COMPUTED_VALUE"""),"Transaction cost")</f>
        <v>Transaction cost</v>
      </c>
      <c r="G419" s="16" t="str">
        <f ca="1">IFERROR(__xludf.DUMMYFUNCTION("""COMPUTED_VALUE"""),"Comida entrega en Deacero")</f>
        <v>Comida entrega en Deacero</v>
      </c>
      <c r="H419" s="16"/>
    </row>
    <row r="420" spans="1:8" ht="12.5">
      <c r="A420" s="24"/>
      <c r="B420" s="17"/>
      <c r="C420" s="24"/>
      <c r="D420" s="16"/>
      <c r="E420" s="16" t="str">
        <f ca="1">IFERROR(__xludf.DUMMYFUNCTION("""COMPUTED_VALUE"""),"TRX1139")</f>
        <v>TRX1139</v>
      </c>
      <c r="F420" s="16" t="str">
        <f ca="1">IFERROR(__xludf.DUMMYFUNCTION("""COMPUTED_VALUE"""),"Transaction cost")</f>
        <v>Transaction cost</v>
      </c>
      <c r="G420" s="16" t="str">
        <f ca="1">IFERROR(__xludf.DUMMYFUNCTION("""COMPUTED_VALUE"""),"Gasolina recolección en wonderdesk")</f>
        <v>Gasolina recolección en wonderdesk</v>
      </c>
      <c r="H420" s="16"/>
    </row>
    <row r="421" spans="1:8" ht="12.5">
      <c r="A421" s="24"/>
      <c r="B421" s="17"/>
      <c r="C421" s="24"/>
      <c r="D421" s="16"/>
      <c r="E421" s="16" t="str">
        <f ca="1">IFERROR(__xludf.DUMMYFUNCTION("""COMPUTED_VALUE"""),"TRX1843")</f>
        <v>TRX1843</v>
      </c>
      <c r="F421" s="16" t="str">
        <f ca="1">IFERROR(__xludf.DUMMYFUNCTION("""COMPUTED_VALUE"""),"Transaction cost")</f>
        <v>Transaction cost</v>
      </c>
      <c r="G421" s="16" t="str">
        <f ca="1">IFERROR(__xludf.DUMMYFUNCTION("""COMPUTED_VALUE"""),"Comoda, recolección en Fer Marcelo")</f>
        <v>Comoda, recolección en Fer Marcelo</v>
      </c>
      <c r="H421" s="16"/>
    </row>
    <row r="422" spans="1:8" ht="12.5">
      <c r="A422" s="24"/>
      <c r="B422" s="17"/>
      <c r="C422" s="24"/>
      <c r="D422" s="16"/>
      <c r="E422" s="16" t="str">
        <f ca="1">IFERROR(__xludf.DUMMYFUNCTION("""COMPUTED_VALUE"""),"TRX1234")</f>
        <v>TRX1234</v>
      </c>
      <c r="F422" s="16" t="str">
        <f ca="1">IFERROR(__xludf.DUMMYFUNCTION("""COMPUTED_VALUE"""),"Transaction cost")</f>
        <v>Transaction cost</v>
      </c>
      <c r="G422" s="16" t="str">
        <f ca="1">IFERROR(__xludf.DUMMYFUNCTION("""COMPUTED_VALUE"""),"Recarga de tag")</f>
        <v>Recarga de tag</v>
      </c>
      <c r="H422" s="16"/>
    </row>
    <row r="423" spans="1:8" ht="12.5">
      <c r="A423" s="24"/>
      <c r="B423" s="17"/>
      <c r="C423" s="24"/>
      <c r="D423" s="16"/>
      <c r="E423" s="16" t="str">
        <f ca="1">IFERROR(__xludf.DUMMYFUNCTION("""COMPUTED_VALUE"""),"TRX1712")</f>
        <v>TRX1712</v>
      </c>
      <c r="F423" s="16" t="str">
        <f ca="1">IFERROR(__xludf.DUMMYFUNCTION("""COMPUTED_VALUE"""),"Transaction cost")</f>
        <v>Transaction cost</v>
      </c>
      <c r="G423" s="16" t="str">
        <f ca="1">IFERROR(__xludf.DUMMYFUNCTION("""COMPUTED_VALUE"""),"Gasolina entrega en Deacero, PROSI ")</f>
        <v xml:space="preserve">Gasolina entrega en Deacero, PROSI </v>
      </c>
      <c r="H423" s="16"/>
    </row>
    <row r="424" spans="1:8" ht="12.5">
      <c r="A424" s="24"/>
      <c r="B424" s="17"/>
      <c r="C424" s="24"/>
      <c r="D424" s="16"/>
      <c r="E424" s="16" t="str">
        <f ca="1">IFERROR(__xludf.DUMMYFUNCTION("""COMPUTED_VALUE"""),"TRX1764")</f>
        <v>TRX1764</v>
      </c>
      <c r="F424" s="16" t="str">
        <f ca="1">IFERROR(__xludf.DUMMYFUNCTION("""COMPUTED_VALUE"""),"Transaction cost")</f>
        <v>Transaction cost</v>
      </c>
      <c r="G424" s="16" t="str">
        <f ca="1">IFERROR(__xludf.DUMMYFUNCTION("""COMPUTED_VALUE"""),"Comida entrega en Deacero")</f>
        <v>Comida entrega en Deacero</v>
      </c>
      <c r="H424" s="16"/>
    </row>
    <row r="425" spans="1:8" ht="12.5">
      <c r="A425" s="24"/>
      <c r="B425" s="17"/>
      <c r="C425" s="24"/>
      <c r="D425" s="16"/>
      <c r="E425" s="16" t="str">
        <f ca="1">IFERROR(__xludf.DUMMYFUNCTION("""COMPUTED_VALUE"""),"TRX1610")</f>
        <v>TRX1610</v>
      </c>
      <c r="F425" s="16" t="str">
        <f ca="1">IFERROR(__xludf.DUMMYFUNCTION("""COMPUTED_VALUE"""),"Transaction cost")</f>
        <v>Transaction cost</v>
      </c>
      <c r="G425" s="16"/>
      <c r="H425" s="16"/>
    </row>
    <row r="426" spans="1:8" ht="12.5">
      <c r="A426" s="24"/>
      <c r="B426" s="17"/>
      <c r="C426" s="24"/>
      <c r="D426" s="16"/>
      <c r="E426" s="16" t="str">
        <f ca="1">IFERROR(__xludf.DUMMYFUNCTION("""COMPUTED_VALUE"""),"TRX1314")</f>
        <v>TRX1314</v>
      </c>
      <c r="F426" s="16" t="str">
        <f ca="1">IFERROR(__xludf.DUMMYFUNCTION("""COMPUTED_VALUE"""),"Transaction cost")</f>
        <v>Transaction cost</v>
      </c>
      <c r="G426" s="16"/>
      <c r="H426" s="16"/>
    </row>
    <row r="427" spans="1:8" ht="12.5">
      <c r="A427" s="24"/>
      <c r="B427" s="17"/>
      <c r="C427" s="24"/>
      <c r="D427" s="16"/>
      <c r="E427" s="16" t="str">
        <f ca="1">IFERROR(__xludf.DUMMYFUNCTION("""COMPUTED_VALUE"""),"TRX1083")</f>
        <v>TRX1083</v>
      </c>
      <c r="F427" s="16" t="str">
        <f ca="1">IFERROR(__xludf.DUMMYFUNCTION("""COMPUTED_VALUE"""),"Transaction cost")</f>
        <v>Transaction cost</v>
      </c>
      <c r="G427" s="16"/>
      <c r="H427" s="16"/>
    </row>
    <row r="428" spans="1:8" ht="12.5">
      <c r="A428" s="24"/>
      <c r="B428" s="17"/>
      <c r="C428" s="24"/>
      <c r="D428" s="16"/>
      <c r="E428" s="16"/>
      <c r="F428" s="16" t="str">
        <f ca="1">IFERROR(__xludf.DUMMYFUNCTION("""COMPUTED_VALUE"""),"Transaction cost")</f>
        <v>Transaction cost</v>
      </c>
      <c r="G428" s="16"/>
      <c r="H428" s="16"/>
    </row>
    <row r="429" spans="1:8" ht="12.5">
      <c r="A429" s="24"/>
      <c r="B429" s="17"/>
      <c r="C429" s="24"/>
      <c r="D429" s="16"/>
      <c r="E429" s="16"/>
      <c r="F429" s="16" t="str">
        <f ca="1">IFERROR(__xludf.DUMMYFUNCTION("""COMPUTED_VALUE"""),"Transaction cost")</f>
        <v>Transaction cost</v>
      </c>
      <c r="G429" s="16"/>
      <c r="H429" s="16"/>
    </row>
    <row r="430" spans="1:8" ht="12.5">
      <c r="A430" s="24"/>
      <c r="B430" s="17"/>
      <c r="C430" s="24"/>
      <c r="D430" s="16"/>
      <c r="E430" s="16"/>
      <c r="F430" s="16" t="str">
        <f ca="1">IFERROR(__xludf.DUMMYFUNCTION("""COMPUTED_VALUE"""),"Transaction cost")</f>
        <v>Transaction cost</v>
      </c>
      <c r="G430" s="16"/>
      <c r="H430" s="16"/>
    </row>
    <row r="431" spans="1:8" ht="12.5">
      <c r="A431" s="24"/>
      <c r="B431" s="17"/>
      <c r="C431" s="24"/>
      <c r="D431" s="16"/>
      <c r="E431" s="16"/>
      <c r="F431" s="16" t="str">
        <f ca="1">IFERROR(__xludf.DUMMYFUNCTION("""COMPUTED_VALUE"""),"Transaction cost")</f>
        <v>Transaction cost</v>
      </c>
      <c r="G431" s="16"/>
      <c r="H431" s="16"/>
    </row>
    <row r="432" spans="1:8" ht="12.5">
      <c r="A432" s="24"/>
      <c r="B432" s="17"/>
      <c r="C432" s="24"/>
      <c r="D432" s="16"/>
      <c r="E432" s="16"/>
      <c r="F432" s="16" t="str">
        <f ca="1">IFERROR(__xludf.DUMMYFUNCTION("""COMPUTED_VALUE"""),"Transaction cost")</f>
        <v>Transaction cost</v>
      </c>
      <c r="G432" s="16"/>
      <c r="H432" s="16"/>
    </row>
    <row r="433" spans="1:8" ht="12.5">
      <c r="A433" s="24"/>
      <c r="B433" s="17"/>
      <c r="C433" s="24"/>
      <c r="D433" s="16"/>
      <c r="E433" s="16"/>
      <c r="F433" s="16"/>
      <c r="G433" s="16"/>
      <c r="H433" s="16"/>
    </row>
    <row r="434" spans="1:8" ht="12.5">
      <c r="A434" s="24"/>
      <c r="B434" s="17"/>
      <c r="C434" s="24"/>
      <c r="D434" s="16"/>
      <c r="E434" s="16"/>
      <c r="F434" s="16"/>
      <c r="G434" s="16"/>
      <c r="H434" s="16"/>
    </row>
    <row r="435" spans="1:8" ht="12.5">
      <c r="A435" s="24"/>
      <c r="B435" s="17"/>
      <c r="C435" s="24"/>
      <c r="D435" s="16"/>
      <c r="E435" s="16"/>
      <c r="F435" s="16"/>
      <c r="G435" s="16"/>
      <c r="H435" s="16"/>
    </row>
    <row r="436" spans="1:8" ht="12.5">
      <c r="A436" s="24"/>
      <c r="B436" s="17"/>
      <c r="C436" s="24"/>
      <c r="D436" s="16"/>
      <c r="E436" s="16"/>
      <c r="F436" s="16"/>
      <c r="G436" s="16"/>
      <c r="H436" s="16"/>
    </row>
    <row r="437" spans="1:8" ht="12.5">
      <c r="A437" s="24"/>
      <c r="B437" s="17"/>
      <c r="C437" s="24"/>
      <c r="D437" s="16"/>
      <c r="E437" s="16"/>
      <c r="F437" s="16"/>
      <c r="G437" s="16"/>
      <c r="H437" s="16"/>
    </row>
    <row r="438" spans="1:8" ht="12.5">
      <c r="A438" s="24"/>
      <c r="B438" s="17"/>
      <c r="C438" s="24"/>
      <c r="D438" s="16"/>
      <c r="E438" s="16"/>
      <c r="F438" s="16"/>
      <c r="G438" s="16"/>
      <c r="H438" s="16"/>
    </row>
    <row r="439" spans="1:8" ht="12.5">
      <c r="A439" s="24"/>
      <c r="B439" s="17"/>
      <c r="C439" s="24"/>
      <c r="D439" s="16"/>
      <c r="E439" s="16"/>
      <c r="F439" s="16"/>
      <c r="G439" s="16"/>
      <c r="H439" s="16"/>
    </row>
    <row r="440" spans="1:8" ht="12.5">
      <c r="A440" s="24"/>
      <c r="B440" s="17"/>
      <c r="C440" s="24"/>
      <c r="D440" s="16"/>
      <c r="E440" s="16"/>
      <c r="F440" s="16"/>
      <c r="G440" s="16"/>
      <c r="H440" s="16"/>
    </row>
    <row r="441" spans="1:8" ht="12.5">
      <c r="A441" s="24"/>
      <c r="B441" s="17"/>
      <c r="C441" s="24"/>
      <c r="D441" s="16"/>
      <c r="E441" s="16"/>
      <c r="F441" s="16"/>
      <c r="G441" s="16"/>
      <c r="H441" s="16"/>
    </row>
    <row r="442" spans="1:8" ht="12.5">
      <c r="A442" s="24"/>
      <c r="B442" s="17"/>
      <c r="C442" s="24"/>
      <c r="D442" s="16"/>
      <c r="E442" s="16"/>
      <c r="F442" s="16"/>
      <c r="G442" s="16"/>
      <c r="H442" s="16"/>
    </row>
    <row r="443" spans="1:8" ht="12.5">
      <c r="A443" s="24"/>
      <c r="B443" s="17"/>
      <c r="C443" s="24"/>
      <c r="D443" s="16"/>
      <c r="E443" s="16"/>
      <c r="F443" s="16"/>
      <c r="G443" s="16"/>
      <c r="H443" s="16"/>
    </row>
    <row r="444" spans="1:8" ht="12.5">
      <c r="A444" s="24"/>
      <c r="B444" s="17"/>
      <c r="C444" s="24"/>
      <c r="D444" s="16"/>
      <c r="E444" s="16"/>
      <c r="F444" s="16"/>
      <c r="G444" s="16"/>
      <c r="H444" s="16"/>
    </row>
    <row r="445" spans="1:8" ht="12.5">
      <c r="A445" s="24"/>
      <c r="B445" s="17"/>
      <c r="C445" s="24"/>
      <c r="D445" s="16"/>
      <c r="E445" s="16"/>
      <c r="F445" s="16"/>
      <c r="G445" s="16"/>
      <c r="H445" s="16"/>
    </row>
    <row r="446" spans="1:8" ht="12.5">
      <c r="A446" s="24"/>
      <c r="B446" s="17"/>
      <c r="C446" s="24"/>
      <c r="D446" s="16"/>
      <c r="E446" s="16"/>
      <c r="F446" s="16"/>
      <c r="G446" s="16"/>
      <c r="H446" s="16"/>
    </row>
    <row r="447" spans="1:8" ht="12.5">
      <c r="A447" s="24"/>
      <c r="B447" s="17"/>
      <c r="C447" s="24"/>
      <c r="D447" s="16"/>
      <c r="E447" s="16"/>
      <c r="F447" s="16"/>
      <c r="G447" s="16"/>
      <c r="H447" s="16"/>
    </row>
    <row r="448" spans="1:8" ht="12.5">
      <c r="A448" s="24"/>
      <c r="B448" s="17"/>
      <c r="C448" s="24"/>
      <c r="D448" s="16"/>
      <c r="E448" s="16"/>
      <c r="F448" s="16"/>
      <c r="G448" s="16"/>
      <c r="H448" s="16"/>
    </row>
    <row r="449" spans="1:8" ht="12.5">
      <c r="A449" s="24"/>
      <c r="B449" s="17"/>
      <c r="C449" s="24"/>
      <c r="D449" s="16"/>
      <c r="E449" s="16"/>
      <c r="F449" s="16"/>
      <c r="G449" s="16"/>
      <c r="H449" s="16"/>
    </row>
    <row r="450" spans="1:8" ht="12.5">
      <c r="A450" s="24"/>
      <c r="B450" s="17"/>
      <c r="C450" s="24"/>
      <c r="D450" s="16"/>
      <c r="E450" s="16"/>
      <c r="F450" s="16"/>
      <c r="G450" s="16"/>
      <c r="H450" s="16"/>
    </row>
    <row r="451" spans="1:8" ht="12.5">
      <c r="A451" s="24"/>
      <c r="B451" s="17"/>
      <c r="C451" s="24"/>
      <c r="D451" s="16"/>
      <c r="E451" s="16"/>
      <c r="F451" s="16"/>
      <c r="G451" s="16"/>
      <c r="H451" s="16"/>
    </row>
    <row r="452" spans="1:8" ht="12.5">
      <c r="A452" s="24"/>
      <c r="B452" s="17"/>
      <c r="C452" s="24"/>
      <c r="D452" s="16"/>
      <c r="E452" s="16"/>
      <c r="F452" s="16"/>
      <c r="G452" s="16"/>
      <c r="H452" s="16"/>
    </row>
    <row r="453" spans="1:8" ht="12.5">
      <c r="A453" s="24"/>
      <c r="B453" s="17"/>
      <c r="C453" s="24"/>
      <c r="D453" s="16"/>
      <c r="E453" s="16"/>
      <c r="F453" s="16"/>
      <c r="G453" s="16"/>
      <c r="H453" s="16"/>
    </row>
    <row r="454" spans="1:8" ht="12.5">
      <c r="A454" s="24"/>
      <c r="B454" s="17"/>
      <c r="C454" s="24"/>
      <c r="D454" s="16"/>
      <c r="E454" s="16"/>
      <c r="F454" s="16"/>
      <c r="G454" s="16"/>
      <c r="H454" s="16"/>
    </row>
    <row r="455" spans="1:8" ht="12.5">
      <c r="A455" s="24"/>
      <c r="B455" s="17"/>
      <c r="C455" s="24"/>
      <c r="D455" s="16"/>
      <c r="E455" s="16"/>
      <c r="F455" s="16"/>
      <c r="G455" s="16"/>
      <c r="H455" s="16"/>
    </row>
    <row r="456" spans="1:8" ht="12.5">
      <c r="A456" s="24"/>
      <c r="B456" s="17"/>
      <c r="C456" s="24"/>
      <c r="D456" s="16"/>
      <c r="E456" s="16"/>
      <c r="F456" s="16"/>
      <c r="G456" s="16"/>
      <c r="H456" s="16"/>
    </row>
    <row r="457" spans="1:8" ht="12.5">
      <c r="A457" s="24"/>
      <c r="B457" s="17"/>
      <c r="C457" s="24"/>
      <c r="D457" s="16"/>
      <c r="E457" s="16"/>
      <c r="F457" s="16"/>
      <c r="G457" s="16"/>
      <c r="H457" s="16"/>
    </row>
    <row r="458" spans="1:8" ht="12.5">
      <c r="A458" s="24"/>
      <c r="B458" s="17"/>
      <c r="C458" s="24"/>
      <c r="D458" s="16"/>
      <c r="E458" s="16"/>
      <c r="F458" s="16"/>
      <c r="G458" s="16"/>
      <c r="H458" s="16"/>
    </row>
    <row r="459" spans="1:8" ht="12.5">
      <c r="A459" s="24"/>
      <c r="B459" s="17"/>
      <c r="C459" s="24"/>
      <c r="D459" s="16"/>
      <c r="E459" s="16"/>
      <c r="F459" s="16"/>
      <c r="G459" s="16"/>
      <c r="H459" s="16"/>
    </row>
    <row r="460" spans="1:8" ht="12.5">
      <c r="A460" s="24"/>
      <c r="B460" s="17"/>
      <c r="C460" s="24"/>
      <c r="D460" s="16"/>
      <c r="E460" s="16"/>
      <c r="F460" s="16"/>
      <c r="G460" s="16"/>
      <c r="H460" s="16"/>
    </row>
    <row r="461" spans="1:8" ht="12.5">
      <c r="A461" s="24"/>
      <c r="B461" s="17"/>
      <c r="C461" s="24"/>
      <c r="D461" s="16"/>
      <c r="E461" s="16"/>
      <c r="F461" s="16"/>
      <c r="G461" s="16"/>
      <c r="H461" s="16"/>
    </row>
    <row r="462" spans="1:8" ht="12.5">
      <c r="A462" s="24"/>
      <c r="B462" s="17"/>
      <c r="C462" s="24"/>
      <c r="D462" s="16"/>
      <c r="E462" s="16"/>
      <c r="F462" s="16"/>
      <c r="G462" s="16"/>
      <c r="H462" s="16"/>
    </row>
    <row r="463" spans="1:8" ht="12.5">
      <c r="A463" s="24"/>
      <c r="B463" s="17"/>
      <c r="C463" s="24"/>
      <c r="D463" s="16"/>
      <c r="E463" s="16"/>
      <c r="F463" s="16"/>
      <c r="G463" s="16"/>
      <c r="H463" s="16"/>
    </row>
    <row r="464" spans="1:8" ht="12.5">
      <c r="A464" s="24"/>
      <c r="B464" s="17"/>
      <c r="C464" s="24"/>
      <c r="D464" s="16"/>
      <c r="E464" s="16"/>
      <c r="F464" s="16"/>
      <c r="G464" s="16"/>
      <c r="H464" s="16"/>
    </row>
    <row r="465" spans="1:8" ht="12.5">
      <c r="A465" s="24"/>
      <c r="B465" s="17"/>
      <c r="C465" s="24"/>
      <c r="D465" s="16"/>
      <c r="E465" s="16"/>
      <c r="F465" s="16"/>
      <c r="G465" s="16"/>
      <c r="H465" s="16"/>
    </row>
    <row r="466" spans="1:8" ht="12.5">
      <c r="A466" s="24"/>
      <c r="B466" s="17"/>
      <c r="C466" s="24"/>
      <c r="D466" s="16"/>
      <c r="E466" s="16"/>
      <c r="F466" s="16"/>
      <c r="G466" s="16"/>
      <c r="H466" s="16"/>
    </row>
    <row r="467" spans="1:8" ht="12.5">
      <c r="A467" s="24"/>
      <c r="B467" s="17"/>
      <c r="C467" s="24"/>
      <c r="D467" s="16"/>
      <c r="E467" s="16"/>
      <c r="F467" s="16"/>
      <c r="G467" s="16"/>
      <c r="H467" s="16"/>
    </row>
    <row r="468" spans="1:8" ht="12.5">
      <c r="A468" s="24"/>
      <c r="B468" s="17"/>
      <c r="C468" s="24"/>
      <c r="D468" s="16"/>
      <c r="E468" s="16"/>
      <c r="F468" s="16"/>
      <c r="G468" s="16"/>
      <c r="H468" s="16"/>
    </row>
    <row r="469" spans="1:8" ht="12.5">
      <c r="A469" s="24"/>
      <c r="B469" s="17"/>
      <c r="C469" s="24"/>
      <c r="D469" s="16"/>
      <c r="E469" s="16"/>
      <c r="F469" s="16"/>
      <c r="G469" s="16"/>
      <c r="H469" s="16"/>
    </row>
    <row r="470" spans="1:8" ht="12.5">
      <c r="A470" s="24"/>
      <c r="B470" s="17"/>
      <c r="C470" s="24"/>
      <c r="D470" s="16"/>
      <c r="E470" s="16"/>
      <c r="F470" s="16"/>
      <c r="G470" s="16"/>
      <c r="H470" s="16"/>
    </row>
    <row r="471" spans="1:8" ht="12.5">
      <c r="A471" s="24"/>
      <c r="B471" s="17"/>
      <c r="C471" s="24"/>
      <c r="D471" s="16"/>
      <c r="E471" s="16"/>
      <c r="F471" s="16"/>
      <c r="G471" s="16"/>
      <c r="H471" s="16"/>
    </row>
    <row r="472" spans="1:8" ht="12.5">
      <c r="A472" s="24"/>
      <c r="B472" s="17"/>
      <c r="C472" s="24"/>
      <c r="D472" s="16"/>
      <c r="E472" s="16"/>
      <c r="F472" s="16"/>
      <c r="G472" s="16"/>
      <c r="H472" s="16"/>
    </row>
    <row r="473" spans="1:8" ht="12.5">
      <c r="A473" s="24"/>
      <c r="B473" s="17"/>
      <c r="C473" s="24"/>
      <c r="D473" s="16"/>
      <c r="E473" s="16"/>
      <c r="F473" s="16"/>
      <c r="G473" s="16"/>
      <c r="H473" s="16"/>
    </row>
    <row r="474" spans="1:8" ht="12.5">
      <c r="A474" s="24"/>
      <c r="B474" s="17"/>
      <c r="C474" s="24"/>
      <c r="D474" s="16"/>
      <c r="E474" s="16"/>
      <c r="F474" s="16"/>
      <c r="G474" s="16"/>
      <c r="H474" s="16"/>
    </row>
    <row r="475" spans="1:8" ht="12.5">
      <c r="A475" s="24"/>
      <c r="B475" s="17"/>
      <c r="C475" s="24"/>
      <c r="D475" s="16"/>
      <c r="E475" s="16"/>
      <c r="F475" s="16"/>
      <c r="G475" s="16"/>
      <c r="H475" s="16"/>
    </row>
    <row r="476" spans="1:8" ht="12.5">
      <c r="A476" s="24"/>
      <c r="B476" s="17"/>
      <c r="C476" s="24"/>
      <c r="D476" s="16"/>
      <c r="E476" s="16"/>
      <c r="F476" s="16"/>
      <c r="G476" s="16"/>
      <c r="H476" s="16"/>
    </row>
    <row r="477" spans="1:8" ht="12.5">
      <c r="A477" s="24"/>
      <c r="B477" s="17"/>
      <c r="C477" s="24"/>
      <c r="D477" s="16"/>
      <c r="E477" s="16"/>
      <c r="F477" s="16"/>
      <c r="G477" s="16"/>
      <c r="H477" s="16"/>
    </row>
    <row r="478" spans="1:8" ht="12.5">
      <c r="A478" s="24"/>
      <c r="B478" s="17"/>
      <c r="C478" s="24"/>
      <c r="D478" s="16"/>
      <c r="E478" s="16"/>
      <c r="F478" s="16"/>
      <c r="G478" s="16"/>
      <c r="H478" s="16"/>
    </row>
    <row r="479" spans="1:8" ht="12.5">
      <c r="A479" s="24"/>
      <c r="B479" s="17"/>
      <c r="C479" s="24"/>
      <c r="D479" s="16"/>
      <c r="E479" s="16"/>
      <c r="F479" s="16"/>
      <c r="G479" s="16"/>
      <c r="H479" s="16"/>
    </row>
    <row r="480" spans="1:8" ht="12.5">
      <c r="A480" s="24"/>
      <c r="B480" s="17"/>
      <c r="C480" s="24"/>
      <c r="D480" s="16"/>
      <c r="E480" s="16"/>
      <c r="F480" s="16"/>
      <c r="G480" s="16"/>
      <c r="H480" s="16"/>
    </row>
    <row r="481" spans="1:8" ht="12.5">
      <c r="A481" s="24"/>
      <c r="B481" s="17"/>
      <c r="C481" s="24"/>
      <c r="D481" s="16"/>
      <c r="E481" s="16"/>
      <c r="F481" s="16"/>
      <c r="G481" s="16"/>
      <c r="H481" s="16"/>
    </row>
    <row r="482" spans="1:8" ht="12.5">
      <c r="A482" s="24"/>
      <c r="B482" s="17"/>
      <c r="C482" s="24"/>
      <c r="D482" s="16"/>
      <c r="E482" s="16"/>
      <c r="F482" s="16"/>
      <c r="G482" s="16"/>
      <c r="H482" s="16"/>
    </row>
    <row r="483" spans="1:8" ht="12.5">
      <c r="A483" s="24"/>
      <c r="B483" s="17"/>
      <c r="C483" s="24"/>
      <c r="D483" s="16"/>
      <c r="E483" s="37" t="str">
        <f ca="1">IFERROR(__xludf.DUMMYFUNCTION("IMPORTRANGE(""https://docs.google.com/spreadsheets/d/1ghPq2GXSRxm4-7nokWB-4NeQT5BT6DZC88IPWta5RGM/edit#gid=188114201"",""#7 Isaac!A11:A80"")"),"CODI")</f>
        <v>CODI</v>
      </c>
      <c r="F483" s="37" t="str">
        <f ca="1">IFERROR(__xludf.DUMMYFUNCTION("IMPORTRANGE(""https://docs.google.com/spreadsheets/d/1ghPq2GXSRxm4-7nokWB-4NeQT5BT6DZC88IPWta5RGM/edit#gid=188114201"",""#7 Isaac!I11:K80"")"),"Expense Type")</f>
        <v>Expense Type</v>
      </c>
      <c r="G483" s="16" t="str">
        <f ca="1">IFERROR(__xludf.DUMMYFUNCTION("""COMPUTED_VALUE"""),"DESCRIPCION DEL CARGO")</f>
        <v>DESCRIPCION DEL CARGO</v>
      </c>
      <c r="H483" s="16" t="str">
        <f ca="1">IFERROR(__xludf.DUMMYFUNCTION("""COMPUTED_VALUE"""),"FOLIO DE FACTURA")</f>
        <v>FOLIO DE FACTURA</v>
      </c>
    </row>
    <row r="484" spans="1:8" ht="12.5">
      <c r="A484" s="24"/>
      <c r="B484" s="17"/>
      <c r="C484" s="24"/>
      <c r="D484" s="16"/>
      <c r="E484" s="16" t="str">
        <f ca="1">IFERROR(__xludf.DUMMYFUNCTION("""COMPUTED_VALUE"""),"TRX1291")</f>
        <v>TRX1291</v>
      </c>
      <c r="F484" s="16" t="str">
        <f ca="1">IFERROR(__xludf.DUMMYFUNCTION("""COMPUTED_VALUE"""),"Office expenses")</f>
        <v>Office expenses</v>
      </c>
      <c r="G484" s="16" t="str">
        <f ca="1">IFERROR(__xludf.DUMMYFUNCTION("""COMPUTED_VALUE"""),"MTY ATP + Maken")</f>
        <v>MTY ATP + Maken</v>
      </c>
      <c r="H484" s="16" t="str">
        <f ca="1">IFERROR(__xludf.DUMMYFUNCTION("""COMPUTED_VALUE"""),".")</f>
        <v>.</v>
      </c>
    </row>
    <row r="485" spans="1:8" ht="12.5">
      <c r="A485" s="24"/>
      <c r="B485" s="17"/>
      <c r="C485" s="24"/>
      <c r="D485" s="16"/>
      <c r="E485" s="16" t="str">
        <f ca="1">IFERROR(__xludf.DUMMYFUNCTION("""COMPUTED_VALUE"""),"TRX1156")</f>
        <v>TRX1156</v>
      </c>
      <c r="F485" s="16" t="str">
        <f ca="1">IFERROR(__xludf.DUMMYFUNCTION("""COMPUTED_VALUE"""),"Office expenses")</f>
        <v>Office expenses</v>
      </c>
      <c r="G485" s="16" t="str">
        <f ca="1">IFERROR(__xludf.DUMMYFUNCTION("""COMPUTED_VALUE"""),"MTY ATP + Maken")</f>
        <v>MTY ATP + Maken</v>
      </c>
      <c r="H485" s="16" t="str">
        <f ca="1">IFERROR(__xludf.DUMMYFUNCTION("""COMPUTED_VALUE"""),".")</f>
        <v>.</v>
      </c>
    </row>
    <row r="486" spans="1:8" ht="12.5">
      <c r="A486" s="24"/>
      <c r="B486" s="17"/>
      <c r="C486" s="24"/>
      <c r="D486" s="16"/>
      <c r="E486" s="16" t="str">
        <f ca="1">IFERROR(__xludf.DUMMYFUNCTION("""COMPUTED_VALUE"""),"TRX1160")</f>
        <v>TRX1160</v>
      </c>
      <c r="F486" s="16" t="str">
        <f ca="1">IFERROR(__xludf.DUMMYFUNCTION("""COMPUTED_VALUE"""),"Office expenses")</f>
        <v>Office expenses</v>
      </c>
      <c r="G486" s="16" t="str">
        <f ca="1">IFERROR(__xludf.DUMMYFUNCTION("""COMPUTED_VALUE"""),"Viaje Puebla - Industrias Norm")</f>
        <v>Viaje Puebla - Industrias Norm</v>
      </c>
      <c r="H486" s="16" t="str">
        <f ca="1">IFERROR(__xludf.DUMMYFUNCTION("""COMPUTED_VALUE"""),".")</f>
        <v>.</v>
      </c>
    </row>
    <row r="487" spans="1:8" ht="12.5">
      <c r="A487" s="24"/>
      <c r="B487" s="17"/>
      <c r="C487" s="24"/>
      <c r="D487" s="16"/>
      <c r="E487" s="16" t="str">
        <f ca="1">IFERROR(__xludf.DUMMYFUNCTION("""COMPUTED_VALUE"""),"TRX1059")</f>
        <v>TRX1059</v>
      </c>
      <c r="F487" s="16" t="str">
        <f ca="1">IFERROR(__xludf.DUMMYFUNCTION("""COMPUTED_VALUE"""),"Office expenses")</f>
        <v>Office expenses</v>
      </c>
      <c r="G487" s="16" t="str">
        <f ca="1">IFERROR(__xludf.DUMMYFUNCTION("""COMPUTED_VALUE"""),"MTY ATP + Maken")</f>
        <v>MTY ATP + Maken</v>
      </c>
      <c r="H487" s="16" t="str">
        <f ca="1">IFERROR(__xludf.DUMMYFUNCTION("""COMPUTED_VALUE"""),".")</f>
        <v>.</v>
      </c>
    </row>
    <row r="488" spans="1:8" ht="12.5">
      <c r="A488" s="24"/>
      <c r="B488" s="17"/>
      <c r="C488" s="24"/>
      <c r="D488" s="16"/>
      <c r="E488" s="16" t="str">
        <f ca="1">IFERROR(__xludf.DUMMYFUNCTION("""COMPUTED_VALUE"""),"TRX1154")</f>
        <v>TRX1154</v>
      </c>
      <c r="F488" s="16" t="str">
        <f ca="1">IFERROR(__xludf.DUMMYFUNCTION("""COMPUTED_VALUE"""),"Office expenses")</f>
        <v>Office expenses</v>
      </c>
      <c r="G488" s="16" t="str">
        <f ca="1">IFERROR(__xludf.DUMMYFUNCTION("""COMPUTED_VALUE"""),"MTY ATP + Maken")</f>
        <v>MTY ATP + Maken</v>
      </c>
      <c r="H488" s="16" t="str">
        <f ca="1">IFERROR(__xludf.DUMMYFUNCTION("""COMPUTED_VALUE"""),".")</f>
        <v>.</v>
      </c>
    </row>
    <row r="489" spans="1:8" ht="12.5">
      <c r="A489" s="24"/>
      <c r="B489" s="17"/>
      <c r="C489" s="24"/>
      <c r="D489" s="16"/>
      <c r="E489" s="16" t="str">
        <f ca="1">IFERROR(__xludf.DUMMYFUNCTION("""COMPUTED_VALUE"""),"TRX1113")</f>
        <v>TRX1113</v>
      </c>
      <c r="F489" s="16" t="str">
        <f ca="1">IFERROR(__xludf.DUMMYFUNCTION("""COMPUTED_VALUE"""),"Office expenses")</f>
        <v>Office expenses</v>
      </c>
      <c r="G489" s="16" t="str">
        <f ca="1">IFERROR(__xludf.DUMMYFUNCTION("""COMPUTED_VALUE"""),"MTY ATP + Maken")</f>
        <v>MTY ATP + Maken</v>
      </c>
      <c r="H489" s="16" t="str">
        <f ca="1">IFERROR(__xludf.DUMMYFUNCTION("""COMPUTED_VALUE"""),".")</f>
        <v>.</v>
      </c>
    </row>
    <row r="490" spans="1:8" ht="12.5">
      <c r="A490" s="24"/>
      <c r="B490" s="17"/>
      <c r="C490" s="24"/>
      <c r="D490" s="16"/>
      <c r="E490" s="16" t="str">
        <f ca="1">IFERROR(__xludf.DUMMYFUNCTION("""COMPUTED_VALUE"""),"TRX1129")</f>
        <v>TRX1129</v>
      </c>
      <c r="F490" s="16" t="str">
        <f ca="1">IFERROR(__xludf.DUMMYFUNCTION("""COMPUTED_VALUE"""),"Office expenses")</f>
        <v>Office expenses</v>
      </c>
      <c r="G490" s="16" t="str">
        <f ca="1">IFERROR(__xludf.DUMMYFUNCTION("""COMPUTED_VALUE"""),"Viaje Puebla - Industrias Norm")</f>
        <v>Viaje Puebla - Industrias Norm</v>
      </c>
      <c r="H490" s="16" t="str">
        <f ca="1">IFERROR(__xludf.DUMMYFUNCTION("""COMPUTED_VALUE"""),".")</f>
        <v>.</v>
      </c>
    </row>
    <row r="491" spans="1:8" ht="12.5">
      <c r="A491" s="24"/>
      <c r="B491" s="17"/>
      <c r="C491" s="24"/>
      <c r="D491" s="16"/>
      <c r="E491" s="16"/>
      <c r="F491" s="16" t="str">
        <f ca="1">IFERROR(__xludf.DUMMYFUNCTION("""COMPUTED_VALUE"""),"Office expenses")</f>
        <v>Office expenses</v>
      </c>
      <c r="G491" s="16" t="str">
        <f ca="1">IFERROR(__xludf.DUMMYFUNCTION("""COMPUTED_VALUE"""),"Viaje Puebla - Industrias Norm")</f>
        <v>Viaje Puebla - Industrias Norm</v>
      </c>
      <c r="H491" s="16" t="str">
        <f ca="1">IFERROR(__xludf.DUMMYFUNCTION("""COMPUTED_VALUE"""),".")</f>
        <v>.</v>
      </c>
    </row>
    <row r="492" spans="1:8" ht="12.5">
      <c r="A492" s="24"/>
      <c r="B492" s="17"/>
      <c r="C492" s="24"/>
      <c r="D492" s="16"/>
      <c r="E492" s="16"/>
      <c r="F492" s="16" t="str">
        <f ca="1">IFERROR(__xludf.DUMMYFUNCTION("""COMPUTED_VALUE"""),"Office expenses")</f>
        <v>Office expenses</v>
      </c>
      <c r="G492" s="16" t="str">
        <f ca="1">IFERROR(__xludf.DUMMYFUNCTION("""COMPUTED_VALUE"""),"Viaje Puebla - Industrias Norm")</f>
        <v>Viaje Puebla - Industrias Norm</v>
      </c>
      <c r="H492" s="16" t="str">
        <f ca="1">IFERROR(__xludf.DUMMYFUNCTION("""COMPUTED_VALUE"""),".")</f>
        <v>.</v>
      </c>
    </row>
    <row r="493" spans="1:8" ht="12.5">
      <c r="A493" s="24"/>
      <c r="B493" s="17"/>
      <c r="C493" s="24"/>
      <c r="D493" s="16"/>
      <c r="E493" s="16"/>
      <c r="F493" s="16" t="str">
        <f ca="1">IFERROR(__xludf.DUMMYFUNCTION("""COMPUTED_VALUE"""),"Office expenses")</f>
        <v>Office expenses</v>
      </c>
      <c r="G493" s="16" t="str">
        <f ca="1">IFERROR(__xludf.DUMMYFUNCTION("""COMPUTED_VALUE"""),"Viaje Puebla - Industrias Norm")</f>
        <v>Viaje Puebla - Industrias Norm</v>
      </c>
      <c r="H493" s="16" t="str">
        <f ca="1">IFERROR(__xludf.DUMMYFUNCTION("""COMPUTED_VALUE"""),".")</f>
        <v>.</v>
      </c>
    </row>
    <row r="494" spans="1:8" ht="12.5">
      <c r="A494" s="24"/>
      <c r="B494" s="17"/>
      <c r="C494" s="24"/>
      <c r="D494" s="16"/>
      <c r="E494" s="16"/>
      <c r="F494" s="16" t="str">
        <f ca="1">IFERROR(__xludf.DUMMYFUNCTION("""COMPUTED_VALUE"""),"Office expenses")</f>
        <v>Office expenses</v>
      </c>
      <c r="G494" s="16" t="str">
        <f ca="1">IFERROR(__xludf.DUMMYFUNCTION("""COMPUTED_VALUE"""),"Viaje Puebla - Industrias Norm")</f>
        <v>Viaje Puebla - Industrias Norm</v>
      </c>
      <c r="H494" s="16" t="str">
        <f ca="1">IFERROR(__xludf.DUMMYFUNCTION("""COMPUTED_VALUE"""),".")</f>
        <v>.</v>
      </c>
    </row>
    <row r="495" spans="1:8" ht="12.5">
      <c r="A495" s="24"/>
      <c r="B495" s="17"/>
      <c r="C495" s="24"/>
      <c r="D495" s="16"/>
      <c r="E495" s="16"/>
      <c r="F495" s="16" t="str">
        <f ca="1">IFERROR(__xludf.DUMMYFUNCTION("""COMPUTED_VALUE"""),"Office expenses")</f>
        <v>Office expenses</v>
      </c>
      <c r="G495" s="16" t="str">
        <f ca="1">IFERROR(__xludf.DUMMYFUNCTION("""COMPUTED_VALUE"""),"Viaje Puebla - Industrias Norm")</f>
        <v>Viaje Puebla - Industrias Norm</v>
      </c>
      <c r="H495" s="16" t="str">
        <f ca="1">IFERROR(__xludf.DUMMYFUNCTION("""COMPUTED_VALUE"""),".")</f>
        <v>.</v>
      </c>
    </row>
    <row r="496" spans="1:8" ht="12.5">
      <c r="A496" s="24"/>
      <c r="B496" s="17"/>
      <c r="C496" s="24"/>
      <c r="D496" s="16"/>
      <c r="E496" s="16"/>
      <c r="F496" s="16" t="str">
        <f ca="1">IFERROR(__xludf.DUMMYFUNCTION("""COMPUTED_VALUE"""),"Office expenses")</f>
        <v>Office expenses</v>
      </c>
      <c r="G496" s="16" t="str">
        <f ca="1">IFERROR(__xludf.DUMMYFUNCTION("""COMPUTED_VALUE"""),"Viaje Puebla - Industrias Norm")</f>
        <v>Viaje Puebla - Industrias Norm</v>
      </c>
      <c r="H496" s="16" t="str">
        <f ca="1">IFERROR(__xludf.DUMMYFUNCTION("""COMPUTED_VALUE"""),".")</f>
        <v>.</v>
      </c>
    </row>
    <row r="497" spans="1:8" ht="12.5">
      <c r="A497" s="24"/>
      <c r="B497" s="17"/>
      <c r="C497" s="24"/>
      <c r="D497" s="16"/>
      <c r="E497" s="16"/>
      <c r="F497" s="16" t="str">
        <f ca="1">IFERROR(__xludf.DUMMYFUNCTION("""COMPUTED_VALUE"""),"Office expenses")</f>
        <v>Office expenses</v>
      </c>
      <c r="G497" s="16" t="str">
        <f ca="1">IFERROR(__xludf.DUMMYFUNCTION("""COMPUTED_VALUE"""),"Viaje Puebla - Industrias Norm")</f>
        <v>Viaje Puebla - Industrias Norm</v>
      </c>
      <c r="H497" s="16" t="str">
        <f ca="1">IFERROR(__xludf.DUMMYFUNCTION("""COMPUTED_VALUE"""),".")</f>
        <v>.</v>
      </c>
    </row>
    <row r="498" spans="1:8" ht="12.5">
      <c r="A498" s="24"/>
      <c r="B498" s="17"/>
      <c r="C498" s="24"/>
      <c r="D498" s="16"/>
      <c r="E498" s="16"/>
      <c r="F498" s="16" t="str">
        <f ca="1">IFERROR(__xludf.DUMMYFUNCTION("""COMPUTED_VALUE"""),"Office expenses")</f>
        <v>Office expenses</v>
      </c>
      <c r="G498" s="16"/>
      <c r="H498" s="16" t="str">
        <f ca="1">IFERROR(__xludf.DUMMYFUNCTION("""COMPUTED_VALUE"""),".")</f>
        <v>.</v>
      </c>
    </row>
    <row r="499" spans="1:8" ht="12.5">
      <c r="A499" s="24"/>
      <c r="B499" s="17"/>
      <c r="C499" s="24"/>
      <c r="D499" s="16"/>
      <c r="E499" s="16"/>
      <c r="F499" s="16" t="str">
        <f ca="1">IFERROR(__xludf.DUMMYFUNCTION("""COMPUTED_VALUE"""),"Office expenses")</f>
        <v>Office expenses</v>
      </c>
      <c r="G499" s="16"/>
      <c r="H499" s="16" t="str">
        <f ca="1">IFERROR(__xludf.DUMMYFUNCTION("""COMPUTED_VALUE"""),".")</f>
        <v>.</v>
      </c>
    </row>
    <row r="500" spans="1:8" ht="12.5">
      <c r="A500" s="24"/>
      <c r="B500" s="17"/>
      <c r="C500" s="24"/>
      <c r="D500" s="16"/>
      <c r="E500" s="16"/>
      <c r="F500" s="16" t="str">
        <f ca="1">IFERROR(__xludf.DUMMYFUNCTION("""COMPUTED_VALUE"""),"Sales")</f>
        <v>Sales</v>
      </c>
      <c r="G500" s="16"/>
      <c r="H500" s="16" t="str">
        <f ca="1">IFERROR(__xludf.DUMMYFUNCTION("""COMPUTED_VALUE"""),".")</f>
        <v>.</v>
      </c>
    </row>
    <row r="501" spans="1:8" ht="12.5">
      <c r="A501" s="24"/>
      <c r="B501" s="17"/>
      <c r="C501" s="24"/>
      <c r="D501" s="16"/>
      <c r="E501" s="16"/>
      <c r="F501" s="16" t="str">
        <f ca="1">IFERROR(__xludf.DUMMYFUNCTION("""COMPUTED_VALUE"""),"Sales")</f>
        <v>Sales</v>
      </c>
      <c r="G501" s="16"/>
      <c r="H501" s="16" t="str">
        <f ca="1">IFERROR(__xludf.DUMMYFUNCTION("""COMPUTED_VALUE"""),".")</f>
        <v>.</v>
      </c>
    </row>
    <row r="502" spans="1:8" ht="12.5">
      <c r="A502" s="24"/>
      <c r="B502" s="17"/>
      <c r="C502" s="24"/>
      <c r="D502" s="16"/>
      <c r="E502" s="16"/>
      <c r="F502" s="16" t="str">
        <f ca="1">IFERROR(__xludf.DUMMYFUNCTION("""COMPUTED_VALUE"""),"Sales")</f>
        <v>Sales</v>
      </c>
      <c r="G502" s="16"/>
      <c r="H502" s="16" t="str">
        <f ca="1">IFERROR(__xludf.DUMMYFUNCTION("""COMPUTED_VALUE"""),".")</f>
        <v>.</v>
      </c>
    </row>
    <row r="503" spans="1:8" ht="12.5">
      <c r="A503" s="24"/>
      <c r="B503" s="17"/>
      <c r="C503" s="24"/>
      <c r="D503" s="16"/>
      <c r="E503" s="16"/>
      <c r="F503" s="16" t="str">
        <f ca="1">IFERROR(__xludf.DUMMYFUNCTION("""COMPUTED_VALUE"""),"Office expenses")</f>
        <v>Office expenses</v>
      </c>
      <c r="G503" s="16"/>
      <c r="H503" s="16" t="str">
        <f ca="1">IFERROR(__xludf.DUMMYFUNCTION("""COMPUTED_VALUE"""),".")</f>
        <v>.</v>
      </c>
    </row>
    <row r="504" spans="1:8" ht="12.5">
      <c r="A504" s="24"/>
      <c r="B504" s="17"/>
      <c r="C504" s="24"/>
      <c r="D504" s="16"/>
      <c r="E504" s="16"/>
      <c r="F504" s="16" t="str">
        <f ca="1">IFERROR(__xludf.DUMMYFUNCTION("""COMPUTED_VALUE"""),"Sales")</f>
        <v>Sales</v>
      </c>
      <c r="G504" s="16"/>
      <c r="H504" s="16" t="str">
        <f ca="1">IFERROR(__xludf.DUMMYFUNCTION("""COMPUTED_VALUE"""),".")</f>
        <v>.</v>
      </c>
    </row>
    <row r="505" spans="1:8" ht="12.5">
      <c r="A505" s="24"/>
      <c r="B505" s="17"/>
      <c r="C505" s="24"/>
      <c r="D505" s="16"/>
      <c r="E505" s="16"/>
      <c r="F505" s="16" t="str">
        <f ca="1">IFERROR(__xludf.DUMMYFUNCTION("""COMPUTED_VALUE"""),"Sales")</f>
        <v>Sales</v>
      </c>
      <c r="G505" s="16"/>
      <c r="H505" s="16" t="str">
        <f ca="1">IFERROR(__xludf.DUMMYFUNCTION("""COMPUTED_VALUE"""),".")</f>
        <v>.</v>
      </c>
    </row>
    <row r="506" spans="1:8" ht="12.5">
      <c r="A506" s="24"/>
      <c r="B506" s="17"/>
      <c r="C506" s="24"/>
      <c r="D506" s="16"/>
      <c r="E506" s="16"/>
      <c r="F506" s="16" t="str">
        <f ca="1">IFERROR(__xludf.DUMMYFUNCTION("""COMPUTED_VALUE"""),"Sales")</f>
        <v>Sales</v>
      </c>
      <c r="G506" s="16"/>
      <c r="H506" s="16" t="str">
        <f ca="1">IFERROR(__xludf.DUMMYFUNCTION("""COMPUTED_VALUE"""),".")</f>
        <v>.</v>
      </c>
    </row>
    <row r="507" spans="1:8" ht="12.5">
      <c r="A507" s="24"/>
      <c r="B507" s="17"/>
      <c r="C507" s="24"/>
      <c r="D507" s="16"/>
      <c r="E507" s="16"/>
      <c r="F507" s="16" t="str">
        <f ca="1">IFERROR(__xludf.DUMMYFUNCTION("""COMPUTED_VALUE"""),"Sales")</f>
        <v>Sales</v>
      </c>
      <c r="G507" s="16"/>
      <c r="H507" s="16" t="str">
        <f ca="1">IFERROR(__xludf.DUMMYFUNCTION("""COMPUTED_VALUE"""),".")</f>
        <v>.</v>
      </c>
    </row>
    <row r="508" spans="1:8" ht="12.5">
      <c r="A508" s="24"/>
      <c r="B508" s="17"/>
      <c r="C508" s="24"/>
      <c r="D508" s="16"/>
      <c r="E508" s="16"/>
      <c r="F508" s="16" t="str">
        <f ca="1">IFERROR(__xludf.DUMMYFUNCTION("""COMPUTED_VALUE"""),"Sales")</f>
        <v>Sales</v>
      </c>
      <c r="G508" s="16"/>
      <c r="H508" s="16" t="str">
        <f ca="1">IFERROR(__xludf.DUMMYFUNCTION("""COMPUTED_VALUE"""),".")</f>
        <v>.</v>
      </c>
    </row>
    <row r="509" spans="1:8" ht="12.5">
      <c r="A509" s="24"/>
      <c r="B509" s="17"/>
      <c r="C509" s="24"/>
      <c r="D509" s="16"/>
      <c r="E509" s="16"/>
      <c r="F509" s="16" t="str">
        <f ca="1">IFERROR(__xludf.DUMMYFUNCTION("""COMPUTED_VALUE"""),"Sales")</f>
        <v>Sales</v>
      </c>
      <c r="G509" s="16"/>
      <c r="H509" s="16" t="str">
        <f ca="1">IFERROR(__xludf.DUMMYFUNCTION("""COMPUTED_VALUE"""),".")</f>
        <v>.</v>
      </c>
    </row>
    <row r="510" spans="1:8" ht="12.5">
      <c r="A510" s="24"/>
      <c r="B510" s="17"/>
      <c r="C510" s="24"/>
      <c r="D510" s="16"/>
      <c r="E510" s="16"/>
      <c r="F510" s="16" t="str">
        <f ca="1">IFERROR(__xludf.DUMMYFUNCTION("""COMPUTED_VALUE"""),"Sales")</f>
        <v>Sales</v>
      </c>
      <c r="G510" s="16"/>
      <c r="H510" s="16" t="str">
        <f ca="1">IFERROR(__xludf.DUMMYFUNCTION("""COMPUTED_VALUE"""),".")</f>
        <v>.</v>
      </c>
    </row>
    <row r="511" spans="1:8" ht="12.5">
      <c r="A511" s="24"/>
      <c r="B511" s="17"/>
      <c r="C511" s="24"/>
      <c r="D511" s="16"/>
      <c r="E511" s="16"/>
      <c r="F511" s="16" t="str">
        <f ca="1">IFERROR(__xludf.DUMMYFUNCTION("""COMPUTED_VALUE"""),"Sales")</f>
        <v>Sales</v>
      </c>
      <c r="G511" s="16"/>
      <c r="H511" s="16" t="str">
        <f ca="1">IFERROR(__xludf.DUMMYFUNCTION("""COMPUTED_VALUE"""),".")</f>
        <v>.</v>
      </c>
    </row>
    <row r="512" spans="1:8" ht="12.5">
      <c r="A512" s="24"/>
      <c r="B512" s="17"/>
      <c r="C512" s="24"/>
      <c r="D512" s="16"/>
      <c r="E512" s="16"/>
      <c r="F512" s="16" t="str">
        <f ca="1">IFERROR(__xludf.DUMMYFUNCTION("""COMPUTED_VALUE"""),"Sales")</f>
        <v>Sales</v>
      </c>
      <c r="G512" s="16"/>
      <c r="H512" s="16" t="str">
        <f ca="1">IFERROR(__xludf.DUMMYFUNCTION("""COMPUTED_VALUE"""),".")</f>
        <v>.</v>
      </c>
    </row>
    <row r="513" spans="1:8" ht="12.5">
      <c r="A513" s="24"/>
      <c r="B513" s="17"/>
      <c r="C513" s="24"/>
      <c r="D513" s="16"/>
      <c r="E513" s="16"/>
      <c r="F513" s="16" t="str">
        <f ca="1">IFERROR(__xludf.DUMMYFUNCTION("""COMPUTED_VALUE"""),"Sales")</f>
        <v>Sales</v>
      </c>
      <c r="G513" s="16"/>
      <c r="H513" s="16" t="str">
        <f ca="1">IFERROR(__xludf.DUMMYFUNCTION("""COMPUTED_VALUE"""),".")</f>
        <v>.</v>
      </c>
    </row>
    <row r="514" spans="1:8" ht="12.5">
      <c r="A514" s="24"/>
      <c r="B514" s="17"/>
      <c r="C514" s="24"/>
      <c r="D514" s="16"/>
      <c r="E514" s="16"/>
      <c r="F514" s="16" t="str">
        <f ca="1">IFERROR(__xludf.DUMMYFUNCTION("""COMPUTED_VALUE"""),"Sales")</f>
        <v>Sales</v>
      </c>
      <c r="G514" s="16"/>
      <c r="H514" s="16" t="str">
        <f ca="1">IFERROR(__xludf.DUMMYFUNCTION("""COMPUTED_VALUE"""),".")</f>
        <v>.</v>
      </c>
    </row>
    <row r="515" spans="1:8" ht="12.5">
      <c r="A515" s="24"/>
      <c r="B515" s="17"/>
      <c r="C515" s="24"/>
      <c r="D515" s="16"/>
      <c r="E515" s="16"/>
      <c r="F515" s="16"/>
      <c r="G515" s="16"/>
      <c r="H515" s="16" t="str">
        <f ca="1">IFERROR(__xludf.DUMMYFUNCTION("""COMPUTED_VALUE"""),".")</f>
        <v>.</v>
      </c>
    </row>
    <row r="516" spans="1:8" ht="12.5">
      <c r="A516" s="24"/>
      <c r="B516" s="17"/>
      <c r="C516" s="24"/>
      <c r="D516" s="16"/>
      <c r="E516" s="16"/>
      <c r="F516" s="16"/>
      <c r="G516" s="16"/>
      <c r="H516" s="16" t="str">
        <f ca="1">IFERROR(__xludf.DUMMYFUNCTION("""COMPUTED_VALUE"""),".")</f>
        <v>.</v>
      </c>
    </row>
    <row r="517" spans="1:8" ht="12.5">
      <c r="A517" s="24"/>
      <c r="B517" s="17"/>
      <c r="C517" s="24"/>
      <c r="D517" s="16"/>
      <c r="E517" s="16"/>
      <c r="F517" s="16"/>
      <c r="G517" s="16"/>
      <c r="H517" s="16" t="str">
        <f ca="1">IFERROR(__xludf.DUMMYFUNCTION("""COMPUTED_VALUE"""),".")</f>
        <v>.</v>
      </c>
    </row>
    <row r="518" spans="1:8" ht="12.5">
      <c r="A518" s="24"/>
      <c r="B518" s="17"/>
      <c r="C518" s="24"/>
      <c r="D518" s="16"/>
      <c r="E518" s="16"/>
      <c r="F518" s="16"/>
      <c r="G518" s="16"/>
      <c r="H518" s="16" t="str">
        <f ca="1">IFERROR(__xludf.DUMMYFUNCTION("""COMPUTED_VALUE"""),".")</f>
        <v>.</v>
      </c>
    </row>
    <row r="519" spans="1:8" ht="12.5">
      <c r="A519" s="24"/>
      <c r="B519" s="17"/>
      <c r="C519" s="24"/>
      <c r="D519" s="16"/>
      <c r="E519" s="16"/>
      <c r="F519" s="16"/>
      <c r="G519" s="16"/>
      <c r="H519" s="16" t="str">
        <f ca="1">IFERROR(__xludf.DUMMYFUNCTION("""COMPUTED_VALUE"""),".")</f>
        <v>.</v>
      </c>
    </row>
    <row r="520" spans="1:8" ht="12.5">
      <c r="A520" s="24"/>
      <c r="B520" s="17"/>
      <c r="C520" s="24"/>
      <c r="D520" s="16"/>
      <c r="E520" s="16"/>
      <c r="F520" s="16"/>
      <c r="G520" s="16"/>
      <c r="H520" s="16" t="str">
        <f ca="1">IFERROR(__xludf.DUMMYFUNCTION("""COMPUTED_VALUE"""),".")</f>
        <v>.</v>
      </c>
    </row>
    <row r="521" spans="1:8" ht="12.5">
      <c r="A521" s="24"/>
      <c r="B521" s="17"/>
      <c r="C521" s="24"/>
      <c r="D521" s="16"/>
      <c r="E521" s="16"/>
      <c r="F521" s="16"/>
      <c r="G521" s="16"/>
      <c r="H521" s="16" t="str">
        <f ca="1">IFERROR(__xludf.DUMMYFUNCTION("""COMPUTED_VALUE"""),".")</f>
        <v>.</v>
      </c>
    </row>
    <row r="522" spans="1:8" ht="12.5">
      <c r="A522" s="24"/>
      <c r="B522" s="17"/>
      <c r="C522" s="24"/>
      <c r="D522" s="16"/>
      <c r="E522" s="16"/>
      <c r="F522" s="16"/>
      <c r="G522" s="16"/>
      <c r="H522" s="16" t="str">
        <f ca="1">IFERROR(__xludf.DUMMYFUNCTION("""COMPUTED_VALUE"""),".")</f>
        <v>.</v>
      </c>
    </row>
    <row r="523" spans="1:8" ht="12.5">
      <c r="A523" s="24"/>
      <c r="B523" s="17"/>
      <c r="C523" s="24"/>
      <c r="D523" s="16"/>
      <c r="E523" s="16"/>
      <c r="F523" s="16"/>
      <c r="G523" s="16"/>
      <c r="H523" s="16" t="str">
        <f ca="1">IFERROR(__xludf.DUMMYFUNCTION("""COMPUTED_VALUE"""),".")</f>
        <v>.</v>
      </c>
    </row>
    <row r="524" spans="1:8" ht="12.5">
      <c r="A524" s="24"/>
      <c r="B524" s="17"/>
      <c r="C524" s="24"/>
      <c r="D524" s="16"/>
      <c r="E524" s="16"/>
      <c r="F524" s="16"/>
      <c r="G524" s="16"/>
      <c r="H524" s="16" t="str">
        <f ca="1">IFERROR(__xludf.DUMMYFUNCTION("""COMPUTED_VALUE"""),".")</f>
        <v>.</v>
      </c>
    </row>
    <row r="525" spans="1:8" ht="12.5">
      <c r="A525" s="24"/>
      <c r="B525" s="17"/>
      <c r="C525" s="24"/>
      <c r="D525" s="16"/>
      <c r="E525" s="16"/>
      <c r="F525" s="16"/>
      <c r="G525" s="16"/>
      <c r="H525" s="16" t="str">
        <f ca="1">IFERROR(__xludf.DUMMYFUNCTION("""COMPUTED_VALUE"""),".")</f>
        <v>.</v>
      </c>
    </row>
    <row r="526" spans="1:8" ht="12.5">
      <c r="A526" s="24"/>
      <c r="B526" s="17"/>
      <c r="C526" s="24"/>
      <c r="D526" s="16"/>
      <c r="E526" s="16"/>
      <c r="F526" s="16"/>
      <c r="G526" s="16"/>
      <c r="H526" s="16" t="str">
        <f ca="1">IFERROR(__xludf.DUMMYFUNCTION("""COMPUTED_VALUE"""),".")</f>
        <v>.</v>
      </c>
    </row>
    <row r="527" spans="1:8" ht="12.5">
      <c r="A527" s="24"/>
      <c r="B527" s="17"/>
      <c r="C527" s="24"/>
      <c r="D527" s="16"/>
      <c r="E527" s="16"/>
      <c r="F527" s="16"/>
      <c r="G527" s="16"/>
      <c r="H527" s="16" t="str">
        <f ca="1">IFERROR(__xludf.DUMMYFUNCTION("""COMPUTED_VALUE"""),".")</f>
        <v>.</v>
      </c>
    </row>
    <row r="528" spans="1:8" ht="12.5">
      <c r="A528" s="24"/>
      <c r="B528" s="17"/>
      <c r="C528" s="24"/>
      <c r="D528" s="16"/>
      <c r="E528" s="16"/>
      <c r="F528" s="16"/>
      <c r="G528" s="16"/>
      <c r="H528" s="16" t="str">
        <f ca="1">IFERROR(__xludf.DUMMYFUNCTION("""COMPUTED_VALUE"""),".")</f>
        <v>.</v>
      </c>
    </row>
    <row r="529" spans="1:8" ht="12.5">
      <c r="A529" s="24"/>
      <c r="B529" s="17"/>
      <c r="C529" s="24"/>
      <c r="D529" s="16"/>
      <c r="E529" s="16"/>
      <c r="F529" s="16"/>
      <c r="G529" s="16"/>
      <c r="H529" s="16" t="str">
        <f ca="1">IFERROR(__xludf.DUMMYFUNCTION("""COMPUTED_VALUE"""),".")</f>
        <v>.</v>
      </c>
    </row>
    <row r="530" spans="1:8" ht="12.5">
      <c r="A530" s="24"/>
      <c r="B530" s="17"/>
      <c r="C530" s="24"/>
      <c r="D530" s="16"/>
      <c r="E530" s="16"/>
      <c r="F530" s="16"/>
      <c r="G530" s="16"/>
      <c r="H530" s="16" t="str">
        <f ca="1">IFERROR(__xludf.DUMMYFUNCTION("""COMPUTED_VALUE"""),".")</f>
        <v>.</v>
      </c>
    </row>
    <row r="531" spans="1:8" ht="12.5">
      <c r="A531" s="24"/>
      <c r="B531" s="17"/>
      <c r="C531" s="24"/>
      <c r="D531" s="16"/>
      <c r="E531" s="16"/>
      <c r="F531" s="16"/>
      <c r="G531" s="16"/>
      <c r="H531" s="16" t="str">
        <f ca="1">IFERROR(__xludf.DUMMYFUNCTION("""COMPUTED_VALUE"""),".")</f>
        <v>.</v>
      </c>
    </row>
    <row r="532" spans="1:8" ht="12.5">
      <c r="A532" s="24"/>
      <c r="B532" s="17"/>
      <c r="C532" s="24"/>
      <c r="D532" s="16"/>
      <c r="E532" s="16"/>
      <c r="F532" s="16"/>
      <c r="G532" s="16"/>
      <c r="H532" s="16" t="str">
        <f ca="1">IFERROR(__xludf.DUMMYFUNCTION("""COMPUTED_VALUE"""),".")</f>
        <v>.</v>
      </c>
    </row>
    <row r="533" spans="1:8" ht="12.5">
      <c r="A533" s="24"/>
      <c r="B533" s="17"/>
      <c r="C533" s="24"/>
      <c r="D533" s="16"/>
      <c r="E533" s="16"/>
      <c r="F533" s="16"/>
      <c r="G533" s="16"/>
      <c r="H533" s="16" t="str">
        <f ca="1">IFERROR(__xludf.DUMMYFUNCTION("""COMPUTED_VALUE"""),".")</f>
        <v>.</v>
      </c>
    </row>
    <row r="534" spans="1:8" ht="12.5">
      <c r="A534" s="24"/>
      <c r="B534" s="17"/>
      <c r="C534" s="24"/>
      <c r="D534" s="16"/>
      <c r="E534" s="16"/>
      <c r="F534" s="16"/>
      <c r="G534" s="16"/>
      <c r="H534" s="16" t="str">
        <f ca="1">IFERROR(__xludf.DUMMYFUNCTION("""COMPUTED_VALUE"""),".")</f>
        <v>.</v>
      </c>
    </row>
    <row r="535" spans="1:8" ht="12.5">
      <c r="A535" s="24"/>
      <c r="B535" s="17"/>
      <c r="C535" s="24"/>
      <c r="D535" s="16"/>
      <c r="E535" s="16"/>
      <c r="F535" s="16"/>
      <c r="G535" s="16"/>
      <c r="H535" s="16" t="str">
        <f ca="1">IFERROR(__xludf.DUMMYFUNCTION("""COMPUTED_VALUE"""),".")</f>
        <v>.</v>
      </c>
    </row>
    <row r="536" spans="1:8" ht="12.5">
      <c r="A536" s="24"/>
      <c r="B536" s="17"/>
      <c r="C536" s="24"/>
      <c r="D536" s="16"/>
      <c r="E536" s="16"/>
      <c r="F536" s="16"/>
      <c r="G536" s="16"/>
      <c r="H536" s="16" t="str">
        <f ca="1">IFERROR(__xludf.DUMMYFUNCTION("""COMPUTED_VALUE"""),".")</f>
        <v>.</v>
      </c>
    </row>
    <row r="537" spans="1:8" ht="12.5">
      <c r="A537" s="24"/>
      <c r="B537" s="17"/>
      <c r="C537" s="24"/>
      <c r="D537" s="16"/>
      <c r="E537" s="16"/>
      <c r="F537" s="16"/>
      <c r="G537" s="16"/>
      <c r="H537" s="16" t="str">
        <f ca="1">IFERROR(__xludf.DUMMYFUNCTION("""COMPUTED_VALUE"""),".")</f>
        <v>.</v>
      </c>
    </row>
    <row r="538" spans="1:8" ht="12.5">
      <c r="A538" s="24"/>
      <c r="B538" s="17"/>
      <c r="C538" s="24"/>
      <c r="D538" s="16"/>
      <c r="E538" s="16"/>
      <c r="F538" s="16"/>
      <c r="G538" s="16"/>
      <c r="H538" s="16" t="str">
        <f ca="1">IFERROR(__xludf.DUMMYFUNCTION("""COMPUTED_VALUE"""),".")</f>
        <v>.</v>
      </c>
    </row>
    <row r="539" spans="1:8" ht="12.5">
      <c r="A539" s="24"/>
      <c r="B539" s="17"/>
      <c r="C539" s="24"/>
      <c r="D539" s="16"/>
      <c r="E539" s="16"/>
      <c r="F539" s="16"/>
      <c r="G539" s="16"/>
      <c r="H539" s="16" t="str">
        <f ca="1">IFERROR(__xludf.DUMMYFUNCTION("""COMPUTED_VALUE"""),".")</f>
        <v>.</v>
      </c>
    </row>
    <row r="540" spans="1:8" ht="12.5">
      <c r="A540" s="24"/>
      <c r="B540" s="17"/>
      <c r="C540" s="24"/>
      <c r="D540" s="16"/>
      <c r="E540" s="16"/>
      <c r="F540" s="16"/>
      <c r="G540" s="16"/>
      <c r="H540" s="16" t="str">
        <f ca="1">IFERROR(__xludf.DUMMYFUNCTION("""COMPUTED_VALUE"""),".")</f>
        <v>.</v>
      </c>
    </row>
    <row r="541" spans="1:8" ht="12.5">
      <c r="A541" s="24"/>
      <c r="B541" s="17"/>
      <c r="C541" s="24"/>
      <c r="D541" s="16"/>
      <c r="E541" s="16"/>
      <c r="F541" s="16"/>
      <c r="G541" s="16"/>
      <c r="H541" s="16" t="str">
        <f ca="1">IFERROR(__xludf.DUMMYFUNCTION("""COMPUTED_VALUE"""),".")</f>
        <v>.</v>
      </c>
    </row>
    <row r="542" spans="1:8" ht="12.5">
      <c r="A542" s="24"/>
      <c r="B542" s="17"/>
      <c r="C542" s="24"/>
      <c r="D542" s="16"/>
      <c r="E542" s="16"/>
      <c r="F542" s="16"/>
      <c r="G542" s="16"/>
      <c r="H542" s="16" t="str">
        <f ca="1">IFERROR(__xludf.DUMMYFUNCTION("""COMPUTED_VALUE"""),".")</f>
        <v>.</v>
      </c>
    </row>
    <row r="543" spans="1:8" ht="12.5">
      <c r="A543" s="24"/>
      <c r="B543" s="17"/>
      <c r="C543" s="24"/>
      <c r="D543" s="16"/>
      <c r="E543" s="16"/>
      <c r="F543" s="16"/>
      <c r="G543" s="16"/>
      <c r="H543" s="16" t="str">
        <f ca="1">IFERROR(__xludf.DUMMYFUNCTION("""COMPUTED_VALUE"""),".")</f>
        <v>.</v>
      </c>
    </row>
    <row r="544" spans="1:8" ht="12.5">
      <c r="A544" s="24"/>
      <c r="B544" s="17"/>
      <c r="C544" s="24"/>
      <c r="D544" s="16"/>
      <c r="E544" s="16"/>
      <c r="F544" s="16"/>
      <c r="G544" s="16"/>
      <c r="H544" s="16" t="str">
        <f ca="1">IFERROR(__xludf.DUMMYFUNCTION("""COMPUTED_VALUE"""),".")</f>
        <v>.</v>
      </c>
    </row>
    <row r="545" spans="1:8" ht="12.5">
      <c r="A545" s="24"/>
      <c r="B545" s="17"/>
      <c r="C545" s="24"/>
      <c r="D545" s="16"/>
      <c r="E545" s="16"/>
      <c r="F545" s="16"/>
      <c r="G545" s="16"/>
      <c r="H545" s="16" t="str">
        <f ca="1">IFERROR(__xludf.DUMMYFUNCTION("""COMPUTED_VALUE"""),".")</f>
        <v>.</v>
      </c>
    </row>
    <row r="546" spans="1:8" ht="12.5">
      <c r="A546" s="24"/>
      <c r="B546" s="17"/>
      <c r="C546" s="24"/>
      <c r="D546" s="16"/>
      <c r="E546" s="16"/>
      <c r="F546" s="16"/>
      <c r="G546" s="16"/>
      <c r="H546" s="16" t="str">
        <f ca="1">IFERROR(__xludf.DUMMYFUNCTION("""COMPUTED_VALUE"""),".")</f>
        <v>.</v>
      </c>
    </row>
    <row r="547" spans="1:8" ht="12.5">
      <c r="A547" s="24"/>
      <c r="B547" s="17"/>
      <c r="C547" s="24"/>
      <c r="D547" s="16"/>
      <c r="E547" s="16"/>
      <c r="F547" s="16"/>
      <c r="G547" s="16"/>
      <c r="H547" s="16" t="str">
        <f ca="1">IFERROR(__xludf.DUMMYFUNCTION("""COMPUTED_VALUE"""),".")</f>
        <v>.</v>
      </c>
    </row>
    <row r="548" spans="1:8" ht="12.5">
      <c r="A548" s="24"/>
      <c r="B548" s="17"/>
      <c r="C548" s="24"/>
      <c r="D548" s="16"/>
      <c r="E548" s="16"/>
      <c r="F548" s="16"/>
      <c r="G548" s="16"/>
      <c r="H548" s="16" t="str">
        <f ca="1">IFERROR(__xludf.DUMMYFUNCTION("""COMPUTED_VALUE"""),".")</f>
        <v>.</v>
      </c>
    </row>
    <row r="549" spans="1:8" ht="12.5">
      <c r="A549" s="24"/>
      <c r="B549" s="17"/>
      <c r="C549" s="24"/>
      <c r="D549" s="16"/>
      <c r="E549" s="16"/>
      <c r="F549" s="16"/>
      <c r="G549" s="16"/>
      <c r="H549" s="16" t="str">
        <f ca="1">IFERROR(__xludf.DUMMYFUNCTION("""COMPUTED_VALUE"""),".")</f>
        <v>.</v>
      </c>
    </row>
    <row r="550" spans="1:8" ht="12.5">
      <c r="A550" s="24"/>
      <c r="B550" s="17"/>
      <c r="C550" s="24"/>
      <c r="D550" s="16"/>
      <c r="E550" s="16"/>
      <c r="F550" s="16"/>
      <c r="G550" s="16"/>
      <c r="H550" s="16" t="str">
        <f ca="1">IFERROR(__xludf.DUMMYFUNCTION("""COMPUTED_VALUE"""),".")</f>
        <v>.</v>
      </c>
    </row>
    <row r="551" spans="1:8" ht="12.5">
      <c r="A551" s="24"/>
      <c r="B551" s="17"/>
      <c r="C551" s="24"/>
      <c r="D551" s="16"/>
      <c r="E551" s="16"/>
      <c r="F551" s="16"/>
      <c r="G551" s="16"/>
      <c r="H551" s="16" t="str">
        <f ca="1">IFERROR(__xludf.DUMMYFUNCTION("""COMPUTED_VALUE"""),".")</f>
        <v>.</v>
      </c>
    </row>
    <row r="552" spans="1:8" ht="12.5">
      <c r="A552" s="24"/>
      <c r="B552" s="17"/>
      <c r="C552" s="24"/>
      <c r="D552" s="16"/>
      <c r="E552" s="16"/>
      <c r="F552" s="16"/>
      <c r="G552" s="16"/>
      <c r="H552" s="16" t="str">
        <f ca="1">IFERROR(__xludf.DUMMYFUNCTION("""COMPUTED_VALUE"""),".")</f>
        <v>.</v>
      </c>
    </row>
    <row r="553" spans="1:8" ht="12.5">
      <c r="A553" s="24"/>
      <c r="B553" s="17"/>
      <c r="C553" s="24"/>
      <c r="D553" s="16"/>
      <c r="E553" s="16"/>
      <c r="F553" s="16"/>
      <c r="G553" s="16"/>
      <c r="H553" s="16"/>
    </row>
    <row r="554" spans="1:8" ht="12.5">
      <c r="A554" s="24"/>
      <c r="B554" s="17"/>
      <c r="C554" s="24"/>
      <c r="D554" s="16"/>
      <c r="E554" s="16"/>
      <c r="F554" s="16"/>
      <c r="G554" s="16"/>
      <c r="H554" s="16"/>
    </row>
    <row r="555" spans="1:8" ht="12.5">
      <c r="A555" s="24"/>
      <c r="B555" s="17"/>
      <c r="C555" s="24"/>
      <c r="D555" s="16"/>
      <c r="E555" s="16"/>
      <c r="F555" s="16"/>
      <c r="G555" s="16"/>
      <c r="H555" s="16"/>
    </row>
    <row r="556" spans="1:8" ht="12.5">
      <c r="A556" s="24"/>
      <c r="B556" s="17"/>
      <c r="C556" s="24"/>
      <c r="D556" s="16"/>
      <c r="E556" s="16"/>
      <c r="F556" s="16"/>
      <c r="G556" s="16"/>
      <c r="H556" s="16"/>
    </row>
    <row r="557" spans="1:8" ht="12.5">
      <c r="A557" s="24"/>
      <c r="B557" s="17"/>
      <c r="C557" s="24"/>
      <c r="D557" s="16"/>
      <c r="E557" s="16"/>
      <c r="F557" s="16"/>
      <c r="G557" s="16"/>
      <c r="H557" s="16"/>
    </row>
    <row r="558" spans="1:8" ht="12.5">
      <c r="A558" s="24"/>
      <c r="B558" s="17"/>
      <c r="C558" s="24"/>
      <c r="D558" s="16"/>
      <c r="E558" s="16"/>
      <c r="F558" s="16"/>
      <c r="G558" s="16"/>
      <c r="H558" s="16"/>
    </row>
    <row r="559" spans="1:8" ht="12.5">
      <c r="A559" s="24"/>
      <c r="B559" s="17"/>
      <c r="C559" s="24"/>
      <c r="D559" s="16"/>
      <c r="E559" s="16"/>
      <c r="F559" s="16"/>
      <c r="G559" s="16"/>
      <c r="H559" s="16"/>
    </row>
    <row r="560" spans="1:8" ht="12.5">
      <c r="A560" s="24"/>
      <c r="B560" s="17"/>
      <c r="C560" s="24"/>
      <c r="D560" s="16"/>
      <c r="E560" s="16"/>
      <c r="F560" s="16"/>
      <c r="G560" s="16"/>
      <c r="H560" s="16"/>
    </row>
    <row r="561" spans="1:8" ht="12.5">
      <c r="A561" s="24"/>
      <c r="B561" s="17"/>
      <c r="C561" s="24"/>
      <c r="D561" s="16"/>
      <c r="E561" s="16"/>
      <c r="F561" s="16"/>
      <c r="G561" s="16"/>
      <c r="H561" s="16"/>
    </row>
    <row r="562" spans="1:8" ht="12.5">
      <c r="A562" s="24"/>
      <c r="B562" s="17"/>
      <c r="C562" s="24"/>
      <c r="D562" s="16"/>
      <c r="E562" s="16"/>
      <c r="F562" s="16"/>
      <c r="G562" s="16"/>
      <c r="H562" s="16"/>
    </row>
    <row r="563" spans="1:8" ht="12.5">
      <c r="A563" s="24"/>
      <c r="B563" s="17"/>
      <c r="C563" s="24"/>
      <c r="D563" s="16"/>
      <c r="E563" s="37" t="str">
        <f ca="1">IFERROR(__xludf.DUMMYFUNCTION("IMPORTRANGE(""https://docs.google.com/spreadsheets/d/11jz2XYKFAQt8O7VlyomTOYdNgCKk5yiwVZomRZLhmXw/edit#gid=1404531132"",""#8 Jose Ignacio!A11:A80"")"),"CODI")</f>
        <v>CODI</v>
      </c>
      <c r="F563" s="37" t="str">
        <f ca="1">IFERROR(__xludf.DUMMYFUNCTION("IMPORTRANGE(""https://docs.google.com/spreadsheets/d/11jz2XYKFAQt8O7VlyomTOYdNgCKk5yiwVZomRZLhmXw/edit#gid=1404531132"",""#8 Jose Ignacio!I11:K80"")"),"Expense Type")</f>
        <v>Expense Type</v>
      </c>
      <c r="G563" s="16" t="str">
        <f ca="1">IFERROR(__xludf.DUMMYFUNCTION("""COMPUTED_VALUE"""),"DESCRIPCION DEL GASTO")</f>
        <v>DESCRIPCION DEL GASTO</v>
      </c>
      <c r="H563" s="16" t="str">
        <f ca="1">IFERROR(__xludf.DUMMYFUNCTION("""COMPUTED_VALUE"""),"FOLIO FACTURA")</f>
        <v>FOLIO FACTURA</v>
      </c>
    </row>
    <row r="564" spans="1:8" ht="12.5">
      <c r="A564" s="24"/>
      <c r="B564" s="17"/>
      <c r="C564" s="24"/>
      <c r="D564" s="16"/>
      <c r="E564" s="16" t="str">
        <f ca="1">IFERROR(__xludf.DUMMYFUNCTION("""COMPUTED_VALUE"""),"TRX1251")</f>
        <v>TRX1251</v>
      </c>
      <c r="F564" s="16" t="str">
        <f ca="1">IFERROR(__xludf.DUMMYFUNCTION("""COMPUTED_VALUE"""),"Transaction cost")</f>
        <v>Transaction cost</v>
      </c>
      <c r="G564" s="16" t="str">
        <f ca="1">IFERROR(__xludf.DUMMYFUNCTION("""COMPUTED_VALUE"""),"UBER PARA DEJAR HERRAMIENTA DE INSTALACION PO2023 - SAFE IN THE BOX")</f>
        <v>UBER PARA DEJAR HERRAMIENTA DE INSTALACION PO2023 - SAFE IN THE BOX</v>
      </c>
      <c r="H564" s="16" t="str">
        <f ca="1">IFERROR(__xludf.DUMMYFUNCTION("""COMPUTED_VALUE"""),".")</f>
        <v>.</v>
      </c>
    </row>
    <row r="565" spans="1:8" ht="12.5">
      <c r="A565" s="24"/>
      <c r="B565" s="17"/>
      <c r="C565" s="24"/>
      <c r="D565" s="16"/>
      <c r="E565" s="16" t="str">
        <f ca="1">IFERROR(__xludf.DUMMYFUNCTION("""COMPUTED_VALUE"""),"TRX1201")</f>
        <v>TRX1201</v>
      </c>
      <c r="F565" s="16" t="str">
        <f ca="1">IFERROR(__xludf.DUMMYFUNCTION("""COMPUTED_VALUE"""),"Transaction cost")</f>
        <v>Transaction cost</v>
      </c>
      <c r="G565" s="16" t="str">
        <f ca="1">IFERROR(__xludf.DUMMYFUNCTION("""COMPUTED_VALUE"""),"PAGO A CUENTA DE UN GASTO DE GASOLINA QUE NO PASO CON LA JEEVES PO2165 - ENSAMBLE UF/CEB MECANICO")</f>
        <v>PAGO A CUENTA DE UN GASTO DE GASOLINA QUE NO PASO CON LA JEEVES PO2165 - ENSAMBLE UF/CEB MECANICO</v>
      </c>
      <c r="H565" s="16" t="str">
        <f ca="1">IFERROR(__xludf.DUMMYFUNCTION("""COMPUTED_VALUE"""),".")</f>
        <v>.</v>
      </c>
    </row>
    <row r="566" spans="1:8" ht="12.5">
      <c r="A566" s="24"/>
      <c r="B566" s="17"/>
      <c r="C566" s="24"/>
      <c r="D566" s="16"/>
      <c r="E566" s="16" t="str">
        <f ca="1">IFERROR(__xludf.DUMMYFUNCTION("""COMPUTED_VALUE"""),"TRX1198")</f>
        <v>TRX1198</v>
      </c>
      <c r="F566" s="16" t="str">
        <f ca="1">IFERROR(__xludf.DUMMYFUNCTION("""COMPUTED_VALUE"""),"Transaction cost")</f>
        <v>Transaction cost</v>
      </c>
      <c r="G566" s="16" t="str">
        <f ca="1">IFERROR(__xludf.DUMMYFUNCTION("""COMPUTED_VALUE"""),"COMIDA   PO2165 - ENSAMBLE UF/CEB MECANICO")</f>
        <v>COMIDA   PO2165 - ENSAMBLE UF/CEB MECANICO</v>
      </c>
      <c r="H566" s="16" t="str">
        <f ca="1">IFERROR(__xludf.DUMMYFUNCTION("""COMPUTED_VALUE"""),".")</f>
        <v>.</v>
      </c>
    </row>
    <row r="567" spans="1:8" ht="12.5">
      <c r="A567" s="24"/>
      <c r="B567" s="17"/>
      <c r="C567" s="24"/>
      <c r="D567" s="16"/>
      <c r="E567" s="16" t="str">
        <f ca="1">IFERROR(__xludf.DUMMYFUNCTION("""COMPUTED_VALUE"""),"TRX1676")</f>
        <v>TRX1676</v>
      </c>
      <c r="F567" s="16" t="str">
        <f ca="1">IFERROR(__xludf.DUMMYFUNCTION("""COMPUTED_VALUE"""),"Transaction cost")</f>
        <v>Transaction cost</v>
      </c>
      <c r="G567" s="16" t="str">
        <f ca="1">IFERROR(__xludf.DUMMYFUNCTION("""COMPUTED_VALUE"""),"COMIDA   PO2165 - ENSAMBLE UF/CEB MECANICO")</f>
        <v>COMIDA   PO2165 - ENSAMBLE UF/CEB MECANICO</v>
      </c>
      <c r="H567" s="16" t="str">
        <f ca="1">IFERROR(__xludf.DUMMYFUNCTION("""COMPUTED_VALUE"""),".")</f>
        <v>.</v>
      </c>
    </row>
    <row r="568" spans="1:8" ht="12.5">
      <c r="A568" s="24"/>
      <c r="B568" s="17"/>
      <c r="C568" s="24"/>
      <c r="D568" s="16"/>
      <c r="E568" s="16" t="str">
        <f ca="1">IFERROR(__xludf.DUMMYFUNCTION("""COMPUTED_VALUE"""),"TRX1340")</f>
        <v>TRX1340</v>
      </c>
      <c r="F568" s="16" t="str">
        <f ca="1">IFERROR(__xludf.DUMMYFUNCTION("""COMPUTED_VALUE"""),"Transaction cost")</f>
        <v>Transaction cost</v>
      </c>
      <c r="G568" s="16" t="str">
        <f ca="1">IFERROR(__xludf.DUMMYFUNCTION("""COMPUTED_VALUE"""),"CASETAS VISITA VISITA A ESCATO PO2165 - ENSAMBLE UF/CEB MECANICO")</f>
        <v>CASETAS VISITA VISITA A ESCATO PO2165 - ENSAMBLE UF/CEB MECANICO</v>
      </c>
      <c r="H568" s="16" t="str">
        <f ca="1">IFERROR(__xludf.DUMMYFUNCTION("""COMPUTED_VALUE"""),".")</f>
        <v>.</v>
      </c>
    </row>
    <row r="569" spans="1:8" ht="12.5">
      <c r="A569" s="24"/>
      <c r="B569" s="17"/>
      <c r="C569" s="24"/>
      <c r="D569" s="16"/>
      <c r="E569" s="16" t="str">
        <f ca="1">IFERROR(__xludf.DUMMYFUNCTION("""COMPUTED_VALUE"""),"TRX2021")</f>
        <v>TRX2021</v>
      </c>
      <c r="F569" s="16" t="str">
        <f ca="1">IFERROR(__xludf.DUMMYFUNCTION("""COMPUTED_VALUE"""),"Transaction cost")</f>
        <v>Transaction cost</v>
      </c>
      <c r="G569" s="16" t="str">
        <f ca="1">IFERROR(__xludf.DUMMYFUNCTION("""COMPUTED_VALUE"""),"GASOLINA VISITA A CAMI PO2165 - ENSAMBLE UF/CEB MECANICO")</f>
        <v>GASOLINA VISITA A CAMI PO2165 - ENSAMBLE UF/CEB MECANICO</v>
      </c>
      <c r="H569" s="16" t="str">
        <f ca="1">IFERROR(__xludf.DUMMYFUNCTION("""COMPUTED_VALUE"""),".")</f>
        <v>.</v>
      </c>
    </row>
    <row r="570" spans="1:8" ht="12.5">
      <c r="A570" s="24"/>
      <c r="B570" s="17"/>
      <c r="C570" s="24"/>
      <c r="D570" s="16"/>
      <c r="E570" s="16" t="str">
        <f ca="1">IFERROR(__xludf.DUMMYFUNCTION("""COMPUTED_VALUE"""),"TRX1336")</f>
        <v>TRX1336</v>
      </c>
      <c r="F570" s="16" t="str">
        <f ca="1">IFERROR(__xludf.DUMMYFUNCTION("""COMPUTED_VALUE"""),"Transaction cost")</f>
        <v>Transaction cost</v>
      </c>
      <c r="G570" s="16" t="str">
        <f ca="1">IFERROR(__xludf.DUMMYFUNCTION("""COMPUTED_VALUE"""),"PAPELERIA PARA DOSSIER DE CALIDAD PO2165 - ENSAMBLE UF/CEB MECANICO")</f>
        <v>PAPELERIA PARA DOSSIER DE CALIDAD PO2165 - ENSAMBLE UF/CEB MECANICO</v>
      </c>
      <c r="H570" s="16" t="str">
        <f ca="1">IFERROR(__xludf.DUMMYFUNCTION("""COMPUTED_VALUE"""),".")</f>
        <v>.</v>
      </c>
    </row>
    <row r="571" spans="1:8" ht="12.5">
      <c r="A571" s="24"/>
      <c r="B571" s="17"/>
      <c r="C571" s="24"/>
      <c r="D571" s="16"/>
      <c r="E571" s="16" t="str">
        <f ca="1">IFERROR(__xludf.DUMMYFUNCTION("""COMPUTED_VALUE"""),"TRX1714")</f>
        <v>TRX1714</v>
      </c>
      <c r="F571" s="16" t="str">
        <f ca="1">IFERROR(__xludf.DUMMYFUNCTION("""COMPUTED_VALUE"""),"Transaction cost")</f>
        <v>Transaction cost</v>
      </c>
      <c r="G571" s="16" t="str">
        <f ca="1">IFERROR(__xludf.DUMMYFUNCTION("""COMPUTED_VALUE"""),"PLUMONES PARA MARCAJE DE ESTRUCTURA PO2165 - ENSAMBLE UF/CEB MECANICO")</f>
        <v>PLUMONES PARA MARCAJE DE ESTRUCTURA PO2165 - ENSAMBLE UF/CEB MECANICO</v>
      </c>
      <c r="H571" s="16" t="str">
        <f ca="1">IFERROR(__xludf.DUMMYFUNCTION("""COMPUTED_VALUE"""),".")</f>
        <v>.</v>
      </c>
    </row>
    <row r="572" spans="1:8" ht="12.5">
      <c r="A572" s="24"/>
      <c r="B572" s="17"/>
      <c r="C572" s="24"/>
      <c r="D572" s="16"/>
      <c r="E572" s="16" t="str">
        <f ca="1">IFERROR(__xludf.DUMMYFUNCTION("""COMPUTED_VALUE"""),"TRX1943")</f>
        <v>TRX1943</v>
      </c>
      <c r="F572" s="16" t="str">
        <f ca="1">IFERROR(__xludf.DUMMYFUNCTION("""COMPUTED_VALUE"""),"Transaction cost")</f>
        <v>Transaction cost</v>
      </c>
      <c r="G572" s="16" t="str">
        <f ca="1">IFERROR(__xludf.DUMMYFUNCTION("""COMPUTED_VALUE"""),"COMIDA   PO2165 - ENSAMBLE UF/CEB MECANICO")</f>
        <v>COMIDA   PO2165 - ENSAMBLE UF/CEB MECANICO</v>
      </c>
      <c r="H572" s="16" t="str">
        <f ca="1">IFERROR(__xludf.DUMMYFUNCTION("""COMPUTED_VALUE"""),".")</f>
        <v>.</v>
      </c>
    </row>
    <row r="573" spans="1:8" ht="12.5">
      <c r="A573" s="24"/>
      <c r="B573" s="17"/>
      <c r="C573" s="24"/>
      <c r="D573" s="16"/>
      <c r="E573" s="16" t="str">
        <f ca="1">IFERROR(__xludf.DUMMYFUNCTION("""COMPUTED_VALUE"""),"TRX1930")</f>
        <v>TRX1930</v>
      </c>
      <c r="F573" s="16" t="str">
        <f ca="1">IFERROR(__xludf.DUMMYFUNCTION("""COMPUTED_VALUE"""),"Transaction cost")</f>
        <v>Transaction cost</v>
      </c>
      <c r="G573" s="16" t="str">
        <f ca="1">IFERROR(__xludf.DUMMYFUNCTION("""COMPUTED_VALUE"""),"CASETAS VISITA VISITA A ESCATO PO2165 - ENSAMBLE UF/CEB MECANICO")</f>
        <v>CASETAS VISITA VISITA A ESCATO PO2165 - ENSAMBLE UF/CEB MECANICO</v>
      </c>
      <c r="H573" s="16" t="str">
        <f ca="1">IFERROR(__xludf.DUMMYFUNCTION("""COMPUTED_VALUE"""),".")</f>
        <v>.</v>
      </c>
    </row>
    <row r="574" spans="1:8" ht="12.5">
      <c r="A574" s="24"/>
      <c r="B574" s="17"/>
      <c r="C574" s="24"/>
      <c r="D574" s="16"/>
      <c r="E574" s="16" t="str">
        <f ca="1">IFERROR(__xludf.DUMMYFUNCTION("""COMPUTED_VALUE"""),"TRX1799")</f>
        <v>TRX1799</v>
      </c>
      <c r="F574" s="16" t="str">
        <f ca="1">IFERROR(__xludf.DUMMYFUNCTION("""COMPUTED_VALUE"""),"Transaction cost")</f>
        <v>Transaction cost</v>
      </c>
      <c r="G574" s="16" t="str">
        <f ca="1">IFERROR(__xludf.DUMMYFUNCTION("""COMPUTED_VALUE"""),"GASOLINA VISITA A CAMI PO2165 - ENSAMBLE UF/CEB MECANICO")</f>
        <v>GASOLINA VISITA A CAMI PO2165 - ENSAMBLE UF/CEB MECANICO</v>
      </c>
      <c r="H574" s="16" t="str">
        <f ca="1">IFERROR(__xludf.DUMMYFUNCTION("""COMPUTED_VALUE"""),".")</f>
        <v>.</v>
      </c>
    </row>
    <row r="575" spans="1:8" ht="12.5">
      <c r="A575" s="24"/>
      <c r="B575" s="17"/>
      <c r="C575" s="24"/>
      <c r="D575" s="16"/>
      <c r="E575" s="16" t="str">
        <f ca="1">IFERROR(__xludf.DUMMYFUNCTION("""COMPUTED_VALUE"""),"TRX1405")</f>
        <v>TRX1405</v>
      </c>
      <c r="F575" s="16" t="str">
        <f ca="1">IFERROR(__xludf.DUMMYFUNCTION("""COMPUTED_VALUE"""),"Transaction cost")</f>
        <v>Transaction cost</v>
      </c>
      <c r="G575" s="16" t="str">
        <f ca="1">IFERROR(__xludf.DUMMYFUNCTION("""COMPUTED_VALUE"""),"UBER PARA DEJAR HERRAMIENTA DE INSTALACION PO2023 - SAFE IN THE BOX ")</f>
        <v xml:space="preserve">UBER PARA DEJAR HERRAMIENTA DE INSTALACION PO2023 - SAFE IN THE BOX </v>
      </c>
      <c r="H575" s="16" t="str">
        <f ca="1">IFERROR(__xludf.DUMMYFUNCTION("""COMPUTED_VALUE"""),".")</f>
        <v>.</v>
      </c>
    </row>
    <row r="576" spans="1:8" ht="12.5">
      <c r="A576" s="24"/>
      <c r="B576" s="17"/>
      <c r="C576" s="24"/>
      <c r="D576" s="16"/>
      <c r="E576" s="16" t="str">
        <f ca="1">IFERROR(__xludf.DUMMYFUNCTION("""COMPUTED_VALUE"""),"TRX2025")</f>
        <v>TRX2025</v>
      </c>
      <c r="F576" s="16" t="str">
        <f ca="1">IFERROR(__xludf.DUMMYFUNCTION("""COMPUTED_VALUE"""),"Transaction cost")</f>
        <v>Transaction cost</v>
      </c>
      <c r="G576" s="16" t="str">
        <f ca="1">IFERROR(__xludf.DUMMYFUNCTION("""COMPUTED_VALUE"""),"UBER VISITA A PROVEEDOR (NO CIRCULA) PO2165 - ENSAMBLE UF/CEB MECANICO")</f>
        <v>UBER VISITA A PROVEEDOR (NO CIRCULA) PO2165 - ENSAMBLE UF/CEB MECANICO</v>
      </c>
      <c r="H576" s="16" t="str">
        <f ca="1">IFERROR(__xludf.DUMMYFUNCTION("""COMPUTED_VALUE"""),".")</f>
        <v>.</v>
      </c>
    </row>
    <row r="577" spans="1:8" ht="12.5">
      <c r="A577" s="24"/>
      <c r="B577" s="17"/>
      <c r="C577" s="24"/>
      <c r="D577" s="16"/>
      <c r="E577" s="16" t="str">
        <f ca="1">IFERROR(__xludf.DUMMYFUNCTION("""COMPUTED_VALUE"""),"TRX1045")</f>
        <v>TRX1045</v>
      </c>
      <c r="F577" s="16" t="str">
        <f ca="1">IFERROR(__xludf.DUMMYFUNCTION("""COMPUTED_VALUE"""),"Transaction cost")</f>
        <v>Transaction cost</v>
      </c>
      <c r="G577" s="16" t="str">
        <f ca="1">IFERROR(__xludf.DUMMYFUNCTION("""COMPUTED_VALUE"""),"UBER VISITA A PROVEEDOR (NO CIRCULA) PO2165 - ENSAMBLE UF/CEB MECANICO")</f>
        <v>UBER VISITA A PROVEEDOR (NO CIRCULA) PO2165 - ENSAMBLE UF/CEB MECANICO</v>
      </c>
      <c r="H577" s="16" t="str">
        <f ca="1">IFERROR(__xludf.DUMMYFUNCTION("""COMPUTED_VALUE"""),".")</f>
        <v>.</v>
      </c>
    </row>
    <row r="578" spans="1:8" ht="12.5">
      <c r="A578" s="24"/>
      <c r="B578" s="17"/>
      <c r="C578" s="24"/>
      <c r="D578" s="16"/>
      <c r="E578" s="16" t="str">
        <f ca="1">IFERROR(__xludf.DUMMYFUNCTION("""COMPUTED_VALUE"""),"TRX1800")</f>
        <v>TRX1800</v>
      </c>
      <c r="F578" s="16" t="str">
        <f ca="1">IFERROR(__xludf.DUMMYFUNCTION("""COMPUTED_VALUE"""),"Transaction cost")</f>
        <v>Transaction cost</v>
      </c>
      <c r="G578" s="16" t="str">
        <f ca="1">IFERROR(__xludf.DUMMYFUNCTION("""COMPUTED_VALUE"""),"COMIDA   PO2165 - ENSAMBLE UF/CEB MECANICO")</f>
        <v>COMIDA   PO2165 - ENSAMBLE UF/CEB MECANICO</v>
      </c>
      <c r="H578" s="16" t="str">
        <f ca="1">IFERROR(__xludf.DUMMYFUNCTION("""COMPUTED_VALUE"""),".")</f>
        <v>.</v>
      </c>
    </row>
    <row r="579" spans="1:8" ht="12.5">
      <c r="A579" s="24"/>
      <c r="B579" s="17"/>
      <c r="C579" s="24"/>
      <c r="D579" s="16"/>
      <c r="E579" s="16" t="str">
        <f ca="1">IFERROR(__xludf.DUMMYFUNCTION("""COMPUTED_VALUE"""),"TRX1508")</f>
        <v>TRX1508</v>
      </c>
      <c r="F579" s="16" t="str">
        <f ca="1">IFERROR(__xludf.DUMMYFUNCTION("""COMPUTED_VALUE"""),"Transaction cost")</f>
        <v>Transaction cost</v>
      </c>
      <c r="G579" s="16" t="str">
        <f ca="1">IFERROR(__xludf.DUMMYFUNCTION("""COMPUTED_VALUE"""),"COMIDA   PO2165 - ENSAMBLE UF/CEB MECANICO")</f>
        <v>COMIDA   PO2165 - ENSAMBLE UF/CEB MECANICO</v>
      </c>
      <c r="H579" s="16" t="str">
        <f ca="1">IFERROR(__xludf.DUMMYFUNCTION("""COMPUTED_VALUE"""),".")</f>
        <v>.</v>
      </c>
    </row>
    <row r="580" spans="1:8" ht="12.5">
      <c r="A580" s="24"/>
      <c r="B580" s="17"/>
      <c r="C580" s="24"/>
      <c r="D580" s="16"/>
      <c r="E580" s="16" t="str">
        <f ca="1">IFERROR(__xludf.DUMMYFUNCTION("""COMPUTED_VALUE"""),"TRX1931")</f>
        <v>TRX1931</v>
      </c>
      <c r="F580" s="16" t="str">
        <f ca="1">IFERROR(__xludf.DUMMYFUNCTION("""COMPUTED_VALUE"""),"Transaction cost")</f>
        <v>Transaction cost</v>
      </c>
      <c r="G580" s="16" t="str">
        <f ca="1">IFERROR(__xludf.DUMMYFUNCTION("""COMPUTED_VALUE"""),"INSUMOS PARA PRUEBA DE ADHEDRENCIA  PO2165 - ENSAMBLE UF/CEB MECANICO")</f>
        <v>INSUMOS PARA PRUEBA DE ADHEDRENCIA  PO2165 - ENSAMBLE UF/CEB MECANICO</v>
      </c>
      <c r="H580" s="16" t="str">
        <f ca="1">IFERROR(__xludf.DUMMYFUNCTION("""COMPUTED_VALUE"""),".")</f>
        <v>.</v>
      </c>
    </row>
    <row r="581" spans="1:8" ht="12.5">
      <c r="A581" s="24"/>
      <c r="B581" s="17"/>
      <c r="C581" s="24"/>
      <c r="D581" s="16"/>
      <c r="E581" s="16" t="str">
        <f ca="1">IFERROR(__xludf.DUMMYFUNCTION("""COMPUTED_VALUE"""),"TRX1513")</f>
        <v>TRX1513</v>
      </c>
      <c r="F581" s="16" t="str">
        <f ca="1">IFERROR(__xludf.DUMMYFUNCTION("""COMPUTED_VALUE"""),"Transaction cost")</f>
        <v>Transaction cost</v>
      </c>
      <c r="G581" s="16" t="str">
        <f ca="1">IFERROR(__xludf.DUMMYFUNCTION("""COMPUTED_VALUE"""),"EPP E INSUMOS PARA PRUEBA DE ESPESORES DE PINTURA PO2165 - ENSAMBLE UF/CEB MECANICO")</f>
        <v>EPP E INSUMOS PARA PRUEBA DE ESPESORES DE PINTURA PO2165 - ENSAMBLE UF/CEB MECANICO</v>
      </c>
      <c r="H581" s="16" t="str">
        <f ca="1">IFERROR(__xludf.DUMMYFUNCTION("""COMPUTED_VALUE"""),".")</f>
        <v>.</v>
      </c>
    </row>
    <row r="582" spans="1:8" ht="12.5">
      <c r="A582" s="24"/>
      <c r="B582" s="17"/>
      <c r="C582" s="24"/>
      <c r="D582" s="16"/>
      <c r="E582" s="16" t="str">
        <f ca="1">IFERROR(__xludf.DUMMYFUNCTION("""COMPUTED_VALUE"""),"TRX1826")</f>
        <v>TRX1826</v>
      </c>
      <c r="F582" s="16" t="str">
        <f ca="1">IFERROR(__xludf.DUMMYFUNCTION("""COMPUTED_VALUE"""),"Transaction cost")</f>
        <v>Transaction cost</v>
      </c>
      <c r="G582" s="16" t="str">
        <f ca="1">IFERROR(__xludf.DUMMYFUNCTION("""COMPUTED_VALUE"""),"COMIDA   PO2165 - ENSAMBLE UF/CEB MECANICO")</f>
        <v>COMIDA   PO2165 - ENSAMBLE UF/CEB MECANICO</v>
      </c>
      <c r="H582" s="16" t="str">
        <f ca="1">IFERROR(__xludf.DUMMYFUNCTION("""COMPUTED_VALUE"""),".")</f>
        <v>.</v>
      </c>
    </row>
    <row r="583" spans="1:8" ht="12.5">
      <c r="A583" s="24"/>
      <c r="B583" s="17"/>
      <c r="C583" s="24"/>
      <c r="D583" s="16"/>
      <c r="E583" s="16" t="str">
        <f ca="1">IFERROR(__xludf.DUMMYFUNCTION("""COMPUTED_VALUE"""),"TRX2030")</f>
        <v>TRX2030</v>
      </c>
      <c r="F583" s="16" t="str">
        <f ca="1">IFERROR(__xludf.DUMMYFUNCTION("""COMPUTED_VALUE"""),"Transaction cost")</f>
        <v>Transaction cost</v>
      </c>
      <c r="G583" s="16" t="str">
        <f ca="1">IFERROR(__xludf.DUMMYFUNCTION("""COMPUTED_VALUE"""),"COMIDA - CENA VISITA A CAMI / VISITA DE CALIDAD VEOLIA PO2165 - ENSAMBLE UF/CEB MECANICO")</f>
        <v>COMIDA - CENA VISITA A CAMI / VISITA DE CALIDAD VEOLIA PO2165 - ENSAMBLE UF/CEB MECANICO</v>
      </c>
      <c r="H583" s="16" t="str">
        <f ca="1">IFERROR(__xludf.DUMMYFUNCTION("""COMPUTED_VALUE"""),".")</f>
        <v>.</v>
      </c>
    </row>
    <row r="584" spans="1:8" ht="12.5">
      <c r="A584" s="24"/>
      <c r="B584" s="17"/>
      <c r="C584" s="24"/>
      <c r="D584" s="16"/>
      <c r="E584" s="16" t="str">
        <f ca="1">IFERROR(__xludf.DUMMYFUNCTION("""COMPUTED_VALUE"""),"TRX1117")</f>
        <v>TRX1117</v>
      </c>
      <c r="F584" s="16" t="str">
        <f ca="1">IFERROR(__xludf.DUMMYFUNCTION("""COMPUTED_VALUE"""),"Transaction cost")</f>
        <v>Transaction cost</v>
      </c>
      <c r="G584" s="16" t="str">
        <f ca="1">IFERROR(__xludf.DUMMYFUNCTION("""COMPUTED_VALUE"""),"GASOLINA VISITA A CAMI PO2165 - ENSAMBLE UF/CEB MECANICO")</f>
        <v>GASOLINA VISITA A CAMI PO2165 - ENSAMBLE UF/CEB MECANICO</v>
      </c>
      <c r="H584" s="16" t="str">
        <f ca="1">IFERROR(__xludf.DUMMYFUNCTION("""COMPUTED_VALUE"""),".")</f>
        <v>.</v>
      </c>
    </row>
    <row r="585" spans="1:8" ht="12.5">
      <c r="A585" s="24"/>
      <c r="B585" s="17"/>
      <c r="C585" s="24"/>
      <c r="D585" s="16"/>
      <c r="E585" s="16" t="str">
        <f ca="1">IFERROR(__xludf.DUMMYFUNCTION("""COMPUTED_VALUE"""),"TRX1127")</f>
        <v>TRX1127</v>
      </c>
      <c r="F585" s="16" t="str">
        <f ca="1">IFERROR(__xludf.DUMMYFUNCTION("""COMPUTED_VALUE"""),"Transaction cost")</f>
        <v>Transaction cost</v>
      </c>
      <c r="G585" s="16" t="str">
        <f ca="1">IFERROR(__xludf.DUMMYFUNCTION("""COMPUTED_VALUE"""),"CASETAS VISITA VISITA A ESCATO PO2165 - ENSAMBLE UF/CEB MECANICO")</f>
        <v>CASETAS VISITA VISITA A ESCATO PO2165 - ENSAMBLE UF/CEB MECANICO</v>
      </c>
      <c r="H585" s="16" t="str">
        <f ca="1">IFERROR(__xludf.DUMMYFUNCTION("""COMPUTED_VALUE"""),".")</f>
        <v>.</v>
      </c>
    </row>
    <row r="586" spans="1:8" ht="12.5">
      <c r="A586" s="24"/>
      <c r="B586" s="17"/>
      <c r="C586" s="24"/>
      <c r="D586" s="16"/>
      <c r="E586" s="16" t="str">
        <f ca="1">IFERROR(__xludf.DUMMYFUNCTION("""COMPUTED_VALUE"""),"TRX1085")</f>
        <v>TRX1085</v>
      </c>
      <c r="F586" s="16" t="str">
        <f ca="1">IFERROR(__xludf.DUMMYFUNCTION("""COMPUTED_VALUE"""),"Transaction cost")</f>
        <v>Transaction cost</v>
      </c>
      <c r="G586" s="16" t="str">
        <f ca="1">IFERROR(__xludf.DUMMYFUNCTION("""COMPUTED_VALUE"""),"CENA   PO2165 - ENSAMBLE UF/CEB MECANICO")</f>
        <v>CENA   PO2165 - ENSAMBLE UF/CEB MECANICO</v>
      </c>
      <c r="H586" s="16" t="str">
        <f ca="1">IFERROR(__xludf.DUMMYFUNCTION("""COMPUTED_VALUE"""),".")</f>
        <v>.</v>
      </c>
    </row>
    <row r="587" spans="1:8" ht="12.5">
      <c r="A587" s="24"/>
      <c r="B587" s="17"/>
      <c r="C587" s="24"/>
      <c r="D587" s="16"/>
      <c r="E587" s="16" t="str">
        <f ca="1">IFERROR(__xludf.DUMMYFUNCTION("""COMPUTED_VALUE"""),"TRX1075")</f>
        <v>TRX1075</v>
      </c>
      <c r="F587" s="16" t="str">
        <f ca="1">IFERROR(__xludf.DUMMYFUNCTION("""COMPUTED_VALUE"""),"Transaction cost")</f>
        <v>Transaction cost</v>
      </c>
      <c r="G587" s="16" t="str">
        <f ca="1">IFERROR(__xludf.DUMMYFUNCTION("""COMPUTED_VALUE"""),"CASETAS POR VISITA A CAMI (NO CIRCULA) PO2165 - ENSAMBLE UF/CEB MECANICO")</f>
        <v>CASETAS POR VISITA A CAMI (NO CIRCULA) PO2165 - ENSAMBLE UF/CEB MECANICO</v>
      </c>
      <c r="H587" s="16" t="str">
        <f ca="1">IFERROR(__xludf.DUMMYFUNCTION("""COMPUTED_VALUE"""),".")</f>
        <v>.</v>
      </c>
    </row>
    <row r="588" spans="1:8" ht="12.5">
      <c r="A588" s="24"/>
      <c r="B588" s="17"/>
      <c r="C588" s="24"/>
      <c r="D588" s="16"/>
      <c r="E588" s="16" t="str">
        <f ca="1">IFERROR(__xludf.DUMMYFUNCTION("""COMPUTED_VALUE"""),"TRX1078")</f>
        <v>TRX1078</v>
      </c>
      <c r="F588" s="16" t="str">
        <f ca="1">IFERROR(__xludf.DUMMYFUNCTION("""COMPUTED_VALUE"""),"Transaction cost")</f>
        <v>Transaction cost</v>
      </c>
      <c r="G588" s="16" t="str">
        <f ca="1">IFERROR(__xludf.DUMMYFUNCTION("""COMPUTED_VALUE"""),"CASETAS POR VISITA A CAMI (NO CIRCULA) PO2165 - ENSAMBLE UF/CEB MECANICO")</f>
        <v>CASETAS POR VISITA A CAMI (NO CIRCULA) PO2165 - ENSAMBLE UF/CEB MECANICO</v>
      </c>
      <c r="H588" s="16" t="str">
        <f ca="1">IFERROR(__xludf.DUMMYFUNCTION("""COMPUTED_VALUE"""),".")</f>
        <v>.</v>
      </c>
    </row>
    <row r="589" spans="1:8" ht="12.5">
      <c r="A589" s="24"/>
      <c r="B589" s="17"/>
      <c r="C589" s="24"/>
      <c r="D589" s="16"/>
      <c r="E589" s="16"/>
      <c r="F589" s="16" t="str">
        <f ca="1">IFERROR(__xludf.DUMMYFUNCTION("""COMPUTED_VALUE"""),"G&amp;A expenses")</f>
        <v>G&amp;A expenses</v>
      </c>
      <c r="G589" s="16" t="str">
        <f ca="1">IFERROR(__xludf.DUMMYFUNCTION("""COMPUTED_VALUE"""),"UBER VISITA A PROVEEDOR (NO CIRCULA) PO2165 - ENSAMBLE UF/CEB MECANICO")</f>
        <v>UBER VISITA A PROVEEDOR (NO CIRCULA) PO2165 - ENSAMBLE UF/CEB MECANICO</v>
      </c>
      <c r="H589" s="16" t="str">
        <f ca="1">IFERROR(__xludf.DUMMYFUNCTION("""COMPUTED_VALUE"""),".")</f>
        <v>.</v>
      </c>
    </row>
    <row r="590" spans="1:8" ht="12.5">
      <c r="A590" s="24"/>
      <c r="B590" s="17"/>
      <c r="C590" s="24"/>
      <c r="D590" s="16"/>
      <c r="E590" s="16"/>
      <c r="F590" s="16" t="str">
        <f ca="1">IFERROR(__xludf.DUMMYFUNCTION("""COMPUTED_VALUE"""),"Transaction cost")</f>
        <v>Transaction cost</v>
      </c>
      <c r="G590" s="16" t="str">
        <f ca="1">IFERROR(__xludf.DUMMYFUNCTION("""COMPUTED_VALUE"""),"GASOLINA VISITA A CAMI PO2165 - ENSAMBLE UF/CEB MECANICO")</f>
        <v>GASOLINA VISITA A CAMI PO2165 - ENSAMBLE UF/CEB MECANICO</v>
      </c>
      <c r="H590" s="16" t="str">
        <f ca="1">IFERROR(__xludf.DUMMYFUNCTION("""COMPUTED_VALUE"""),".")</f>
        <v>.</v>
      </c>
    </row>
    <row r="591" spans="1:8" ht="12.5">
      <c r="A591" s="24"/>
      <c r="B591" s="17"/>
      <c r="C591" s="24"/>
      <c r="D591" s="16"/>
      <c r="E591" s="16"/>
      <c r="F591" s="16" t="str">
        <f ca="1">IFERROR(__xludf.DUMMYFUNCTION("""COMPUTED_VALUE"""),"Transaction cost")</f>
        <v>Transaction cost</v>
      </c>
      <c r="G591" s="16" t="str">
        <f ca="1">IFERROR(__xludf.DUMMYFUNCTION("""COMPUTED_VALUE"""),"INSUMOS, AGUAS VISITA A CAMI PO2165 - ENSAMBLE UF/CEB MECANICO")</f>
        <v>INSUMOS, AGUAS VISITA A CAMI PO2165 - ENSAMBLE UF/CEB MECANICO</v>
      </c>
      <c r="H591" s="16" t="str">
        <f ca="1">IFERROR(__xludf.DUMMYFUNCTION("""COMPUTED_VALUE"""),".")</f>
        <v>.</v>
      </c>
    </row>
    <row r="592" spans="1:8" ht="12.5">
      <c r="A592" s="24"/>
      <c r="B592" s="17"/>
      <c r="C592" s="24"/>
      <c r="D592" s="16"/>
      <c r="E592" s="16"/>
      <c r="F592" s="16" t="str">
        <f ca="1">IFERROR(__xludf.DUMMYFUNCTION("""COMPUTED_VALUE"""),"Transaction cost")</f>
        <v>Transaction cost</v>
      </c>
      <c r="G592" s="16" t="str">
        <f ca="1">IFERROR(__xludf.DUMMYFUNCTION("""COMPUTED_VALUE"""),"DESAYUNO - COMIDA  VISITA A CAMI PO2165 - ENSAMBLE UF/CEB MECANICO")</f>
        <v>DESAYUNO - COMIDA  VISITA A CAMI PO2165 - ENSAMBLE UF/CEB MECANICO</v>
      </c>
      <c r="H592" s="16" t="str">
        <f ca="1">IFERROR(__xludf.DUMMYFUNCTION("""COMPUTED_VALUE"""),".")</f>
        <v>.</v>
      </c>
    </row>
    <row r="593" spans="1:8" ht="12.5">
      <c r="A593" s="24"/>
      <c r="B593" s="17"/>
      <c r="C593" s="24"/>
      <c r="D593" s="16"/>
      <c r="E593" s="16"/>
      <c r="F593" s="16" t="str">
        <f ca="1">IFERROR(__xludf.DUMMYFUNCTION("""COMPUTED_VALUE"""),"Tech&amp;Product")</f>
        <v>Tech&amp;Product</v>
      </c>
      <c r="G593" s="16" t="str">
        <f ca="1">IFERROR(__xludf.DUMMYFUNCTION("""COMPUTED_VALUE"""),"INSUMOS PARA VIDRIEROS ESCALERAS VWS (RFQ 2553)")</f>
        <v>INSUMOS PARA VIDRIEROS ESCALERAS VWS (RFQ 2553)</v>
      </c>
      <c r="H593" s="16" t="str">
        <f ca="1">IFERROR(__xludf.DUMMYFUNCTION("""COMPUTED_VALUE"""),".")</f>
        <v>.</v>
      </c>
    </row>
    <row r="594" spans="1:8" ht="12.5">
      <c r="A594" s="24"/>
      <c r="B594" s="17"/>
      <c r="C594" s="24"/>
      <c r="D594" s="16"/>
      <c r="E594" s="16"/>
      <c r="F594" s="16" t="str">
        <f ca="1">IFERROR(__xludf.DUMMYFUNCTION("""COMPUTED_VALUE"""),"Transaction cost")</f>
        <v>Transaction cost</v>
      </c>
      <c r="G594" s="16" t="str">
        <f ca="1">IFERROR(__xludf.DUMMYFUNCTION("""COMPUTED_VALUE"""),"CENA  ESCALERAS VWS (RFQ 2553)")</f>
        <v>CENA  ESCALERAS VWS (RFQ 2553)</v>
      </c>
      <c r="H594" s="16" t="str">
        <f ca="1">IFERROR(__xludf.DUMMYFUNCTION("""COMPUTED_VALUE"""),".")</f>
        <v>.</v>
      </c>
    </row>
    <row r="595" spans="1:8" ht="12.5">
      <c r="A595" s="24"/>
      <c r="B595" s="17"/>
      <c r="C595" s="24"/>
      <c r="D595" s="16"/>
      <c r="E595" s="16"/>
      <c r="F595" s="16" t="str">
        <f ca="1">IFERROR(__xludf.DUMMYFUNCTION("""COMPUTED_VALUE"""),"Transaction cost")</f>
        <v>Transaction cost</v>
      </c>
      <c r="G595" s="16" t="str">
        <f ca="1">IFERROR(__xludf.DUMMYFUNCTION("""COMPUTED_VALUE"""),"ESTACIONAMIENTO  ESCALERAS VWS (RFQ 2553)")</f>
        <v>ESTACIONAMIENTO  ESCALERAS VWS (RFQ 2553)</v>
      </c>
      <c r="H595" s="16" t="str">
        <f ca="1">IFERROR(__xludf.DUMMYFUNCTION("""COMPUTED_VALUE"""),".")</f>
        <v>.</v>
      </c>
    </row>
    <row r="596" spans="1:8" ht="12.5">
      <c r="A596" s="24"/>
      <c r="B596" s="17"/>
      <c r="C596" s="24"/>
      <c r="D596" s="16"/>
      <c r="E596" s="16"/>
      <c r="F596" s="16" t="str">
        <f ca="1">IFERROR(__xludf.DUMMYFUNCTION("""COMPUTED_VALUE"""),"Transaction cost")</f>
        <v>Transaction cost</v>
      </c>
      <c r="G596" s="16" t="str">
        <f ca="1">IFERROR(__xludf.DUMMYFUNCTION("""COMPUTED_VALUE"""),"ENTREGA DE GARANTIAS FDA (RFQ 320)")</f>
        <v>ENTREGA DE GARANTIAS FDA (RFQ 320)</v>
      </c>
      <c r="H596" s="16" t="str">
        <f ca="1">IFERROR(__xludf.DUMMYFUNCTION("""COMPUTED_VALUE"""),".")</f>
        <v>.</v>
      </c>
    </row>
    <row r="597" spans="1:8" ht="12.5">
      <c r="A597" s="24"/>
      <c r="B597" s="17"/>
      <c r="C597" s="24"/>
      <c r="D597" s="16"/>
      <c r="E597" s="16"/>
      <c r="F597" s="16" t="str">
        <f ca="1">IFERROR(__xludf.DUMMYFUNCTION("""COMPUTED_VALUE"""),"Transaction cost")</f>
        <v>Transaction cost</v>
      </c>
      <c r="G597" s="16" t="str">
        <f ca="1">IFERROR(__xludf.DUMMYFUNCTION("""COMPUTED_VALUE"""),"ENTREGA DE GARANTIAS FDA (RFQ 320)")</f>
        <v>ENTREGA DE GARANTIAS FDA (RFQ 320)</v>
      </c>
      <c r="H597" s="16" t="str">
        <f ca="1">IFERROR(__xludf.DUMMYFUNCTION("""COMPUTED_VALUE"""),".")</f>
        <v>.</v>
      </c>
    </row>
    <row r="598" spans="1:8" ht="12.5">
      <c r="A598" s="24"/>
      <c r="B598" s="17"/>
      <c r="C598" s="24"/>
      <c r="D598" s="16"/>
      <c r="E598" s="16"/>
      <c r="F598" s="16" t="str">
        <f ca="1">IFERROR(__xludf.DUMMYFUNCTION("""COMPUTED_VALUE"""),"Transaction cost")</f>
        <v>Transaction cost</v>
      </c>
      <c r="G598" s="16" t="str">
        <f ca="1">IFERROR(__xludf.DUMMYFUNCTION("""COMPUTED_VALUE"""),"INSUMOS PARA VIDRIEROS ESCALERAS VWS (RFQ 2553)")</f>
        <v>INSUMOS PARA VIDRIEROS ESCALERAS VWS (RFQ 2553)</v>
      </c>
      <c r="H598" s="16" t="str">
        <f ca="1">IFERROR(__xludf.DUMMYFUNCTION("""COMPUTED_VALUE"""),".")</f>
        <v>.</v>
      </c>
    </row>
    <row r="599" spans="1:8" ht="12.5">
      <c r="A599" s="24"/>
      <c r="B599" s="17"/>
      <c r="C599" s="24"/>
      <c r="D599" s="16"/>
      <c r="E599" s="16"/>
      <c r="F599" s="16" t="str">
        <f ca="1">IFERROR(__xludf.DUMMYFUNCTION("""COMPUTED_VALUE"""),"Transaction cost")</f>
        <v>Transaction cost</v>
      </c>
      <c r="G599" s="16" t="str">
        <f ca="1">IFERROR(__xludf.DUMMYFUNCTION("""COMPUTED_VALUE"""),"INSUMOS PARA VIDRIEROS ESCALERAS VWS (RFQ 2553)")</f>
        <v>INSUMOS PARA VIDRIEROS ESCALERAS VWS (RFQ 2553)</v>
      </c>
      <c r="H599" s="16" t="str">
        <f ca="1">IFERROR(__xludf.DUMMYFUNCTION("""COMPUTED_VALUE"""),".")</f>
        <v>.</v>
      </c>
    </row>
    <row r="600" spans="1:8" ht="12.5">
      <c r="A600" s="24"/>
      <c r="B600" s="17"/>
      <c r="C600" s="24"/>
      <c r="D600" s="16"/>
      <c r="E600" s="16"/>
      <c r="F600" s="16" t="str">
        <f ca="1">IFERROR(__xludf.DUMMYFUNCTION("""COMPUTED_VALUE"""),"Transaction cost")</f>
        <v>Transaction cost</v>
      </c>
      <c r="G600" s="16" t="str">
        <f ca="1">IFERROR(__xludf.DUMMYFUNCTION("""COMPUTED_VALUE"""),"CASETAS VISITA VISITA A ESCATO - FDA (320) / TECNOGONDOLA - CIRCLE K (4711)")</f>
        <v>CASETAS VISITA VISITA A ESCATO - FDA (320) / TECNOGONDOLA - CIRCLE K (4711)</v>
      </c>
      <c r="H600" s="16" t="str">
        <f ca="1">IFERROR(__xludf.DUMMYFUNCTION("""COMPUTED_VALUE"""),".")</f>
        <v>.</v>
      </c>
    </row>
    <row r="601" spans="1:8" ht="12.5">
      <c r="A601" s="24"/>
      <c r="B601" s="17"/>
      <c r="C601" s="24"/>
      <c r="D601" s="16"/>
      <c r="E601" s="16"/>
      <c r="F601" s="16" t="str">
        <f ca="1">IFERROR(__xludf.DUMMYFUNCTION("""COMPUTED_VALUE"""),"Transaction cost")</f>
        <v>Transaction cost</v>
      </c>
      <c r="G601" s="16" t="str">
        <f ca="1">IFERROR(__xludf.DUMMYFUNCTION("""COMPUTED_VALUE"""),"GASOLINA VISITA VISITA A ESCATO - FDA (320) / TECNOGONDOLA - CIRCLE K (4711)")</f>
        <v>GASOLINA VISITA VISITA A ESCATO - FDA (320) / TECNOGONDOLA - CIRCLE K (4711)</v>
      </c>
      <c r="H601" s="16" t="str">
        <f ca="1">IFERROR(__xludf.DUMMYFUNCTION("""COMPUTED_VALUE"""),".")</f>
        <v>.</v>
      </c>
    </row>
    <row r="602" spans="1:8" ht="12.5">
      <c r="A602" s="24"/>
      <c r="B602" s="17"/>
      <c r="C602" s="24"/>
      <c r="D602" s="16"/>
      <c r="E602" s="16"/>
      <c r="F602" s="16" t="str">
        <f ca="1">IFERROR(__xludf.DUMMYFUNCTION("""COMPUTED_VALUE"""),"Transaction cost")</f>
        <v>Transaction cost</v>
      </c>
      <c r="G602" s="16" t="str">
        <f ca="1">IFERROR(__xludf.DUMMYFUNCTION("""COMPUTED_VALUE"""),"DESAYUNO VISITA A TECNOGONDOLA - CIRCLE K (RFQ 4711)")</f>
        <v>DESAYUNO VISITA A TECNOGONDOLA - CIRCLE K (RFQ 4711)</v>
      </c>
      <c r="H602" s="16" t="str">
        <f ca="1">IFERROR(__xludf.DUMMYFUNCTION("""COMPUTED_VALUE"""),".")</f>
        <v>.</v>
      </c>
    </row>
    <row r="603" spans="1:8" ht="12.5">
      <c r="A603" s="24"/>
      <c r="B603" s="17"/>
      <c r="C603" s="24"/>
      <c r="D603" s="16"/>
      <c r="E603" s="16"/>
      <c r="F603" s="16" t="str">
        <f ca="1">IFERROR(__xludf.DUMMYFUNCTION("""COMPUTED_VALUE"""),"Transaction cost")</f>
        <v>Transaction cost</v>
      </c>
      <c r="G603" s="16" t="str">
        <f ca="1">IFERROR(__xludf.DUMMYFUNCTION("""COMPUTED_VALUE"""),"INSUMOS PARA CARGAS DE - FDA (320)")</f>
        <v>INSUMOS PARA CARGAS DE - FDA (320)</v>
      </c>
      <c r="H603" s="16" t="str">
        <f ca="1">IFERROR(__xludf.DUMMYFUNCTION("""COMPUTED_VALUE"""),".")</f>
        <v>.</v>
      </c>
    </row>
    <row r="604" spans="1:8" ht="12.5">
      <c r="A604" s="24"/>
      <c r="B604" s="17"/>
      <c r="C604" s="24"/>
      <c r="D604" s="16"/>
      <c r="E604" s="16"/>
      <c r="F604" s="16" t="str">
        <f ca="1">IFERROR(__xludf.DUMMYFUNCTION("""COMPUTED_VALUE"""),"Transaction cost")</f>
        <v>Transaction cost</v>
      </c>
      <c r="G604" s="16" t="str">
        <f ca="1">IFERROR(__xludf.DUMMYFUNCTION("""COMPUTED_VALUE"""),"GASOLINA VISITA VISITA A ESCATO - FDA (320)")</f>
        <v>GASOLINA VISITA VISITA A ESCATO - FDA (320)</v>
      </c>
      <c r="H604" s="16" t="str">
        <f ca="1">IFERROR(__xludf.DUMMYFUNCTION("""COMPUTED_VALUE"""),".")</f>
        <v>.</v>
      </c>
    </row>
    <row r="605" spans="1:8" ht="12.5">
      <c r="A605" s="24"/>
      <c r="B605" s="17"/>
      <c r="C605" s="24"/>
      <c r="D605" s="16"/>
      <c r="E605" s="16"/>
      <c r="F605" s="16" t="str">
        <f ca="1">IFERROR(__xludf.DUMMYFUNCTION("""COMPUTED_VALUE"""),"Transaction cost")</f>
        <v>Transaction cost</v>
      </c>
      <c r="G605" s="16" t="str">
        <f ca="1">IFERROR(__xludf.DUMMYFUNCTION("""COMPUTED_VALUE"""),"CASETAS VISITA ESCATO  (RFQ 320)")</f>
        <v>CASETAS VISITA ESCATO  (RFQ 320)</v>
      </c>
      <c r="H605" s="16" t="str">
        <f ca="1">IFERROR(__xludf.DUMMYFUNCTION("""COMPUTED_VALUE"""),".")</f>
        <v>.</v>
      </c>
    </row>
    <row r="606" spans="1:8" ht="12.5">
      <c r="A606" s="24"/>
      <c r="B606" s="17"/>
      <c r="C606" s="24"/>
      <c r="D606" s="16"/>
      <c r="E606" s="16"/>
      <c r="F606" s="16" t="str">
        <f ca="1">IFERROR(__xludf.DUMMYFUNCTION("""COMPUTED_VALUE"""),"Transaction cost")</f>
        <v>Transaction cost</v>
      </c>
      <c r="G606" s="16" t="str">
        <f ca="1">IFERROR(__xludf.DUMMYFUNCTION("""COMPUTED_VALUE"""),"COMIDA VISITA A ESCATO (RFQ 320)")</f>
        <v>COMIDA VISITA A ESCATO (RFQ 320)</v>
      </c>
      <c r="H606" s="16" t="str">
        <f ca="1">IFERROR(__xludf.DUMMYFUNCTION("""COMPUTED_VALUE"""),".")</f>
        <v>.</v>
      </c>
    </row>
    <row r="607" spans="1:8" ht="12.5">
      <c r="A607" s="24"/>
      <c r="B607" s="17"/>
      <c r="C607" s="24"/>
      <c r="D607" s="16"/>
      <c r="E607" s="16"/>
      <c r="F607" s="16" t="str">
        <f ca="1">IFERROR(__xludf.DUMMYFUNCTION("""COMPUTED_VALUE"""),"Transaction cost")</f>
        <v>Transaction cost</v>
      </c>
      <c r="G607" s="16" t="str">
        <f ca="1">IFERROR(__xludf.DUMMYFUNCTION("""COMPUTED_VALUE"""),"COMIDA VISITA A ESCATO (RFQ 320)")</f>
        <v>COMIDA VISITA A ESCATO (RFQ 320)</v>
      </c>
      <c r="H607" s="16" t="str">
        <f ca="1">IFERROR(__xludf.DUMMYFUNCTION("""COMPUTED_VALUE"""),".")</f>
        <v>.</v>
      </c>
    </row>
    <row r="608" spans="1:8" ht="12.5">
      <c r="A608" s="24"/>
      <c r="B608" s="17"/>
      <c r="C608" s="24"/>
      <c r="D608" s="16"/>
      <c r="E608" s="16"/>
      <c r="F608" s="16" t="str">
        <f ca="1">IFERROR(__xludf.DUMMYFUNCTION("""COMPUTED_VALUE"""),"Sales")</f>
        <v>Sales</v>
      </c>
      <c r="G608" s="16"/>
      <c r="H608" s="16" t="str">
        <f ca="1">IFERROR(__xludf.DUMMYFUNCTION("""COMPUTED_VALUE"""),".")</f>
        <v>.</v>
      </c>
    </row>
    <row r="609" spans="1:8" ht="12.5">
      <c r="A609" s="24"/>
      <c r="B609" s="17"/>
      <c r="C609" s="24"/>
      <c r="D609" s="16"/>
      <c r="E609" s="16"/>
      <c r="F609" s="16" t="str">
        <f ca="1">IFERROR(__xludf.DUMMYFUNCTION("""COMPUTED_VALUE"""),"Sales")</f>
        <v>Sales</v>
      </c>
      <c r="G609" s="16"/>
      <c r="H609" s="16" t="str">
        <f ca="1">IFERROR(__xludf.DUMMYFUNCTION("""COMPUTED_VALUE"""),".")</f>
        <v>.</v>
      </c>
    </row>
    <row r="610" spans="1:8" ht="12.5">
      <c r="A610" s="24"/>
      <c r="B610" s="17"/>
      <c r="C610" s="24"/>
      <c r="D610" s="16"/>
      <c r="E610" s="16"/>
      <c r="F610" s="16" t="str">
        <f ca="1">IFERROR(__xludf.DUMMYFUNCTION("""COMPUTED_VALUE"""),"Sales")</f>
        <v>Sales</v>
      </c>
      <c r="G610" s="16"/>
      <c r="H610" s="16" t="str">
        <f ca="1">IFERROR(__xludf.DUMMYFUNCTION("""COMPUTED_VALUE"""),".")</f>
        <v>.</v>
      </c>
    </row>
    <row r="611" spans="1:8" ht="12.5">
      <c r="A611" s="24"/>
      <c r="B611" s="17"/>
      <c r="C611" s="24"/>
      <c r="D611" s="16"/>
      <c r="E611" s="16"/>
      <c r="F611" s="16" t="str">
        <f ca="1">IFERROR(__xludf.DUMMYFUNCTION("""COMPUTED_VALUE"""),"Sales")</f>
        <v>Sales</v>
      </c>
      <c r="G611" s="16"/>
      <c r="H611" s="16" t="str">
        <f ca="1">IFERROR(__xludf.DUMMYFUNCTION("""COMPUTED_VALUE"""),".")</f>
        <v>.</v>
      </c>
    </row>
    <row r="612" spans="1:8" ht="12.5">
      <c r="A612" s="24"/>
      <c r="B612" s="17"/>
      <c r="C612" s="24"/>
      <c r="D612" s="16"/>
      <c r="E612" s="16"/>
      <c r="F612" s="16" t="str">
        <f ca="1">IFERROR(__xludf.DUMMYFUNCTION("""COMPUTED_VALUE"""),"Sales")</f>
        <v>Sales</v>
      </c>
      <c r="G612" s="16"/>
      <c r="H612" s="16" t="str">
        <f ca="1">IFERROR(__xludf.DUMMYFUNCTION("""COMPUTED_VALUE"""),".")</f>
        <v>.</v>
      </c>
    </row>
    <row r="613" spans="1:8" ht="12.5">
      <c r="A613" s="24"/>
      <c r="B613" s="17"/>
      <c r="C613" s="24"/>
      <c r="D613" s="16"/>
      <c r="E613" s="16"/>
      <c r="F613" s="16" t="str">
        <f ca="1">IFERROR(__xludf.DUMMYFUNCTION("""COMPUTED_VALUE"""),"Sales")</f>
        <v>Sales</v>
      </c>
      <c r="G613" s="16"/>
      <c r="H613" s="16" t="str">
        <f ca="1">IFERROR(__xludf.DUMMYFUNCTION("""COMPUTED_VALUE"""),".")</f>
        <v>.</v>
      </c>
    </row>
    <row r="614" spans="1:8" ht="12.5">
      <c r="A614" s="24"/>
      <c r="B614" s="17"/>
      <c r="C614" s="24"/>
      <c r="D614" s="16"/>
      <c r="E614" s="16"/>
      <c r="F614" s="16" t="str">
        <f ca="1">IFERROR(__xludf.DUMMYFUNCTION("""COMPUTED_VALUE"""),"Sales")</f>
        <v>Sales</v>
      </c>
      <c r="G614" s="16"/>
      <c r="H614" s="16" t="str">
        <f ca="1">IFERROR(__xludf.DUMMYFUNCTION("""COMPUTED_VALUE"""),".")</f>
        <v>.</v>
      </c>
    </row>
    <row r="615" spans="1:8" ht="12.5">
      <c r="A615" s="24"/>
      <c r="B615" s="17"/>
      <c r="C615" s="24"/>
      <c r="D615" s="16"/>
      <c r="E615" s="16"/>
      <c r="F615" s="16" t="str">
        <f ca="1">IFERROR(__xludf.DUMMYFUNCTION("""COMPUTED_VALUE"""),"Sales")</f>
        <v>Sales</v>
      </c>
      <c r="G615" s="16"/>
      <c r="H615" s="16" t="str">
        <f ca="1">IFERROR(__xludf.DUMMYFUNCTION("""COMPUTED_VALUE"""),".")</f>
        <v>.</v>
      </c>
    </row>
    <row r="616" spans="1:8" ht="12.5">
      <c r="A616" s="24"/>
      <c r="B616" s="17"/>
      <c r="C616" s="24"/>
      <c r="D616" s="16"/>
      <c r="E616" s="16"/>
      <c r="F616" s="16" t="str">
        <f ca="1">IFERROR(__xludf.DUMMYFUNCTION("""COMPUTED_VALUE"""),"Sales")</f>
        <v>Sales</v>
      </c>
      <c r="G616" s="16"/>
      <c r="H616" s="16" t="str">
        <f ca="1">IFERROR(__xludf.DUMMYFUNCTION("""COMPUTED_VALUE"""),".")</f>
        <v>.</v>
      </c>
    </row>
    <row r="617" spans="1:8" ht="12.5">
      <c r="A617" s="24"/>
      <c r="B617" s="17"/>
      <c r="C617" s="24"/>
      <c r="D617" s="16"/>
      <c r="E617" s="16"/>
      <c r="F617" s="16" t="str">
        <f ca="1">IFERROR(__xludf.DUMMYFUNCTION("""COMPUTED_VALUE"""),"Sales")</f>
        <v>Sales</v>
      </c>
      <c r="G617" s="16"/>
      <c r="H617" s="16" t="str">
        <f ca="1">IFERROR(__xludf.DUMMYFUNCTION("""COMPUTED_VALUE"""),".")</f>
        <v>.</v>
      </c>
    </row>
    <row r="618" spans="1:8" ht="12.5">
      <c r="A618" s="24"/>
      <c r="B618" s="17"/>
      <c r="C618" s="24"/>
      <c r="D618" s="16"/>
      <c r="E618" s="16"/>
      <c r="F618" s="16" t="str">
        <f ca="1">IFERROR(__xludf.DUMMYFUNCTION("""COMPUTED_VALUE"""),"Sales")</f>
        <v>Sales</v>
      </c>
      <c r="G618" s="16"/>
      <c r="H618" s="16" t="str">
        <f ca="1">IFERROR(__xludf.DUMMYFUNCTION("""COMPUTED_VALUE"""),".")</f>
        <v>.</v>
      </c>
    </row>
    <row r="619" spans="1:8" ht="12.5">
      <c r="A619" s="24"/>
      <c r="B619" s="17"/>
      <c r="C619" s="24"/>
      <c r="D619" s="16"/>
      <c r="E619" s="16"/>
      <c r="F619" s="16" t="str">
        <f ca="1">IFERROR(__xludf.DUMMYFUNCTION("""COMPUTED_VALUE"""),"Sales")</f>
        <v>Sales</v>
      </c>
      <c r="G619" s="16"/>
      <c r="H619" s="16" t="str">
        <f ca="1">IFERROR(__xludf.DUMMYFUNCTION("""COMPUTED_VALUE"""),".")</f>
        <v>.</v>
      </c>
    </row>
    <row r="620" spans="1:8" ht="12.5">
      <c r="A620" s="24"/>
      <c r="B620" s="17"/>
      <c r="C620" s="24"/>
      <c r="D620" s="16"/>
      <c r="E620" s="16"/>
      <c r="F620" s="16"/>
      <c r="G620" s="16"/>
      <c r="H620" s="16" t="str">
        <f ca="1">IFERROR(__xludf.DUMMYFUNCTION("""COMPUTED_VALUE"""),".")</f>
        <v>.</v>
      </c>
    </row>
    <row r="621" spans="1:8" ht="12.5">
      <c r="A621" s="24"/>
      <c r="B621" s="17"/>
      <c r="C621" s="24"/>
      <c r="D621" s="16"/>
      <c r="E621" s="16"/>
      <c r="F621" s="16"/>
      <c r="G621" s="16"/>
      <c r="H621" s="16" t="str">
        <f ca="1">IFERROR(__xludf.DUMMYFUNCTION("""COMPUTED_VALUE"""),".")</f>
        <v>.</v>
      </c>
    </row>
    <row r="622" spans="1:8" ht="12.5">
      <c r="A622" s="24"/>
      <c r="B622" s="17"/>
      <c r="C622" s="24"/>
      <c r="D622" s="16"/>
      <c r="E622" s="16"/>
      <c r="F622" s="16"/>
      <c r="G622" s="16"/>
      <c r="H622" s="16" t="str">
        <f ca="1">IFERROR(__xludf.DUMMYFUNCTION("""COMPUTED_VALUE"""),".")</f>
        <v>.</v>
      </c>
    </row>
    <row r="623" spans="1:8" ht="12.5">
      <c r="A623" s="24"/>
      <c r="B623" s="17"/>
      <c r="C623" s="24"/>
      <c r="D623" s="16"/>
      <c r="E623" s="16"/>
      <c r="F623" s="16"/>
      <c r="G623" s="16"/>
      <c r="H623" s="16" t="str">
        <f ca="1">IFERROR(__xludf.DUMMYFUNCTION("""COMPUTED_VALUE"""),".")</f>
        <v>.</v>
      </c>
    </row>
    <row r="624" spans="1:8" ht="12.5">
      <c r="A624" s="24"/>
      <c r="B624" s="17"/>
      <c r="C624" s="24"/>
      <c r="D624" s="16"/>
      <c r="E624" s="16"/>
      <c r="F624" s="16"/>
      <c r="G624" s="16"/>
      <c r="H624" s="16" t="str">
        <f ca="1">IFERROR(__xludf.DUMMYFUNCTION("""COMPUTED_VALUE"""),".")</f>
        <v>.</v>
      </c>
    </row>
    <row r="625" spans="1:8" ht="12.5">
      <c r="A625" s="24"/>
      <c r="B625" s="17"/>
      <c r="C625" s="24"/>
      <c r="D625" s="16"/>
      <c r="E625" s="16"/>
      <c r="F625" s="16"/>
      <c r="G625" s="16"/>
      <c r="H625" s="16" t="str">
        <f ca="1">IFERROR(__xludf.DUMMYFUNCTION("""COMPUTED_VALUE"""),".")</f>
        <v>.</v>
      </c>
    </row>
    <row r="626" spans="1:8" ht="12.5">
      <c r="A626" s="24"/>
      <c r="B626" s="17"/>
      <c r="C626" s="24"/>
      <c r="D626" s="16"/>
      <c r="E626" s="16"/>
      <c r="F626" s="16"/>
      <c r="G626" s="16"/>
      <c r="H626" s="16" t="str">
        <f ca="1">IFERROR(__xludf.DUMMYFUNCTION("""COMPUTED_VALUE"""),".")</f>
        <v>.</v>
      </c>
    </row>
    <row r="627" spans="1:8" ht="12.5">
      <c r="A627" s="24"/>
      <c r="B627" s="17"/>
      <c r="C627" s="24"/>
      <c r="D627" s="16"/>
      <c r="E627" s="16"/>
      <c r="F627" s="16"/>
      <c r="G627" s="16"/>
      <c r="H627" s="16" t="str">
        <f ca="1">IFERROR(__xludf.DUMMYFUNCTION("""COMPUTED_VALUE"""),".")</f>
        <v>.</v>
      </c>
    </row>
    <row r="628" spans="1:8" ht="12.5">
      <c r="A628" s="24"/>
      <c r="B628" s="17"/>
      <c r="C628" s="24"/>
      <c r="D628" s="16"/>
      <c r="E628" s="16"/>
      <c r="F628" s="16"/>
      <c r="G628" s="16"/>
      <c r="H628" s="16" t="str">
        <f ca="1">IFERROR(__xludf.DUMMYFUNCTION("""COMPUTED_VALUE"""),".")</f>
        <v>.</v>
      </c>
    </row>
    <row r="629" spans="1:8" ht="12.5">
      <c r="A629" s="24"/>
      <c r="B629" s="17"/>
      <c r="C629" s="24"/>
      <c r="D629" s="16"/>
      <c r="E629" s="16"/>
      <c r="F629" s="16"/>
      <c r="G629" s="16"/>
      <c r="H629" s="16" t="str">
        <f ca="1">IFERROR(__xludf.DUMMYFUNCTION("""COMPUTED_VALUE"""),".")</f>
        <v>.</v>
      </c>
    </row>
    <row r="630" spans="1:8" ht="12.5">
      <c r="A630" s="24"/>
      <c r="B630" s="17"/>
      <c r="C630" s="24"/>
      <c r="D630" s="16"/>
      <c r="E630" s="16"/>
      <c r="F630" s="16"/>
      <c r="G630" s="16"/>
      <c r="H630" s="16" t="str">
        <f ca="1">IFERROR(__xludf.DUMMYFUNCTION("""COMPUTED_VALUE"""),".")</f>
        <v>.</v>
      </c>
    </row>
    <row r="631" spans="1:8" ht="12.5">
      <c r="A631" s="24"/>
      <c r="B631" s="17"/>
      <c r="C631" s="24"/>
      <c r="D631" s="16"/>
      <c r="E631" s="16"/>
      <c r="F631" s="16"/>
      <c r="G631" s="16"/>
      <c r="H631" s="16" t="str">
        <f ca="1">IFERROR(__xludf.DUMMYFUNCTION("""COMPUTED_VALUE"""),".")</f>
        <v>.</v>
      </c>
    </row>
    <row r="632" spans="1:8" ht="12.5">
      <c r="A632" s="24"/>
      <c r="B632" s="17"/>
      <c r="C632" s="24"/>
      <c r="D632" s="16"/>
      <c r="E632" s="16"/>
      <c r="F632" s="16"/>
      <c r="G632" s="16"/>
      <c r="H632" s="16" t="str">
        <f ca="1">IFERROR(__xludf.DUMMYFUNCTION("""COMPUTED_VALUE"""),".")</f>
        <v>.</v>
      </c>
    </row>
    <row r="633" spans="1:8" ht="12.5">
      <c r="A633" s="24"/>
      <c r="B633" s="17"/>
      <c r="C633" s="24"/>
      <c r="D633" s="16"/>
      <c r="E633" s="16"/>
      <c r="F633" s="16"/>
      <c r="G633" s="16"/>
      <c r="H633" s="16"/>
    </row>
    <row r="634" spans="1:8" ht="12.5">
      <c r="A634" s="24"/>
      <c r="B634" s="17"/>
      <c r="C634" s="24"/>
      <c r="D634" s="16"/>
      <c r="E634" s="16"/>
      <c r="F634" s="16"/>
      <c r="G634" s="16"/>
      <c r="H634" s="16"/>
    </row>
    <row r="635" spans="1:8" ht="12.5">
      <c r="A635" s="24"/>
      <c r="B635" s="17"/>
      <c r="C635" s="24"/>
      <c r="D635" s="16"/>
      <c r="E635" s="16"/>
      <c r="F635" s="16"/>
      <c r="G635" s="16"/>
      <c r="H635" s="16"/>
    </row>
    <row r="636" spans="1:8" ht="12.5">
      <c r="A636" s="24"/>
      <c r="B636" s="17"/>
      <c r="C636" s="24"/>
      <c r="D636" s="16"/>
      <c r="E636" s="16"/>
      <c r="F636" s="16"/>
      <c r="G636" s="16"/>
      <c r="H636" s="16"/>
    </row>
    <row r="637" spans="1:8" ht="12.5">
      <c r="A637" s="24"/>
      <c r="B637" s="17"/>
      <c r="C637" s="24"/>
      <c r="D637" s="16"/>
      <c r="E637" s="16"/>
      <c r="F637" s="16"/>
      <c r="G637" s="16"/>
      <c r="H637" s="16"/>
    </row>
    <row r="638" spans="1:8" ht="12.5">
      <c r="A638" s="24"/>
      <c r="B638" s="17"/>
      <c r="C638" s="24"/>
      <c r="D638" s="16"/>
      <c r="E638" s="16"/>
      <c r="F638" s="16"/>
      <c r="G638" s="16"/>
      <c r="H638" s="16"/>
    </row>
    <row r="639" spans="1:8" ht="12.5">
      <c r="A639" s="24"/>
      <c r="B639" s="17"/>
      <c r="C639" s="24"/>
      <c r="D639" s="16"/>
      <c r="E639" s="16"/>
      <c r="F639" s="16"/>
      <c r="G639" s="16"/>
      <c r="H639" s="16"/>
    </row>
    <row r="640" spans="1:8" ht="12.5">
      <c r="A640" s="24"/>
      <c r="B640" s="17"/>
      <c r="C640" s="24"/>
      <c r="D640" s="16"/>
      <c r="E640" s="16"/>
      <c r="F640" s="16"/>
      <c r="G640" s="16"/>
      <c r="H640" s="16"/>
    </row>
    <row r="641" spans="1:8" ht="12.5">
      <c r="A641" s="24"/>
      <c r="B641" s="17"/>
      <c r="C641" s="24"/>
      <c r="D641" s="16"/>
      <c r="E641" s="16"/>
      <c r="F641" s="16"/>
      <c r="G641" s="16"/>
      <c r="H641" s="16"/>
    </row>
    <row r="642" spans="1:8" ht="12.5">
      <c r="A642" s="24"/>
      <c r="B642" s="17"/>
      <c r="C642" s="24"/>
      <c r="D642" s="16"/>
      <c r="E642" s="16"/>
      <c r="F642" s="16"/>
      <c r="G642" s="16"/>
      <c r="H642" s="16"/>
    </row>
    <row r="643" spans="1:8" ht="12.5">
      <c r="A643" s="24"/>
      <c r="B643" s="17"/>
      <c r="C643" s="24"/>
      <c r="D643" s="16"/>
      <c r="E643" s="16" t="str">
        <f ca="1">IFERROR(__xludf.DUMMYFUNCTION("IMPORTRANGE(""https://docs.google.com/spreadsheets/d/1k00Wlzrx5xV9V9Ju0ODkMBL8gsh2fh1iXH7FMJdS23k/edit#gid=1404531132"",""#9 Jose Maria!A11:A80"")"),"CODI")</f>
        <v>CODI</v>
      </c>
      <c r="F643" s="16" t="str">
        <f ca="1">IFERROR(__xludf.DUMMYFUNCTION("IMPORTRANGE(""https://docs.google.com/spreadsheets/d/1k00Wlzrx5xV9V9Ju0ODkMBL8gsh2fh1iXH7FMJdS23k/edit#gid=1404531132"",""#9 Jose Maria!I11:K80"")"),"Expense Type")</f>
        <v>Expense Type</v>
      </c>
      <c r="G643" s="16" t="str">
        <f ca="1">IFERROR(__xludf.DUMMYFUNCTION("""COMPUTED_VALUE"""),"DESCRIPCION DEL GASTO")</f>
        <v>DESCRIPCION DEL GASTO</v>
      </c>
      <c r="H643" s="16" t="str">
        <f ca="1">IFERROR(__xludf.DUMMYFUNCTION("""COMPUTED_VALUE"""),"FOLIO FACTURA")</f>
        <v>FOLIO FACTURA</v>
      </c>
    </row>
    <row r="644" spans="1:8" ht="12.5">
      <c r="A644" s="24"/>
      <c r="B644" s="17"/>
      <c r="C644" s="24"/>
      <c r="D644" s="16"/>
      <c r="E644" s="16" t="str">
        <f ca="1">IFERROR(__xludf.DUMMYFUNCTION("""COMPUTED_VALUE"""),"TRX1244")</f>
        <v>TRX1244</v>
      </c>
      <c r="F644" s="16" t="str">
        <f ca="1">IFERROR(__xludf.DUMMYFUNCTION("""COMPUTED_VALUE"""),"Sales")</f>
        <v>Sales</v>
      </c>
      <c r="G644" s="16" t="str">
        <f ca="1">IFERROR(__xludf.DUMMYFUNCTION("""COMPUTED_VALUE"""),"Vuelo Mty Grupo GI ")</f>
        <v xml:space="preserve">Vuelo Mty Grupo GI </v>
      </c>
      <c r="H644" s="16" t="str">
        <f ca="1">IFERROR(__xludf.DUMMYFUNCTION("""COMPUTED_VALUE"""),".")</f>
        <v>.</v>
      </c>
    </row>
    <row r="645" spans="1:8" ht="12.5">
      <c r="A645" s="24"/>
      <c r="B645" s="17"/>
      <c r="C645" s="24"/>
      <c r="D645" s="16"/>
      <c r="E645" s="16" t="str">
        <f ca="1">IFERROR(__xludf.DUMMYFUNCTION("""COMPUTED_VALUE"""),"TRX1237")</f>
        <v>TRX1237</v>
      </c>
      <c r="F645" s="16" t="str">
        <f ca="1">IFERROR(__xludf.DUMMYFUNCTION("""COMPUTED_VALUE"""),"Sales")</f>
        <v>Sales</v>
      </c>
      <c r="G645" s="16" t="str">
        <f ca="1">IFERROR(__xludf.DUMMYFUNCTION("""COMPUTED_VALUE"""),"Comida 2KDC")</f>
        <v>Comida 2KDC</v>
      </c>
      <c r="H645" s="16" t="str">
        <f ca="1">IFERROR(__xludf.DUMMYFUNCTION("""COMPUTED_VALUE"""),".")</f>
        <v>.</v>
      </c>
    </row>
    <row r="646" spans="1:8" ht="12.5">
      <c r="A646" s="24"/>
      <c r="B646" s="17"/>
      <c r="C646" s="24"/>
      <c r="D646" s="16"/>
      <c r="E646" s="16" t="str">
        <f ca="1">IFERROR(__xludf.DUMMYFUNCTION("""COMPUTED_VALUE"""),"TRX1346")</f>
        <v>TRX1346</v>
      </c>
      <c r="F646" s="16" t="str">
        <f ca="1">IFERROR(__xludf.DUMMYFUNCTION("""COMPUTED_VALUE"""),"Sales")</f>
        <v>Sales</v>
      </c>
      <c r="G646" s="16" t="str">
        <f ca="1">IFERROR(__xludf.DUMMYFUNCTION("""COMPUTED_VALUE"""),"TAG ")</f>
        <v xml:space="preserve">TAG </v>
      </c>
      <c r="H646" s="16" t="str">
        <f ca="1">IFERROR(__xludf.DUMMYFUNCTION("""COMPUTED_VALUE"""),".")</f>
        <v>.</v>
      </c>
    </row>
    <row r="647" spans="1:8" ht="12.5">
      <c r="A647" s="24"/>
      <c r="B647" s="17"/>
      <c r="C647" s="24"/>
      <c r="D647" s="16"/>
      <c r="E647" s="16" t="str">
        <f ca="1">IFERROR(__xludf.DUMMYFUNCTION("""COMPUTED_VALUE"""),"TRX1435")</f>
        <v>TRX1435</v>
      </c>
      <c r="F647" s="16" t="str">
        <f ca="1">IFERROR(__xludf.DUMMYFUNCTION("""COMPUTED_VALUE"""),"Sales")</f>
        <v>Sales</v>
      </c>
      <c r="G647" s="16" t="str">
        <f ca="1">IFERROR(__xludf.DUMMYFUNCTION("""COMPUTED_VALUE"""),"TAXI MTY")</f>
        <v>TAXI MTY</v>
      </c>
      <c r="H647" s="16" t="str">
        <f ca="1">IFERROR(__xludf.DUMMYFUNCTION("""COMPUTED_VALUE"""),".")</f>
        <v>.</v>
      </c>
    </row>
    <row r="648" spans="1:8" ht="12.5">
      <c r="A648" s="24"/>
      <c r="B648" s="17"/>
      <c r="C648" s="24"/>
      <c r="D648" s="16"/>
      <c r="E648" s="16" t="str">
        <f ca="1">IFERROR(__xludf.DUMMYFUNCTION("""COMPUTED_VALUE"""),"TRX1018")</f>
        <v>TRX1018</v>
      </c>
      <c r="F648" s="16" t="str">
        <f ca="1">IFERROR(__xludf.DUMMYFUNCTION("""COMPUTED_VALUE"""),"Sales")</f>
        <v>Sales</v>
      </c>
      <c r="G648" s="16" t="str">
        <f ca="1">IFERROR(__xludf.DUMMYFUNCTION("""COMPUTED_VALUE"""),"Desayuno con Fabian de grupo GI")</f>
        <v>Desayuno con Fabian de grupo GI</v>
      </c>
      <c r="H648" s="16" t="str">
        <f ca="1">IFERROR(__xludf.DUMMYFUNCTION("""COMPUTED_VALUE"""),".")</f>
        <v>.</v>
      </c>
    </row>
    <row r="649" spans="1:8" ht="12.5">
      <c r="A649" s="24"/>
      <c r="B649" s="17"/>
      <c r="C649" s="24"/>
      <c r="D649" s="16"/>
      <c r="E649" s="16" t="str">
        <f ca="1">IFERROR(__xludf.DUMMYFUNCTION("""COMPUTED_VALUE"""),"TRX1166")</f>
        <v>TRX1166</v>
      </c>
      <c r="F649" s="16" t="str">
        <f ca="1">IFERROR(__xludf.DUMMYFUNCTION("""COMPUTED_VALUE"""),"Sales")</f>
        <v>Sales</v>
      </c>
      <c r="G649" s="16" t="str">
        <f ca="1">IFERROR(__xludf.DUMMYFUNCTION("""COMPUTED_VALUE"""),"Hotel mty ")</f>
        <v xml:space="preserve">Hotel mty </v>
      </c>
      <c r="H649" s="16" t="str">
        <f ca="1">IFERROR(__xludf.DUMMYFUNCTION("""COMPUTED_VALUE"""),".")</f>
        <v>.</v>
      </c>
    </row>
    <row r="650" spans="1:8" ht="12.5">
      <c r="A650" s="24"/>
      <c r="B650" s="17"/>
      <c r="C650" s="24"/>
      <c r="D650" s="16"/>
      <c r="E650" s="16" t="str">
        <f ca="1">IFERROR(__xludf.DUMMYFUNCTION("""COMPUTED_VALUE"""),"TRX1070")</f>
        <v>TRX1070</v>
      </c>
      <c r="F650" s="16" t="str">
        <f ca="1">IFERROR(__xludf.DUMMYFUNCTION("""COMPUTED_VALUE"""),"Sales")</f>
        <v>Sales</v>
      </c>
      <c r="G650" s="16" t="str">
        <f ca="1">IFERROR(__xludf.DUMMYFUNCTION("""COMPUTED_VALUE"""),"Uber")</f>
        <v>Uber</v>
      </c>
      <c r="H650" s="16" t="str">
        <f ca="1">IFERROR(__xludf.DUMMYFUNCTION("""COMPUTED_VALUE"""),".")</f>
        <v>.</v>
      </c>
    </row>
    <row r="651" spans="1:8" ht="12.5">
      <c r="A651" s="24"/>
      <c r="B651" s="17"/>
      <c r="C651" s="24"/>
      <c r="D651" s="16"/>
      <c r="E651" s="16" t="str">
        <f ca="1">IFERROR(__xludf.DUMMYFUNCTION("""COMPUTED_VALUE"""),"TRX1413")</f>
        <v>TRX1413</v>
      </c>
      <c r="F651" s="16" t="str">
        <f ca="1">IFERROR(__xludf.DUMMYFUNCTION("""COMPUTED_VALUE"""),"Sales")</f>
        <v>Sales</v>
      </c>
      <c r="G651" s="16" t="str">
        <f ca="1">IFERROR(__xludf.DUMMYFUNCTION("""COMPUTED_VALUE"""),"Comida Mty viatico")</f>
        <v>Comida Mty viatico</v>
      </c>
      <c r="H651" s="16" t="str">
        <f ca="1">IFERROR(__xludf.DUMMYFUNCTION("""COMPUTED_VALUE"""),".")</f>
        <v>.</v>
      </c>
    </row>
    <row r="652" spans="1:8" ht="12.5">
      <c r="A652" s="24"/>
      <c r="B652" s="17"/>
      <c r="C652" s="24"/>
      <c r="D652" s="16"/>
      <c r="E652" s="16" t="str">
        <f ca="1">IFERROR(__xludf.DUMMYFUNCTION("""COMPUTED_VALUE"""),"TRX1132")</f>
        <v>TRX1132</v>
      </c>
      <c r="F652" s="16" t="str">
        <f ca="1">IFERROR(__xludf.DUMMYFUNCTION("""COMPUTED_VALUE"""),"Sales")</f>
        <v>Sales</v>
      </c>
      <c r="G652" s="16" t="str">
        <f ca="1">IFERROR(__xludf.DUMMYFUNCTION("""COMPUTED_VALUE"""),"uber")</f>
        <v>uber</v>
      </c>
      <c r="H652" s="16" t="str">
        <f ca="1">IFERROR(__xludf.DUMMYFUNCTION("""COMPUTED_VALUE"""),".")</f>
        <v>.</v>
      </c>
    </row>
    <row r="653" spans="1:8" ht="12.5">
      <c r="A653" s="24"/>
      <c r="B653" s="17"/>
      <c r="C653" s="24"/>
      <c r="D653" s="16"/>
      <c r="E653" s="16"/>
      <c r="F653" s="16" t="str">
        <f ca="1">IFERROR(__xludf.DUMMYFUNCTION("""COMPUTED_VALUE"""),"Sales")</f>
        <v>Sales</v>
      </c>
      <c r="G653" s="16" t="str">
        <f ca="1">IFERROR(__xludf.DUMMYFUNCTION("""COMPUTED_VALUE"""),"uber")</f>
        <v>uber</v>
      </c>
      <c r="H653" s="16" t="str">
        <f ca="1">IFERROR(__xludf.DUMMYFUNCTION("""COMPUTED_VALUE"""),".")</f>
        <v>.</v>
      </c>
    </row>
    <row r="654" spans="1:8" ht="12.5">
      <c r="A654" s="24"/>
      <c r="B654" s="17"/>
      <c r="C654" s="24"/>
      <c r="D654" s="16"/>
      <c r="E654" s="16"/>
      <c r="F654" s="16" t="str">
        <f ca="1">IFERROR(__xludf.DUMMYFUNCTION("""COMPUTED_VALUE"""),"Sales")</f>
        <v>Sales</v>
      </c>
      <c r="G654" s="16" t="str">
        <f ca="1">IFERROR(__xludf.DUMMYFUNCTION("""COMPUTED_VALUE"""),"Comida Mty Viatico")</f>
        <v>Comida Mty Viatico</v>
      </c>
      <c r="H654" s="16" t="str">
        <f ca="1">IFERROR(__xludf.DUMMYFUNCTION("""COMPUTED_VALUE"""),".")</f>
        <v>.</v>
      </c>
    </row>
    <row r="655" spans="1:8" ht="12.5">
      <c r="A655" s="24"/>
      <c r="B655" s="17"/>
      <c r="C655" s="24"/>
      <c r="D655" s="16"/>
      <c r="E655" s="16"/>
      <c r="F655" s="16" t="str">
        <f ca="1">IFERROR(__xludf.DUMMYFUNCTION("""COMPUTED_VALUE"""),"Sales")</f>
        <v>Sales</v>
      </c>
      <c r="G655" s="16" t="str">
        <f ca="1">IFERROR(__xludf.DUMMYFUNCTION("""COMPUTED_VALUE"""),"Estacionamiento Aeropuerto ")</f>
        <v xml:space="preserve">Estacionamiento Aeropuerto </v>
      </c>
      <c r="H655" s="16" t="str">
        <f ca="1">IFERROR(__xludf.DUMMYFUNCTION("""COMPUTED_VALUE"""),".")</f>
        <v>.</v>
      </c>
    </row>
    <row r="656" spans="1:8" ht="12.5">
      <c r="A656" s="24"/>
      <c r="B656" s="17"/>
      <c r="C656" s="24"/>
      <c r="D656" s="16"/>
      <c r="E656" s="16"/>
      <c r="F656" s="16" t="str">
        <f ca="1">IFERROR(__xludf.DUMMYFUNCTION("""COMPUTED_VALUE"""),"Sales")</f>
        <v>Sales</v>
      </c>
      <c r="G656" s="16" t="str">
        <f ca="1">IFERROR(__xludf.DUMMYFUNCTION("""COMPUTED_VALUE"""),"TAG ")</f>
        <v xml:space="preserve">TAG </v>
      </c>
      <c r="H656" s="16" t="str">
        <f ca="1">IFERROR(__xludf.DUMMYFUNCTION("""COMPUTED_VALUE"""),".")</f>
        <v>.</v>
      </c>
    </row>
    <row r="657" spans="1:8" ht="12.5">
      <c r="A657" s="24"/>
      <c r="B657" s="17"/>
      <c r="C657" s="24"/>
      <c r="D657" s="16"/>
      <c r="E657" s="16"/>
      <c r="F657" s="16" t="str">
        <f ca="1">IFERROR(__xludf.DUMMYFUNCTION("""COMPUTED_VALUE"""),"Sales")</f>
        <v>Sales</v>
      </c>
      <c r="G657" s="16" t="str">
        <f ca="1">IFERROR(__xludf.DUMMYFUNCTION("""COMPUTED_VALUE"""),"Comida Andres Monroy de la Moderna ")</f>
        <v xml:space="preserve">Comida Andres Monroy de la Moderna </v>
      </c>
      <c r="H657" s="16" t="str">
        <f ca="1">IFERROR(__xludf.DUMMYFUNCTION("""COMPUTED_VALUE"""),".")</f>
        <v>.</v>
      </c>
    </row>
    <row r="658" spans="1:8" ht="12.5">
      <c r="A658" s="24"/>
      <c r="B658" s="17"/>
      <c r="C658" s="24"/>
      <c r="D658" s="16"/>
      <c r="E658" s="16"/>
      <c r="F658" s="16" t="str">
        <f ca="1">IFERROR(__xludf.DUMMYFUNCTION("""COMPUTED_VALUE"""),"Sales")</f>
        <v>Sales</v>
      </c>
      <c r="G658" s="16" t="str">
        <f ca="1">IFERROR(__xludf.DUMMYFUNCTION("""COMPUTED_VALUE"""),"Gasolina ")</f>
        <v xml:space="preserve">Gasolina </v>
      </c>
      <c r="H658" s="16" t="str">
        <f ca="1">IFERROR(__xludf.DUMMYFUNCTION("""COMPUTED_VALUE"""),".")</f>
        <v>.</v>
      </c>
    </row>
    <row r="659" spans="1:8" ht="12.5">
      <c r="A659" s="24"/>
      <c r="B659" s="17"/>
      <c r="C659" s="24"/>
      <c r="D659" s="16"/>
      <c r="E659" s="16"/>
      <c r="F659" s="16" t="str">
        <f ca="1">IFERROR(__xludf.DUMMYFUNCTION("""COMPUTED_VALUE"""),"Sales")</f>
        <v>Sales</v>
      </c>
      <c r="G659" s="16" t="str">
        <f ca="1">IFERROR(__xludf.DUMMYFUNCTION("""COMPUTED_VALUE"""),"Vuelo Mty HyA")</f>
        <v>Vuelo Mty HyA</v>
      </c>
      <c r="H659" s="16" t="str">
        <f ca="1">IFERROR(__xludf.DUMMYFUNCTION("""COMPUTED_VALUE"""),".")</f>
        <v>.</v>
      </c>
    </row>
    <row r="660" spans="1:8" ht="12.5">
      <c r="A660" s="24"/>
      <c r="B660" s="17"/>
      <c r="C660" s="24"/>
      <c r="D660" s="16"/>
      <c r="E660" s="16"/>
      <c r="F660" s="16" t="str">
        <f ca="1">IFERROR(__xludf.DUMMYFUNCTION("""COMPUTED_VALUE"""),"Sales")</f>
        <v>Sales</v>
      </c>
      <c r="G660" s="16" t="str">
        <f ca="1">IFERROR(__xludf.DUMMYFUNCTION("""COMPUTED_VALUE"""),"Uber")</f>
        <v>Uber</v>
      </c>
      <c r="H660" s="16" t="str">
        <f ca="1">IFERROR(__xludf.DUMMYFUNCTION("""COMPUTED_VALUE"""),".")</f>
        <v>.</v>
      </c>
    </row>
    <row r="661" spans="1:8" ht="12.5">
      <c r="A661" s="24"/>
      <c r="B661" s="17"/>
      <c r="C661" s="24"/>
      <c r="D661" s="16"/>
      <c r="E661" s="16"/>
      <c r="F661" s="16" t="str">
        <f ca="1">IFERROR(__xludf.DUMMYFUNCTION("""COMPUTED_VALUE"""),"Sales")</f>
        <v>Sales</v>
      </c>
      <c r="G661" s="16" t="str">
        <f ca="1">IFERROR(__xludf.DUMMYFUNCTION("""COMPUTED_VALUE"""),"TAXI MTY")</f>
        <v>TAXI MTY</v>
      </c>
      <c r="H661" s="16" t="str">
        <f ca="1">IFERROR(__xludf.DUMMYFUNCTION("""COMPUTED_VALUE"""),".")</f>
        <v>.</v>
      </c>
    </row>
    <row r="662" spans="1:8" ht="12.5">
      <c r="A662" s="24"/>
      <c r="B662" s="17"/>
      <c r="C662" s="24"/>
      <c r="D662" s="16"/>
      <c r="E662" s="16"/>
      <c r="F662" s="16" t="str">
        <f ca="1">IFERROR(__xludf.DUMMYFUNCTION("""COMPUTED_VALUE"""),"Sales")</f>
        <v>Sales</v>
      </c>
      <c r="G662" s="16" t="str">
        <f ca="1">IFERROR(__xludf.DUMMYFUNCTION("""COMPUTED_VALUE"""),"Caseta")</f>
        <v>Caseta</v>
      </c>
      <c r="H662" s="16" t="str">
        <f ca="1">IFERROR(__xludf.DUMMYFUNCTION("""COMPUTED_VALUE"""),".")</f>
        <v>.</v>
      </c>
    </row>
    <row r="663" spans="1:8" ht="12.5">
      <c r="A663" s="24"/>
      <c r="B663" s="17"/>
      <c r="C663" s="24"/>
      <c r="D663" s="16"/>
      <c r="E663" s="16"/>
      <c r="F663" s="16" t="str">
        <f ca="1">IFERROR(__xludf.DUMMYFUNCTION("""COMPUTED_VALUE"""),"Sales")</f>
        <v>Sales</v>
      </c>
      <c r="G663" s="16" t="str">
        <f ca="1">IFERROR(__xludf.DUMMYFUNCTION("""COMPUTED_VALUE"""),"Hotel Mty ")</f>
        <v xml:space="preserve">Hotel Mty </v>
      </c>
      <c r="H663" s="16" t="str">
        <f ca="1">IFERROR(__xludf.DUMMYFUNCTION("""COMPUTED_VALUE"""),".")</f>
        <v>.</v>
      </c>
    </row>
    <row r="664" spans="1:8" ht="12.5">
      <c r="A664" s="24"/>
      <c r="B664" s="17"/>
      <c r="C664" s="24"/>
      <c r="D664" s="16"/>
      <c r="E664" s="16"/>
      <c r="F664" s="16" t="str">
        <f ca="1">IFERROR(__xludf.DUMMYFUNCTION("""COMPUTED_VALUE"""),"Sales")</f>
        <v>Sales</v>
      </c>
      <c r="G664" s="16" t="str">
        <f ca="1">IFERROR(__xludf.DUMMYFUNCTION("""COMPUTED_VALUE"""),"Desayuno ")</f>
        <v xml:space="preserve">Desayuno </v>
      </c>
      <c r="H664" s="16" t="str">
        <f ca="1">IFERROR(__xludf.DUMMYFUNCTION("""COMPUTED_VALUE"""),".")</f>
        <v>.</v>
      </c>
    </row>
    <row r="665" spans="1:8" ht="12.5">
      <c r="A665" s="24"/>
      <c r="B665" s="17"/>
      <c r="C665" s="24"/>
      <c r="D665" s="16"/>
      <c r="E665" s="16"/>
      <c r="F665" s="16" t="str">
        <f ca="1">IFERROR(__xludf.DUMMYFUNCTION("""COMPUTED_VALUE"""),"Sales")</f>
        <v>Sales</v>
      </c>
      <c r="G665" s="16" t="str">
        <f ca="1">IFERROR(__xludf.DUMMYFUNCTION("""COMPUTED_VALUE"""),"TAXI MTY")</f>
        <v>TAXI MTY</v>
      </c>
      <c r="H665" s="16" t="str">
        <f ca="1">IFERROR(__xludf.DUMMYFUNCTION("""COMPUTED_VALUE"""),".")</f>
        <v>.</v>
      </c>
    </row>
    <row r="666" spans="1:8" ht="12.5">
      <c r="A666" s="24"/>
      <c r="B666" s="17"/>
      <c r="C666" s="24"/>
      <c r="D666" s="16"/>
      <c r="E666" s="16"/>
      <c r="F666" s="16" t="str">
        <f ca="1">IFERROR(__xludf.DUMMYFUNCTION("""COMPUTED_VALUE"""),"Sales")</f>
        <v>Sales</v>
      </c>
      <c r="G666" s="16" t="str">
        <f ca="1">IFERROR(__xludf.DUMMYFUNCTION("""COMPUTED_VALUE"""),"uber")</f>
        <v>uber</v>
      </c>
      <c r="H666" s="16" t="str">
        <f ca="1">IFERROR(__xludf.DUMMYFUNCTION("""COMPUTED_VALUE"""),".")</f>
        <v>.</v>
      </c>
    </row>
    <row r="667" spans="1:8" ht="12.5">
      <c r="A667" s="24"/>
      <c r="B667" s="17"/>
      <c r="C667" s="24"/>
      <c r="D667" s="16"/>
      <c r="E667" s="16"/>
      <c r="F667" s="16" t="str">
        <f ca="1">IFERROR(__xludf.DUMMYFUNCTION("""COMPUTED_VALUE"""),"Sales")</f>
        <v>Sales</v>
      </c>
      <c r="G667" s="16" t="str">
        <f ca="1">IFERROR(__xludf.DUMMYFUNCTION("""COMPUTED_VALUE"""),"Vuelo HMO Contruplan ")</f>
        <v xml:space="preserve">Vuelo HMO Contruplan </v>
      </c>
      <c r="H667" s="16" t="str">
        <f ca="1">IFERROR(__xludf.DUMMYFUNCTION("""COMPUTED_VALUE"""),".")</f>
        <v>.</v>
      </c>
    </row>
    <row r="668" spans="1:8" ht="12.5">
      <c r="A668" s="24"/>
      <c r="B668" s="17"/>
      <c r="C668" s="24"/>
      <c r="D668" s="16"/>
      <c r="E668" s="16"/>
      <c r="F668" s="16" t="str">
        <f ca="1">IFERROR(__xludf.DUMMYFUNCTION("""COMPUTED_VALUE"""),"Sales")</f>
        <v>Sales</v>
      </c>
      <c r="G668" s="16" t="str">
        <f ca="1">IFERROR(__xludf.DUMMYFUNCTION("""COMPUTED_VALUE"""),"Tag ")</f>
        <v xml:space="preserve">Tag </v>
      </c>
      <c r="H668" s="16" t="str">
        <f ca="1">IFERROR(__xludf.DUMMYFUNCTION("""COMPUTED_VALUE"""),".")</f>
        <v>.</v>
      </c>
    </row>
    <row r="669" spans="1:8" ht="12.5">
      <c r="A669" s="24"/>
      <c r="B669" s="17"/>
      <c r="C669" s="24"/>
      <c r="D669" s="16"/>
      <c r="E669" s="16"/>
      <c r="F669" s="16" t="str">
        <f ca="1">IFERROR(__xludf.DUMMYFUNCTION("""COMPUTED_VALUE"""),"Sales")</f>
        <v>Sales</v>
      </c>
      <c r="G669" s="16" t="str">
        <f ca="1">IFERROR(__xludf.DUMMYFUNCTION("""COMPUTED_VALUE"""),"Gasolina ")</f>
        <v xml:space="preserve">Gasolina </v>
      </c>
      <c r="H669" s="16" t="str">
        <f ca="1">IFERROR(__xludf.DUMMYFUNCTION("""COMPUTED_VALUE"""),".")</f>
        <v>.</v>
      </c>
    </row>
    <row r="670" spans="1:8" ht="12.5">
      <c r="A670" s="24"/>
      <c r="B670" s="17"/>
      <c r="C670" s="24"/>
      <c r="D670" s="16"/>
      <c r="E670" s="16"/>
      <c r="F670" s="16" t="str">
        <f ca="1">IFERROR(__xludf.DUMMYFUNCTION("""COMPUTED_VALUE"""),"Sales")</f>
        <v>Sales</v>
      </c>
      <c r="G670" s="16" t="str">
        <f ca="1">IFERROR(__xludf.DUMMYFUNCTION("""COMPUTED_VALUE"""),"Desayuno Turia")</f>
        <v>Desayuno Turia</v>
      </c>
      <c r="H670" s="16" t="str">
        <f ca="1">IFERROR(__xludf.DUMMYFUNCTION("""COMPUTED_VALUE"""),".")</f>
        <v>.</v>
      </c>
    </row>
    <row r="671" spans="1:8" ht="12.5">
      <c r="A671" s="24"/>
      <c r="B671" s="17"/>
      <c r="C671" s="24"/>
      <c r="D671" s="16"/>
      <c r="E671" s="16"/>
      <c r="F671" s="16" t="str">
        <f ca="1">IFERROR(__xludf.DUMMYFUNCTION("""COMPUTED_VALUE"""),"Sales")</f>
        <v>Sales</v>
      </c>
      <c r="G671" s="16" t="str">
        <f ca="1">IFERROR(__xludf.DUMMYFUNCTION("""COMPUTED_VALUE"""),"Uber")</f>
        <v>Uber</v>
      </c>
      <c r="H671" s="16" t="str">
        <f ca="1">IFERROR(__xludf.DUMMYFUNCTION("""COMPUTED_VALUE"""),".")</f>
        <v>.</v>
      </c>
    </row>
    <row r="672" spans="1:8" ht="12.5">
      <c r="A672" s="24"/>
      <c r="B672" s="17"/>
      <c r="C672" s="24"/>
      <c r="D672" s="16"/>
      <c r="E672" s="16"/>
      <c r="F672" s="16" t="str">
        <f ca="1">IFERROR(__xludf.DUMMYFUNCTION("""COMPUTED_VALUE"""),"Sales")</f>
        <v>Sales</v>
      </c>
      <c r="G672" s="16" t="str">
        <f ca="1">IFERROR(__xludf.DUMMYFUNCTION("""COMPUTED_VALUE"""),"Hotel HMO")</f>
        <v>Hotel HMO</v>
      </c>
      <c r="H672" s="16" t="str">
        <f ca="1">IFERROR(__xludf.DUMMYFUNCTION("""COMPUTED_VALUE"""),".")</f>
        <v>.</v>
      </c>
    </row>
    <row r="673" spans="1:8" ht="12.5">
      <c r="A673" s="24"/>
      <c r="B673" s="17"/>
      <c r="C673" s="24"/>
      <c r="D673" s="16"/>
      <c r="E673" s="16"/>
      <c r="F673" s="16" t="str">
        <f ca="1">IFERROR(__xludf.DUMMYFUNCTION("""COMPUTED_VALUE"""),"Sales")</f>
        <v>Sales</v>
      </c>
      <c r="G673" s="16" t="str">
        <f ca="1">IFERROR(__xludf.DUMMYFUNCTION("""COMPUTED_VALUE"""),"Cena Hotel HMO")</f>
        <v>Cena Hotel HMO</v>
      </c>
      <c r="H673" s="16" t="str">
        <f ca="1">IFERROR(__xludf.DUMMYFUNCTION("""COMPUTED_VALUE"""),".")</f>
        <v>.</v>
      </c>
    </row>
    <row r="674" spans="1:8" ht="12.5">
      <c r="A674" s="24"/>
      <c r="B674" s="17"/>
      <c r="C674" s="24"/>
      <c r="D674" s="16"/>
      <c r="E674" s="16"/>
      <c r="F674" s="16" t="str">
        <f ca="1">IFERROR(__xludf.DUMMYFUNCTION("""COMPUTED_VALUE"""),"Sales")</f>
        <v>Sales</v>
      </c>
      <c r="G674" s="16" t="str">
        <f ca="1">IFERROR(__xludf.DUMMYFUNCTION("""COMPUTED_VALUE"""),"Uber ")</f>
        <v xml:space="preserve">Uber </v>
      </c>
      <c r="H674" s="16" t="str">
        <f ca="1">IFERROR(__xludf.DUMMYFUNCTION("""COMPUTED_VALUE"""),".")</f>
        <v>.</v>
      </c>
    </row>
    <row r="675" spans="1:8" ht="12.5">
      <c r="A675" s="24"/>
      <c r="B675" s="17"/>
      <c r="C675" s="24"/>
      <c r="D675" s="16"/>
      <c r="E675" s="16"/>
      <c r="F675" s="16" t="str">
        <f ca="1">IFERROR(__xludf.DUMMYFUNCTION("""COMPUTED_VALUE"""),"Sales")</f>
        <v>Sales</v>
      </c>
      <c r="G675" s="16" t="str">
        <f ca="1">IFERROR(__xludf.DUMMYFUNCTION("""COMPUTED_VALUE"""),"Uber")</f>
        <v>Uber</v>
      </c>
      <c r="H675" s="16" t="str">
        <f ca="1">IFERROR(__xludf.DUMMYFUNCTION("""COMPUTED_VALUE"""),".")</f>
        <v>.</v>
      </c>
    </row>
    <row r="676" spans="1:8" ht="12.5">
      <c r="A676" s="24"/>
      <c r="B676" s="17"/>
      <c r="C676" s="24"/>
      <c r="D676" s="16"/>
      <c r="E676" s="16"/>
      <c r="F676" s="16" t="str">
        <f ca="1">IFERROR(__xludf.DUMMYFUNCTION("""COMPUTED_VALUE"""),"Sales")</f>
        <v>Sales</v>
      </c>
      <c r="G676" s="16" t="str">
        <f ca="1">IFERROR(__xludf.DUMMYFUNCTION("""COMPUTED_VALUE"""),"Desayuno HMO")</f>
        <v>Desayuno HMO</v>
      </c>
      <c r="H676" s="16" t="str">
        <f ca="1">IFERROR(__xludf.DUMMYFUNCTION("""COMPUTED_VALUE"""),".")</f>
        <v>.</v>
      </c>
    </row>
    <row r="677" spans="1:8" ht="12.5">
      <c r="A677" s="24"/>
      <c r="B677" s="17"/>
      <c r="C677" s="24"/>
      <c r="D677" s="16"/>
      <c r="E677" s="16"/>
      <c r="F677" s="16" t="str">
        <f ca="1">IFERROR(__xludf.DUMMYFUNCTION("""COMPUTED_VALUE"""),"Sales")</f>
        <v>Sales</v>
      </c>
      <c r="G677" s="16" t="str">
        <f ca="1">IFERROR(__xludf.DUMMYFUNCTION("""COMPUTED_VALUE"""),"Uber ")</f>
        <v xml:space="preserve">Uber </v>
      </c>
      <c r="H677" s="16" t="str">
        <f ca="1">IFERROR(__xludf.DUMMYFUNCTION("""COMPUTED_VALUE"""),".")</f>
        <v>.</v>
      </c>
    </row>
    <row r="678" spans="1:8" ht="12.5">
      <c r="A678" s="24"/>
      <c r="B678" s="17"/>
      <c r="C678" s="24"/>
      <c r="D678" s="16"/>
      <c r="E678" s="16"/>
      <c r="F678" s="16" t="str">
        <f ca="1">IFERROR(__xludf.DUMMYFUNCTION("""COMPUTED_VALUE"""),"Sales")</f>
        <v>Sales</v>
      </c>
      <c r="G678" s="16"/>
      <c r="H678" s="16" t="str">
        <f ca="1">IFERROR(__xludf.DUMMYFUNCTION("""COMPUTED_VALUE"""),".")</f>
        <v>.</v>
      </c>
    </row>
    <row r="679" spans="1:8" ht="12.5">
      <c r="A679" s="24"/>
      <c r="B679" s="17"/>
      <c r="C679" s="24"/>
      <c r="D679" s="16"/>
      <c r="E679" s="16"/>
      <c r="F679" s="16" t="str">
        <f ca="1">IFERROR(__xludf.DUMMYFUNCTION("""COMPUTED_VALUE"""),"Sales")</f>
        <v>Sales</v>
      </c>
      <c r="G679" s="16"/>
      <c r="H679" s="16" t="str">
        <f ca="1">IFERROR(__xludf.DUMMYFUNCTION("""COMPUTED_VALUE"""),".")</f>
        <v>.</v>
      </c>
    </row>
    <row r="680" spans="1:8" ht="12.5">
      <c r="A680" s="24"/>
      <c r="B680" s="17"/>
      <c r="C680" s="24"/>
      <c r="D680" s="16"/>
      <c r="E680" s="16"/>
      <c r="F680" s="16" t="str">
        <f ca="1">IFERROR(__xludf.DUMMYFUNCTION("""COMPUTED_VALUE"""),"Sales")</f>
        <v>Sales</v>
      </c>
      <c r="G680" s="16"/>
      <c r="H680" s="16" t="str">
        <f ca="1">IFERROR(__xludf.DUMMYFUNCTION("""COMPUTED_VALUE"""),".")</f>
        <v>.</v>
      </c>
    </row>
    <row r="681" spans="1:8" ht="12.5">
      <c r="A681" s="24"/>
      <c r="B681" s="17"/>
      <c r="C681" s="24"/>
      <c r="D681" s="16"/>
      <c r="E681" s="16"/>
      <c r="F681" s="16" t="str">
        <f ca="1">IFERROR(__xludf.DUMMYFUNCTION("""COMPUTED_VALUE"""),"Sales")</f>
        <v>Sales</v>
      </c>
      <c r="G681" s="16"/>
      <c r="H681" s="16" t="str">
        <f ca="1">IFERROR(__xludf.DUMMYFUNCTION("""COMPUTED_VALUE"""),".")</f>
        <v>.</v>
      </c>
    </row>
    <row r="682" spans="1:8" ht="12.5">
      <c r="A682" s="24"/>
      <c r="B682" s="17"/>
      <c r="C682" s="24"/>
      <c r="D682" s="16"/>
      <c r="E682" s="16"/>
      <c r="F682" s="16" t="str">
        <f ca="1">IFERROR(__xludf.DUMMYFUNCTION("""COMPUTED_VALUE"""),"Sales")</f>
        <v>Sales</v>
      </c>
      <c r="G682" s="16"/>
      <c r="H682" s="16" t="str">
        <f ca="1">IFERROR(__xludf.DUMMYFUNCTION("""COMPUTED_VALUE"""),".")</f>
        <v>.</v>
      </c>
    </row>
    <row r="683" spans="1:8" ht="12.5">
      <c r="A683" s="24"/>
      <c r="B683" s="17"/>
      <c r="C683" s="24"/>
      <c r="D683" s="16"/>
      <c r="E683" s="16"/>
      <c r="F683" s="16" t="str">
        <f ca="1">IFERROR(__xludf.DUMMYFUNCTION("""COMPUTED_VALUE"""),"Sales")</f>
        <v>Sales</v>
      </c>
      <c r="G683" s="16"/>
      <c r="H683" s="16" t="str">
        <f ca="1">IFERROR(__xludf.DUMMYFUNCTION("""COMPUTED_VALUE"""),".")</f>
        <v>.</v>
      </c>
    </row>
    <row r="684" spans="1:8" ht="12.5">
      <c r="A684" s="24"/>
      <c r="B684" s="17"/>
      <c r="C684" s="24"/>
      <c r="D684" s="16"/>
      <c r="E684" s="16"/>
      <c r="F684" s="16" t="str">
        <f ca="1">IFERROR(__xludf.DUMMYFUNCTION("""COMPUTED_VALUE"""),"Sales")</f>
        <v>Sales</v>
      </c>
      <c r="G684" s="16"/>
      <c r="H684" s="16" t="str">
        <f ca="1">IFERROR(__xludf.DUMMYFUNCTION("""COMPUTED_VALUE"""),".")</f>
        <v>.</v>
      </c>
    </row>
    <row r="685" spans="1:8" ht="12.5">
      <c r="A685" s="24"/>
      <c r="B685" s="17"/>
      <c r="C685" s="24"/>
      <c r="D685" s="16"/>
      <c r="E685" s="16"/>
      <c r="F685" s="16" t="str">
        <f ca="1">IFERROR(__xludf.DUMMYFUNCTION("""COMPUTED_VALUE"""),"Sales")</f>
        <v>Sales</v>
      </c>
      <c r="G685" s="16"/>
      <c r="H685" s="16" t="str">
        <f ca="1">IFERROR(__xludf.DUMMYFUNCTION("""COMPUTED_VALUE"""),".")</f>
        <v>.</v>
      </c>
    </row>
    <row r="686" spans="1:8" ht="12.5">
      <c r="A686" s="24"/>
      <c r="B686" s="17"/>
      <c r="C686" s="24"/>
      <c r="D686" s="16"/>
      <c r="E686" s="16"/>
      <c r="F686" s="16" t="str">
        <f ca="1">IFERROR(__xludf.DUMMYFUNCTION("""COMPUTED_VALUE"""),"Sales")</f>
        <v>Sales</v>
      </c>
      <c r="G686" s="16"/>
      <c r="H686" s="16" t="str">
        <f ca="1">IFERROR(__xludf.DUMMYFUNCTION("""COMPUTED_VALUE"""),".")</f>
        <v>.</v>
      </c>
    </row>
    <row r="687" spans="1:8" ht="12.5">
      <c r="A687" s="24"/>
      <c r="B687" s="17"/>
      <c r="C687" s="24"/>
      <c r="D687" s="16"/>
      <c r="E687" s="16"/>
      <c r="F687" s="16" t="str">
        <f ca="1">IFERROR(__xludf.DUMMYFUNCTION("""COMPUTED_VALUE"""),"Sales")</f>
        <v>Sales</v>
      </c>
      <c r="G687" s="16"/>
      <c r="H687" s="16" t="str">
        <f ca="1">IFERROR(__xludf.DUMMYFUNCTION("""COMPUTED_VALUE"""),".")</f>
        <v>.</v>
      </c>
    </row>
    <row r="688" spans="1:8" ht="12.5">
      <c r="A688" s="24"/>
      <c r="B688" s="17"/>
      <c r="C688" s="24"/>
      <c r="D688" s="16"/>
      <c r="E688" s="16"/>
      <c r="F688" s="16" t="str">
        <f ca="1">IFERROR(__xludf.DUMMYFUNCTION("""COMPUTED_VALUE"""),"Sales")</f>
        <v>Sales</v>
      </c>
      <c r="G688" s="16"/>
      <c r="H688" s="16" t="str">
        <f ca="1">IFERROR(__xludf.DUMMYFUNCTION("""COMPUTED_VALUE"""),".")</f>
        <v>.</v>
      </c>
    </row>
    <row r="689" spans="1:8" ht="12.5">
      <c r="A689" s="24"/>
      <c r="B689" s="17"/>
      <c r="C689" s="24"/>
      <c r="D689" s="16"/>
      <c r="E689" s="16"/>
      <c r="F689" s="16" t="str">
        <f ca="1">IFERROR(__xludf.DUMMYFUNCTION("""COMPUTED_VALUE"""),"Sales")</f>
        <v>Sales</v>
      </c>
      <c r="G689" s="16"/>
      <c r="H689" s="16" t="str">
        <f ca="1">IFERROR(__xludf.DUMMYFUNCTION("""COMPUTED_VALUE"""),".")</f>
        <v>.</v>
      </c>
    </row>
    <row r="690" spans="1:8" ht="12.5">
      <c r="A690" s="24"/>
      <c r="B690" s="17"/>
      <c r="C690" s="24"/>
      <c r="D690" s="16"/>
      <c r="E690" s="16"/>
      <c r="F690" s="16" t="str">
        <f ca="1">IFERROR(__xludf.DUMMYFUNCTION("""COMPUTED_VALUE"""),"Sales")</f>
        <v>Sales</v>
      </c>
      <c r="G690" s="16"/>
      <c r="H690" s="16" t="str">
        <f ca="1">IFERROR(__xludf.DUMMYFUNCTION("""COMPUTED_VALUE"""),".")</f>
        <v>.</v>
      </c>
    </row>
    <row r="691" spans="1:8" ht="12.5">
      <c r="A691" s="24"/>
      <c r="B691" s="17"/>
      <c r="C691" s="24"/>
      <c r="D691" s="16"/>
      <c r="E691" s="16"/>
      <c r="F691" s="16" t="str">
        <f ca="1">IFERROR(__xludf.DUMMYFUNCTION("""COMPUTED_VALUE"""),"Sales")</f>
        <v>Sales</v>
      </c>
      <c r="G691" s="16"/>
      <c r="H691" s="16" t="str">
        <f ca="1">IFERROR(__xludf.DUMMYFUNCTION("""COMPUTED_VALUE"""),".")</f>
        <v>.</v>
      </c>
    </row>
    <row r="692" spans="1:8" ht="12.5">
      <c r="A692" s="24"/>
      <c r="B692" s="17"/>
      <c r="C692" s="24"/>
      <c r="D692" s="16"/>
      <c r="E692" s="16"/>
      <c r="F692" s="16" t="str">
        <f ca="1">IFERROR(__xludf.DUMMYFUNCTION("""COMPUTED_VALUE"""),"Sales")</f>
        <v>Sales</v>
      </c>
      <c r="G692" s="16"/>
      <c r="H692" s="16" t="str">
        <f ca="1">IFERROR(__xludf.DUMMYFUNCTION("""COMPUTED_VALUE"""),".")</f>
        <v>.</v>
      </c>
    </row>
    <row r="693" spans="1:8" ht="12.5">
      <c r="A693" s="24"/>
      <c r="B693" s="17"/>
      <c r="C693" s="24"/>
      <c r="D693" s="16"/>
      <c r="E693" s="16"/>
      <c r="F693" s="16" t="str">
        <f ca="1">IFERROR(__xludf.DUMMYFUNCTION("""COMPUTED_VALUE"""),"Sales")</f>
        <v>Sales</v>
      </c>
      <c r="G693" s="16"/>
      <c r="H693" s="16" t="str">
        <f ca="1">IFERROR(__xludf.DUMMYFUNCTION("""COMPUTED_VALUE"""),".")</f>
        <v>.</v>
      </c>
    </row>
    <row r="694" spans="1:8" ht="12.5">
      <c r="A694" s="24"/>
      <c r="B694" s="17"/>
      <c r="C694" s="24"/>
      <c r="D694" s="16"/>
      <c r="E694" s="16"/>
      <c r="F694" s="16" t="str">
        <f ca="1">IFERROR(__xludf.DUMMYFUNCTION("""COMPUTED_VALUE"""),"Sales")</f>
        <v>Sales</v>
      </c>
      <c r="G694" s="16"/>
      <c r="H694" s="16" t="str">
        <f ca="1">IFERROR(__xludf.DUMMYFUNCTION("""COMPUTED_VALUE"""),".")</f>
        <v>.</v>
      </c>
    </row>
    <row r="695" spans="1:8" ht="12.5">
      <c r="A695" s="24"/>
      <c r="B695" s="17"/>
      <c r="C695" s="24"/>
      <c r="D695" s="16"/>
      <c r="E695" s="16"/>
      <c r="F695" s="16" t="str">
        <f ca="1">IFERROR(__xludf.DUMMYFUNCTION("""COMPUTED_VALUE"""),"Sales")</f>
        <v>Sales</v>
      </c>
      <c r="G695" s="16"/>
      <c r="H695" s="16" t="str">
        <f ca="1">IFERROR(__xludf.DUMMYFUNCTION("""COMPUTED_VALUE"""),".")</f>
        <v>.</v>
      </c>
    </row>
    <row r="696" spans="1:8" ht="12.5">
      <c r="A696" s="24"/>
      <c r="B696" s="17"/>
      <c r="C696" s="24"/>
      <c r="D696" s="16"/>
      <c r="E696" s="16"/>
      <c r="F696" s="16" t="str">
        <f ca="1">IFERROR(__xludf.DUMMYFUNCTION("""COMPUTED_VALUE"""),"Sales")</f>
        <v>Sales</v>
      </c>
      <c r="G696" s="16"/>
      <c r="H696" s="16" t="str">
        <f ca="1">IFERROR(__xludf.DUMMYFUNCTION("""COMPUTED_VALUE"""),".")</f>
        <v>.</v>
      </c>
    </row>
    <row r="697" spans="1:8" ht="12.5">
      <c r="A697" s="24"/>
      <c r="B697" s="17"/>
      <c r="C697" s="24"/>
      <c r="D697" s="16"/>
      <c r="E697" s="16"/>
      <c r="F697" s="16" t="str">
        <f ca="1">IFERROR(__xludf.DUMMYFUNCTION("""COMPUTED_VALUE"""),"Sales")</f>
        <v>Sales</v>
      </c>
      <c r="G697" s="16"/>
      <c r="H697" s="16" t="str">
        <f ca="1">IFERROR(__xludf.DUMMYFUNCTION("""COMPUTED_VALUE"""),".")</f>
        <v>.</v>
      </c>
    </row>
    <row r="698" spans="1:8" ht="12.5">
      <c r="A698" s="24"/>
      <c r="B698" s="17"/>
      <c r="C698" s="24"/>
      <c r="D698" s="16"/>
      <c r="E698" s="16"/>
      <c r="F698" s="16" t="str">
        <f ca="1">IFERROR(__xludf.DUMMYFUNCTION("""COMPUTED_VALUE"""),"Sales")</f>
        <v>Sales</v>
      </c>
      <c r="G698" s="16"/>
      <c r="H698" s="16" t="str">
        <f ca="1">IFERROR(__xludf.DUMMYFUNCTION("""COMPUTED_VALUE"""),".")</f>
        <v>.</v>
      </c>
    </row>
    <row r="699" spans="1:8" ht="12.5">
      <c r="A699" s="24"/>
      <c r="B699" s="17"/>
      <c r="C699" s="24"/>
      <c r="D699" s="16"/>
      <c r="E699" s="16"/>
      <c r="F699" s="16"/>
      <c r="G699" s="16"/>
      <c r="H699" s="16" t="str">
        <f ca="1">IFERROR(__xludf.DUMMYFUNCTION("""COMPUTED_VALUE"""),".")</f>
        <v>.</v>
      </c>
    </row>
    <row r="700" spans="1:8" ht="12.5">
      <c r="A700" s="24"/>
      <c r="B700" s="17"/>
      <c r="C700" s="24"/>
      <c r="D700" s="16"/>
      <c r="E700" s="16"/>
      <c r="F700" s="16"/>
      <c r="G700" s="16"/>
      <c r="H700" s="16" t="str">
        <f ca="1">IFERROR(__xludf.DUMMYFUNCTION("""COMPUTED_VALUE"""),".")</f>
        <v>.</v>
      </c>
    </row>
    <row r="701" spans="1:8" ht="12.5">
      <c r="A701" s="24"/>
      <c r="B701" s="17"/>
      <c r="C701" s="24"/>
      <c r="D701" s="16"/>
      <c r="E701" s="16"/>
      <c r="F701" s="16"/>
      <c r="G701" s="16"/>
      <c r="H701" s="16" t="str">
        <f ca="1">IFERROR(__xludf.DUMMYFUNCTION("""COMPUTED_VALUE"""),".")</f>
        <v>.</v>
      </c>
    </row>
    <row r="702" spans="1:8" ht="12.5">
      <c r="A702" s="24"/>
      <c r="B702" s="17"/>
      <c r="C702" s="24"/>
      <c r="D702" s="16"/>
      <c r="E702" s="16"/>
      <c r="F702" s="16"/>
      <c r="G702" s="16"/>
      <c r="H702" s="16" t="str">
        <f ca="1">IFERROR(__xludf.DUMMYFUNCTION("""COMPUTED_VALUE"""),".")</f>
        <v>.</v>
      </c>
    </row>
    <row r="703" spans="1:8" ht="12.5">
      <c r="A703" s="24"/>
      <c r="B703" s="17"/>
      <c r="C703" s="24"/>
      <c r="D703" s="16"/>
      <c r="E703" s="16"/>
      <c r="F703" s="16"/>
      <c r="G703" s="16"/>
      <c r="H703" s="16" t="str">
        <f ca="1">IFERROR(__xludf.DUMMYFUNCTION("""COMPUTED_VALUE"""),".")</f>
        <v>.</v>
      </c>
    </row>
    <row r="704" spans="1:8" ht="12.5">
      <c r="A704" s="24"/>
      <c r="B704" s="17"/>
      <c r="C704" s="24"/>
      <c r="D704" s="16"/>
      <c r="E704" s="16"/>
      <c r="F704" s="16"/>
      <c r="G704" s="16"/>
      <c r="H704" s="16" t="str">
        <f ca="1">IFERROR(__xludf.DUMMYFUNCTION("""COMPUTED_VALUE"""),".")</f>
        <v>.</v>
      </c>
    </row>
    <row r="705" spans="1:8" ht="12.5">
      <c r="A705" s="24"/>
      <c r="B705" s="17"/>
      <c r="C705" s="24"/>
      <c r="D705" s="16"/>
      <c r="E705" s="16"/>
      <c r="F705" s="16"/>
      <c r="G705" s="16"/>
      <c r="H705" s="16" t="str">
        <f ca="1">IFERROR(__xludf.DUMMYFUNCTION("""COMPUTED_VALUE"""),".")</f>
        <v>.</v>
      </c>
    </row>
    <row r="706" spans="1:8" ht="12.5">
      <c r="A706" s="24"/>
      <c r="B706" s="17"/>
      <c r="C706" s="24"/>
      <c r="D706" s="16"/>
      <c r="E706" s="16"/>
      <c r="F706" s="16"/>
      <c r="G706" s="16"/>
      <c r="H706" s="16" t="str">
        <f ca="1">IFERROR(__xludf.DUMMYFUNCTION("""COMPUTED_VALUE"""),".")</f>
        <v>.</v>
      </c>
    </row>
    <row r="707" spans="1:8" ht="12.5">
      <c r="A707" s="24"/>
      <c r="B707" s="17"/>
      <c r="C707" s="24"/>
      <c r="D707" s="16"/>
      <c r="E707" s="16"/>
      <c r="F707" s="16"/>
      <c r="G707" s="16"/>
      <c r="H707" s="16" t="str">
        <f ca="1">IFERROR(__xludf.DUMMYFUNCTION("""COMPUTED_VALUE"""),".")</f>
        <v>.</v>
      </c>
    </row>
    <row r="708" spans="1:8" ht="12.5">
      <c r="A708" s="24"/>
      <c r="B708" s="17"/>
      <c r="C708" s="24"/>
      <c r="D708" s="16"/>
      <c r="E708" s="16"/>
      <c r="F708" s="16"/>
      <c r="G708" s="16"/>
      <c r="H708" s="16" t="str">
        <f ca="1">IFERROR(__xludf.DUMMYFUNCTION("""COMPUTED_VALUE"""),".")</f>
        <v>.</v>
      </c>
    </row>
    <row r="709" spans="1:8" ht="12.5">
      <c r="A709" s="24"/>
      <c r="B709" s="17"/>
      <c r="C709" s="24"/>
      <c r="D709" s="16"/>
      <c r="E709" s="16"/>
      <c r="F709" s="16"/>
      <c r="G709" s="16"/>
      <c r="H709" s="16" t="str">
        <f ca="1">IFERROR(__xludf.DUMMYFUNCTION("""COMPUTED_VALUE"""),".")</f>
        <v>.</v>
      </c>
    </row>
    <row r="710" spans="1:8" ht="12.5">
      <c r="A710" s="24"/>
      <c r="B710" s="17"/>
      <c r="C710" s="24"/>
      <c r="D710" s="16"/>
      <c r="E710" s="16"/>
      <c r="F710" s="16"/>
      <c r="G710" s="16"/>
      <c r="H710" s="16" t="str">
        <f ca="1">IFERROR(__xludf.DUMMYFUNCTION("""COMPUTED_VALUE"""),".")</f>
        <v>.</v>
      </c>
    </row>
    <row r="711" spans="1:8" ht="12.5">
      <c r="A711" s="24"/>
      <c r="B711" s="17"/>
      <c r="C711" s="24"/>
      <c r="D711" s="16"/>
      <c r="E711" s="16"/>
      <c r="F711" s="16"/>
      <c r="G711" s="16"/>
      <c r="H711" s="16" t="str">
        <f ca="1">IFERROR(__xludf.DUMMYFUNCTION("""COMPUTED_VALUE"""),".")</f>
        <v>.</v>
      </c>
    </row>
    <row r="712" spans="1:8" ht="12.5">
      <c r="A712" s="24"/>
      <c r="B712" s="17"/>
      <c r="C712" s="24"/>
      <c r="D712" s="16"/>
      <c r="E712" s="16"/>
      <c r="F712" s="16"/>
      <c r="G712" s="16"/>
      <c r="H712" s="16" t="str">
        <f ca="1">IFERROR(__xludf.DUMMYFUNCTION("""COMPUTED_VALUE"""),".")</f>
        <v>.</v>
      </c>
    </row>
    <row r="713" spans="1:8" ht="12.5">
      <c r="A713" s="24"/>
      <c r="B713" s="17"/>
      <c r="C713" s="24"/>
      <c r="D713" s="16"/>
      <c r="E713" s="16"/>
      <c r="F713" s="16"/>
      <c r="G713" s="16"/>
      <c r="H713" s="16"/>
    </row>
    <row r="714" spans="1:8" ht="12.5">
      <c r="A714" s="24"/>
      <c r="B714" s="17"/>
      <c r="C714" s="24"/>
      <c r="D714" s="16"/>
      <c r="E714" s="16"/>
      <c r="F714" s="16"/>
      <c r="G714" s="16"/>
      <c r="H714" s="16"/>
    </row>
    <row r="715" spans="1:8" ht="12.5">
      <c r="A715" s="24"/>
      <c r="B715" s="17"/>
      <c r="C715" s="24"/>
      <c r="D715" s="16"/>
      <c r="E715" s="16"/>
      <c r="F715" s="16"/>
      <c r="G715" s="16"/>
      <c r="H715" s="16"/>
    </row>
    <row r="716" spans="1:8" ht="12.5">
      <c r="A716" s="24"/>
      <c r="B716" s="17"/>
      <c r="C716" s="24"/>
      <c r="D716" s="16"/>
      <c r="E716" s="16"/>
      <c r="F716" s="16"/>
      <c r="G716" s="16"/>
      <c r="H716" s="16"/>
    </row>
    <row r="717" spans="1:8" ht="12.5">
      <c r="A717" s="24"/>
      <c r="B717" s="17"/>
      <c r="C717" s="24"/>
      <c r="D717" s="16"/>
      <c r="E717" s="16"/>
      <c r="F717" s="16"/>
      <c r="G717" s="16"/>
      <c r="H717" s="16"/>
    </row>
    <row r="718" spans="1:8" ht="12.5">
      <c r="A718" s="24"/>
      <c r="B718" s="17"/>
      <c r="C718" s="24"/>
      <c r="D718" s="16"/>
      <c r="E718" s="16"/>
      <c r="F718" s="16"/>
      <c r="G718" s="16"/>
      <c r="H718" s="16"/>
    </row>
    <row r="719" spans="1:8" ht="12.5">
      <c r="A719" s="24"/>
      <c r="B719" s="17"/>
      <c r="C719" s="24"/>
      <c r="D719" s="16"/>
      <c r="E719" s="16"/>
      <c r="F719" s="16"/>
      <c r="G719" s="16"/>
      <c r="H719" s="16"/>
    </row>
    <row r="720" spans="1:8" ht="12.5">
      <c r="A720" s="24"/>
      <c r="B720" s="17"/>
      <c r="C720" s="24"/>
      <c r="D720" s="16"/>
      <c r="E720" s="16"/>
      <c r="F720" s="16"/>
      <c r="G720" s="16"/>
      <c r="H720" s="16"/>
    </row>
    <row r="721" spans="1:8" ht="12.5">
      <c r="A721" s="24"/>
      <c r="B721" s="17"/>
      <c r="C721" s="24"/>
      <c r="D721" s="16"/>
      <c r="E721" s="16"/>
      <c r="F721" s="16"/>
      <c r="G721" s="16"/>
      <c r="H721" s="16"/>
    </row>
    <row r="722" spans="1:8" ht="12.5">
      <c r="A722" s="24"/>
      <c r="B722" s="17"/>
      <c r="C722" s="24"/>
      <c r="D722" s="16"/>
      <c r="E722" s="16"/>
      <c r="F722" s="16"/>
      <c r="G722" s="16"/>
      <c r="H722" s="16"/>
    </row>
    <row r="723" spans="1:8" ht="12.5">
      <c r="A723" s="24"/>
      <c r="B723" s="17"/>
      <c r="C723" s="24"/>
      <c r="D723" s="16"/>
      <c r="E723" s="37" t="str">
        <f ca="1">IFERROR(__xludf.DUMMYFUNCTION("IMPORTRANGE(""https://docs.google.com/spreadsheets/d/1ghPq2GXSRxm4-7nokWB-4NeQT5BT6DZC88IPWta5RGM/edit#gid=188114201"",""#10 Juan Cappellini!A11:A80"")"),"CODI")</f>
        <v>CODI</v>
      </c>
      <c r="F723" s="37" t="str">
        <f ca="1">IFERROR(__xludf.DUMMYFUNCTION("IMPORTRANGE(""https://docs.google.com/spreadsheets/d/1ghPq2GXSRxm4-7nokWB-4NeQT5BT6DZC88IPWta5RGM/edit#gid=188114201"",""#10 Juan Cappellini!I11:K80"")"),"Expense Type")</f>
        <v>Expense Type</v>
      </c>
      <c r="G723" s="16" t="str">
        <f ca="1">IFERROR(__xludf.DUMMYFUNCTION("""COMPUTED_VALUE"""),"DESCRIPCION DEL CARGO")</f>
        <v>DESCRIPCION DEL CARGO</v>
      </c>
      <c r="H723" s="16" t="str">
        <f ca="1">IFERROR(__xludf.DUMMYFUNCTION("""COMPUTED_VALUE"""),"FOLIO DE FACTURA")</f>
        <v>FOLIO DE FACTURA</v>
      </c>
    </row>
    <row r="724" spans="1:8" ht="12.5">
      <c r="A724" s="24"/>
      <c r="B724" s="17"/>
      <c r="C724" s="24"/>
      <c r="D724" s="16"/>
      <c r="E724" s="16" t="str">
        <f ca="1">IFERROR(__xludf.DUMMYFUNCTION("""COMPUTED_VALUE"""),"#N/A")</f>
        <v>#N/A</v>
      </c>
      <c r="F724" s="16"/>
      <c r="G724" s="16"/>
      <c r="H724" s="16"/>
    </row>
    <row r="725" spans="1:8" ht="12.5">
      <c r="A725" s="24"/>
      <c r="B725" s="17"/>
      <c r="C725" s="24"/>
      <c r="D725" s="16"/>
      <c r="E725" s="16"/>
      <c r="F725" s="16"/>
      <c r="G725" s="16"/>
      <c r="H725" s="16"/>
    </row>
    <row r="726" spans="1:8" ht="12.5">
      <c r="A726" s="24"/>
      <c r="B726" s="17"/>
      <c r="C726" s="24"/>
      <c r="D726" s="16"/>
      <c r="E726" s="16"/>
      <c r="F726" s="16"/>
      <c r="G726" s="16"/>
      <c r="H726" s="16"/>
    </row>
    <row r="727" spans="1:8" ht="12.5">
      <c r="A727" s="24"/>
      <c r="B727" s="17"/>
      <c r="C727" s="24"/>
      <c r="D727" s="16"/>
      <c r="E727" s="16"/>
      <c r="F727" s="16"/>
      <c r="G727" s="16"/>
      <c r="H727" s="16"/>
    </row>
    <row r="728" spans="1:8" ht="12.5">
      <c r="A728" s="24"/>
      <c r="B728" s="17"/>
      <c r="C728" s="24"/>
      <c r="D728" s="16"/>
      <c r="E728" s="16"/>
      <c r="F728" s="16"/>
      <c r="G728" s="16"/>
      <c r="H728" s="16"/>
    </row>
    <row r="729" spans="1:8" ht="12.5">
      <c r="A729" s="24"/>
      <c r="B729" s="17"/>
      <c r="C729" s="24"/>
      <c r="D729" s="16"/>
      <c r="E729" s="16"/>
      <c r="F729" s="16"/>
      <c r="G729" s="16"/>
      <c r="H729" s="16"/>
    </row>
    <row r="730" spans="1:8" ht="12.5">
      <c r="A730" s="24"/>
      <c r="B730" s="17"/>
      <c r="C730" s="24"/>
      <c r="D730" s="16"/>
      <c r="E730" s="16"/>
      <c r="F730" s="16"/>
      <c r="G730" s="16"/>
      <c r="H730" s="16"/>
    </row>
    <row r="731" spans="1:8" ht="12.5">
      <c r="A731" s="24"/>
      <c r="B731" s="17"/>
      <c r="C731" s="24"/>
      <c r="D731" s="16"/>
      <c r="E731" s="16"/>
      <c r="F731" s="16"/>
      <c r="G731" s="16"/>
      <c r="H731" s="16"/>
    </row>
    <row r="732" spans="1:8" ht="12.5">
      <c r="A732" s="24"/>
      <c r="B732" s="17"/>
      <c r="C732" s="24"/>
      <c r="D732" s="16"/>
      <c r="E732" s="16"/>
      <c r="F732" s="16"/>
      <c r="G732" s="16"/>
      <c r="H732" s="16"/>
    </row>
    <row r="733" spans="1:8" ht="12.5">
      <c r="A733" s="24"/>
      <c r="B733" s="17"/>
      <c r="C733" s="24"/>
      <c r="D733" s="16"/>
      <c r="E733" s="16"/>
      <c r="F733" s="16"/>
      <c r="G733" s="16"/>
      <c r="H733" s="16"/>
    </row>
    <row r="734" spans="1:8" ht="12.5">
      <c r="A734" s="24"/>
      <c r="B734" s="17"/>
      <c r="C734" s="24"/>
      <c r="D734" s="16"/>
      <c r="E734" s="16"/>
      <c r="F734" s="16"/>
      <c r="G734" s="16"/>
      <c r="H734" s="16"/>
    </row>
    <row r="735" spans="1:8" ht="12.5">
      <c r="A735" s="24"/>
      <c r="B735" s="17"/>
      <c r="C735" s="24"/>
      <c r="D735" s="16"/>
      <c r="E735" s="16"/>
      <c r="F735" s="16"/>
      <c r="G735" s="16"/>
      <c r="H735" s="16"/>
    </row>
    <row r="736" spans="1:8" ht="12.5">
      <c r="A736" s="24"/>
      <c r="B736" s="17"/>
      <c r="C736" s="24"/>
      <c r="D736" s="16"/>
      <c r="E736" s="16"/>
      <c r="F736" s="16"/>
      <c r="G736" s="16"/>
      <c r="H736" s="16"/>
    </row>
    <row r="737" spans="1:8" ht="12.5">
      <c r="A737" s="24"/>
      <c r="B737" s="17"/>
      <c r="C737" s="24"/>
      <c r="D737" s="16"/>
      <c r="E737" s="16"/>
      <c r="F737" s="16"/>
      <c r="G737" s="16"/>
      <c r="H737" s="16"/>
    </row>
    <row r="738" spans="1:8" ht="12.5">
      <c r="A738" s="24"/>
      <c r="B738" s="17"/>
      <c r="C738" s="24"/>
      <c r="D738" s="16"/>
      <c r="E738" s="16"/>
      <c r="F738" s="16"/>
      <c r="G738" s="16"/>
      <c r="H738" s="16"/>
    </row>
    <row r="739" spans="1:8" ht="12.5">
      <c r="A739" s="24"/>
      <c r="B739" s="17"/>
      <c r="C739" s="24"/>
      <c r="D739" s="16"/>
      <c r="E739" s="16"/>
      <c r="F739" s="16"/>
      <c r="G739" s="16"/>
      <c r="H739" s="16"/>
    </row>
    <row r="740" spans="1:8" ht="12.5">
      <c r="A740" s="24"/>
      <c r="B740" s="17"/>
      <c r="C740" s="24"/>
      <c r="D740" s="16"/>
      <c r="E740" s="16"/>
      <c r="F740" s="16"/>
      <c r="G740" s="16"/>
      <c r="H740" s="16"/>
    </row>
    <row r="741" spans="1:8" ht="12.5">
      <c r="A741" s="24"/>
      <c r="B741" s="17"/>
      <c r="C741" s="24"/>
      <c r="D741" s="16"/>
      <c r="E741" s="16"/>
      <c r="F741" s="16"/>
      <c r="G741" s="16"/>
      <c r="H741" s="16"/>
    </row>
    <row r="742" spans="1:8" ht="12.5">
      <c r="A742" s="24"/>
      <c r="B742" s="17"/>
      <c r="C742" s="24"/>
      <c r="D742" s="16"/>
      <c r="E742" s="16"/>
      <c r="F742" s="16"/>
      <c r="G742" s="16"/>
      <c r="H742" s="16"/>
    </row>
    <row r="743" spans="1:8" ht="12.5">
      <c r="A743" s="24"/>
      <c r="B743" s="17"/>
      <c r="C743" s="24"/>
      <c r="D743" s="16"/>
      <c r="E743" s="16"/>
      <c r="F743" s="16"/>
      <c r="G743" s="16"/>
      <c r="H743" s="16"/>
    </row>
    <row r="744" spans="1:8" ht="12.5">
      <c r="A744" s="24"/>
      <c r="B744" s="17"/>
      <c r="C744" s="24"/>
      <c r="D744" s="16"/>
      <c r="E744" s="16"/>
      <c r="F744" s="16"/>
      <c r="G744" s="16"/>
      <c r="H744" s="16"/>
    </row>
    <row r="745" spans="1:8" ht="12.5">
      <c r="A745" s="24"/>
      <c r="B745" s="17"/>
      <c r="C745" s="24"/>
      <c r="D745" s="16"/>
      <c r="E745" s="16"/>
      <c r="F745" s="16"/>
      <c r="G745" s="16"/>
      <c r="H745" s="16"/>
    </row>
    <row r="746" spans="1:8" ht="12.5">
      <c r="A746" s="24"/>
      <c r="B746" s="17"/>
      <c r="C746" s="24"/>
      <c r="D746" s="16"/>
      <c r="E746" s="16"/>
      <c r="F746" s="16"/>
      <c r="G746" s="16"/>
      <c r="H746" s="16"/>
    </row>
    <row r="747" spans="1:8" ht="12.5">
      <c r="A747" s="24"/>
      <c r="B747" s="17"/>
      <c r="C747" s="24"/>
      <c r="D747" s="16"/>
      <c r="E747" s="16"/>
      <c r="F747" s="16"/>
      <c r="G747" s="16"/>
      <c r="H747" s="16"/>
    </row>
    <row r="748" spans="1:8" ht="12.5">
      <c r="A748" s="24"/>
      <c r="B748" s="17"/>
      <c r="C748" s="24"/>
      <c r="D748" s="16"/>
      <c r="E748" s="16"/>
      <c r="F748" s="16"/>
      <c r="G748" s="16"/>
      <c r="H748" s="16"/>
    </row>
    <row r="749" spans="1:8" ht="12.5">
      <c r="A749" s="24"/>
      <c r="B749" s="17"/>
      <c r="C749" s="24"/>
      <c r="D749" s="16"/>
      <c r="E749" s="16"/>
      <c r="F749" s="16"/>
      <c r="G749" s="16"/>
      <c r="H749" s="16"/>
    </row>
    <row r="750" spans="1:8" ht="12.5">
      <c r="A750" s="24"/>
      <c r="B750" s="17"/>
      <c r="C750" s="24"/>
      <c r="D750" s="16"/>
      <c r="E750" s="16"/>
      <c r="F750" s="16"/>
      <c r="G750" s="16"/>
      <c r="H750" s="16"/>
    </row>
    <row r="751" spans="1:8" ht="12.5">
      <c r="A751" s="24"/>
      <c r="B751" s="17"/>
      <c r="C751" s="24"/>
      <c r="D751" s="16"/>
      <c r="E751" s="16"/>
      <c r="F751" s="16"/>
      <c r="G751" s="16"/>
      <c r="H751" s="16"/>
    </row>
    <row r="752" spans="1:8" ht="12.5">
      <c r="A752" s="24"/>
      <c r="B752" s="17"/>
      <c r="C752" s="24"/>
      <c r="D752" s="16"/>
      <c r="E752" s="16"/>
      <c r="F752" s="16"/>
      <c r="G752" s="16"/>
      <c r="H752" s="16"/>
    </row>
    <row r="753" spans="1:8" ht="12.5">
      <c r="A753" s="24"/>
      <c r="B753" s="17"/>
      <c r="C753" s="24"/>
      <c r="D753" s="16"/>
      <c r="E753" s="16"/>
      <c r="F753" s="16"/>
      <c r="G753" s="16"/>
      <c r="H753" s="16"/>
    </row>
    <row r="754" spans="1:8" ht="12.5">
      <c r="A754" s="24"/>
      <c r="B754" s="17"/>
      <c r="C754" s="24"/>
      <c r="D754" s="16"/>
      <c r="E754" s="16"/>
      <c r="F754" s="16"/>
      <c r="G754" s="16"/>
      <c r="H754" s="16"/>
    </row>
    <row r="755" spans="1:8" ht="12.5">
      <c r="A755" s="24"/>
      <c r="B755" s="17"/>
      <c r="C755" s="24"/>
      <c r="D755" s="16"/>
      <c r="E755" s="16"/>
      <c r="F755" s="16"/>
      <c r="G755" s="16"/>
      <c r="H755" s="16"/>
    </row>
    <row r="756" spans="1:8" ht="12.5">
      <c r="A756" s="24"/>
      <c r="B756" s="17"/>
      <c r="C756" s="24"/>
      <c r="D756" s="16"/>
      <c r="E756" s="16"/>
      <c r="F756" s="16"/>
      <c r="G756" s="16"/>
      <c r="H756" s="16"/>
    </row>
    <row r="757" spans="1:8" ht="12.5">
      <c r="A757" s="24"/>
      <c r="B757" s="17"/>
      <c r="C757" s="24"/>
      <c r="D757" s="16"/>
      <c r="E757" s="16"/>
      <c r="F757" s="16"/>
      <c r="G757" s="16"/>
      <c r="H757" s="16"/>
    </row>
    <row r="758" spans="1:8" ht="12.5">
      <c r="A758" s="24"/>
      <c r="B758" s="17"/>
      <c r="C758" s="24"/>
      <c r="D758" s="16"/>
      <c r="E758" s="16"/>
      <c r="F758" s="16"/>
      <c r="G758" s="16"/>
      <c r="H758" s="16"/>
    </row>
    <row r="759" spans="1:8" ht="12.5">
      <c r="A759" s="24"/>
      <c r="B759" s="17"/>
      <c r="C759" s="24"/>
      <c r="D759" s="16"/>
      <c r="E759" s="16"/>
      <c r="F759" s="16"/>
      <c r="G759" s="16"/>
      <c r="H759" s="16"/>
    </row>
    <row r="760" spans="1:8" ht="12.5">
      <c r="A760" s="24"/>
      <c r="B760" s="17"/>
      <c r="C760" s="24"/>
      <c r="D760" s="16"/>
      <c r="E760" s="16"/>
      <c r="F760" s="16"/>
      <c r="G760" s="16"/>
      <c r="H760" s="16"/>
    </row>
    <row r="761" spans="1:8" ht="12.5">
      <c r="A761" s="24"/>
      <c r="B761" s="17"/>
      <c r="C761" s="24"/>
      <c r="D761" s="16"/>
      <c r="E761" s="16"/>
      <c r="F761" s="16"/>
      <c r="G761" s="16"/>
      <c r="H761" s="16"/>
    </row>
    <row r="762" spans="1:8" ht="12.5">
      <c r="A762" s="24"/>
      <c r="B762" s="17"/>
      <c r="C762" s="24"/>
      <c r="D762" s="16"/>
      <c r="E762" s="16"/>
      <c r="F762" s="16"/>
      <c r="G762" s="16"/>
      <c r="H762" s="16"/>
    </row>
    <row r="763" spans="1:8" ht="12.5">
      <c r="A763" s="24"/>
      <c r="B763" s="17"/>
      <c r="C763" s="24"/>
      <c r="D763" s="16"/>
      <c r="E763" s="16"/>
      <c r="F763" s="16"/>
      <c r="G763" s="16"/>
      <c r="H763" s="16"/>
    </row>
    <row r="764" spans="1:8" ht="12.5">
      <c r="A764" s="24"/>
      <c r="B764" s="17"/>
      <c r="C764" s="24"/>
      <c r="D764" s="16"/>
      <c r="E764" s="16"/>
      <c r="F764" s="16"/>
      <c r="G764" s="16"/>
      <c r="H764" s="16"/>
    </row>
    <row r="765" spans="1:8" ht="12.5">
      <c r="A765" s="24"/>
      <c r="B765" s="17"/>
      <c r="C765" s="24"/>
      <c r="D765" s="16"/>
      <c r="E765" s="16"/>
      <c r="F765" s="16"/>
      <c r="G765" s="16"/>
      <c r="H765" s="16"/>
    </row>
    <row r="766" spans="1:8" ht="12.5">
      <c r="A766" s="24"/>
      <c r="B766" s="17"/>
      <c r="C766" s="24"/>
      <c r="D766" s="16"/>
      <c r="E766" s="16"/>
      <c r="F766" s="16"/>
      <c r="G766" s="16"/>
      <c r="H766" s="16"/>
    </row>
    <row r="767" spans="1:8" ht="12.5">
      <c r="A767" s="24"/>
      <c r="B767" s="17"/>
      <c r="C767" s="24"/>
      <c r="D767" s="16"/>
      <c r="E767" s="16"/>
      <c r="F767" s="16"/>
      <c r="G767" s="16"/>
      <c r="H767" s="16"/>
    </row>
    <row r="768" spans="1:8" ht="12.5">
      <c r="A768" s="24"/>
      <c r="B768" s="17"/>
      <c r="C768" s="24"/>
      <c r="D768" s="16"/>
      <c r="E768" s="16"/>
      <c r="F768" s="16"/>
      <c r="G768" s="16"/>
      <c r="H768" s="16"/>
    </row>
    <row r="769" spans="1:8" ht="12.5">
      <c r="A769" s="24"/>
      <c r="B769" s="17"/>
      <c r="C769" s="24"/>
      <c r="D769" s="16"/>
      <c r="E769" s="16"/>
      <c r="F769" s="16"/>
      <c r="G769" s="16"/>
      <c r="H769" s="16"/>
    </row>
    <row r="770" spans="1:8" ht="12.5">
      <c r="A770" s="24"/>
      <c r="B770" s="17"/>
      <c r="C770" s="24"/>
      <c r="D770" s="16"/>
      <c r="E770" s="16"/>
      <c r="F770" s="16"/>
      <c r="G770" s="16"/>
      <c r="H770" s="16"/>
    </row>
    <row r="771" spans="1:8" ht="12.5">
      <c r="A771" s="24"/>
      <c r="B771" s="17"/>
      <c r="C771" s="24"/>
      <c r="D771" s="16"/>
      <c r="E771" s="16"/>
      <c r="F771" s="16"/>
      <c r="G771" s="16"/>
      <c r="H771" s="16"/>
    </row>
    <row r="772" spans="1:8" ht="12.5">
      <c r="A772" s="24"/>
      <c r="B772" s="17"/>
      <c r="C772" s="24"/>
      <c r="D772" s="16"/>
      <c r="E772" s="16"/>
      <c r="F772" s="16"/>
      <c r="G772" s="16"/>
      <c r="H772" s="16"/>
    </row>
    <row r="773" spans="1:8" ht="12.5">
      <c r="A773" s="24"/>
      <c r="B773" s="17"/>
      <c r="C773" s="24"/>
      <c r="D773" s="16"/>
      <c r="E773" s="16"/>
      <c r="F773" s="16"/>
      <c r="G773" s="16"/>
      <c r="H773" s="16"/>
    </row>
    <row r="774" spans="1:8" ht="12.5">
      <c r="A774" s="24"/>
      <c r="B774" s="17"/>
      <c r="C774" s="24"/>
      <c r="D774" s="16"/>
      <c r="E774" s="16"/>
      <c r="F774" s="16"/>
      <c r="G774" s="16"/>
      <c r="H774" s="16"/>
    </row>
    <row r="775" spans="1:8" ht="12.5">
      <c r="A775" s="24"/>
      <c r="B775" s="17"/>
      <c r="C775" s="24"/>
      <c r="D775" s="16"/>
      <c r="E775" s="16"/>
      <c r="F775" s="16"/>
      <c r="G775" s="16"/>
      <c r="H775" s="16"/>
    </row>
    <row r="776" spans="1:8" ht="12.5">
      <c r="A776" s="24"/>
      <c r="B776" s="17"/>
      <c r="C776" s="24"/>
      <c r="D776" s="16"/>
      <c r="E776" s="16"/>
      <c r="F776" s="16"/>
      <c r="G776" s="16"/>
      <c r="H776" s="16"/>
    </row>
    <row r="777" spans="1:8" ht="12.5">
      <c r="A777" s="24"/>
      <c r="B777" s="17"/>
      <c r="C777" s="24"/>
      <c r="D777" s="16"/>
      <c r="E777" s="16"/>
      <c r="F777" s="16"/>
      <c r="G777" s="16"/>
      <c r="H777" s="16"/>
    </row>
    <row r="778" spans="1:8" ht="12.5">
      <c r="A778" s="24"/>
      <c r="B778" s="17"/>
      <c r="C778" s="24"/>
      <c r="D778" s="16"/>
      <c r="E778" s="16"/>
      <c r="F778" s="16"/>
      <c r="G778" s="16"/>
      <c r="H778" s="16"/>
    </row>
    <row r="779" spans="1:8" ht="12.5">
      <c r="A779" s="24"/>
      <c r="B779" s="17"/>
      <c r="C779" s="24"/>
      <c r="D779" s="16"/>
      <c r="E779" s="16"/>
      <c r="F779" s="16"/>
      <c r="G779" s="16"/>
      <c r="H779" s="16"/>
    </row>
    <row r="780" spans="1:8" ht="12.5">
      <c r="A780" s="24"/>
      <c r="B780" s="17"/>
      <c r="C780" s="24"/>
      <c r="D780" s="16"/>
      <c r="E780" s="16"/>
      <c r="F780" s="16"/>
      <c r="G780" s="16"/>
      <c r="H780" s="16"/>
    </row>
    <row r="781" spans="1:8" ht="12.5">
      <c r="A781" s="24"/>
      <c r="B781" s="17"/>
      <c r="C781" s="24"/>
      <c r="D781" s="16"/>
      <c r="E781" s="16"/>
      <c r="F781" s="16"/>
      <c r="G781" s="16"/>
      <c r="H781" s="16"/>
    </row>
    <row r="782" spans="1:8" ht="12.5">
      <c r="A782" s="24"/>
      <c r="B782" s="17"/>
      <c r="C782" s="24"/>
      <c r="D782" s="16"/>
      <c r="E782" s="16"/>
      <c r="F782" s="16"/>
      <c r="G782" s="16"/>
      <c r="H782" s="16"/>
    </row>
    <row r="783" spans="1:8" ht="12.5">
      <c r="A783" s="24"/>
      <c r="B783" s="17"/>
      <c r="C783" s="24"/>
      <c r="D783" s="16"/>
      <c r="E783" s="16"/>
      <c r="F783" s="16"/>
      <c r="G783" s="16"/>
      <c r="H783" s="16"/>
    </row>
    <row r="784" spans="1:8" ht="12.5">
      <c r="A784" s="24"/>
      <c r="B784" s="17"/>
      <c r="C784" s="24"/>
      <c r="D784" s="16"/>
      <c r="E784" s="16"/>
      <c r="F784" s="16"/>
      <c r="G784" s="16"/>
      <c r="H784" s="16"/>
    </row>
    <row r="785" spans="1:8" ht="12.5">
      <c r="A785" s="24"/>
      <c r="B785" s="17"/>
      <c r="C785" s="24"/>
      <c r="D785" s="16"/>
      <c r="E785" s="16"/>
      <c r="F785" s="16"/>
      <c r="G785" s="16"/>
      <c r="H785" s="16"/>
    </row>
    <row r="786" spans="1:8" ht="12.5">
      <c r="A786" s="24"/>
      <c r="B786" s="17"/>
      <c r="C786" s="24"/>
      <c r="D786" s="16"/>
      <c r="E786" s="16"/>
      <c r="F786" s="16"/>
      <c r="G786" s="16"/>
      <c r="H786" s="16"/>
    </row>
    <row r="787" spans="1:8" ht="12.5">
      <c r="A787" s="24"/>
      <c r="B787" s="17"/>
      <c r="C787" s="24"/>
      <c r="D787" s="16"/>
      <c r="E787" s="16"/>
      <c r="F787" s="16"/>
      <c r="G787" s="16"/>
      <c r="H787" s="16"/>
    </row>
    <row r="788" spans="1:8" ht="12.5">
      <c r="A788" s="24"/>
      <c r="B788" s="17"/>
      <c r="C788" s="24"/>
      <c r="D788" s="16"/>
      <c r="E788" s="16"/>
      <c r="F788" s="16"/>
      <c r="G788" s="16"/>
      <c r="H788" s="16"/>
    </row>
    <row r="789" spans="1:8" ht="12.5">
      <c r="A789" s="24"/>
      <c r="B789" s="17"/>
      <c r="C789" s="24"/>
      <c r="D789" s="16"/>
      <c r="E789" s="16"/>
      <c r="F789" s="16"/>
      <c r="G789" s="16"/>
      <c r="H789" s="16"/>
    </row>
    <row r="790" spans="1:8" ht="12.5">
      <c r="A790" s="24"/>
      <c r="B790" s="17"/>
      <c r="C790" s="24"/>
      <c r="D790" s="16"/>
      <c r="E790" s="16"/>
      <c r="F790" s="16"/>
      <c r="G790" s="16"/>
      <c r="H790" s="16"/>
    </row>
    <row r="791" spans="1:8" ht="12.5">
      <c r="A791" s="24"/>
      <c r="B791" s="17"/>
      <c r="C791" s="24"/>
      <c r="D791" s="16"/>
      <c r="E791" s="16"/>
      <c r="F791" s="16"/>
      <c r="G791" s="16"/>
      <c r="H791" s="16"/>
    </row>
    <row r="792" spans="1:8" ht="12.5">
      <c r="A792" s="24"/>
      <c r="B792" s="17"/>
      <c r="C792" s="24"/>
      <c r="D792" s="16"/>
      <c r="E792" s="16"/>
      <c r="F792" s="16"/>
      <c r="G792" s="16"/>
      <c r="H792" s="16"/>
    </row>
    <row r="793" spans="1:8" ht="12.5">
      <c r="A793" s="24"/>
      <c r="B793" s="17"/>
      <c r="C793" s="24"/>
      <c r="D793" s="16"/>
      <c r="E793" s="16"/>
      <c r="F793" s="16"/>
      <c r="G793" s="16"/>
      <c r="H793" s="16"/>
    </row>
    <row r="794" spans="1:8" ht="12.5">
      <c r="A794" s="24"/>
      <c r="B794" s="17"/>
      <c r="C794" s="24"/>
      <c r="D794" s="16"/>
      <c r="E794" s="16"/>
      <c r="F794" s="16"/>
      <c r="G794" s="16"/>
      <c r="H794" s="16"/>
    </row>
    <row r="795" spans="1:8" ht="12.5">
      <c r="A795" s="24"/>
      <c r="B795" s="17"/>
      <c r="C795" s="24"/>
      <c r="D795" s="16"/>
      <c r="E795" s="16"/>
      <c r="F795" s="16"/>
      <c r="G795" s="16"/>
      <c r="H795" s="16"/>
    </row>
    <row r="796" spans="1:8" ht="12.5">
      <c r="A796" s="24"/>
      <c r="B796" s="17"/>
      <c r="C796" s="24"/>
      <c r="D796" s="16"/>
      <c r="E796" s="16"/>
      <c r="F796" s="16"/>
      <c r="G796" s="16"/>
      <c r="H796" s="16"/>
    </row>
    <row r="797" spans="1:8" ht="12.5">
      <c r="A797" s="24"/>
      <c r="B797" s="17"/>
      <c r="C797" s="24"/>
      <c r="D797" s="16"/>
      <c r="E797" s="16"/>
      <c r="F797" s="16"/>
      <c r="G797" s="16"/>
      <c r="H797" s="16"/>
    </row>
    <row r="798" spans="1:8" ht="12.5">
      <c r="A798" s="24"/>
      <c r="B798" s="17"/>
      <c r="C798" s="24"/>
      <c r="D798" s="16"/>
      <c r="E798" s="16"/>
      <c r="F798" s="16"/>
      <c r="G798" s="16"/>
      <c r="H798" s="16"/>
    </row>
    <row r="799" spans="1:8" ht="12.5">
      <c r="A799" s="24"/>
      <c r="B799" s="17"/>
      <c r="C799" s="24"/>
      <c r="D799" s="16"/>
      <c r="E799" s="16"/>
      <c r="F799" s="16"/>
      <c r="G799" s="16"/>
      <c r="H799" s="16"/>
    </row>
    <row r="800" spans="1:8" ht="12.5">
      <c r="A800" s="24"/>
      <c r="B800" s="17"/>
      <c r="C800" s="24"/>
      <c r="D800" s="16"/>
      <c r="E800" s="16"/>
      <c r="F800" s="16"/>
      <c r="G800" s="16"/>
      <c r="H800" s="16"/>
    </row>
    <row r="801" spans="1:8" ht="12.5">
      <c r="A801" s="24"/>
      <c r="B801" s="17"/>
      <c r="C801" s="24"/>
      <c r="D801" s="16"/>
      <c r="E801" s="16"/>
      <c r="F801" s="16"/>
      <c r="G801" s="16"/>
      <c r="H801" s="16"/>
    </row>
    <row r="802" spans="1:8" ht="12.5">
      <c r="A802" s="24"/>
      <c r="B802" s="17"/>
      <c r="C802" s="24"/>
      <c r="D802" s="16"/>
      <c r="E802" s="16"/>
      <c r="F802" s="16"/>
      <c r="G802" s="16"/>
      <c r="H802" s="16"/>
    </row>
    <row r="803" spans="1:8" ht="12.5">
      <c r="A803" s="24"/>
      <c r="B803" s="17"/>
      <c r="C803" s="24"/>
      <c r="D803" s="16"/>
      <c r="E803" s="37" t="str">
        <f ca="1">IFERROR(__xludf.DUMMYFUNCTION("IMPORTRANGE(""https://docs.google.com/spreadsheets/d/1ghPq2GXSRxm4-7nokWB-4NeQT5BT6DZC88IPWta5RGM/edit#gid=188114201"",""#11 Juan Carlos!A11:A80"")"),"CODI")</f>
        <v>CODI</v>
      </c>
      <c r="F803" s="37" t="str">
        <f ca="1">IFERROR(__xludf.DUMMYFUNCTION("IMPORTRANGE(""https://docs.google.com/spreadsheets/d/1ghPq2GXSRxm4-7nokWB-4NeQT5BT6DZC88IPWta5RGM/edit#gid=188114201"",""#11 Juan Carlos!I11:K80"")"),"Expense Type")</f>
        <v>Expense Type</v>
      </c>
      <c r="G803" s="16" t="str">
        <f ca="1">IFERROR(__xludf.DUMMYFUNCTION("""COMPUTED_VALUE"""),"DESCRIPCION DEL CARGO")</f>
        <v>DESCRIPCION DEL CARGO</v>
      </c>
      <c r="H803" s="16" t="str">
        <f ca="1">IFERROR(__xludf.DUMMYFUNCTION("""COMPUTED_VALUE"""),"FOLIO DE FACTURA")</f>
        <v>FOLIO DE FACTURA</v>
      </c>
    </row>
    <row r="804" spans="1:8" ht="12.5">
      <c r="A804" s="24"/>
      <c r="B804" s="17"/>
      <c r="C804" s="24"/>
      <c r="D804" s="16"/>
      <c r="E804" s="16" t="str">
        <f ca="1">IFERROR(__xludf.DUMMYFUNCTION("""COMPUTED_VALUE"""),"#N/A")</f>
        <v>#N/A</v>
      </c>
      <c r="F804" s="16" t="str">
        <f ca="1">IFERROR(__xludf.DUMMYFUNCTION("""COMPUTED_VALUE"""),"Transaction cost")</f>
        <v>Transaction cost</v>
      </c>
      <c r="G804" s="16" t="str">
        <f ca="1">IFERROR(__xludf.DUMMYFUNCTION("""COMPUTED_VALUE"""),"RFQ-820 Radio Flyer Compra de muestras")</f>
        <v>RFQ-820 Radio Flyer Compra de muestras</v>
      </c>
      <c r="H804" s="16"/>
    </row>
    <row r="805" spans="1:8" ht="12.5">
      <c r="A805" s="24"/>
      <c r="B805" s="17"/>
      <c r="C805" s="24"/>
      <c r="D805" s="16"/>
      <c r="E805" s="16"/>
      <c r="F805" s="16" t="str">
        <f ca="1">IFERROR(__xludf.DUMMYFUNCTION("""COMPUTED_VALUE"""),"Transaction cost")</f>
        <v>Transaction cost</v>
      </c>
      <c r="G805" s="16" t="str">
        <f ca="1">IFERROR(__xludf.DUMMYFUNCTION("""COMPUTED_VALUE"""),"RFQ-820 Radio Flyer visita a proveedores PU TAG")</f>
        <v>RFQ-820 Radio Flyer visita a proveedores PU TAG</v>
      </c>
      <c r="H805" s="16"/>
    </row>
    <row r="806" spans="1:8" ht="12.5">
      <c r="A806" s="24"/>
      <c r="B806" s="17"/>
      <c r="C806" s="24"/>
      <c r="D806" s="16"/>
      <c r="E806" s="16"/>
      <c r="F806" s="16" t="str">
        <f ca="1">IFERROR(__xludf.DUMMYFUNCTION("""COMPUTED_VALUE"""),"Transaction cost")</f>
        <v>Transaction cost</v>
      </c>
      <c r="G806" s="16" t="str">
        <f ca="1">IFERROR(__xludf.DUMMYFUNCTION("""COMPUTED_VALUE"""),"RFQ-903 Comida")</f>
        <v>RFQ-903 Comida</v>
      </c>
      <c r="H806" s="16" t="str">
        <f ca="1">IFERROR(__xludf.DUMMYFUNCTION("""COMPUTED_VALUE"""),"A-4981")</f>
        <v>A-4981</v>
      </c>
    </row>
    <row r="807" spans="1:8" ht="12.5">
      <c r="A807" s="24"/>
      <c r="B807" s="17"/>
      <c r="C807" s="24"/>
      <c r="D807" s="16"/>
      <c r="E807" s="16"/>
      <c r="F807" s="16" t="str">
        <f ca="1">IFERROR(__xludf.DUMMYFUNCTION("""COMPUTED_VALUE"""),"Transaction cost")</f>
        <v>Transaction cost</v>
      </c>
      <c r="G807" s="16" t="str">
        <f ca="1">IFERROR(__xludf.DUMMYFUNCTION("""COMPUTED_VALUE"""),"RFQ-820 Radio Flyer visita a proveedores PU Gasolina")</f>
        <v>RFQ-820 Radio Flyer visita a proveedores PU Gasolina</v>
      </c>
      <c r="H807" s="16"/>
    </row>
    <row r="808" spans="1:8" ht="12.5">
      <c r="A808" s="24"/>
      <c r="B808" s="17"/>
      <c r="C808" s="24"/>
      <c r="D808" s="16"/>
      <c r="E808" s="16"/>
      <c r="F808" s="16" t="str">
        <f ca="1">IFERROR(__xludf.DUMMYFUNCTION("""COMPUTED_VALUE"""),"Transaction cost")</f>
        <v>Transaction cost</v>
      </c>
      <c r="G808" s="16" t="str">
        <f ca="1">IFERROR(__xludf.DUMMYFUNCTION("""COMPUTED_VALUE"""),"RFQ-903 Gasolina")</f>
        <v>RFQ-903 Gasolina</v>
      </c>
      <c r="H808" s="16"/>
    </row>
    <row r="809" spans="1:8" ht="12.5">
      <c r="A809" s="24"/>
      <c r="B809" s="17"/>
      <c r="C809" s="24"/>
      <c r="D809" s="16"/>
      <c r="E809" s="16"/>
      <c r="F809" s="16" t="str">
        <f ca="1">IFERROR(__xludf.DUMMYFUNCTION("""COMPUTED_VALUE"""),"Transaction cost")</f>
        <v>Transaction cost</v>
      </c>
      <c r="G809" s="16" t="str">
        <f ca="1">IFERROR(__xludf.DUMMYFUNCTION("""COMPUTED_VALUE"""),"RFQ-903 Comida")</f>
        <v>RFQ-903 Comida</v>
      </c>
      <c r="H809" s="16"/>
    </row>
    <row r="810" spans="1:8" ht="12.5">
      <c r="A810" s="24"/>
      <c r="B810" s="17"/>
      <c r="C810" s="24"/>
      <c r="D810" s="16"/>
      <c r="E810" s="16"/>
      <c r="F810" s="16" t="str">
        <f ca="1">IFERROR(__xludf.DUMMYFUNCTION("""COMPUTED_VALUE"""),"Transaction cost")</f>
        <v>Transaction cost</v>
      </c>
      <c r="G810" s="16" t="str">
        <f ca="1">IFERROR(__xludf.DUMMYFUNCTION("""COMPUTED_VALUE"""),"RFQ-903 Gasolina")</f>
        <v>RFQ-903 Gasolina</v>
      </c>
      <c r="H810" s="16"/>
    </row>
    <row r="811" spans="1:8" ht="12.5">
      <c r="A811" s="24"/>
      <c r="B811" s="17"/>
      <c r="C811" s="24"/>
      <c r="D811" s="16"/>
      <c r="E811" s="16"/>
      <c r="F811" s="16" t="str">
        <f ca="1">IFERROR(__xludf.DUMMYFUNCTION("""COMPUTED_VALUE"""),"Transaction cost")</f>
        <v>Transaction cost</v>
      </c>
      <c r="G811" s="16"/>
      <c r="H811" s="16"/>
    </row>
    <row r="812" spans="1:8" ht="12.5">
      <c r="A812" s="24"/>
      <c r="B812" s="17"/>
      <c r="C812" s="24"/>
      <c r="D812" s="16"/>
      <c r="E812" s="16"/>
      <c r="F812" s="16" t="str">
        <f ca="1">IFERROR(__xludf.DUMMYFUNCTION("""COMPUTED_VALUE"""),"Transaction cost")</f>
        <v>Transaction cost</v>
      </c>
      <c r="G812" s="16"/>
      <c r="H812" s="16"/>
    </row>
    <row r="813" spans="1:8" ht="12.5">
      <c r="A813" s="24"/>
      <c r="B813" s="17"/>
      <c r="C813" s="24"/>
      <c r="D813" s="16"/>
      <c r="E813" s="16"/>
      <c r="F813" s="16" t="str">
        <f ca="1">IFERROR(__xludf.DUMMYFUNCTION("""COMPUTED_VALUE"""),"Transaction cost")</f>
        <v>Transaction cost</v>
      </c>
      <c r="G813" s="16"/>
      <c r="H813" s="16"/>
    </row>
    <row r="814" spans="1:8" ht="12.5">
      <c r="A814" s="24"/>
      <c r="B814" s="17"/>
      <c r="C814" s="24"/>
      <c r="D814" s="16"/>
      <c r="E814" s="16"/>
      <c r="F814" s="16" t="str">
        <f ca="1">IFERROR(__xludf.DUMMYFUNCTION("""COMPUTED_VALUE"""),"Transaction cost")</f>
        <v>Transaction cost</v>
      </c>
      <c r="G814" s="16"/>
      <c r="H814" s="16"/>
    </row>
    <row r="815" spans="1:8" ht="12.5">
      <c r="A815" s="24"/>
      <c r="B815" s="17"/>
      <c r="C815" s="24"/>
      <c r="D815" s="16"/>
      <c r="E815" s="16"/>
      <c r="F815" s="16" t="str">
        <f ca="1">IFERROR(__xludf.DUMMYFUNCTION("""COMPUTED_VALUE"""),"Transaction cost")</f>
        <v>Transaction cost</v>
      </c>
      <c r="G815" s="16"/>
      <c r="H815" s="16"/>
    </row>
    <row r="816" spans="1:8" ht="12.5">
      <c r="A816" s="24"/>
      <c r="B816" s="17"/>
      <c r="C816" s="24"/>
      <c r="D816" s="16"/>
      <c r="E816" s="16"/>
      <c r="F816" s="16" t="str">
        <f ca="1">IFERROR(__xludf.DUMMYFUNCTION("""COMPUTED_VALUE"""),"Transaction cost")</f>
        <v>Transaction cost</v>
      </c>
      <c r="G816" s="16"/>
      <c r="H816" s="16"/>
    </row>
    <row r="817" spans="1:8" ht="12.5">
      <c r="A817" s="24"/>
      <c r="B817" s="17"/>
      <c r="C817" s="24"/>
      <c r="D817" s="16"/>
      <c r="E817" s="16"/>
      <c r="F817" s="16" t="str">
        <f ca="1">IFERROR(__xludf.DUMMYFUNCTION("""COMPUTED_VALUE"""),"Transaction cost")</f>
        <v>Transaction cost</v>
      </c>
      <c r="G817" s="16"/>
      <c r="H817" s="16"/>
    </row>
    <row r="818" spans="1:8" ht="12.5">
      <c r="A818" s="24"/>
      <c r="B818" s="17"/>
      <c r="C818" s="24"/>
      <c r="D818" s="16"/>
      <c r="E818" s="16"/>
      <c r="F818" s="16" t="str">
        <f ca="1">IFERROR(__xludf.DUMMYFUNCTION("""COMPUTED_VALUE"""),"Transaction cost")</f>
        <v>Transaction cost</v>
      </c>
      <c r="G818" s="16"/>
      <c r="H818" s="16"/>
    </row>
    <row r="819" spans="1:8" ht="12.5">
      <c r="A819" s="24"/>
      <c r="B819" s="17"/>
      <c r="C819" s="24"/>
      <c r="D819" s="16"/>
      <c r="E819" s="16"/>
      <c r="F819" s="16" t="str">
        <f ca="1">IFERROR(__xludf.DUMMYFUNCTION("""COMPUTED_VALUE"""),"Transaction cost")</f>
        <v>Transaction cost</v>
      </c>
      <c r="G819" s="16"/>
      <c r="H819" s="16"/>
    </row>
    <row r="820" spans="1:8" ht="12.5">
      <c r="A820" s="24"/>
      <c r="B820" s="17"/>
      <c r="C820" s="24"/>
      <c r="D820" s="16"/>
      <c r="E820" s="16"/>
      <c r="F820" s="16" t="str">
        <f ca="1">IFERROR(__xludf.DUMMYFUNCTION("""COMPUTED_VALUE"""),"Transaction cost")</f>
        <v>Transaction cost</v>
      </c>
      <c r="G820" s="16"/>
      <c r="H820" s="16"/>
    </row>
    <row r="821" spans="1:8" ht="12.5">
      <c r="A821" s="24"/>
      <c r="B821" s="17"/>
      <c r="C821" s="24"/>
      <c r="D821" s="16"/>
      <c r="E821" s="16"/>
      <c r="F821" s="16" t="str">
        <f ca="1">IFERROR(__xludf.DUMMYFUNCTION("""COMPUTED_VALUE"""),"Transaction cost")</f>
        <v>Transaction cost</v>
      </c>
      <c r="G821" s="16"/>
      <c r="H821" s="16"/>
    </row>
    <row r="822" spans="1:8" ht="12.5">
      <c r="A822" s="24"/>
      <c r="B822" s="17"/>
      <c r="C822" s="24"/>
      <c r="D822" s="16"/>
      <c r="E822" s="16"/>
      <c r="F822" s="16" t="str">
        <f ca="1">IFERROR(__xludf.DUMMYFUNCTION("""COMPUTED_VALUE"""),"Transaction cost")</f>
        <v>Transaction cost</v>
      </c>
      <c r="G822" s="16"/>
      <c r="H822" s="16"/>
    </row>
    <row r="823" spans="1:8" ht="12.5">
      <c r="A823" s="24"/>
      <c r="B823" s="17"/>
      <c r="C823" s="24"/>
      <c r="D823" s="16"/>
      <c r="E823" s="16"/>
      <c r="F823" s="16" t="str">
        <f ca="1">IFERROR(__xludf.DUMMYFUNCTION("""COMPUTED_VALUE"""),"Transaction cost")</f>
        <v>Transaction cost</v>
      </c>
      <c r="G823" s="16"/>
      <c r="H823" s="16"/>
    </row>
    <row r="824" spans="1:8" ht="12.5">
      <c r="A824" s="24"/>
      <c r="B824" s="17"/>
      <c r="C824" s="24"/>
      <c r="D824" s="16"/>
      <c r="E824" s="16"/>
      <c r="F824" s="16" t="str">
        <f ca="1">IFERROR(__xludf.DUMMYFUNCTION("""COMPUTED_VALUE"""),"Transaction cost")</f>
        <v>Transaction cost</v>
      </c>
      <c r="G824" s="16"/>
      <c r="H824" s="16"/>
    </row>
    <row r="825" spans="1:8" ht="12.5">
      <c r="A825" s="24"/>
      <c r="B825" s="17"/>
      <c r="C825" s="24"/>
      <c r="D825" s="16"/>
      <c r="E825" s="16"/>
      <c r="F825" s="16" t="str">
        <f ca="1">IFERROR(__xludf.DUMMYFUNCTION("""COMPUTED_VALUE"""),"Transaction cost")</f>
        <v>Transaction cost</v>
      </c>
      <c r="G825" s="16"/>
      <c r="H825" s="16"/>
    </row>
    <row r="826" spans="1:8" ht="12.5">
      <c r="A826" s="24"/>
      <c r="B826" s="17"/>
      <c r="C826" s="24"/>
      <c r="D826" s="16"/>
      <c r="E826" s="16"/>
      <c r="F826" s="16" t="str">
        <f ca="1">IFERROR(__xludf.DUMMYFUNCTION("""COMPUTED_VALUE"""),"Transaction cost")</f>
        <v>Transaction cost</v>
      </c>
      <c r="G826" s="16"/>
      <c r="H826" s="16"/>
    </row>
    <row r="827" spans="1:8" ht="12.5">
      <c r="A827" s="24"/>
      <c r="B827" s="17"/>
      <c r="C827" s="24"/>
      <c r="D827" s="16"/>
      <c r="E827" s="16"/>
      <c r="F827" s="16" t="str">
        <f ca="1">IFERROR(__xludf.DUMMYFUNCTION("""COMPUTED_VALUE"""),"Transaction cost")</f>
        <v>Transaction cost</v>
      </c>
      <c r="G827" s="16"/>
      <c r="H827" s="16"/>
    </row>
    <row r="828" spans="1:8" ht="12.5">
      <c r="A828" s="24"/>
      <c r="B828" s="17"/>
      <c r="C828" s="24"/>
      <c r="D828" s="16"/>
      <c r="E828" s="16"/>
      <c r="F828" s="16" t="str">
        <f ca="1">IFERROR(__xludf.DUMMYFUNCTION("""COMPUTED_VALUE"""),"Transaction cost")</f>
        <v>Transaction cost</v>
      </c>
      <c r="G828" s="16"/>
      <c r="H828" s="16"/>
    </row>
    <row r="829" spans="1:8" ht="12.5">
      <c r="A829" s="24"/>
      <c r="B829" s="17"/>
      <c r="C829" s="24"/>
      <c r="D829" s="16"/>
      <c r="E829" s="16"/>
      <c r="F829" s="16" t="str">
        <f ca="1">IFERROR(__xludf.DUMMYFUNCTION("""COMPUTED_VALUE"""),"Transaction cost")</f>
        <v>Transaction cost</v>
      </c>
      <c r="G829" s="16"/>
      <c r="H829" s="16"/>
    </row>
    <row r="830" spans="1:8" ht="12.5">
      <c r="A830" s="24"/>
      <c r="B830" s="17"/>
      <c r="C830" s="24"/>
      <c r="D830" s="16"/>
      <c r="E830" s="16"/>
      <c r="F830" s="16" t="str">
        <f ca="1">IFERROR(__xludf.DUMMYFUNCTION("""COMPUTED_VALUE"""),"Transaction cost")</f>
        <v>Transaction cost</v>
      </c>
      <c r="G830" s="16"/>
      <c r="H830" s="16" t="str">
        <f ca="1">IFERROR(__xludf.DUMMYFUNCTION("""COMPUTED_VALUE"""),".")</f>
        <v>.</v>
      </c>
    </row>
    <row r="831" spans="1:8" ht="12.5">
      <c r="A831" s="24"/>
      <c r="B831" s="17"/>
      <c r="C831" s="24"/>
      <c r="D831" s="16"/>
      <c r="E831" s="16"/>
      <c r="F831" s="16" t="str">
        <f ca="1">IFERROR(__xludf.DUMMYFUNCTION("""COMPUTED_VALUE"""),"Transaction cost")</f>
        <v>Transaction cost</v>
      </c>
      <c r="G831" s="16"/>
      <c r="H831" s="16" t="str">
        <f ca="1">IFERROR(__xludf.DUMMYFUNCTION("""COMPUTED_VALUE"""),".")</f>
        <v>.</v>
      </c>
    </row>
    <row r="832" spans="1:8" ht="12.5">
      <c r="A832" s="24"/>
      <c r="B832" s="17"/>
      <c r="C832" s="24"/>
      <c r="D832" s="16"/>
      <c r="E832" s="16"/>
      <c r="F832" s="16" t="str">
        <f ca="1">IFERROR(__xludf.DUMMYFUNCTION("""COMPUTED_VALUE"""),"Transaction cost")</f>
        <v>Transaction cost</v>
      </c>
      <c r="G832" s="16"/>
      <c r="H832" s="16" t="str">
        <f ca="1">IFERROR(__xludf.DUMMYFUNCTION("""COMPUTED_VALUE"""),".")</f>
        <v>.</v>
      </c>
    </row>
    <row r="833" spans="1:8" ht="12.5">
      <c r="A833" s="24"/>
      <c r="B833" s="17"/>
      <c r="C833" s="24"/>
      <c r="D833" s="16"/>
      <c r="E833" s="16"/>
      <c r="F833" s="16" t="str">
        <f ca="1">IFERROR(__xludf.DUMMYFUNCTION("""COMPUTED_VALUE"""),"Transaction cost")</f>
        <v>Transaction cost</v>
      </c>
      <c r="G833" s="16"/>
      <c r="H833" s="16" t="str">
        <f ca="1">IFERROR(__xludf.DUMMYFUNCTION("""COMPUTED_VALUE"""),".")</f>
        <v>.</v>
      </c>
    </row>
    <row r="834" spans="1:8" ht="12.5">
      <c r="A834" s="24"/>
      <c r="B834" s="17"/>
      <c r="C834" s="24"/>
      <c r="D834" s="16"/>
      <c r="E834" s="16"/>
      <c r="F834" s="16" t="str">
        <f ca="1">IFERROR(__xludf.DUMMYFUNCTION("""COMPUTED_VALUE"""),"Transaction cost")</f>
        <v>Transaction cost</v>
      </c>
      <c r="G834" s="16"/>
      <c r="H834" s="16" t="str">
        <f ca="1">IFERROR(__xludf.DUMMYFUNCTION("""COMPUTED_VALUE"""),".")</f>
        <v>.</v>
      </c>
    </row>
    <row r="835" spans="1:8" ht="12.5">
      <c r="A835" s="24"/>
      <c r="B835" s="17"/>
      <c r="C835" s="24"/>
      <c r="D835" s="16"/>
      <c r="E835" s="16"/>
      <c r="F835" s="16" t="str">
        <f ca="1">IFERROR(__xludf.DUMMYFUNCTION("""COMPUTED_VALUE"""),"Transaction cost")</f>
        <v>Transaction cost</v>
      </c>
      <c r="G835" s="16"/>
      <c r="H835" s="16" t="str">
        <f ca="1">IFERROR(__xludf.DUMMYFUNCTION("""COMPUTED_VALUE"""),".")</f>
        <v>.</v>
      </c>
    </row>
    <row r="836" spans="1:8" ht="12.5">
      <c r="A836" s="24"/>
      <c r="B836" s="17"/>
      <c r="C836" s="24"/>
      <c r="D836" s="16"/>
      <c r="E836" s="16"/>
      <c r="F836" s="16" t="str">
        <f ca="1">IFERROR(__xludf.DUMMYFUNCTION("""COMPUTED_VALUE"""),"Transaction cost")</f>
        <v>Transaction cost</v>
      </c>
      <c r="G836" s="16"/>
      <c r="H836" s="16" t="str">
        <f ca="1">IFERROR(__xludf.DUMMYFUNCTION("""COMPUTED_VALUE"""),".")</f>
        <v>.</v>
      </c>
    </row>
    <row r="837" spans="1:8" ht="12.5">
      <c r="A837" s="24"/>
      <c r="B837" s="17"/>
      <c r="C837" s="24"/>
      <c r="D837" s="16"/>
      <c r="E837" s="16"/>
      <c r="F837" s="16" t="str">
        <f ca="1">IFERROR(__xludf.DUMMYFUNCTION("""COMPUTED_VALUE"""),"Transaction cost")</f>
        <v>Transaction cost</v>
      </c>
      <c r="G837" s="16"/>
      <c r="H837" s="16" t="str">
        <f ca="1">IFERROR(__xludf.DUMMYFUNCTION("""COMPUTED_VALUE"""),".")</f>
        <v>.</v>
      </c>
    </row>
    <row r="838" spans="1:8" ht="12.5">
      <c r="A838" s="24"/>
      <c r="B838" s="17"/>
      <c r="C838" s="24"/>
      <c r="D838" s="16"/>
      <c r="E838" s="16"/>
      <c r="F838" s="16" t="str">
        <f ca="1">IFERROR(__xludf.DUMMYFUNCTION("""COMPUTED_VALUE"""),"Transaction cost")</f>
        <v>Transaction cost</v>
      </c>
      <c r="G838" s="16"/>
      <c r="H838" s="16" t="str">
        <f ca="1">IFERROR(__xludf.DUMMYFUNCTION("""COMPUTED_VALUE"""),".")</f>
        <v>.</v>
      </c>
    </row>
    <row r="839" spans="1:8" ht="12.5">
      <c r="A839" s="24"/>
      <c r="B839" s="17"/>
      <c r="C839" s="24"/>
      <c r="D839" s="16"/>
      <c r="E839" s="16"/>
      <c r="F839" s="16" t="str">
        <f ca="1">IFERROR(__xludf.DUMMYFUNCTION("""COMPUTED_VALUE"""),"Transaction cost")</f>
        <v>Transaction cost</v>
      </c>
      <c r="G839" s="16"/>
      <c r="H839" s="16" t="str">
        <f ca="1">IFERROR(__xludf.DUMMYFUNCTION("""COMPUTED_VALUE"""),".")</f>
        <v>.</v>
      </c>
    </row>
    <row r="840" spans="1:8" ht="12.5">
      <c r="A840" s="24"/>
      <c r="B840" s="17"/>
      <c r="C840" s="24"/>
      <c r="D840" s="16"/>
      <c r="E840" s="16"/>
      <c r="F840" s="16" t="str">
        <f ca="1">IFERROR(__xludf.DUMMYFUNCTION("""COMPUTED_VALUE"""),"Transaction cost")</f>
        <v>Transaction cost</v>
      </c>
      <c r="G840" s="16"/>
      <c r="H840" s="16" t="str">
        <f ca="1">IFERROR(__xludf.DUMMYFUNCTION("""COMPUTED_VALUE"""),".")</f>
        <v>.</v>
      </c>
    </row>
    <row r="841" spans="1:8" ht="12.5">
      <c r="A841" s="24"/>
      <c r="B841" s="17"/>
      <c r="C841" s="24"/>
      <c r="D841" s="16"/>
      <c r="E841" s="16"/>
      <c r="F841" s="16" t="str">
        <f ca="1">IFERROR(__xludf.DUMMYFUNCTION("""COMPUTED_VALUE"""),"Transaction cost")</f>
        <v>Transaction cost</v>
      </c>
      <c r="G841" s="16"/>
      <c r="H841" s="16" t="str">
        <f ca="1">IFERROR(__xludf.DUMMYFUNCTION("""COMPUTED_VALUE"""),".")</f>
        <v>.</v>
      </c>
    </row>
    <row r="842" spans="1:8" ht="12.5">
      <c r="A842" s="24"/>
      <c r="B842" s="17"/>
      <c r="C842" s="24"/>
      <c r="D842" s="16"/>
      <c r="E842" s="16"/>
      <c r="F842" s="16" t="str">
        <f ca="1">IFERROR(__xludf.DUMMYFUNCTION("""COMPUTED_VALUE"""),"Transaction cost")</f>
        <v>Transaction cost</v>
      </c>
      <c r="G842" s="16"/>
      <c r="H842" s="16" t="str">
        <f ca="1">IFERROR(__xludf.DUMMYFUNCTION("""COMPUTED_VALUE"""),".")</f>
        <v>.</v>
      </c>
    </row>
    <row r="843" spans="1:8" ht="12.5">
      <c r="A843" s="24"/>
      <c r="B843" s="17"/>
      <c r="C843" s="24"/>
      <c r="D843" s="16"/>
      <c r="E843" s="16"/>
      <c r="F843" s="16" t="str">
        <f ca="1">IFERROR(__xludf.DUMMYFUNCTION("""COMPUTED_VALUE"""),"Transaction cost")</f>
        <v>Transaction cost</v>
      </c>
      <c r="G843" s="16"/>
      <c r="H843" s="16" t="str">
        <f ca="1">IFERROR(__xludf.DUMMYFUNCTION("""COMPUTED_VALUE"""),".")</f>
        <v>.</v>
      </c>
    </row>
    <row r="844" spans="1:8" ht="12.5">
      <c r="A844" s="24"/>
      <c r="B844" s="17"/>
      <c r="C844" s="24"/>
      <c r="D844" s="16"/>
      <c r="E844" s="16"/>
      <c r="F844" s="16" t="str">
        <f ca="1">IFERROR(__xludf.DUMMYFUNCTION("""COMPUTED_VALUE"""),"Transaction cost")</f>
        <v>Transaction cost</v>
      </c>
      <c r="G844" s="16"/>
      <c r="H844" s="16" t="str">
        <f ca="1">IFERROR(__xludf.DUMMYFUNCTION("""COMPUTED_VALUE"""),".")</f>
        <v>.</v>
      </c>
    </row>
    <row r="845" spans="1:8" ht="12.5">
      <c r="A845" s="24"/>
      <c r="B845" s="17"/>
      <c r="C845" s="24"/>
      <c r="D845" s="16"/>
      <c r="E845" s="16"/>
      <c r="F845" s="16" t="str">
        <f ca="1">IFERROR(__xludf.DUMMYFUNCTION("""COMPUTED_VALUE"""),"Transaction cost")</f>
        <v>Transaction cost</v>
      </c>
      <c r="G845" s="16"/>
      <c r="H845" s="16" t="str">
        <f ca="1">IFERROR(__xludf.DUMMYFUNCTION("""COMPUTED_VALUE"""),".")</f>
        <v>.</v>
      </c>
    </row>
    <row r="846" spans="1:8" ht="12.5">
      <c r="A846" s="24"/>
      <c r="B846" s="17"/>
      <c r="C846" s="24"/>
      <c r="D846" s="16"/>
      <c r="E846" s="16"/>
      <c r="F846" s="16" t="str">
        <f ca="1">IFERROR(__xludf.DUMMYFUNCTION("""COMPUTED_VALUE"""),"Transaction cost")</f>
        <v>Transaction cost</v>
      </c>
      <c r="G846" s="16"/>
      <c r="H846" s="16" t="str">
        <f ca="1">IFERROR(__xludf.DUMMYFUNCTION("""COMPUTED_VALUE"""),".")</f>
        <v>.</v>
      </c>
    </row>
    <row r="847" spans="1:8" ht="12.5">
      <c r="A847" s="24"/>
      <c r="B847" s="17"/>
      <c r="C847" s="24"/>
      <c r="D847" s="16"/>
      <c r="E847" s="16"/>
      <c r="F847" s="16" t="str">
        <f ca="1">IFERROR(__xludf.DUMMYFUNCTION("""COMPUTED_VALUE"""),"Transaction cost")</f>
        <v>Transaction cost</v>
      </c>
      <c r="G847" s="16"/>
      <c r="H847" s="16" t="str">
        <f ca="1">IFERROR(__xludf.DUMMYFUNCTION("""COMPUTED_VALUE"""),".")</f>
        <v>.</v>
      </c>
    </row>
    <row r="848" spans="1:8" ht="12.5">
      <c r="A848" s="24"/>
      <c r="B848" s="17"/>
      <c r="C848" s="24"/>
      <c r="D848" s="16"/>
      <c r="E848" s="16"/>
      <c r="F848" s="16" t="str">
        <f ca="1">IFERROR(__xludf.DUMMYFUNCTION("""COMPUTED_VALUE"""),"Transaction cost")</f>
        <v>Transaction cost</v>
      </c>
      <c r="G848" s="16"/>
      <c r="H848" s="16" t="str">
        <f ca="1">IFERROR(__xludf.DUMMYFUNCTION("""COMPUTED_VALUE"""),".")</f>
        <v>.</v>
      </c>
    </row>
    <row r="849" spans="1:8" ht="12.5">
      <c r="A849" s="24"/>
      <c r="B849" s="17"/>
      <c r="C849" s="24"/>
      <c r="D849" s="16"/>
      <c r="E849" s="16"/>
      <c r="F849" s="16" t="str">
        <f ca="1">IFERROR(__xludf.DUMMYFUNCTION("""COMPUTED_VALUE"""),"Transaction cost")</f>
        <v>Transaction cost</v>
      </c>
      <c r="G849" s="16"/>
      <c r="H849" s="16" t="str">
        <f ca="1">IFERROR(__xludf.DUMMYFUNCTION("""COMPUTED_VALUE"""),".")</f>
        <v>.</v>
      </c>
    </row>
    <row r="850" spans="1:8" ht="12.5">
      <c r="A850" s="24"/>
      <c r="B850" s="17"/>
      <c r="C850" s="24"/>
      <c r="D850" s="16"/>
      <c r="E850" s="16"/>
      <c r="F850" s="16" t="str">
        <f ca="1">IFERROR(__xludf.DUMMYFUNCTION("""COMPUTED_VALUE"""),"Transaction cost")</f>
        <v>Transaction cost</v>
      </c>
      <c r="G850" s="16"/>
      <c r="H850" s="16" t="str">
        <f ca="1">IFERROR(__xludf.DUMMYFUNCTION("""COMPUTED_VALUE"""),".")</f>
        <v>.</v>
      </c>
    </row>
    <row r="851" spans="1:8" ht="12.5">
      <c r="A851" s="24"/>
      <c r="B851" s="17"/>
      <c r="C851" s="24"/>
      <c r="D851" s="16"/>
      <c r="E851" s="16"/>
      <c r="F851" s="16" t="str">
        <f ca="1">IFERROR(__xludf.DUMMYFUNCTION("""COMPUTED_VALUE"""),"Transaction cost")</f>
        <v>Transaction cost</v>
      </c>
      <c r="G851" s="16"/>
      <c r="H851" s="16" t="str">
        <f ca="1">IFERROR(__xludf.DUMMYFUNCTION("""COMPUTED_VALUE"""),".")</f>
        <v>.</v>
      </c>
    </row>
    <row r="852" spans="1:8" ht="12.5">
      <c r="A852" s="24"/>
      <c r="B852" s="17"/>
      <c r="C852" s="24"/>
      <c r="D852" s="16"/>
      <c r="E852" s="16"/>
      <c r="F852" s="16" t="str">
        <f ca="1">IFERROR(__xludf.DUMMYFUNCTION("""COMPUTED_VALUE"""),"Transaction cost")</f>
        <v>Transaction cost</v>
      </c>
      <c r="G852" s="16"/>
      <c r="H852" s="16" t="str">
        <f ca="1">IFERROR(__xludf.DUMMYFUNCTION("""COMPUTED_VALUE"""),".")</f>
        <v>.</v>
      </c>
    </row>
    <row r="853" spans="1:8" ht="12.5">
      <c r="A853" s="24"/>
      <c r="B853" s="17"/>
      <c r="C853" s="24"/>
      <c r="D853" s="16"/>
      <c r="E853" s="16"/>
      <c r="F853" s="16" t="str">
        <f ca="1">IFERROR(__xludf.DUMMYFUNCTION("""COMPUTED_VALUE"""),"Transaction cost")</f>
        <v>Transaction cost</v>
      </c>
      <c r="G853" s="16"/>
      <c r="H853" s="16" t="str">
        <f ca="1">IFERROR(__xludf.DUMMYFUNCTION("""COMPUTED_VALUE"""),".")</f>
        <v>.</v>
      </c>
    </row>
    <row r="854" spans="1:8" ht="12.5">
      <c r="A854" s="24"/>
      <c r="B854" s="17"/>
      <c r="C854" s="24"/>
      <c r="D854" s="16"/>
      <c r="E854" s="16"/>
      <c r="F854" s="16" t="str">
        <f ca="1">IFERROR(__xludf.DUMMYFUNCTION("""COMPUTED_VALUE"""),"Transaction cost")</f>
        <v>Transaction cost</v>
      </c>
      <c r="G854" s="16"/>
      <c r="H854" s="16" t="str">
        <f ca="1">IFERROR(__xludf.DUMMYFUNCTION("""COMPUTED_VALUE"""),".")</f>
        <v>.</v>
      </c>
    </row>
    <row r="855" spans="1:8" ht="12.5">
      <c r="A855" s="24"/>
      <c r="B855" s="17"/>
      <c r="C855" s="24"/>
      <c r="D855" s="16"/>
      <c r="E855" s="16"/>
      <c r="F855" s="16"/>
      <c r="G855" s="16"/>
      <c r="H855" s="16" t="str">
        <f ca="1">IFERROR(__xludf.DUMMYFUNCTION("""COMPUTED_VALUE"""),".")</f>
        <v>.</v>
      </c>
    </row>
    <row r="856" spans="1:8" ht="12.5">
      <c r="A856" s="24"/>
      <c r="B856" s="17"/>
      <c r="C856" s="24"/>
      <c r="D856" s="16"/>
      <c r="E856" s="16"/>
      <c r="F856" s="16"/>
      <c r="G856" s="16"/>
      <c r="H856" s="16" t="str">
        <f ca="1">IFERROR(__xludf.DUMMYFUNCTION("""COMPUTED_VALUE"""),".")</f>
        <v>.</v>
      </c>
    </row>
    <row r="857" spans="1:8" ht="12.5">
      <c r="A857" s="24"/>
      <c r="B857" s="17"/>
      <c r="C857" s="24"/>
      <c r="D857" s="16"/>
      <c r="E857" s="16"/>
      <c r="F857" s="16"/>
      <c r="G857" s="16"/>
      <c r="H857" s="16" t="str">
        <f ca="1">IFERROR(__xludf.DUMMYFUNCTION("""COMPUTED_VALUE"""),".")</f>
        <v>.</v>
      </c>
    </row>
    <row r="858" spans="1:8" ht="12.5">
      <c r="A858" s="24"/>
      <c r="B858" s="17"/>
      <c r="C858" s="24"/>
      <c r="D858" s="16"/>
      <c r="E858" s="16"/>
      <c r="F858" s="16"/>
      <c r="G858" s="16"/>
      <c r="H858" s="16" t="str">
        <f ca="1">IFERROR(__xludf.DUMMYFUNCTION("""COMPUTED_VALUE"""),".")</f>
        <v>.</v>
      </c>
    </row>
    <row r="859" spans="1:8" ht="12.5">
      <c r="A859" s="24"/>
      <c r="B859" s="17"/>
      <c r="C859" s="24"/>
      <c r="D859" s="16"/>
      <c r="E859" s="16"/>
      <c r="F859" s="16"/>
      <c r="G859" s="16"/>
      <c r="H859" s="16" t="str">
        <f ca="1">IFERROR(__xludf.DUMMYFUNCTION("""COMPUTED_VALUE"""),".")</f>
        <v>.</v>
      </c>
    </row>
    <row r="860" spans="1:8" ht="12.5">
      <c r="A860" s="24"/>
      <c r="B860" s="17"/>
      <c r="C860" s="24"/>
      <c r="D860" s="16"/>
      <c r="E860" s="16"/>
      <c r="F860" s="16"/>
      <c r="G860" s="16"/>
      <c r="H860" s="16" t="str">
        <f ca="1">IFERROR(__xludf.DUMMYFUNCTION("""COMPUTED_VALUE"""),".")</f>
        <v>.</v>
      </c>
    </row>
    <row r="861" spans="1:8" ht="12.5">
      <c r="A861" s="24"/>
      <c r="B861" s="17"/>
      <c r="C861" s="24"/>
      <c r="D861" s="16"/>
      <c r="E861" s="16"/>
      <c r="F861" s="16"/>
      <c r="G861" s="16"/>
      <c r="H861" s="16" t="str">
        <f ca="1">IFERROR(__xludf.DUMMYFUNCTION("""COMPUTED_VALUE"""),".")</f>
        <v>.</v>
      </c>
    </row>
    <row r="862" spans="1:8" ht="12.5">
      <c r="A862" s="24"/>
      <c r="B862" s="17"/>
      <c r="C862" s="24"/>
      <c r="D862" s="16"/>
      <c r="E862" s="16"/>
      <c r="F862" s="16"/>
      <c r="G862" s="16"/>
      <c r="H862" s="16" t="str">
        <f ca="1">IFERROR(__xludf.DUMMYFUNCTION("""COMPUTED_VALUE"""),".")</f>
        <v>.</v>
      </c>
    </row>
    <row r="863" spans="1:8" ht="12.5">
      <c r="A863" s="24"/>
      <c r="B863" s="17"/>
      <c r="C863" s="24"/>
      <c r="D863" s="16"/>
      <c r="E863" s="16"/>
      <c r="F863" s="16"/>
      <c r="G863" s="16"/>
      <c r="H863" s="16" t="str">
        <f ca="1">IFERROR(__xludf.DUMMYFUNCTION("""COMPUTED_VALUE"""),".")</f>
        <v>.</v>
      </c>
    </row>
    <row r="864" spans="1:8" ht="12.5">
      <c r="A864" s="24"/>
      <c r="B864" s="17"/>
      <c r="C864" s="24"/>
      <c r="D864" s="16"/>
      <c r="E864" s="16"/>
      <c r="F864" s="16"/>
      <c r="G864" s="16"/>
      <c r="H864" s="16" t="str">
        <f ca="1">IFERROR(__xludf.DUMMYFUNCTION("""COMPUTED_VALUE"""),".")</f>
        <v>.</v>
      </c>
    </row>
    <row r="865" spans="1:8" ht="12.5">
      <c r="A865" s="24"/>
      <c r="B865" s="17"/>
      <c r="C865" s="24"/>
      <c r="D865" s="16"/>
      <c r="E865" s="16"/>
      <c r="F865" s="16"/>
      <c r="G865" s="16"/>
      <c r="H865" s="16" t="str">
        <f ca="1">IFERROR(__xludf.DUMMYFUNCTION("""COMPUTED_VALUE"""),".")</f>
        <v>.</v>
      </c>
    </row>
    <row r="866" spans="1:8" ht="12.5">
      <c r="A866" s="24"/>
      <c r="B866" s="17"/>
      <c r="C866" s="24"/>
      <c r="D866" s="16"/>
      <c r="E866" s="16"/>
      <c r="F866" s="16"/>
      <c r="G866" s="16"/>
      <c r="H866" s="16" t="str">
        <f ca="1">IFERROR(__xludf.DUMMYFUNCTION("""COMPUTED_VALUE"""),".")</f>
        <v>.</v>
      </c>
    </row>
    <row r="867" spans="1:8" ht="12.5">
      <c r="A867" s="24"/>
      <c r="B867" s="17"/>
      <c r="C867" s="24"/>
      <c r="D867" s="16"/>
      <c r="E867" s="16"/>
      <c r="F867" s="16"/>
      <c r="G867" s="16"/>
      <c r="H867" s="16" t="str">
        <f ca="1">IFERROR(__xludf.DUMMYFUNCTION("""COMPUTED_VALUE"""),".")</f>
        <v>.</v>
      </c>
    </row>
    <row r="868" spans="1:8" ht="12.5">
      <c r="A868" s="24"/>
      <c r="B868" s="17"/>
      <c r="C868" s="24"/>
      <c r="D868" s="16"/>
      <c r="E868" s="16"/>
      <c r="F868" s="16"/>
      <c r="G868" s="16"/>
      <c r="H868" s="16" t="str">
        <f ca="1">IFERROR(__xludf.DUMMYFUNCTION("""COMPUTED_VALUE"""),".")</f>
        <v>.</v>
      </c>
    </row>
    <row r="869" spans="1:8" ht="12.5">
      <c r="A869" s="24"/>
      <c r="B869" s="17"/>
      <c r="C869" s="24"/>
      <c r="D869" s="16"/>
      <c r="E869" s="16"/>
      <c r="F869" s="16"/>
      <c r="G869" s="16"/>
      <c r="H869" s="16" t="str">
        <f ca="1">IFERROR(__xludf.DUMMYFUNCTION("""COMPUTED_VALUE"""),".")</f>
        <v>.</v>
      </c>
    </row>
    <row r="870" spans="1:8" ht="12.5">
      <c r="A870" s="24"/>
      <c r="B870" s="17"/>
      <c r="C870" s="24"/>
      <c r="D870" s="16"/>
      <c r="E870" s="16"/>
      <c r="F870" s="16"/>
      <c r="G870" s="16"/>
      <c r="H870" s="16" t="str">
        <f ca="1">IFERROR(__xludf.DUMMYFUNCTION("""COMPUTED_VALUE"""),".")</f>
        <v>.</v>
      </c>
    </row>
    <row r="871" spans="1:8" ht="12.5">
      <c r="A871" s="24"/>
      <c r="B871" s="17"/>
      <c r="C871" s="24"/>
      <c r="D871" s="16"/>
      <c r="E871" s="16"/>
      <c r="F871" s="16"/>
      <c r="G871" s="16"/>
      <c r="H871" s="16" t="str">
        <f ca="1">IFERROR(__xludf.DUMMYFUNCTION("""COMPUTED_VALUE"""),".")</f>
        <v>.</v>
      </c>
    </row>
    <row r="872" spans="1:8" ht="12.5">
      <c r="A872" s="24"/>
      <c r="B872" s="17"/>
      <c r="C872" s="24"/>
      <c r="D872" s="16"/>
      <c r="E872" s="16"/>
      <c r="F872" s="16"/>
      <c r="G872" s="16"/>
      <c r="H872" s="16" t="str">
        <f ca="1">IFERROR(__xludf.DUMMYFUNCTION("""COMPUTED_VALUE"""),".")</f>
        <v>.</v>
      </c>
    </row>
    <row r="873" spans="1:8" ht="12.5">
      <c r="A873" s="24"/>
      <c r="B873" s="17"/>
      <c r="C873" s="24"/>
      <c r="D873" s="16"/>
      <c r="E873" s="16"/>
      <c r="F873" s="16"/>
      <c r="G873" s="16"/>
      <c r="H873" s="16"/>
    </row>
    <row r="874" spans="1:8" ht="12.5">
      <c r="A874" s="24"/>
      <c r="B874" s="17"/>
      <c r="C874" s="24"/>
      <c r="D874" s="16"/>
      <c r="E874" s="16"/>
      <c r="F874" s="16"/>
      <c r="G874" s="16"/>
      <c r="H874" s="16"/>
    </row>
    <row r="875" spans="1:8" ht="12.5">
      <c r="A875" s="24"/>
      <c r="B875" s="17"/>
      <c r="C875" s="24"/>
      <c r="D875" s="16"/>
      <c r="E875" s="16"/>
      <c r="F875" s="16"/>
      <c r="G875" s="16"/>
      <c r="H875" s="16"/>
    </row>
    <row r="876" spans="1:8" ht="12.5">
      <c r="A876" s="24"/>
      <c r="B876" s="17"/>
      <c r="C876" s="24"/>
      <c r="D876" s="16"/>
      <c r="E876" s="16"/>
      <c r="F876" s="16"/>
      <c r="G876" s="16"/>
      <c r="H876" s="16"/>
    </row>
    <row r="877" spans="1:8" ht="12.5">
      <c r="A877" s="24"/>
      <c r="B877" s="17"/>
      <c r="C877" s="24"/>
      <c r="D877" s="16"/>
      <c r="E877" s="16"/>
      <c r="F877" s="16"/>
      <c r="G877" s="16"/>
      <c r="H877" s="16"/>
    </row>
    <row r="878" spans="1:8" ht="12.5">
      <c r="A878" s="24"/>
      <c r="B878" s="17"/>
      <c r="C878" s="24"/>
      <c r="D878" s="16"/>
      <c r="E878" s="16"/>
      <c r="F878" s="16"/>
      <c r="G878" s="16"/>
      <c r="H878" s="16"/>
    </row>
    <row r="879" spans="1:8" ht="12.5">
      <c r="A879" s="24"/>
      <c r="B879" s="17"/>
      <c r="C879" s="24"/>
      <c r="D879" s="16"/>
      <c r="E879" s="16"/>
      <c r="F879" s="16"/>
      <c r="G879" s="16"/>
      <c r="H879" s="16"/>
    </row>
    <row r="880" spans="1:8" ht="12.5">
      <c r="A880" s="24"/>
      <c r="B880" s="17"/>
      <c r="C880" s="24"/>
      <c r="D880" s="16"/>
      <c r="E880" s="16"/>
      <c r="F880" s="16"/>
      <c r="G880" s="16"/>
      <c r="H880" s="16"/>
    </row>
    <row r="881" spans="1:8" ht="12.5">
      <c r="A881" s="24"/>
      <c r="B881" s="17"/>
      <c r="C881" s="24"/>
      <c r="D881" s="16"/>
      <c r="E881" s="16"/>
      <c r="F881" s="16"/>
      <c r="G881" s="16"/>
      <c r="H881" s="16"/>
    </row>
    <row r="882" spans="1:8" ht="12.5">
      <c r="A882" s="24"/>
      <c r="B882" s="17"/>
      <c r="C882" s="24"/>
      <c r="D882" s="16"/>
      <c r="E882" s="16"/>
      <c r="F882" s="16"/>
      <c r="G882" s="16"/>
      <c r="H882" s="16"/>
    </row>
    <row r="883" spans="1:8" ht="12.5">
      <c r="A883" s="24"/>
      <c r="B883" s="17"/>
      <c r="C883" s="24"/>
      <c r="D883" s="16"/>
      <c r="E883" s="37" t="str">
        <f ca="1">IFERROR(__xludf.DUMMYFUNCTION("IMPORTRANGE(""https://docs.google.com/spreadsheets/d/1ghPq2GXSRxm4-7nokWB-4NeQT5BT6DZC88IPWta5RGM/edit#gid=188114201"",""#12 Macarena!A11:A80"")"),"CODI")</f>
        <v>CODI</v>
      </c>
      <c r="F883" s="37" t="str">
        <f ca="1">IFERROR(__xludf.DUMMYFUNCTION("IMPORTRANGE(""https://docs.google.com/spreadsheets/d/1ghPq2GXSRxm4-7nokWB-4NeQT5BT6DZC88IPWta5RGM/edit#gid=188114201"",""#12 Macarena!I11:K80"")"),"Expense Type")</f>
        <v>Expense Type</v>
      </c>
      <c r="G883" s="16" t="str">
        <f ca="1">IFERROR(__xludf.DUMMYFUNCTION("""COMPUTED_VALUE"""),"DESCRIPCION DEL CARGO")</f>
        <v>DESCRIPCION DEL CARGO</v>
      </c>
      <c r="H883" s="16" t="str">
        <f ca="1">IFERROR(__xludf.DUMMYFUNCTION("""COMPUTED_VALUE"""),"FOLIO DE FACTURA")</f>
        <v>FOLIO DE FACTURA</v>
      </c>
    </row>
    <row r="884" spans="1:8" ht="12.5">
      <c r="A884" s="24"/>
      <c r="B884" s="17"/>
      <c r="C884" s="24"/>
      <c r="D884" s="16"/>
      <c r="E884" s="16" t="str">
        <f ca="1">IFERROR(__xludf.DUMMYFUNCTION("""COMPUTED_VALUE"""),"#N/A")</f>
        <v>#N/A</v>
      </c>
      <c r="F884" s="16"/>
      <c r="G884" s="16"/>
      <c r="H884" s="16" t="str">
        <f ca="1">IFERROR(__xludf.DUMMYFUNCTION("""COMPUTED_VALUE"""),".")</f>
        <v>.</v>
      </c>
    </row>
    <row r="885" spans="1:8" ht="12.5">
      <c r="A885" s="24"/>
      <c r="B885" s="17"/>
      <c r="C885" s="24"/>
      <c r="D885" s="16"/>
      <c r="E885" s="16"/>
      <c r="F885" s="16"/>
      <c r="G885" s="16"/>
      <c r="H885" s="16" t="str">
        <f ca="1">IFERROR(__xludf.DUMMYFUNCTION("""COMPUTED_VALUE"""),".")</f>
        <v>.</v>
      </c>
    </row>
    <row r="886" spans="1:8" ht="12.5">
      <c r="A886" s="24"/>
      <c r="B886" s="17"/>
      <c r="C886" s="24"/>
      <c r="D886" s="16"/>
      <c r="E886" s="16"/>
      <c r="F886" s="16"/>
      <c r="G886" s="16"/>
      <c r="H886" s="16" t="str">
        <f ca="1">IFERROR(__xludf.DUMMYFUNCTION("""COMPUTED_VALUE"""),".")</f>
        <v>.</v>
      </c>
    </row>
    <row r="887" spans="1:8" ht="12.5">
      <c r="A887" s="24"/>
      <c r="B887" s="17"/>
      <c r="C887" s="24"/>
      <c r="D887" s="16"/>
      <c r="E887" s="16"/>
      <c r="F887" s="16"/>
      <c r="G887" s="16"/>
      <c r="H887" s="16" t="str">
        <f ca="1">IFERROR(__xludf.DUMMYFUNCTION("""COMPUTED_VALUE"""),".")</f>
        <v>.</v>
      </c>
    </row>
    <row r="888" spans="1:8" ht="12.5">
      <c r="A888" s="24"/>
      <c r="B888" s="17"/>
      <c r="C888" s="24"/>
      <c r="D888" s="16"/>
      <c r="E888" s="16"/>
      <c r="F888" s="16"/>
      <c r="G888" s="16"/>
      <c r="H888" s="16" t="str">
        <f ca="1">IFERROR(__xludf.DUMMYFUNCTION("""COMPUTED_VALUE"""),".")</f>
        <v>.</v>
      </c>
    </row>
    <row r="889" spans="1:8" ht="12.5">
      <c r="A889" s="24"/>
      <c r="B889" s="17"/>
      <c r="C889" s="24"/>
      <c r="D889" s="16"/>
      <c r="E889" s="16"/>
      <c r="F889" s="16"/>
      <c r="G889" s="16"/>
      <c r="H889" s="16" t="str">
        <f ca="1">IFERROR(__xludf.DUMMYFUNCTION("""COMPUTED_VALUE"""),".")</f>
        <v>.</v>
      </c>
    </row>
    <row r="890" spans="1:8" ht="12.5">
      <c r="A890" s="24"/>
      <c r="B890" s="17"/>
      <c r="C890" s="24"/>
      <c r="D890" s="16"/>
      <c r="E890" s="16"/>
      <c r="F890" s="16"/>
      <c r="G890" s="16"/>
      <c r="H890" s="16" t="str">
        <f ca="1">IFERROR(__xludf.DUMMYFUNCTION("""COMPUTED_VALUE"""),".")</f>
        <v>.</v>
      </c>
    </row>
    <row r="891" spans="1:8" ht="12.5">
      <c r="A891" s="24"/>
      <c r="B891" s="17"/>
      <c r="C891" s="24"/>
      <c r="D891" s="16"/>
      <c r="E891" s="16"/>
      <c r="F891" s="16"/>
      <c r="G891" s="16"/>
      <c r="H891" s="16" t="str">
        <f ca="1">IFERROR(__xludf.DUMMYFUNCTION("""COMPUTED_VALUE"""),".")</f>
        <v>.</v>
      </c>
    </row>
    <row r="892" spans="1:8" ht="12.5">
      <c r="A892" s="24"/>
      <c r="B892" s="17"/>
      <c r="C892" s="24"/>
      <c r="D892" s="16"/>
      <c r="E892" s="16"/>
      <c r="F892" s="16"/>
      <c r="G892" s="16"/>
      <c r="H892" s="16" t="str">
        <f ca="1">IFERROR(__xludf.DUMMYFUNCTION("""COMPUTED_VALUE"""),".")</f>
        <v>.</v>
      </c>
    </row>
    <row r="893" spans="1:8" ht="12.5">
      <c r="A893" s="24"/>
      <c r="B893" s="17"/>
      <c r="C893" s="24"/>
      <c r="D893" s="16"/>
      <c r="E893" s="16"/>
      <c r="F893" s="16"/>
      <c r="G893" s="16"/>
      <c r="H893" s="16" t="str">
        <f ca="1">IFERROR(__xludf.DUMMYFUNCTION("""COMPUTED_VALUE"""),".")</f>
        <v>.</v>
      </c>
    </row>
    <row r="894" spans="1:8" ht="12.5">
      <c r="A894" s="24"/>
      <c r="B894" s="17"/>
      <c r="C894" s="24"/>
      <c r="D894" s="16"/>
      <c r="E894" s="16"/>
      <c r="F894" s="16"/>
      <c r="G894" s="16"/>
      <c r="H894" s="16" t="str">
        <f ca="1">IFERROR(__xludf.DUMMYFUNCTION("""COMPUTED_VALUE"""),".")</f>
        <v>.</v>
      </c>
    </row>
    <row r="895" spans="1:8" ht="12.5">
      <c r="A895" s="24"/>
      <c r="B895" s="17"/>
      <c r="C895" s="24"/>
      <c r="D895" s="16"/>
      <c r="E895" s="16"/>
      <c r="F895" s="16"/>
      <c r="G895" s="16"/>
      <c r="H895" s="16" t="str">
        <f ca="1">IFERROR(__xludf.DUMMYFUNCTION("""COMPUTED_VALUE"""),".")</f>
        <v>.</v>
      </c>
    </row>
    <row r="896" spans="1:8" ht="12.5">
      <c r="A896" s="24"/>
      <c r="B896" s="17"/>
      <c r="C896" s="24"/>
      <c r="D896" s="16"/>
      <c r="E896" s="16"/>
      <c r="F896" s="16"/>
      <c r="G896" s="16"/>
      <c r="H896" s="16" t="str">
        <f ca="1">IFERROR(__xludf.DUMMYFUNCTION("""COMPUTED_VALUE"""),".")</f>
        <v>.</v>
      </c>
    </row>
    <row r="897" spans="1:8" ht="12.5">
      <c r="A897" s="24"/>
      <c r="B897" s="17"/>
      <c r="C897" s="24"/>
      <c r="D897" s="16"/>
      <c r="E897" s="16"/>
      <c r="F897" s="16"/>
      <c r="G897" s="16"/>
      <c r="H897" s="16" t="str">
        <f ca="1">IFERROR(__xludf.DUMMYFUNCTION("""COMPUTED_VALUE"""),".")</f>
        <v>.</v>
      </c>
    </row>
    <row r="898" spans="1:8" ht="12.5">
      <c r="A898" s="24"/>
      <c r="B898" s="17"/>
      <c r="C898" s="24"/>
      <c r="D898" s="16"/>
      <c r="E898" s="16"/>
      <c r="F898" s="16"/>
      <c r="G898" s="16"/>
      <c r="H898" s="16" t="str">
        <f ca="1">IFERROR(__xludf.DUMMYFUNCTION("""COMPUTED_VALUE"""),".")</f>
        <v>.</v>
      </c>
    </row>
    <row r="899" spans="1:8" ht="12.5">
      <c r="A899" s="24"/>
      <c r="B899" s="17"/>
      <c r="C899" s="24"/>
      <c r="D899" s="16"/>
      <c r="E899" s="16"/>
      <c r="F899" s="16"/>
      <c r="G899" s="16"/>
      <c r="H899" s="16" t="str">
        <f ca="1">IFERROR(__xludf.DUMMYFUNCTION("""COMPUTED_VALUE"""),".")</f>
        <v>.</v>
      </c>
    </row>
    <row r="900" spans="1:8" ht="12.5">
      <c r="A900" s="24"/>
      <c r="B900" s="17"/>
      <c r="C900" s="24"/>
      <c r="D900" s="16"/>
      <c r="E900" s="16"/>
      <c r="F900" s="16"/>
      <c r="G900" s="16"/>
      <c r="H900" s="16" t="str">
        <f ca="1">IFERROR(__xludf.DUMMYFUNCTION("""COMPUTED_VALUE"""),".")</f>
        <v>.</v>
      </c>
    </row>
    <row r="901" spans="1:8" ht="12.5">
      <c r="A901" s="24"/>
      <c r="B901" s="17"/>
      <c r="C901" s="24"/>
      <c r="D901" s="16"/>
      <c r="E901" s="16"/>
      <c r="F901" s="16"/>
      <c r="G901" s="16"/>
      <c r="H901" s="16" t="str">
        <f ca="1">IFERROR(__xludf.DUMMYFUNCTION("""COMPUTED_VALUE"""),".")</f>
        <v>.</v>
      </c>
    </row>
    <row r="902" spans="1:8" ht="12.5">
      <c r="A902" s="24"/>
      <c r="B902" s="17"/>
      <c r="C902" s="24"/>
      <c r="D902" s="16"/>
      <c r="E902" s="16"/>
      <c r="F902" s="16"/>
      <c r="G902" s="16"/>
      <c r="H902" s="16" t="str">
        <f ca="1">IFERROR(__xludf.DUMMYFUNCTION("""COMPUTED_VALUE"""),".")</f>
        <v>.</v>
      </c>
    </row>
    <row r="903" spans="1:8" ht="12.5">
      <c r="A903" s="24"/>
      <c r="B903" s="17"/>
      <c r="C903" s="24"/>
      <c r="D903" s="16"/>
      <c r="E903" s="16"/>
      <c r="F903" s="16"/>
      <c r="G903" s="16"/>
      <c r="H903" s="16" t="str">
        <f ca="1">IFERROR(__xludf.DUMMYFUNCTION("""COMPUTED_VALUE"""),".")</f>
        <v>.</v>
      </c>
    </row>
    <row r="904" spans="1:8" ht="12.5">
      <c r="A904" s="24"/>
      <c r="B904" s="17"/>
      <c r="C904" s="24"/>
      <c r="D904" s="16"/>
      <c r="E904" s="16"/>
      <c r="F904" s="16"/>
      <c r="G904" s="16"/>
      <c r="H904" s="16" t="str">
        <f ca="1">IFERROR(__xludf.DUMMYFUNCTION("""COMPUTED_VALUE"""),".")</f>
        <v>.</v>
      </c>
    </row>
    <row r="905" spans="1:8" ht="12.5">
      <c r="A905" s="24"/>
      <c r="B905" s="17"/>
      <c r="C905" s="24"/>
      <c r="D905" s="16"/>
      <c r="E905" s="16"/>
      <c r="F905" s="16"/>
      <c r="G905" s="16"/>
      <c r="H905" s="16" t="str">
        <f ca="1">IFERROR(__xludf.DUMMYFUNCTION("""COMPUTED_VALUE"""),".")</f>
        <v>.</v>
      </c>
    </row>
    <row r="906" spans="1:8" ht="12.5">
      <c r="A906" s="24"/>
      <c r="B906" s="17"/>
      <c r="C906" s="24"/>
      <c r="D906" s="16"/>
      <c r="E906" s="16"/>
      <c r="F906" s="16"/>
      <c r="G906" s="16"/>
      <c r="H906" s="16" t="str">
        <f ca="1">IFERROR(__xludf.DUMMYFUNCTION("""COMPUTED_VALUE"""),".")</f>
        <v>.</v>
      </c>
    </row>
    <row r="907" spans="1:8" ht="12.5">
      <c r="A907" s="24"/>
      <c r="B907" s="17"/>
      <c r="C907" s="24"/>
      <c r="D907" s="16"/>
      <c r="E907" s="16"/>
      <c r="F907" s="16"/>
      <c r="G907" s="16"/>
      <c r="H907" s="16" t="str">
        <f ca="1">IFERROR(__xludf.DUMMYFUNCTION("""COMPUTED_VALUE"""),".")</f>
        <v>.</v>
      </c>
    </row>
    <row r="908" spans="1:8" ht="12.5">
      <c r="A908" s="24"/>
      <c r="B908" s="17"/>
      <c r="C908" s="24"/>
      <c r="D908" s="16"/>
      <c r="E908" s="16"/>
      <c r="F908" s="16"/>
      <c r="G908" s="16"/>
      <c r="H908" s="16" t="str">
        <f ca="1">IFERROR(__xludf.DUMMYFUNCTION("""COMPUTED_VALUE"""),".")</f>
        <v>.</v>
      </c>
    </row>
    <row r="909" spans="1:8" ht="12.5">
      <c r="A909" s="24"/>
      <c r="B909" s="17"/>
      <c r="C909" s="24"/>
      <c r="D909" s="16"/>
      <c r="E909" s="16"/>
      <c r="F909" s="16"/>
      <c r="G909" s="16"/>
      <c r="H909" s="16" t="str">
        <f ca="1">IFERROR(__xludf.DUMMYFUNCTION("""COMPUTED_VALUE"""),".")</f>
        <v>.</v>
      </c>
    </row>
    <row r="910" spans="1:8" ht="12.5">
      <c r="A910" s="24"/>
      <c r="B910" s="17"/>
      <c r="C910" s="24"/>
      <c r="D910" s="16"/>
      <c r="E910" s="16"/>
      <c r="F910" s="16"/>
      <c r="G910" s="16"/>
      <c r="H910" s="16" t="str">
        <f ca="1">IFERROR(__xludf.DUMMYFUNCTION("""COMPUTED_VALUE"""),".")</f>
        <v>.</v>
      </c>
    </row>
    <row r="911" spans="1:8" ht="12.5">
      <c r="A911" s="24"/>
      <c r="B911" s="17"/>
      <c r="C911" s="24"/>
      <c r="D911" s="16"/>
      <c r="E911" s="16"/>
      <c r="F911" s="16"/>
      <c r="G911" s="16"/>
      <c r="H911" s="16" t="str">
        <f ca="1">IFERROR(__xludf.DUMMYFUNCTION("""COMPUTED_VALUE"""),".")</f>
        <v>.</v>
      </c>
    </row>
    <row r="912" spans="1:8" ht="12.5">
      <c r="A912" s="24"/>
      <c r="B912" s="17"/>
      <c r="C912" s="24"/>
      <c r="D912" s="16"/>
      <c r="E912" s="16"/>
      <c r="F912" s="16"/>
      <c r="G912" s="16"/>
      <c r="H912" s="16" t="str">
        <f ca="1">IFERROR(__xludf.DUMMYFUNCTION("""COMPUTED_VALUE"""),".")</f>
        <v>.</v>
      </c>
    </row>
    <row r="913" spans="1:8" ht="12.5">
      <c r="A913" s="24"/>
      <c r="B913" s="17"/>
      <c r="C913" s="24"/>
      <c r="D913" s="16"/>
      <c r="E913" s="16"/>
      <c r="F913" s="16"/>
      <c r="G913" s="16"/>
      <c r="H913" s="16" t="str">
        <f ca="1">IFERROR(__xludf.DUMMYFUNCTION("""COMPUTED_VALUE"""),".")</f>
        <v>.</v>
      </c>
    </row>
    <row r="914" spans="1:8" ht="12.5">
      <c r="A914" s="24"/>
      <c r="B914" s="17"/>
      <c r="C914" s="24"/>
      <c r="D914" s="16"/>
      <c r="E914" s="16"/>
      <c r="F914" s="16"/>
      <c r="G914" s="16"/>
      <c r="H914" s="16" t="str">
        <f ca="1">IFERROR(__xludf.DUMMYFUNCTION("""COMPUTED_VALUE"""),".")</f>
        <v>.</v>
      </c>
    </row>
    <row r="915" spans="1:8" ht="12.5">
      <c r="A915" s="24"/>
      <c r="B915" s="17"/>
      <c r="C915" s="24"/>
      <c r="D915" s="16"/>
      <c r="E915" s="16"/>
      <c r="F915" s="16"/>
      <c r="G915" s="16"/>
      <c r="H915" s="16" t="str">
        <f ca="1">IFERROR(__xludf.DUMMYFUNCTION("""COMPUTED_VALUE"""),".")</f>
        <v>.</v>
      </c>
    </row>
    <row r="916" spans="1:8" ht="12.5">
      <c r="A916" s="24"/>
      <c r="B916" s="17"/>
      <c r="C916" s="24"/>
      <c r="D916" s="16"/>
      <c r="E916" s="16"/>
      <c r="F916" s="16"/>
      <c r="G916" s="16"/>
      <c r="H916" s="16" t="str">
        <f ca="1">IFERROR(__xludf.DUMMYFUNCTION("""COMPUTED_VALUE"""),".")</f>
        <v>.</v>
      </c>
    </row>
    <row r="917" spans="1:8" ht="12.5">
      <c r="A917" s="24"/>
      <c r="B917" s="17"/>
      <c r="C917" s="24"/>
      <c r="D917" s="16"/>
      <c r="E917" s="16"/>
      <c r="F917" s="16"/>
      <c r="G917" s="16"/>
      <c r="H917" s="16" t="str">
        <f ca="1">IFERROR(__xludf.DUMMYFUNCTION("""COMPUTED_VALUE"""),".")</f>
        <v>.</v>
      </c>
    </row>
    <row r="918" spans="1:8" ht="12.5">
      <c r="A918" s="24"/>
      <c r="B918" s="17"/>
      <c r="C918" s="24"/>
      <c r="D918" s="16"/>
      <c r="E918" s="16"/>
      <c r="F918" s="16"/>
      <c r="G918" s="16"/>
      <c r="H918" s="16" t="str">
        <f ca="1">IFERROR(__xludf.DUMMYFUNCTION("""COMPUTED_VALUE"""),".")</f>
        <v>.</v>
      </c>
    </row>
    <row r="919" spans="1:8" ht="12.5">
      <c r="A919" s="24"/>
      <c r="B919" s="17"/>
      <c r="C919" s="24"/>
      <c r="D919" s="16"/>
      <c r="E919" s="16"/>
      <c r="F919" s="16"/>
      <c r="G919" s="16"/>
      <c r="H919" s="16" t="str">
        <f ca="1">IFERROR(__xludf.DUMMYFUNCTION("""COMPUTED_VALUE"""),".")</f>
        <v>.</v>
      </c>
    </row>
    <row r="920" spans="1:8" ht="12.5">
      <c r="A920" s="24"/>
      <c r="B920" s="17"/>
      <c r="C920" s="24"/>
      <c r="D920" s="16"/>
      <c r="E920" s="16"/>
      <c r="F920" s="16"/>
      <c r="G920" s="16"/>
      <c r="H920" s="16" t="str">
        <f ca="1">IFERROR(__xludf.DUMMYFUNCTION("""COMPUTED_VALUE"""),".")</f>
        <v>.</v>
      </c>
    </row>
    <row r="921" spans="1:8" ht="12.5">
      <c r="A921" s="24"/>
      <c r="B921" s="17"/>
      <c r="C921" s="24"/>
      <c r="D921" s="16"/>
      <c r="E921" s="16"/>
      <c r="F921" s="16"/>
      <c r="G921" s="16"/>
      <c r="H921" s="16" t="str">
        <f ca="1">IFERROR(__xludf.DUMMYFUNCTION("""COMPUTED_VALUE"""),".")</f>
        <v>.</v>
      </c>
    </row>
    <row r="922" spans="1:8" ht="12.5">
      <c r="A922" s="24"/>
      <c r="B922" s="17"/>
      <c r="C922" s="24"/>
      <c r="D922" s="16"/>
      <c r="E922" s="16"/>
      <c r="F922" s="16"/>
      <c r="G922" s="16"/>
      <c r="H922" s="16" t="str">
        <f ca="1">IFERROR(__xludf.DUMMYFUNCTION("""COMPUTED_VALUE"""),".")</f>
        <v>.</v>
      </c>
    </row>
    <row r="923" spans="1:8" ht="12.5">
      <c r="A923" s="24"/>
      <c r="B923" s="17"/>
      <c r="C923" s="24"/>
      <c r="D923" s="16"/>
      <c r="E923" s="16"/>
      <c r="F923" s="16"/>
      <c r="G923" s="16"/>
      <c r="H923" s="16" t="str">
        <f ca="1">IFERROR(__xludf.DUMMYFUNCTION("""COMPUTED_VALUE"""),".")</f>
        <v>.</v>
      </c>
    </row>
    <row r="924" spans="1:8" ht="12.5">
      <c r="A924" s="24"/>
      <c r="B924" s="17"/>
      <c r="C924" s="24"/>
      <c r="D924" s="16"/>
      <c r="E924" s="16"/>
      <c r="F924" s="16"/>
      <c r="G924" s="16"/>
      <c r="H924" s="16" t="str">
        <f ca="1">IFERROR(__xludf.DUMMYFUNCTION("""COMPUTED_VALUE"""),".")</f>
        <v>.</v>
      </c>
    </row>
    <row r="925" spans="1:8" ht="12.5">
      <c r="A925" s="24"/>
      <c r="B925" s="17"/>
      <c r="C925" s="24"/>
      <c r="D925" s="16"/>
      <c r="E925" s="16"/>
      <c r="F925" s="16"/>
      <c r="G925" s="16"/>
      <c r="H925" s="16" t="str">
        <f ca="1">IFERROR(__xludf.DUMMYFUNCTION("""COMPUTED_VALUE"""),".")</f>
        <v>.</v>
      </c>
    </row>
    <row r="926" spans="1:8" ht="12.5">
      <c r="A926" s="24"/>
      <c r="B926" s="17"/>
      <c r="C926" s="24"/>
      <c r="D926" s="16"/>
      <c r="E926" s="16"/>
      <c r="F926" s="16"/>
      <c r="G926" s="16"/>
      <c r="H926" s="16" t="str">
        <f ca="1">IFERROR(__xludf.DUMMYFUNCTION("""COMPUTED_VALUE"""),".")</f>
        <v>.</v>
      </c>
    </row>
    <row r="927" spans="1:8" ht="12.5">
      <c r="A927" s="24"/>
      <c r="B927" s="17"/>
      <c r="C927" s="24"/>
      <c r="D927" s="16"/>
      <c r="E927" s="16"/>
      <c r="F927" s="16"/>
      <c r="G927" s="16"/>
      <c r="H927" s="16" t="str">
        <f ca="1">IFERROR(__xludf.DUMMYFUNCTION("""COMPUTED_VALUE"""),".")</f>
        <v>.</v>
      </c>
    </row>
    <row r="928" spans="1:8" ht="12.5">
      <c r="A928" s="24"/>
      <c r="B928" s="17"/>
      <c r="C928" s="24"/>
      <c r="D928" s="16"/>
      <c r="E928" s="16"/>
      <c r="F928" s="16"/>
      <c r="G928" s="16"/>
      <c r="H928" s="16" t="str">
        <f ca="1">IFERROR(__xludf.DUMMYFUNCTION("""COMPUTED_VALUE"""),".")</f>
        <v>.</v>
      </c>
    </row>
    <row r="929" spans="1:8" ht="12.5">
      <c r="A929" s="24"/>
      <c r="B929" s="17"/>
      <c r="C929" s="24"/>
      <c r="D929" s="16"/>
      <c r="E929" s="16"/>
      <c r="F929" s="16"/>
      <c r="G929" s="16"/>
      <c r="H929" s="16" t="str">
        <f ca="1">IFERROR(__xludf.DUMMYFUNCTION("""COMPUTED_VALUE"""),".")</f>
        <v>.</v>
      </c>
    </row>
    <row r="930" spans="1:8" ht="12.5">
      <c r="A930" s="24"/>
      <c r="B930" s="17"/>
      <c r="C930" s="24"/>
      <c r="D930" s="16"/>
      <c r="E930" s="16"/>
      <c r="F930" s="16"/>
      <c r="G930" s="16"/>
      <c r="H930" s="16" t="str">
        <f ca="1">IFERROR(__xludf.DUMMYFUNCTION("""COMPUTED_VALUE"""),".")</f>
        <v>.</v>
      </c>
    </row>
    <row r="931" spans="1:8" ht="12.5">
      <c r="A931" s="24"/>
      <c r="B931" s="17"/>
      <c r="C931" s="24"/>
      <c r="D931" s="16"/>
      <c r="E931" s="16"/>
      <c r="F931" s="16"/>
      <c r="G931" s="16"/>
      <c r="H931" s="16" t="str">
        <f ca="1">IFERROR(__xludf.DUMMYFUNCTION("""COMPUTED_VALUE"""),".")</f>
        <v>.</v>
      </c>
    </row>
    <row r="932" spans="1:8" ht="12.5">
      <c r="A932" s="24"/>
      <c r="B932" s="17"/>
      <c r="C932" s="24"/>
      <c r="D932" s="16"/>
      <c r="E932" s="16"/>
      <c r="F932" s="16"/>
      <c r="G932" s="16"/>
      <c r="H932" s="16" t="str">
        <f ca="1">IFERROR(__xludf.DUMMYFUNCTION("""COMPUTED_VALUE"""),".")</f>
        <v>.</v>
      </c>
    </row>
    <row r="933" spans="1:8" ht="12.5">
      <c r="A933" s="24"/>
      <c r="B933" s="17"/>
      <c r="C933" s="24"/>
      <c r="D933" s="16"/>
      <c r="E933" s="16"/>
      <c r="F933" s="16"/>
      <c r="G933" s="16"/>
      <c r="H933" s="16" t="str">
        <f ca="1">IFERROR(__xludf.DUMMYFUNCTION("""COMPUTED_VALUE"""),".")</f>
        <v>.</v>
      </c>
    </row>
    <row r="934" spans="1:8" ht="12.5">
      <c r="A934" s="24"/>
      <c r="B934" s="17"/>
      <c r="C934" s="24"/>
      <c r="D934" s="16"/>
      <c r="E934" s="16"/>
      <c r="F934" s="16"/>
      <c r="G934" s="16"/>
      <c r="H934" s="16" t="str">
        <f ca="1">IFERROR(__xludf.DUMMYFUNCTION("""COMPUTED_VALUE"""),".")</f>
        <v>.</v>
      </c>
    </row>
    <row r="935" spans="1:8" ht="12.5">
      <c r="A935" s="24"/>
      <c r="B935" s="17"/>
      <c r="C935" s="24"/>
      <c r="D935" s="16"/>
      <c r="E935" s="16"/>
      <c r="F935" s="16"/>
      <c r="G935" s="16"/>
      <c r="H935" s="16" t="str">
        <f ca="1">IFERROR(__xludf.DUMMYFUNCTION("""COMPUTED_VALUE"""),".")</f>
        <v>.</v>
      </c>
    </row>
    <row r="936" spans="1:8" ht="12.5">
      <c r="A936" s="24"/>
      <c r="B936" s="17"/>
      <c r="C936" s="24"/>
      <c r="D936" s="16"/>
      <c r="E936" s="16"/>
      <c r="F936" s="16"/>
      <c r="G936" s="16"/>
      <c r="H936" s="16" t="str">
        <f ca="1">IFERROR(__xludf.DUMMYFUNCTION("""COMPUTED_VALUE"""),".")</f>
        <v>.</v>
      </c>
    </row>
    <row r="937" spans="1:8" ht="12.5">
      <c r="A937" s="24"/>
      <c r="B937" s="17"/>
      <c r="C937" s="24"/>
      <c r="D937" s="16"/>
      <c r="E937" s="16"/>
      <c r="F937" s="16"/>
      <c r="G937" s="16"/>
      <c r="H937" s="16" t="str">
        <f ca="1">IFERROR(__xludf.DUMMYFUNCTION("""COMPUTED_VALUE"""),".")</f>
        <v>.</v>
      </c>
    </row>
    <row r="938" spans="1:8" ht="12.5">
      <c r="A938" s="24"/>
      <c r="B938" s="17"/>
      <c r="C938" s="24"/>
      <c r="D938" s="16"/>
      <c r="E938" s="16"/>
      <c r="F938" s="16"/>
      <c r="G938" s="16"/>
      <c r="H938" s="16" t="str">
        <f ca="1">IFERROR(__xludf.DUMMYFUNCTION("""COMPUTED_VALUE"""),".")</f>
        <v>.</v>
      </c>
    </row>
    <row r="939" spans="1:8" ht="12.5">
      <c r="A939" s="24"/>
      <c r="B939" s="17"/>
      <c r="C939" s="24"/>
      <c r="D939" s="16"/>
      <c r="E939" s="16"/>
      <c r="F939" s="16"/>
      <c r="G939" s="16"/>
      <c r="H939" s="16" t="str">
        <f ca="1">IFERROR(__xludf.DUMMYFUNCTION("""COMPUTED_VALUE"""),".")</f>
        <v>.</v>
      </c>
    </row>
    <row r="940" spans="1:8" ht="12.5">
      <c r="A940" s="24"/>
      <c r="B940" s="17"/>
      <c r="C940" s="24"/>
      <c r="D940" s="16"/>
      <c r="E940" s="16"/>
      <c r="F940" s="16"/>
      <c r="G940" s="16"/>
      <c r="H940" s="16" t="str">
        <f ca="1">IFERROR(__xludf.DUMMYFUNCTION("""COMPUTED_VALUE"""),".")</f>
        <v>.</v>
      </c>
    </row>
    <row r="941" spans="1:8" ht="12.5">
      <c r="A941" s="24"/>
      <c r="B941" s="17"/>
      <c r="C941" s="24"/>
      <c r="D941" s="16"/>
      <c r="E941" s="16"/>
      <c r="F941" s="16"/>
      <c r="G941" s="16"/>
      <c r="H941" s="16" t="str">
        <f ca="1">IFERROR(__xludf.DUMMYFUNCTION("""COMPUTED_VALUE"""),".")</f>
        <v>.</v>
      </c>
    </row>
    <row r="942" spans="1:8" ht="12.5">
      <c r="A942" s="24"/>
      <c r="B942" s="17"/>
      <c r="C942" s="24"/>
      <c r="D942" s="16"/>
      <c r="E942" s="16"/>
      <c r="F942" s="16"/>
      <c r="G942" s="16"/>
      <c r="H942" s="16" t="str">
        <f ca="1">IFERROR(__xludf.DUMMYFUNCTION("""COMPUTED_VALUE"""),".")</f>
        <v>.</v>
      </c>
    </row>
    <row r="943" spans="1:8" ht="12.5">
      <c r="A943" s="24"/>
      <c r="B943" s="17"/>
      <c r="C943" s="24"/>
      <c r="D943" s="16"/>
      <c r="E943" s="16"/>
      <c r="F943" s="16"/>
      <c r="G943" s="16"/>
      <c r="H943" s="16" t="str">
        <f ca="1">IFERROR(__xludf.DUMMYFUNCTION("""COMPUTED_VALUE"""),".")</f>
        <v>.</v>
      </c>
    </row>
    <row r="944" spans="1:8" ht="12.5">
      <c r="A944" s="24"/>
      <c r="B944" s="17"/>
      <c r="C944" s="24"/>
      <c r="D944" s="16"/>
      <c r="E944" s="16"/>
      <c r="F944" s="16"/>
      <c r="G944" s="16"/>
      <c r="H944" s="16" t="str">
        <f ca="1">IFERROR(__xludf.DUMMYFUNCTION("""COMPUTED_VALUE"""),".")</f>
        <v>.</v>
      </c>
    </row>
    <row r="945" spans="1:8" ht="12.5">
      <c r="A945" s="24"/>
      <c r="B945" s="17"/>
      <c r="C945" s="24"/>
      <c r="D945" s="16"/>
      <c r="E945" s="16"/>
      <c r="F945" s="16"/>
      <c r="G945" s="16"/>
      <c r="H945" s="16" t="str">
        <f ca="1">IFERROR(__xludf.DUMMYFUNCTION("""COMPUTED_VALUE"""),".")</f>
        <v>.</v>
      </c>
    </row>
    <row r="946" spans="1:8" ht="12.5">
      <c r="A946" s="24"/>
      <c r="B946" s="17"/>
      <c r="C946" s="24"/>
      <c r="D946" s="16"/>
      <c r="E946" s="16"/>
      <c r="F946" s="16"/>
      <c r="G946" s="16"/>
      <c r="H946" s="16" t="str">
        <f ca="1">IFERROR(__xludf.DUMMYFUNCTION("""COMPUTED_VALUE"""),".")</f>
        <v>.</v>
      </c>
    </row>
    <row r="947" spans="1:8" ht="12.5">
      <c r="A947" s="24"/>
      <c r="B947" s="17"/>
      <c r="C947" s="24"/>
      <c r="D947" s="16"/>
      <c r="E947" s="16"/>
      <c r="F947" s="16"/>
      <c r="G947" s="16"/>
      <c r="H947" s="16" t="str">
        <f ca="1">IFERROR(__xludf.DUMMYFUNCTION("""COMPUTED_VALUE"""),".")</f>
        <v>.</v>
      </c>
    </row>
    <row r="948" spans="1:8" ht="12.5">
      <c r="A948" s="24"/>
      <c r="B948" s="17"/>
      <c r="C948" s="24"/>
      <c r="D948" s="16"/>
      <c r="E948" s="16"/>
      <c r="F948" s="16"/>
      <c r="G948" s="16"/>
      <c r="H948" s="16" t="str">
        <f ca="1">IFERROR(__xludf.DUMMYFUNCTION("""COMPUTED_VALUE"""),".")</f>
        <v>.</v>
      </c>
    </row>
    <row r="949" spans="1:8" ht="12.5">
      <c r="A949" s="24"/>
      <c r="B949" s="17"/>
      <c r="C949" s="24"/>
      <c r="D949" s="16"/>
      <c r="E949" s="16"/>
      <c r="F949" s="16"/>
      <c r="G949" s="16"/>
      <c r="H949" s="16" t="str">
        <f ca="1">IFERROR(__xludf.DUMMYFUNCTION("""COMPUTED_VALUE"""),".")</f>
        <v>.</v>
      </c>
    </row>
    <row r="950" spans="1:8" ht="12.5">
      <c r="A950" s="24"/>
      <c r="B950" s="17"/>
      <c r="C950" s="24"/>
      <c r="D950" s="16"/>
      <c r="E950" s="16"/>
      <c r="F950" s="16"/>
      <c r="G950" s="16"/>
      <c r="H950" s="16" t="str">
        <f ca="1">IFERROR(__xludf.DUMMYFUNCTION("""COMPUTED_VALUE"""),".")</f>
        <v>.</v>
      </c>
    </row>
    <row r="951" spans="1:8" ht="12.5">
      <c r="A951" s="24"/>
      <c r="B951" s="17"/>
      <c r="C951" s="24"/>
      <c r="D951" s="16"/>
      <c r="E951" s="16"/>
      <c r="F951" s="16"/>
      <c r="G951" s="16"/>
      <c r="H951" s="16" t="str">
        <f ca="1">IFERROR(__xludf.DUMMYFUNCTION("""COMPUTED_VALUE"""),".")</f>
        <v>.</v>
      </c>
    </row>
    <row r="952" spans="1:8" ht="12.5">
      <c r="A952" s="24"/>
      <c r="B952" s="17"/>
      <c r="C952" s="24"/>
      <c r="D952" s="16"/>
      <c r="E952" s="16"/>
      <c r="F952" s="16"/>
      <c r="G952" s="16"/>
      <c r="H952" s="16" t="str">
        <f ca="1">IFERROR(__xludf.DUMMYFUNCTION("""COMPUTED_VALUE"""),".")</f>
        <v>.</v>
      </c>
    </row>
    <row r="953" spans="1:8" ht="12.5">
      <c r="A953" s="24"/>
      <c r="B953" s="17"/>
      <c r="C953" s="24"/>
      <c r="D953" s="16"/>
      <c r="E953" s="16"/>
      <c r="F953" s="16"/>
      <c r="G953" s="16"/>
      <c r="H953" s="16"/>
    </row>
    <row r="954" spans="1:8" ht="12.5">
      <c r="A954" s="24"/>
      <c r="B954" s="17"/>
      <c r="C954" s="24"/>
      <c r="D954" s="16"/>
      <c r="E954" s="16"/>
      <c r="F954" s="16"/>
      <c r="G954" s="16"/>
      <c r="H954" s="16"/>
    </row>
    <row r="955" spans="1:8" ht="12.5">
      <c r="A955" s="24"/>
      <c r="B955" s="17"/>
      <c r="C955" s="24"/>
      <c r="D955" s="16"/>
      <c r="E955" s="16"/>
      <c r="F955" s="16"/>
      <c r="G955" s="16"/>
      <c r="H955" s="16"/>
    </row>
    <row r="956" spans="1:8" ht="12.5">
      <c r="A956" s="24"/>
      <c r="B956" s="17"/>
      <c r="C956" s="24"/>
      <c r="D956" s="16"/>
      <c r="E956" s="16"/>
      <c r="F956" s="16"/>
      <c r="G956" s="16"/>
      <c r="H956" s="16"/>
    </row>
    <row r="957" spans="1:8" ht="12.5">
      <c r="A957" s="24"/>
      <c r="B957" s="17"/>
      <c r="C957" s="24"/>
      <c r="D957" s="16"/>
      <c r="E957" s="16"/>
      <c r="F957" s="16"/>
      <c r="G957" s="16"/>
      <c r="H957" s="16"/>
    </row>
    <row r="958" spans="1:8" ht="12.5">
      <c r="A958" s="24"/>
      <c r="B958" s="17"/>
      <c r="C958" s="24"/>
      <c r="D958" s="16"/>
      <c r="E958" s="16"/>
      <c r="F958" s="16"/>
      <c r="G958" s="16"/>
      <c r="H958" s="16"/>
    </row>
    <row r="959" spans="1:8" ht="12.5">
      <c r="A959" s="24"/>
      <c r="B959" s="17"/>
      <c r="C959" s="24"/>
      <c r="D959" s="16"/>
      <c r="E959" s="16"/>
      <c r="F959" s="16"/>
      <c r="G959" s="16"/>
      <c r="H959" s="16"/>
    </row>
    <row r="960" spans="1:8" ht="12.5">
      <c r="A960" s="24"/>
      <c r="B960" s="17"/>
      <c r="C960" s="24"/>
      <c r="D960" s="16"/>
      <c r="E960" s="16"/>
      <c r="F960" s="16"/>
      <c r="G960" s="16"/>
      <c r="H960" s="16"/>
    </row>
    <row r="961" spans="1:8" ht="12.5">
      <c r="A961" s="24"/>
      <c r="B961" s="17"/>
      <c r="C961" s="24"/>
      <c r="D961" s="16"/>
      <c r="E961" s="16"/>
      <c r="F961" s="16"/>
      <c r="G961" s="16"/>
      <c r="H961" s="16"/>
    </row>
    <row r="962" spans="1:8" ht="12.5">
      <c r="A962" s="24"/>
      <c r="B962" s="17"/>
      <c r="C962" s="24"/>
      <c r="D962" s="16"/>
      <c r="E962" s="16"/>
      <c r="F962" s="16"/>
      <c r="G962" s="16"/>
      <c r="H962" s="16"/>
    </row>
    <row r="963" spans="1:8" ht="12.5">
      <c r="A963" s="24"/>
      <c r="B963" s="17"/>
      <c r="C963" s="24"/>
      <c r="D963" s="16"/>
      <c r="E963" s="37" t="str">
        <f ca="1">IFERROR(__xludf.DUMMYFUNCTION("IMPORTRANGE(""https://docs.google.com/spreadsheets/d/1ghPq2GXSRxm4-7nokWB-4NeQT5BT6DZC88IPWta5RGM/edit#gid=188114201"",""#13 Miguel!A11:A80"")"),"CODI")</f>
        <v>CODI</v>
      </c>
      <c r="F963" s="37" t="str">
        <f ca="1">IFERROR(__xludf.DUMMYFUNCTION("IMPORTRANGE(""https://docs.google.com/spreadsheets/d/1ghPq2GXSRxm4-7nokWB-4NeQT5BT6DZC88IPWta5RGM/edit#gid=188114201"",""#13 Miguel!I11:K80"")"),"Expense Type")</f>
        <v>Expense Type</v>
      </c>
      <c r="G963" s="16" t="str">
        <f ca="1">IFERROR(__xludf.DUMMYFUNCTION("""COMPUTED_VALUE"""),"DESCRIPCION DEL CARGO")</f>
        <v>DESCRIPCION DEL CARGO</v>
      </c>
      <c r="H963" s="16" t="str">
        <f ca="1">IFERROR(__xludf.DUMMYFUNCTION("""COMPUTED_VALUE"""),"FOLIO DE FACTURA")</f>
        <v>FOLIO DE FACTURA</v>
      </c>
    </row>
    <row r="964" spans="1:8" ht="12.5">
      <c r="A964" s="24"/>
      <c r="B964" s="17"/>
      <c r="C964" s="24"/>
      <c r="D964" s="16"/>
      <c r="E964" s="16" t="str">
        <f ca="1">IFERROR(__xludf.DUMMYFUNCTION("""COMPUTED_VALUE"""),"TRX1627")</f>
        <v>TRX1627</v>
      </c>
      <c r="F964" s="16" t="str">
        <f ca="1">IFERROR(__xludf.DUMMYFUNCTION("""COMPUTED_VALUE"""),"Sales")</f>
        <v>Sales</v>
      </c>
      <c r="G964" s="16" t="str">
        <f ca="1">IFERROR(__xludf.DUMMYFUNCTION("""COMPUTED_VALUE"""),"Update de casetas: ida hacia comida Onest")</f>
        <v>Update de casetas: ida hacia comida Onest</v>
      </c>
      <c r="H964" s="16" t="str">
        <f ca="1">IFERROR(__xludf.DUMMYFUNCTION("""COMPUTED_VALUE"""),"NA")</f>
        <v>NA</v>
      </c>
    </row>
    <row r="965" spans="1:8" ht="12.5">
      <c r="A965" s="24"/>
      <c r="B965" s="17"/>
      <c r="C965" s="24"/>
      <c r="D965" s="16"/>
      <c r="E965" s="16" t="str">
        <f ca="1">IFERROR(__xludf.DUMMYFUNCTION("""COMPUTED_VALUE"""),"TRX1801")</f>
        <v>TRX1801</v>
      </c>
      <c r="F965" s="16" t="str">
        <f ca="1">IFERROR(__xludf.DUMMYFUNCTION("""COMPUTED_VALUE"""),"Sales")</f>
        <v>Sales</v>
      </c>
      <c r="G965" s="16" t="str">
        <f ca="1">IFERROR(__xludf.DUMMYFUNCTION("""COMPUTED_VALUE"""),"Update de casetas: regreso desde comida Onest")</f>
        <v>Update de casetas: regreso desde comida Onest</v>
      </c>
      <c r="H965" s="16" t="str">
        <f ca="1">IFERROR(__xludf.DUMMYFUNCTION("""COMPUTED_VALUE"""),"NA")</f>
        <v>NA</v>
      </c>
    </row>
    <row r="966" spans="1:8" ht="12.5">
      <c r="A966" s="24"/>
      <c r="B966" s="17"/>
      <c r="C966" s="24"/>
      <c r="D966" s="16"/>
      <c r="E966" s="16" t="str">
        <f ca="1">IFERROR(__xludf.DUMMYFUNCTION("""COMPUTED_VALUE"""),"TRX1290")</f>
        <v>TRX1290</v>
      </c>
      <c r="F966" s="16" t="str">
        <f ca="1">IFERROR(__xludf.DUMMYFUNCTION("""COMPUTED_VALUE"""),"Sales")</f>
        <v>Sales</v>
      </c>
      <c r="G966" s="16" t="str">
        <f ca="1">IFERROR(__xludf.DUMMYFUNCTION("""COMPUTED_VALUE"""),"Comida Cliente. Asistentes:
- Mariela Martínez (Gaya)
- Kenia Durán (Gaya)
- Miguel de Lascurain (Prima)
- Alfonso Bello (Prima)")</f>
        <v>Comida Cliente. Asistentes:
- Mariela Martínez (Gaya)
- Kenia Durán (Gaya)
- Miguel de Lascurain (Prima)
- Alfonso Bello (Prima)</v>
      </c>
      <c r="H966" s="16" t="str">
        <f ca="1">IFERROR(__xludf.DUMMYFUNCTION("""COMPUTED_VALUE"""),"8787B2CF-A15D-4633-8ACA-5D36673EEA82103181561770853649271")</f>
        <v>8787B2CF-A15D-4633-8ACA-5D36673EEA82103181561770853649271</v>
      </c>
    </row>
    <row r="967" spans="1:8" ht="12.5">
      <c r="A967" s="24"/>
      <c r="B967" s="17"/>
      <c r="C967" s="24"/>
      <c r="D967" s="16"/>
      <c r="E967" s="16" t="str">
        <f ca="1">IFERROR(__xludf.DUMMYFUNCTION("""COMPUTED_VALUE"""),"TRX1187")</f>
        <v>TRX1187</v>
      </c>
      <c r="F967" s="16" t="str">
        <f ca="1">IFERROR(__xludf.DUMMYFUNCTION("""COMPUTED_VALUE"""),"Sales")</f>
        <v>Sales</v>
      </c>
      <c r="G967" s="16" t="str">
        <f ca="1">IFERROR(__xludf.DUMMYFUNCTION("""COMPUTED_VALUE"""),"Comida Cliente. Asistentes:
- Mariano García (Plexo)
- Miguel de Lascurain (Prima)")</f>
        <v>Comida Cliente. Asistentes:
- Mariano García (Plexo)
- Miguel de Lascurain (Prima)</v>
      </c>
      <c r="H967" s="16" t="str">
        <f ca="1">IFERROR(__xludf.DUMMYFUNCTION("""COMPUTED_VALUE"""),"18D35FF7-B120-4B07-8A58-A31600016077103297401771006817878")</f>
        <v>18D35FF7-B120-4B07-8A58-A31600016077103297401771006817878</v>
      </c>
    </row>
    <row r="968" spans="1:8" ht="12.5">
      <c r="A968" s="24"/>
      <c r="B968" s="17"/>
      <c r="C968" s="24"/>
      <c r="D968" s="16"/>
      <c r="E968" s="16" t="str">
        <f ca="1">IFERROR(__xludf.DUMMYFUNCTION("""COMPUTED_VALUE"""),"TRX1558")</f>
        <v>TRX1558</v>
      </c>
      <c r="F968" s="16" t="str">
        <f ca="1">IFERROR(__xludf.DUMMYFUNCTION("""COMPUTED_VALUE"""),"Office expenses")</f>
        <v>Office expenses</v>
      </c>
      <c r="G968" s="16" t="str">
        <f ca="1">IFERROR(__xludf.DUMMYFUNCTION("""COMPUTED_VALUE"""),"Comida trimestral Engineering. Asistentes:
- Eduardo González
- Daniel Rojas
- Jorge Peña
- Tonancy Isidoro
- Ernesto Anaya
- Miguel de Lascurain")</f>
        <v>Comida trimestral Engineering. Asistentes:
- Eduardo González
- Daniel Rojas
- Jorge Peña
- Tonancy Isidoro
- Ernesto Anaya
- Miguel de Lascurain</v>
      </c>
      <c r="H968" s="16" t="str">
        <f ca="1">IFERROR(__xludf.DUMMYFUNCTION("""COMPUTED_VALUE"""),"84520D68-07C5-4274-B4CE-85FC8AA3612A103599061771628471541")</f>
        <v>84520D68-07C5-4274-B4CE-85FC8AA3612A103599061771628471541</v>
      </c>
    </row>
    <row r="969" spans="1:8" ht="12.5">
      <c r="A969" s="24"/>
      <c r="B969" s="17"/>
      <c r="C969" s="24"/>
      <c r="D969" s="16"/>
      <c r="E969" s="16"/>
      <c r="F969" s="16"/>
      <c r="G969" s="16"/>
      <c r="H969" s="16"/>
    </row>
    <row r="970" spans="1:8" ht="12.5">
      <c r="A970" s="24"/>
      <c r="B970" s="17"/>
      <c r="C970" s="24"/>
      <c r="D970" s="16"/>
      <c r="E970" s="16"/>
      <c r="F970" s="16"/>
      <c r="G970" s="16"/>
      <c r="H970" s="16"/>
    </row>
    <row r="971" spans="1:8" ht="12.5">
      <c r="A971" s="24"/>
      <c r="B971" s="17"/>
      <c r="C971" s="24"/>
      <c r="D971" s="16"/>
      <c r="E971" s="16"/>
      <c r="F971" s="16"/>
      <c r="G971" s="16"/>
      <c r="H971" s="16"/>
    </row>
    <row r="972" spans="1:8" ht="12.5">
      <c r="A972" s="24"/>
      <c r="B972" s="17"/>
      <c r="C972" s="24"/>
      <c r="D972" s="16"/>
      <c r="E972" s="16"/>
      <c r="F972" s="16"/>
      <c r="G972" s="16"/>
      <c r="H972" s="16"/>
    </row>
    <row r="973" spans="1:8" ht="12.5">
      <c r="A973" s="24"/>
      <c r="B973" s="17"/>
      <c r="C973" s="24"/>
      <c r="D973" s="16"/>
      <c r="E973" s="16"/>
      <c r="F973" s="16"/>
      <c r="G973" s="16"/>
      <c r="H973" s="16"/>
    </row>
    <row r="974" spans="1:8" ht="12.5">
      <c r="A974" s="24"/>
      <c r="B974" s="17"/>
      <c r="C974" s="24"/>
      <c r="D974" s="16"/>
      <c r="E974" s="16"/>
      <c r="F974" s="16"/>
      <c r="G974" s="16"/>
      <c r="H974" s="16"/>
    </row>
    <row r="975" spans="1:8" ht="12.5">
      <c r="A975" s="24"/>
      <c r="B975" s="17"/>
      <c r="C975" s="24"/>
      <c r="D975" s="16"/>
      <c r="E975" s="16"/>
      <c r="F975" s="16"/>
      <c r="G975" s="16"/>
      <c r="H975" s="16"/>
    </row>
    <row r="976" spans="1:8" ht="12.5">
      <c r="A976" s="24"/>
      <c r="B976" s="17"/>
      <c r="C976" s="24"/>
      <c r="D976" s="16"/>
      <c r="E976" s="16"/>
      <c r="F976" s="16"/>
      <c r="G976" s="16"/>
      <c r="H976" s="16"/>
    </row>
    <row r="977" spans="1:8" ht="12.5">
      <c r="A977" s="24"/>
      <c r="B977" s="17"/>
      <c r="C977" s="24"/>
      <c r="D977" s="16"/>
      <c r="E977" s="16"/>
      <c r="F977" s="16"/>
      <c r="G977" s="16"/>
      <c r="H977" s="16"/>
    </row>
    <row r="978" spans="1:8" ht="12.5">
      <c r="A978" s="24"/>
      <c r="B978" s="17"/>
      <c r="C978" s="24"/>
      <c r="D978" s="16"/>
      <c r="E978" s="16"/>
      <c r="F978" s="16"/>
      <c r="G978" s="16"/>
      <c r="H978" s="16"/>
    </row>
    <row r="979" spans="1:8" ht="12.5">
      <c r="A979" s="24"/>
      <c r="B979" s="17"/>
      <c r="C979" s="24"/>
      <c r="D979" s="16"/>
      <c r="E979" s="16"/>
      <c r="F979" s="16"/>
      <c r="G979" s="16"/>
      <c r="H979" s="16"/>
    </row>
    <row r="980" spans="1:8" ht="12.5">
      <c r="A980" s="24"/>
      <c r="B980" s="17"/>
      <c r="C980" s="24"/>
      <c r="D980" s="16"/>
      <c r="E980" s="16"/>
      <c r="F980" s="16"/>
      <c r="G980" s="16"/>
      <c r="H980" s="16"/>
    </row>
    <row r="981" spans="1:8" ht="12.5">
      <c r="A981" s="24"/>
      <c r="B981" s="17"/>
      <c r="C981" s="24"/>
      <c r="D981" s="16"/>
      <c r="E981" s="16"/>
      <c r="F981" s="16"/>
      <c r="G981" s="16"/>
      <c r="H981" s="16"/>
    </row>
    <row r="982" spans="1:8" ht="12.5">
      <c r="A982" s="24"/>
      <c r="B982" s="17"/>
      <c r="C982" s="24"/>
      <c r="D982" s="16"/>
      <c r="E982" s="16"/>
      <c r="F982" s="16"/>
      <c r="G982" s="16"/>
      <c r="H982" s="16"/>
    </row>
    <row r="983" spans="1:8" ht="12.5">
      <c r="A983" s="24"/>
      <c r="B983" s="17"/>
      <c r="C983" s="24"/>
      <c r="D983" s="16"/>
      <c r="E983" s="16"/>
      <c r="F983" s="16"/>
      <c r="G983" s="16"/>
      <c r="H983" s="16"/>
    </row>
    <row r="984" spans="1:8" ht="12.5">
      <c r="A984" s="24"/>
      <c r="B984" s="17"/>
      <c r="C984" s="24"/>
      <c r="D984" s="16"/>
      <c r="E984" s="16"/>
      <c r="F984" s="16"/>
      <c r="G984" s="16"/>
      <c r="H984" s="16"/>
    </row>
    <row r="985" spans="1:8" ht="12.5">
      <c r="A985" s="24"/>
      <c r="B985" s="17"/>
      <c r="C985" s="24"/>
      <c r="D985" s="16"/>
      <c r="E985" s="16"/>
      <c r="F985" s="16"/>
      <c r="G985" s="16"/>
      <c r="H985" s="16"/>
    </row>
    <row r="986" spans="1:8" ht="12.5">
      <c r="A986" s="24"/>
      <c r="B986" s="17"/>
      <c r="C986" s="24"/>
      <c r="D986" s="16"/>
      <c r="E986" s="16"/>
      <c r="F986" s="16"/>
      <c r="G986" s="16"/>
      <c r="H986" s="16" t="str">
        <f ca="1">IFERROR(__xludf.DUMMYFUNCTION("""COMPUTED_VALUE"""),".")</f>
        <v>.</v>
      </c>
    </row>
    <row r="987" spans="1:8" ht="12.5">
      <c r="A987" s="24"/>
      <c r="B987" s="17"/>
      <c r="C987" s="24"/>
      <c r="D987" s="16"/>
      <c r="E987" s="16"/>
      <c r="F987" s="16"/>
      <c r="G987" s="16"/>
      <c r="H987" s="16" t="str">
        <f ca="1">IFERROR(__xludf.DUMMYFUNCTION("""COMPUTED_VALUE"""),".")</f>
        <v>.</v>
      </c>
    </row>
    <row r="988" spans="1:8" ht="12.5">
      <c r="A988" s="24"/>
      <c r="B988" s="17"/>
      <c r="C988" s="24"/>
      <c r="D988" s="16"/>
      <c r="E988" s="16"/>
      <c r="F988" s="16"/>
      <c r="G988" s="16"/>
      <c r="H988" s="16" t="str">
        <f ca="1">IFERROR(__xludf.DUMMYFUNCTION("""COMPUTED_VALUE"""),".")</f>
        <v>.</v>
      </c>
    </row>
    <row r="989" spans="1:8" ht="12.5">
      <c r="A989" s="24"/>
      <c r="B989" s="17"/>
      <c r="C989" s="24"/>
      <c r="D989" s="16"/>
      <c r="E989" s="16"/>
      <c r="F989" s="16"/>
      <c r="G989" s="16"/>
      <c r="H989" s="16" t="str">
        <f ca="1">IFERROR(__xludf.DUMMYFUNCTION("""COMPUTED_VALUE"""),".")</f>
        <v>.</v>
      </c>
    </row>
    <row r="990" spans="1:8" ht="12.5">
      <c r="A990" s="24"/>
      <c r="B990" s="17"/>
      <c r="C990" s="24"/>
      <c r="D990" s="16"/>
      <c r="E990" s="16"/>
      <c r="F990" s="16"/>
      <c r="G990" s="16"/>
      <c r="H990" s="16" t="str">
        <f ca="1">IFERROR(__xludf.DUMMYFUNCTION("""COMPUTED_VALUE"""),".")</f>
        <v>.</v>
      </c>
    </row>
    <row r="991" spans="1:8" ht="12.5">
      <c r="A991" s="24"/>
      <c r="B991" s="17"/>
      <c r="C991" s="24"/>
      <c r="D991" s="16"/>
      <c r="E991" s="16"/>
      <c r="F991" s="16"/>
      <c r="G991" s="16"/>
      <c r="H991" s="16" t="str">
        <f ca="1">IFERROR(__xludf.DUMMYFUNCTION("""COMPUTED_VALUE"""),".")</f>
        <v>.</v>
      </c>
    </row>
    <row r="992" spans="1:8" ht="12.5">
      <c r="A992" s="24"/>
      <c r="B992" s="17"/>
      <c r="C992" s="24"/>
      <c r="D992" s="16"/>
      <c r="E992" s="16"/>
      <c r="F992" s="16"/>
      <c r="G992" s="16"/>
      <c r="H992" s="16" t="str">
        <f ca="1">IFERROR(__xludf.DUMMYFUNCTION("""COMPUTED_VALUE"""),".")</f>
        <v>.</v>
      </c>
    </row>
    <row r="993" spans="1:8" ht="12.5">
      <c r="A993" s="24"/>
      <c r="B993" s="17"/>
      <c r="C993" s="24"/>
      <c r="D993" s="16"/>
      <c r="E993" s="16"/>
      <c r="F993" s="16"/>
      <c r="G993" s="16"/>
      <c r="H993" s="16" t="str">
        <f ca="1">IFERROR(__xludf.DUMMYFUNCTION("""COMPUTED_VALUE"""),".")</f>
        <v>.</v>
      </c>
    </row>
    <row r="994" spans="1:8" ht="12.5">
      <c r="A994" s="24"/>
      <c r="B994" s="17"/>
      <c r="C994" s="24"/>
      <c r="D994" s="16"/>
      <c r="E994" s="16"/>
      <c r="F994" s="16"/>
      <c r="G994" s="16"/>
      <c r="H994" s="16" t="str">
        <f ca="1">IFERROR(__xludf.DUMMYFUNCTION("""COMPUTED_VALUE"""),".")</f>
        <v>.</v>
      </c>
    </row>
    <row r="995" spans="1:8" ht="12.5">
      <c r="A995" s="24"/>
      <c r="B995" s="17"/>
      <c r="C995" s="24"/>
      <c r="D995" s="16"/>
      <c r="E995" s="16"/>
      <c r="F995" s="16"/>
      <c r="G995" s="16"/>
      <c r="H995" s="16" t="str">
        <f ca="1">IFERROR(__xludf.DUMMYFUNCTION("""COMPUTED_VALUE"""),".")</f>
        <v>.</v>
      </c>
    </row>
    <row r="996" spans="1:8" ht="12.5">
      <c r="A996" s="24"/>
      <c r="B996" s="17"/>
      <c r="C996" s="24"/>
      <c r="D996" s="16"/>
      <c r="E996" s="16"/>
      <c r="F996" s="16"/>
      <c r="G996" s="16"/>
      <c r="H996" s="16" t="str">
        <f ca="1">IFERROR(__xludf.DUMMYFUNCTION("""COMPUTED_VALUE"""),".")</f>
        <v>.</v>
      </c>
    </row>
    <row r="997" spans="1:8" ht="12.5">
      <c r="A997" s="24"/>
      <c r="B997" s="17"/>
      <c r="C997" s="24"/>
      <c r="D997" s="16"/>
      <c r="E997" s="16"/>
      <c r="F997" s="16"/>
      <c r="G997" s="16"/>
      <c r="H997" s="16" t="str">
        <f ca="1">IFERROR(__xludf.DUMMYFUNCTION("""COMPUTED_VALUE"""),".")</f>
        <v>.</v>
      </c>
    </row>
    <row r="998" spans="1:8" ht="12.5">
      <c r="A998" s="24"/>
      <c r="B998" s="17"/>
      <c r="C998" s="24"/>
      <c r="D998" s="16"/>
      <c r="E998" s="16"/>
      <c r="F998" s="16"/>
      <c r="G998" s="16"/>
      <c r="H998" s="16" t="str">
        <f ca="1">IFERROR(__xludf.DUMMYFUNCTION("""COMPUTED_VALUE"""),".")</f>
        <v>.</v>
      </c>
    </row>
    <row r="999" spans="1:8" ht="12.5">
      <c r="A999" s="24"/>
      <c r="B999" s="17"/>
      <c r="C999" s="24"/>
      <c r="D999" s="16"/>
      <c r="E999" s="16"/>
      <c r="F999" s="16"/>
      <c r="G999" s="16"/>
      <c r="H999" s="16" t="str">
        <f ca="1">IFERROR(__xludf.DUMMYFUNCTION("""COMPUTED_VALUE"""),".")</f>
        <v>.</v>
      </c>
    </row>
    <row r="1000" spans="1:8" ht="12.5">
      <c r="A1000" s="24"/>
      <c r="B1000" s="17"/>
      <c r="C1000" s="24"/>
      <c r="D1000" s="16"/>
      <c r="E1000" s="16"/>
      <c r="F1000" s="16"/>
      <c r="G1000" s="16"/>
      <c r="H1000" s="16" t="str">
        <f ca="1">IFERROR(__xludf.DUMMYFUNCTION("""COMPUTED_VALUE"""),".")</f>
        <v>.</v>
      </c>
    </row>
    <row r="1001" spans="1:8" ht="12.5">
      <c r="A1001" s="24"/>
      <c r="B1001" s="17"/>
      <c r="C1001" s="24"/>
      <c r="D1001" s="16"/>
      <c r="E1001" s="16"/>
      <c r="F1001" s="16"/>
      <c r="G1001" s="16"/>
      <c r="H1001" s="16" t="str">
        <f ca="1">IFERROR(__xludf.DUMMYFUNCTION("""COMPUTED_VALUE"""),".")</f>
        <v>.</v>
      </c>
    </row>
    <row r="1002" spans="1:8" ht="12.5">
      <c r="A1002" s="24"/>
      <c r="B1002" s="17"/>
      <c r="C1002" s="24"/>
      <c r="D1002" s="16"/>
      <c r="E1002" s="16"/>
      <c r="F1002" s="16"/>
      <c r="G1002" s="16"/>
      <c r="H1002" s="16" t="str">
        <f ca="1">IFERROR(__xludf.DUMMYFUNCTION("""COMPUTED_VALUE"""),".")</f>
        <v>.</v>
      </c>
    </row>
    <row r="1003" spans="1:8" ht="12.5">
      <c r="A1003" s="24"/>
      <c r="B1003" s="17"/>
      <c r="C1003" s="24"/>
      <c r="D1003" s="16"/>
      <c r="E1003" s="16"/>
      <c r="F1003" s="16"/>
      <c r="G1003" s="16"/>
      <c r="H1003" s="16" t="str">
        <f ca="1">IFERROR(__xludf.DUMMYFUNCTION("""COMPUTED_VALUE"""),".")</f>
        <v>.</v>
      </c>
    </row>
    <row r="1004" spans="1:8" ht="12.5">
      <c r="A1004" s="24"/>
      <c r="B1004" s="17"/>
      <c r="C1004" s="24"/>
      <c r="D1004" s="16"/>
      <c r="E1004" s="16"/>
      <c r="F1004" s="16"/>
      <c r="G1004" s="16"/>
      <c r="H1004" s="16" t="str">
        <f ca="1">IFERROR(__xludf.DUMMYFUNCTION("""COMPUTED_VALUE"""),".")</f>
        <v>.</v>
      </c>
    </row>
    <row r="1005" spans="1:8" ht="12.5">
      <c r="A1005" s="24"/>
      <c r="B1005" s="17"/>
      <c r="C1005" s="24"/>
      <c r="D1005" s="16"/>
      <c r="E1005" s="16"/>
      <c r="F1005" s="16"/>
      <c r="G1005" s="16"/>
      <c r="H1005" s="16" t="str">
        <f ca="1">IFERROR(__xludf.DUMMYFUNCTION("""COMPUTED_VALUE"""),".")</f>
        <v>.</v>
      </c>
    </row>
    <row r="1006" spans="1:8" ht="12.5">
      <c r="A1006" s="24"/>
      <c r="B1006" s="17"/>
      <c r="C1006" s="24"/>
      <c r="D1006" s="16"/>
      <c r="E1006" s="16"/>
      <c r="F1006" s="16"/>
      <c r="G1006" s="16"/>
      <c r="H1006" s="16" t="str">
        <f ca="1">IFERROR(__xludf.DUMMYFUNCTION("""COMPUTED_VALUE"""),".")</f>
        <v>.</v>
      </c>
    </row>
    <row r="1007" spans="1:8" ht="12.5">
      <c r="A1007" s="24"/>
      <c r="B1007" s="17"/>
      <c r="C1007" s="24"/>
      <c r="D1007" s="16"/>
      <c r="E1007" s="16"/>
      <c r="F1007" s="16"/>
      <c r="G1007" s="16"/>
      <c r="H1007" s="16" t="str">
        <f ca="1">IFERROR(__xludf.DUMMYFUNCTION("""COMPUTED_VALUE"""),".")</f>
        <v>.</v>
      </c>
    </row>
    <row r="1008" spans="1:8" ht="12.5">
      <c r="A1008" s="24"/>
      <c r="B1008" s="17"/>
      <c r="C1008" s="24"/>
      <c r="D1008" s="16"/>
      <c r="E1008" s="16"/>
      <c r="F1008" s="16"/>
      <c r="G1008" s="16"/>
      <c r="H1008" s="16" t="str">
        <f ca="1">IFERROR(__xludf.DUMMYFUNCTION("""COMPUTED_VALUE"""),".")</f>
        <v>.</v>
      </c>
    </row>
    <row r="1009" spans="1:8" ht="12.5">
      <c r="A1009" s="24"/>
      <c r="B1009" s="17"/>
      <c r="C1009" s="24"/>
      <c r="D1009" s="16"/>
      <c r="E1009" s="16"/>
      <c r="F1009" s="16"/>
      <c r="G1009" s="16"/>
      <c r="H1009" s="16" t="str">
        <f ca="1">IFERROR(__xludf.DUMMYFUNCTION("""COMPUTED_VALUE"""),".")</f>
        <v>.</v>
      </c>
    </row>
    <row r="1010" spans="1:8" ht="12.5">
      <c r="A1010" s="24"/>
      <c r="B1010" s="17"/>
      <c r="C1010" s="24"/>
      <c r="D1010" s="16"/>
      <c r="E1010" s="16"/>
      <c r="F1010" s="16"/>
      <c r="G1010" s="16"/>
      <c r="H1010" s="16" t="str">
        <f ca="1">IFERROR(__xludf.DUMMYFUNCTION("""COMPUTED_VALUE"""),".")</f>
        <v>.</v>
      </c>
    </row>
    <row r="1011" spans="1:8" ht="12.5">
      <c r="A1011" s="24"/>
      <c r="B1011" s="17"/>
      <c r="C1011" s="24"/>
      <c r="D1011" s="16"/>
      <c r="E1011" s="16"/>
      <c r="F1011" s="16"/>
      <c r="G1011" s="16"/>
      <c r="H1011" s="16" t="str">
        <f ca="1">IFERROR(__xludf.DUMMYFUNCTION("""COMPUTED_VALUE"""),".")</f>
        <v>.</v>
      </c>
    </row>
    <row r="1012" spans="1:8" ht="12.5">
      <c r="A1012" s="24"/>
      <c r="B1012" s="17"/>
      <c r="C1012" s="24"/>
      <c r="D1012" s="16"/>
      <c r="E1012" s="16"/>
      <c r="F1012" s="16"/>
      <c r="G1012" s="16"/>
      <c r="H1012" s="16" t="str">
        <f ca="1">IFERROR(__xludf.DUMMYFUNCTION("""COMPUTED_VALUE"""),".")</f>
        <v>.</v>
      </c>
    </row>
    <row r="1013" spans="1:8" ht="12.5">
      <c r="A1013" s="24"/>
      <c r="B1013" s="17"/>
      <c r="C1013" s="24"/>
      <c r="D1013" s="16"/>
      <c r="E1013" s="16"/>
      <c r="F1013" s="16"/>
      <c r="G1013" s="16"/>
      <c r="H1013" s="16" t="str">
        <f ca="1">IFERROR(__xludf.DUMMYFUNCTION("""COMPUTED_VALUE"""),".")</f>
        <v>.</v>
      </c>
    </row>
    <row r="1014" spans="1:8" ht="12.5">
      <c r="A1014" s="24"/>
      <c r="B1014" s="17"/>
      <c r="C1014" s="24"/>
      <c r="D1014" s="16"/>
      <c r="E1014" s="16"/>
      <c r="F1014" s="16"/>
      <c r="G1014" s="16"/>
      <c r="H1014" s="16" t="str">
        <f ca="1">IFERROR(__xludf.DUMMYFUNCTION("""COMPUTED_VALUE"""),".")</f>
        <v>.</v>
      </c>
    </row>
    <row r="1015" spans="1:8" ht="12.5">
      <c r="A1015" s="24"/>
      <c r="B1015" s="17"/>
      <c r="C1015" s="24"/>
      <c r="D1015" s="16"/>
      <c r="E1015" s="16"/>
      <c r="F1015" s="16"/>
      <c r="G1015" s="16"/>
      <c r="H1015" s="16" t="str">
        <f ca="1">IFERROR(__xludf.DUMMYFUNCTION("""COMPUTED_VALUE"""),".")</f>
        <v>.</v>
      </c>
    </row>
    <row r="1016" spans="1:8" ht="12.5">
      <c r="A1016" s="24"/>
      <c r="B1016" s="17"/>
      <c r="C1016" s="24"/>
      <c r="D1016" s="16"/>
      <c r="E1016" s="16"/>
      <c r="F1016" s="16"/>
      <c r="G1016" s="16"/>
      <c r="H1016" s="16" t="str">
        <f ca="1">IFERROR(__xludf.DUMMYFUNCTION("""COMPUTED_VALUE"""),".")</f>
        <v>.</v>
      </c>
    </row>
    <row r="1017" spans="1:8" ht="12.5">
      <c r="A1017" s="24"/>
      <c r="B1017" s="17"/>
      <c r="C1017" s="24"/>
      <c r="D1017" s="16"/>
      <c r="E1017" s="16"/>
      <c r="F1017" s="16"/>
      <c r="G1017" s="16"/>
      <c r="H1017" s="16" t="str">
        <f ca="1">IFERROR(__xludf.DUMMYFUNCTION("""COMPUTED_VALUE"""),".")</f>
        <v>.</v>
      </c>
    </row>
    <row r="1018" spans="1:8" ht="12.5">
      <c r="A1018" s="24"/>
      <c r="B1018" s="17"/>
      <c r="C1018" s="24"/>
      <c r="D1018" s="16"/>
      <c r="E1018" s="16"/>
      <c r="F1018" s="16"/>
      <c r="G1018" s="16"/>
      <c r="H1018" s="16" t="str">
        <f ca="1">IFERROR(__xludf.DUMMYFUNCTION("""COMPUTED_VALUE"""),".")</f>
        <v>.</v>
      </c>
    </row>
    <row r="1019" spans="1:8" ht="12.5">
      <c r="A1019" s="24"/>
      <c r="B1019" s="17"/>
      <c r="C1019" s="24"/>
      <c r="D1019" s="16"/>
      <c r="E1019" s="16"/>
      <c r="F1019" s="16"/>
      <c r="G1019" s="16"/>
      <c r="H1019" s="16"/>
    </row>
    <row r="1020" spans="1:8" ht="12.5">
      <c r="A1020" s="24"/>
      <c r="B1020" s="17"/>
      <c r="C1020" s="24"/>
      <c r="D1020" s="16"/>
      <c r="E1020" s="16"/>
      <c r="F1020" s="16"/>
      <c r="G1020" s="16"/>
      <c r="H1020" s="16" t="str">
        <f ca="1">IFERROR(__xludf.DUMMYFUNCTION("""COMPUTED_VALUE"""),".")</f>
        <v>.</v>
      </c>
    </row>
    <row r="1021" spans="1:8" ht="12.5">
      <c r="A1021" s="24"/>
      <c r="B1021" s="17"/>
      <c r="C1021" s="24"/>
      <c r="D1021" s="16"/>
      <c r="E1021" s="16"/>
      <c r="F1021" s="16"/>
      <c r="G1021" s="16"/>
      <c r="H1021" s="16" t="str">
        <f ca="1">IFERROR(__xludf.DUMMYFUNCTION("""COMPUTED_VALUE"""),".")</f>
        <v>.</v>
      </c>
    </row>
    <row r="1022" spans="1:8" ht="12.5">
      <c r="A1022" s="24"/>
      <c r="B1022" s="17"/>
      <c r="C1022" s="24"/>
      <c r="D1022" s="16"/>
      <c r="E1022" s="16"/>
      <c r="F1022" s="16"/>
      <c r="G1022" s="16"/>
      <c r="H1022" s="16" t="str">
        <f ca="1">IFERROR(__xludf.DUMMYFUNCTION("""COMPUTED_VALUE"""),".")</f>
        <v>.</v>
      </c>
    </row>
    <row r="1023" spans="1:8" ht="12.5">
      <c r="A1023" s="24"/>
      <c r="B1023" s="17"/>
      <c r="C1023" s="24"/>
      <c r="D1023" s="16"/>
      <c r="E1023" s="16"/>
      <c r="F1023" s="16"/>
      <c r="G1023" s="16"/>
      <c r="H1023" s="16" t="str">
        <f ca="1">IFERROR(__xludf.DUMMYFUNCTION("""COMPUTED_VALUE"""),".")</f>
        <v>.</v>
      </c>
    </row>
    <row r="1024" spans="1:8" ht="12.5">
      <c r="A1024" s="24"/>
      <c r="B1024" s="17"/>
      <c r="C1024" s="24"/>
      <c r="D1024" s="16"/>
      <c r="E1024" s="16"/>
      <c r="F1024" s="16"/>
      <c r="G1024" s="16"/>
      <c r="H1024" s="16" t="str">
        <f ca="1">IFERROR(__xludf.DUMMYFUNCTION("""COMPUTED_VALUE"""),".")</f>
        <v>.</v>
      </c>
    </row>
    <row r="1025" spans="1:8" ht="12.5">
      <c r="A1025" s="24"/>
      <c r="B1025" s="17"/>
      <c r="C1025" s="24"/>
      <c r="D1025" s="16"/>
      <c r="E1025" s="16"/>
      <c r="F1025" s="16"/>
      <c r="G1025" s="16"/>
      <c r="H1025" s="16" t="str">
        <f ca="1">IFERROR(__xludf.DUMMYFUNCTION("""COMPUTED_VALUE"""),".")</f>
        <v>.</v>
      </c>
    </row>
    <row r="1026" spans="1:8" ht="12.5">
      <c r="A1026" s="24"/>
      <c r="B1026" s="17"/>
      <c r="C1026" s="24"/>
      <c r="D1026" s="16"/>
      <c r="E1026" s="16"/>
      <c r="F1026" s="16"/>
      <c r="G1026" s="16"/>
      <c r="H1026" s="16" t="str">
        <f ca="1">IFERROR(__xludf.DUMMYFUNCTION("""COMPUTED_VALUE"""),".")</f>
        <v>.</v>
      </c>
    </row>
    <row r="1027" spans="1:8" ht="12.5">
      <c r="A1027" s="24"/>
      <c r="B1027" s="17"/>
      <c r="C1027" s="24"/>
      <c r="D1027" s="16"/>
      <c r="E1027" s="16"/>
      <c r="F1027" s="16"/>
      <c r="G1027" s="16"/>
      <c r="H1027" s="16" t="str">
        <f ca="1">IFERROR(__xludf.DUMMYFUNCTION("""COMPUTED_VALUE"""),".")</f>
        <v>.</v>
      </c>
    </row>
    <row r="1028" spans="1:8" ht="12.5">
      <c r="A1028" s="24"/>
      <c r="B1028" s="17"/>
      <c r="C1028" s="24"/>
      <c r="D1028" s="16"/>
      <c r="E1028" s="16"/>
      <c r="F1028" s="16"/>
      <c r="G1028" s="16"/>
      <c r="H1028" s="16" t="str">
        <f ca="1">IFERROR(__xludf.DUMMYFUNCTION("""COMPUTED_VALUE"""),".")</f>
        <v>.</v>
      </c>
    </row>
    <row r="1029" spans="1:8" ht="12.5">
      <c r="A1029" s="24"/>
      <c r="B1029" s="17"/>
      <c r="C1029" s="24"/>
      <c r="D1029" s="16"/>
      <c r="E1029" s="16"/>
      <c r="F1029" s="16"/>
      <c r="G1029" s="16"/>
      <c r="H1029" s="16" t="str">
        <f ca="1">IFERROR(__xludf.DUMMYFUNCTION("""COMPUTED_VALUE"""),".")</f>
        <v>.</v>
      </c>
    </row>
    <row r="1030" spans="1:8" ht="12.5">
      <c r="A1030" s="24"/>
      <c r="B1030" s="17"/>
      <c r="C1030" s="24"/>
      <c r="D1030" s="16"/>
      <c r="E1030" s="16"/>
      <c r="F1030" s="16"/>
      <c r="G1030" s="16"/>
      <c r="H1030" s="16" t="str">
        <f ca="1">IFERROR(__xludf.DUMMYFUNCTION("""COMPUTED_VALUE"""),".")</f>
        <v>.</v>
      </c>
    </row>
    <row r="1031" spans="1:8" ht="12.5">
      <c r="A1031" s="24"/>
      <c r="B1031" s="17"/>
      <c r="C1031" s="24"/>
      <c r="D1031" s="16"/>
      <c r="E1031" s="16"/>
      <c r="F1031" s="16"/>
      <c r="G1031" s="16"/>
      <c r="H1031" s="16" t="str">
        <f ca="1">IFERROR(__xludf.DUMMYFUNCTION("""COMPUTED_VALUE"""),".")</f>
        <v>.</v>
      </c>
    </row>
    <row r="1032" spans="1:8" ht="12.5">
      <c r="A1032" s="24"/>
      <c r="B1032" s="17"/>
      <c r="C1032" s="24"/>
      <c r="D1032" s="16"/>
      <c r="E1032" s="16"/>
      <c r="F1032" s="16"/>
      <c r="G1032" s="16"/>
      <c r="H1032" s="16" t="str">
        <f ca="1">IFERROR(__xludf.DUMMYFUNCTION("""COMPUTED_VALUE"""),".")</f>
        <v>.</v>
      </c>
    </row>
    <row r="1033" spans="1:8" ht="12.5">
      <c r="A1033" s="24"/>
      <c r="B1033" s="17"/>
      <c r="C1033" s="24"/>
      <c r="D1033" s="16"/>
      <c r="E1033" s="16"/>
      <c r="F1033" s="16"/>
      <c r="G1033" s="16"/>
      <c r="H1033" s="16"/>
    </row>
    <row r="1034" spans="1:8" ht="12.5">
      <c r="A1034" s="24"/>
      <c r="B1034" s="17"/>
      <c r="C1034" s="24"/>
      <c r="D1034" s="16"/>
      <c r="E1034" s="16"/>
      <c r="F1034" s="16"/>
      <c r="G1034" s="16"/>
      <c r="H1034" s="16"/>
    </row>
    <row r="1035" spans="1:8" ht="12.5">
      <c r="A1035" s="24"/>
      <c r="B1035" s="17"/>
      <c r="C1035" s="24"/>
      <c r="D1035" s="16"/>
      <c r="E1035" s="16"/>
      <c r="F1035" s="16"/>
      <c r="G1035" s="16"/>
      <c r="H1035" s="16"/>
    </row>
    <row r="1036" spans="1:8" ht="12.5">
      <c r="A1036" s="24"/>
      <c r="B1036" s="17"/>
      <c r="C1036" s="24"/>
      <c r="D1036" s="16"/>
      <c r="E1036" s="16"/>
      <c r="F1036" s="16"/>
      <c r="G1036" s="16"/>
      <c r="H1036" s="16"/>
    </row>
    <row r="1037" spans="1:8" ht="12.5">
      <c r="A1037" s="24"/>
      <c r="B1037" s="17"/>
      <c r="C1037" s="24"/>
      <c r="D1037" s="16"/>
      <c r="E1037" s="16"/>
      <c r="F1037" s="16"/>
      <c r="G1037" s="16"/>
      <c r="H1037" s="16"/>
    </row>
    <row r="1038" spans="1:8" ht="12.5">
      <c r="A1038" s="24"/>
      <c r="B1038" s="17"/>
      <c r="C1038" s="24"/>
      <c r="D1038" s="16"/>
      <c r="E1038" s="16"/>
      <c r="F1038" s="16"/>
      <c r="G1038" s="16"/>
      <c r="H1038" s="16"/>
    </row>
    <row r="1039" spans="1:8" ht="12.5">
      <c r="A1039" s="24"/>
      <c r="B1039" s="17"/>
      <c r="C1039" s="24"/>
      <c r="D1039" s="16"/>
      <c r="E1039" s="16"/>
      <c r="F1039" s="16"/>
      <c r="G1039" s="16"/>
      <c r="H1039" s="16"/>
    </row>
    <row r="1040" spans="1:8" ht="12.5">
      <c r="A1040" s="24"/>
      <c r="B1040" s="17"/>
      <c r="C1040" s="24"/>
      <c r="D1040" s="16"/>
      <c r="E1040" s="16"/>
      <c r="F1040" s="16"/>
      <c r="G1040" s="16"/>
      <c r="H1040" s="16"/>
    </row>
    <row r="1041" spans="1:8" ht="12.5">
      <c r="A1041" s="24"/>
      <c r="B1041" s="17"/>
      <c r="C1041" s="24"/>
      <c r="D1041" s="16"/>
      <c r="E1041" s="16"/>
      <c r="F1041" s="16"/>
      <c r="G1041" s="16"/>
      <c r="H1041" s="16"/>
    </row>
    <row r="1042" spans="1:8" ht="12.5">
      <c r="A1042" s="24"/>
      <c r="B1042" s="17"/>
      <c r="C1042" s="24"/>
      <c r="D1042" s="16"/>
      <c r="E1042" s="16"/>
      <c r="F1042" s="16"/>
      <c r="G1042" s="16"/>
      <c r="H1042" s="16"/>
    </row>
    <row r="1043" spans="1:8" ht="12.5">
      <c r="A1043" s="24"/>
      <c r="B1043" s="17"/>
      <c r="C1043" s="24"/>
      <c r="D1043" s="16"/>
      <c r="E1043" s="37" t="str">
        <f ca="1">IFERROR(__xludf.DUMMYFUNCTION("IMPORTRANGE(""https://docs.google.com/spreadsheets/d/1ghPq2GXSRxm4-7nokWB-4NeQT5BT6DZC88IPWta5RGM/edit#gid=188114201"",""#14 Patricio. !A11:A80"")"),"CODI")</f>
        <v>CODI</v>
      </c>
      <c r="F1043" s="37" t="str">
        <f ca="1">IFERROR(__xludf.DUMMYFUNCTION("IMPORTRANGE(""https://docs.google.com/spreadsheets/d/1ghPq2GXSRxm4-7nokWB-4NeQT5BT6DZC88IPWta5RGM/edit#gid=188114201"",""#14 Patricio. !I11:K80"")"),"Expense Type")</f>
        <v>Expense Type</v>
      </c>
      <c r="G1043" s="16" t="str">
        <f ca="1">IFERROR(__xludf.DUMMYFUNCTION("""COMPUTED_VALUE"""),"DESCRIPCION DEL CARGO")</f>
        <v>DESCRIPCION DEL CARGO</v>
      </c>
      <c r="H1043" s="16" t="str">
        <f ca="1">IFERROR(__xludf.DUMMYFUNCTION("""COMPUTED_VALUE"""),"FOLIO DE FACTURA")</f>
        <v>FOLIO DE FACTURA</v>
      </c>
    </row>
    <row r="1044" spans="1:8" ht="12.5">
      <c r="A1044" s="24"/>
      <c r="B1044" s="17"/>
      <c r="C1044" s="24"/>
      <c r="D1044" s="16"/>
      <c r="E1044" s="16" t="str">
        <f ca="1">IFERROR(__xludf.DUMMYFUNCTION("""COMPUTED_VALUE"""),"TRX1248")</f>
        <v>TRX1248</v>
      </c>
      <c r="F1044" s="16"/>
      <c r="G1044" s="16"/>
      <c r="H1044" s="16" t="str">
        <f ca="1">IFERROR(__xludf.DUMMYFUNCTION("""COMPUTED_VALUE"""),".")</f>
        <v>.</v>
      </c>
    </row>
    <row r="1045" spans="1:8" ht="12.5">
      <c r="A1045" s="24"/>
      <c r="B1045" s="17"/>
      <c r="C1045" s="24"/>
      <c r="D1045" s="16"/>
      <c r="E1045" s="16" t="str">
        <f ca="1">IFERROR(__xludf.DUMMYFUNCTION("""COMPUTED_VALUE"""),"TRX1201")</f>
        <v>TRX1201</v>
      </c>
      <c r="F1045" s="16"/>
      <c r="G1045" s="16"/>
      <c r="H1045" s="16" t="str">
        <f ca="1">IFERROR(__xludf.DUMMYFUNCTION("""COMPUTED_VALUE"""),".")</f>
        <v>.</v>
      </c>
    </row>
    <row r="1046" spans="1:8" ht="12.5">
      <c r="A1046" s="24"/>
      <c r="B1046" s="17"/>
      <c r="C1046" s="24"/>
      <c r="D1046" s="16"/>
      <c r="E1046" s="16"/>
      <c r="F1046" s="16"/>
      <c r="G1046" s="16"/>
      <c r="H1046" s="16" t="str">
        <f ca="1">IFERROR(__xludf.DUMMYFUNCTION("""COMPUTED_VALUE"""),".")</f>
        <v>.</v>
      </c>
    </row>
    <row r="1047" spans="1:8" ht="12.5">
      <c r="A1047" s="24"/>
      <c r="B1047" s="17"/>
      <c r="C1047" s="24"/>
      <c r="D1047" s="16"/>
      <c r="E1047" s="16"/>
      <c r="F1047" s="16"/>
      <c r="G1047" s="16"/>
      <c r="H1047" s="16" t="str">
        <f ca="1">IFERROR(__xludf.DUMMYFUNCTION("""COMPUTED_VALUE"""),".")</f>
        <v>.</v>
      </c>
    </row>
    <row r="1048" spans="1:8" ht="12.5">
      <c r="A1048" s="24"/>
      <c r="B1048" s="17"/>
      <c r="C1048" s="24"/>
      <c r="D1048" s="16"/>
      <c r="E1048" s="16"/>
      <c r="F1048" s="16"/>
      <c r="G1048" s="16"/>
      <c r="H1048" s="16" t="str">
        <f ca="1">IFERROR(__xludf.DUMMYFUNCTION("""COMPUTED_VALUE"""),".")</f>
        <v>.</v>
      </c>
    </row>
    <row r="1049" spans="1:8" ht="12.5">
      <c r="A1049" s="24"/>
      <c r="B1049" s="17"/>
      <c r="C1049" s="24"/>
      <c r="D1049" s="16"/>
      <c r="E1049" s="16"/>
      <c r="F1049" s="16"/>
      <c r="G1049" s="16"/>
      <c r="H1049" s="16" t="str">
        <f ca="1">IFERROR(__xludf.DUMMYFUNCTION("""COMPUTED_VALUE"""),".")</f>
        <v>.</v>
      </c>
    </row>
    <row r="1050" spans="1:8" ht="12.5">
      <c r="A1050" s="24"/>
      <c r="B1050" s="17"/>
      <c r="C1050" s="24"/>
      <c r="D1050" s="16"/>
      <c r="E1050" s="16"/>
      <c r="F1050" s="16"/>
      <c r="G1050" s="16"/>
      <c r="H1050" s="16" t="str">
        <f ca="1">IFERROR(__xludf.DUMMYFUNCTION("""COMPUTED_VALUE"""),".")</f>
        <v>.</v>
      </c>
    </row>
    <row r="1051" spans="1:8" ht="12.5">
      <c r="A1051" s="24"/>
      <c r="B1051" s="17"/>
      <c r="C1051" s="24"/>
      <c r="D1051" s="16"/>
      <c r="E1051" s="16"/>
      <c r="F1051" s="16"/>
      <c r="G1051" s="16"/>
      <c r="H1051" s="16" t="str">
        <f ca="1">IFERROR(__xludf.DUMMYFUNCTION("""COMPUTED_VALUE"""),".")</f>
        <v>.</v>
      </c>
    </row>
    <row r="1052" spans="1:8" ht="12.5">
      <c r="A1052" s="24"/>
      <c r="B1052" s="17"/>
      <c r="C1052" s="24"/>
      <c r="D1052" s="16"/>
      <c r="E1052" s="16"/>
      <c r="F1052" s="16"/>
      <c r="G1052" s="16"/>
      <c r="H1052" s="16" t="str">
        <f ca="1">IFERROR(__xludf.DUMMYFUNCTION("""COMPUTED_VALUE"""),".")</f>
        <v>.</v>
      </c>
    </row>
    <row r="1053" spans="1:8" ht="12.5">
      <c r="A1053" s="24"/>
      <c r="B1053" s="17"/>
      <c r="C1053" s="24"/>
      <c r="D1053" s="16"/>
      <c r="E1053" s="16"/>
      <c r="F1053" s="16"/>
      <c r="G1053" s="16"/>
      <c r="H1053" s="16" t="str">
        <f ca="1">IFERROR(__xludf.DUMMYFUNCTION("""COMPUTED_VALUE"""),".")</f>
        <v>.</v>
      </c>
    </row>
    <row r="1054" spans="1:8" ht="12.5">
      <c r="A1054" s="24"/>
      <c r="B1054" s="17"/>
      <c r="C1054" s="24"/>
      <c r="D1054" s="16"/>
      <c r="E1054" s="16"/>
      <c r="F1054" s="16"/>
      <c r="G1054" s="16"/>
      <c r="H1054" s="16" t="str">
        <f ca="1">IFERROR(__xludf.DUMMYFUNCTION("""COMPUTED_VALUE"""),".")</f>
        <v>.</v>
      </c>
    </row>
    <row r="1055" spans="1:8" ht="12.5">
      <c r="A1055" s="24"/>
      <c r="B1055" s="17"/>
      <c r="C1055" s="24"/>
      <c r="D1055" s="16"/>
      <c r="E1055" s="16"/>
      <c r="F1055" s="16"/>
      <c r="G1055" s="16"/>
      <c r="H1055" s="16" t="str">
        <f ca="1">IFERROR(__xludf.DUMMYFUNCTION("""COMPUTED_VALUE"""),".")</f>
        <v>.</v>
      </c>
    </row>
    <row r="1056" spans="1:8" ht="12.5">
      <c r="A1056" s="24"/>
      <c r="B1056" s="17"/>
      <c r="C1056" s="24"/>
      <c r="D1056" s="16"/>
      <c r="E1056" s="16"/>
      <c r="F1056" s="16"/>
      <c r="G1056" s="16"/>
      <c r="H1056" s="16" t="str">
        <f ca="1">IFERROR(__xludf.DUMMYFUNCTION("""COMPUTED_VALUE"""),".")</f>
        <v>.</v>
      </c>
    </row>
    <row r="1057" spans="1:8" ht="12.5">
      <c r="A1057" s="24"/>
      <c r="B1057" s="17"/>
      <c r="C1057" s="24"/>
      <c r="D1057" s="16"/>
      <c r="E1057" s="16"/>
      <c r="F1057" s="16"/>
      <c r="G1057" s="16"/>
      <c r="H1057" s="16" t="str">
        <f ca="1">IFERROR(__xludf.DUMMYFUNCTION("""COMPUTED_VALUE"""),".")</f>
        <v>.</v>
      </c>
    </row>
    <row r="1058" spans="1:8" ht="12.5">
      <c r="A1058" s="24"/>
      <c r="B1058" s="17"/>
      <c r="C1058" s="24"/>
      <c r="D1058" s="16"/>
      <c r="E1058" s="16"/>
      <c r="F1058" s="16"/>
      <c r="G1058" s="16"/>
      <c r="H1058" s="16" t="str">
        <f ca="1">IFERROR(__xludf.DUMMYFUNCTION("""COMPUTED_VALUE"""),".")</f>
        <v>.</v>
      </c>
    </row>
    <row r="1059" spans="1:8" ht="12.5">
      <c r="A1059" s="24"/>
      <c r="B1059" s="17"/>
      <c r="C1059" s="24"/>
      <c r="D1059" s="16"/>
      <c r="E1059" s="16"/>
      <c r="F1059" s="16"/>
      <c r="G1059" s="16"/>
      <c r="H1059" s="16" t="str">
        <f ca="1">IFERROR(__xludf.DUMMYFUNCTION("""COMPUTED_VALUE"""),".")</f>
        <v>.</v>
      </c>
    </row>
    <row r="1060" spans="1:8" ht="12.5">
      <c r="A1060" s="24"/>
      <c r="B1060" s="17"/>
      <c r="C1060" s="24"/>
      <c r="D1060" s="16"/>
      <c r="E1060" s="16"/>
      <c r="F1060" s="16"/>
      <c r="G1060" s="16"/>
      <c r="H1060" s="16" t="str">
        <f ca="1">IFERROR(__xludf.DUMMYFUNCTION("""COMPUTED_VALUE"""),".")</f>
        <v>.</v>
      </c>
    </row>
    <row r="1061" spans="1:8" ht="12.5">
      <c r="A1061" s="24"/>
      <c r="B1061" s="17"/>
      <c r="C1061" s="24"/>
      <c r="D1061" s="16"/>
      <c r="E1061" s="16"/>
      <c r="F1061" s="16"/>
      <c r="G1061" s="16"/>
      <c r="H1061" s="16" t="str">
        <f ca="1">IFERROR(__xludf.DUMMYFUNCTION("""COMPUTED_VALUE"""),".")</f>
        <v>.</v>
      </c>
    </row>
    <row r="1062" spans="1:8" ht="12.5">
      <c r="A1062" s="24"/>
      <c r="B1062" s="17"/>
      <c r="C1062" s="24"/>
      <c r="D1062" s="16"/>
      <c r="E1062" s="16"/>
      <c r="F1062" s="16"/>
      <c r="G1062" s="16"/>
      <c r="H1062" s="16" t="str">
        <f ca="1">IFERROR(__xludf.DUMMYFUNCTION("""COMPUTED_VALUE"""),".")</f>
        <v>.</v>
      </c>
    </row>
    <row r="1063" spans="1:8" ht="12.5">
      <c r="A1063" s="24"/>
      <c r="B1063" s="17"/>
      <c r="C1063" s="24"/>
      <c r="D1063" s="16"/>
      <c r="E1063" s="16"/>
      <c r="F1063" s="16"/>
      <c r="G1063" s="16"/>
      <c r="H1063" s="16" t="str">
        <f ca="1">IFERROR(__xludf.DUMMYFUNCTION("""COMPUTED_VALUE"""),".")</f>
        <v>.</v>
      </c>
    </row>
    <row r="1064" spans="1:8" ht="12.5">
      <c r="A1064" s="24"/>
      <c r="B1064" s="17"/>
      <c r="C1064" s="24"/>
      <c r="D1064" s="16"/>
      <c r="E1064" s="16"/>
      <c r="F1064" s="16"/>
      <c r="G1064" s="16"/>
      <c r="H1064" s="16" t="str">
        <f ca="1">IFERROR(__xludf.DUMMYFUNCTION("""COMPUTED_VALUE"""),".")</f>
        <v>.</v>
      </c>
    </row>
    <row r="1065" spans="1:8" ht="12.5">
      <c r="A1065" s="24"/>
      <c r="B1065" s="17"/>
      <c r="C1065" s="24"/>
      <c r="D1065" s="16"/>
      <c r="E1065" s="16"/>
      <c r="F1065" s="16"/>
      <c r="G1065" s="16"/>
      <c r="H1065" s="16" t="str">
        <f ca="1">IFERROR(__xludf.DUMMYFUNCTION("""COMPUTED_VALUE"""),".")</f>
        <v>.</v>
      </c>
    </row>
    <row r="1066" spans="1:8" ht="12.5">
      <c r="A1066" s="24"/>
      <c r="B1066" s="17"/>
      <c r="C1066" s="24"/>
      <c r="D1066" s="16"/>
      <c r="E1066" s="16"/>
      <c r="F1066" s="16"/>
      <c r="G1066" s="16"/>
      <c r="H1066" s="16" t="str">
        <f ca="1">IFERROR(__xludf.DUMMYFUNCTION("""COMPUTED_VALUE"""),".")</f>
        <v>.</v>
      </c>
    </row>
    <row r="1067" spans="1:8" ht="12.5">
      <c r="A1067" s="24"/>
      <c r="B1067" s="17"/>
      <c r="C1067" s="24"/>
      <c r="D1067" s="16"/>
      <c r="E1067" s="16"/>
      <c r="F1067" s="16"/>
      <c r="G1067" s="16"/>
      <c r="H1067" s="16" t="str">
        <f ca="1">IFERROR(__xludf.DUMMYFUNCTION("""COMPUTED_VALUE"""),".")</f>
        <v>.</v>
      </c>
    </row>
    <row r="1068" spans="1:8" ht="12.5">
      <c r="A1068" s="24"/>
      <c r="B1068" s="17"/>
      <c r="C1068" s="24"/>
      <c r="D1068" s="16"/>
      <c r="E1068" s="16"/>
      <c r="F1068" s="16"/>
      <c r="G1068" s="16"/>
      <c r="H1068" s="16" t="str">
        <f ca="1">IFERROR(__xludf.DUMMYFUNCTION("""COMPUTED_VALUE"""),".")</f>
        <v>.</v>
      </c>
    </row>
    <row r="1069" spans="1:8" ht="12.5">
      <c r="A1069" s="24"/>
      <c r="B1069" s="17"/>
      <c r="C1069" s="24"/>
      <c r="D1069" s="16"/>
      <c r="E1069" s="16"/>
      <c r="F1069" s="16"/>
      <c r="G1069" s="16"/>
      <c r="H1069" s="16" t="str">
        <f ca="1">IFERROR(__xludf.DUMMYFUNCTION("""COMPUTED_VALUE"""),".")</f>
        <v>.</v>
      </c>
    </row>
    <row r="1070" spans="1:8" ht="12.5">
      <c r="A1070" s="24"/>
      <c r="B1070" s="17"/>
      <c r="C1070" s="24"/>
      <c r="D1070" s="16"/>
      <c r="E1070" s="16"/>
      <c r="F1070" s="16"/>
      <c r="G1070" s="16"/>
      <c r="H1070" s="16" t="str">
        <f ca="1">IFERROR(__xludf.DUMMYFUNCTION("""COMPUTED_VALUE"""),".")</f>
        <v>.</v>
      </c>
    </row>
    <row r="1071" spans="1:8" ht="12.5">
      <c r="A1071" s="24"/>
      <c r="B1071" s="17"/>
      <c r="C1071" s="24"/>
      <c r="D1071" s="16"/>
      <c r="E1071" s="16"/>
      <c r="F1071" s="16"/>
      <c r="G1071" s="16"/>
      <c r="H1071" s="16" t="str">
        <f ca="1">IFERROR(__xludf.DUMMYFUNCTION("""COMPUTED_VALUE"""),".")</f>
        <v>.</v>
      </c>
    </row>
    <row r="1072" spans="1:8" ht="12.5">
      <c r="A1072" s="24"/>
      <c r="B1072" s="17"/>
      <c r="C1072" s="24"/>
      <c r="D1072" s="16"/>
      <c r="E1072" s="16"/>
      <c r="F1072" s="16"/>
      <c r="G1072" s="16"/>
      <c r="H1072" s="16" t="str">
        <f ca="1">IFERROR(__xludf.DUMMYFUNCTION("""COMPUTED_VALUE"""),".")</f>
        <v>.</v>
      </c>
    </row>
    <row r="1073" spans="1:8" ht="12.5">
      <c r="A1073" s="24"/>
      <c r="B1073" s="17"/>
      <c r="C1073" s="24"/>
      <c r="D1073" s="16"/>
      <c r="E1073" s="16"/>
      <c r="F1073" s="16"/>
      <c r="G1073" s="16"/>
      <c r="H1073" s="16" t="str">
        <f ca="1">IFERROR(__xludf.DUMMYFUNCTION("""COMPUTED_VALUE"""),".")</f>
        <v>.</v>
      </c>
    </row>
    <row r="1074" spans="1:8" ht="12.5">
      <c r="A1074" s="24"/>
      <c r="B1074" s="17"/>
      <c r="C1074" s="24"/>
      <c r="D1074" s="16"/>
      <c r="E1074" s="16"/>
      <c r="F1074" s="16"/>
      <c r="G1074" s="16"/>
      <c r="H1074" s="16" t="str">
        <f ca="1">IFERROR(__xludf.DUMMYFUNCTION("""COMPUTED_VALUE"""),".")</f>
        <v>.</v>
      </c>
    </row>
    <row r="1075" spans="1:8" ht="12.5">
      <c r="A1075" s="24"/>
      <c r="B1075" s="17"/>
      <c r="C1075" s="24"/>
      <c r="D1075" s="16"/>
      <c r="E1075" s="16"/>
      <c r="F1075" s="16"/>
      <c r="G1075" s="16"/>
      <c r="H1075" s="16" t="str">
        <f ca="1">IFERROR(__xludf.DUMMYFUNCTION("""COMPUTED_VALUE"""),".")</f>
        <v>.</v>
      </c>
    </row>
    <row r="1076" spans="1:8" ht="12.5">
      <c r="A1076" s="24"/>
      <c r="B1076" s="17"/>
      <c r="C1076" s="24"/>
      <c r="D1076" s="16"/>
      <c r="E1076" s="16"/>
      <c r="F1076" s="16"/>
      <c r="G1076" s="16"/>
      <c r="H1076" s="16" t="str">
        <f ca="1">IFERROR(__xludf.DUMMYFUNCTION("""COMPUTED_VALUE"""),".")</f>
        <v>.</v>
      </c>
    </row>
    <row r="1077" spans="1:8" ht="12.5">
      <c r="A1077" s="24"/>
      <c r="B1077" s="17"/>
      <c r="C1077" s="24"/>
      <c r="D1077" s="16"/>
      <c r="E1077" s="16"/>
      <c r="F1077" s="16"/>
      <c r="G1077" s="16"/>
      <c r="H1077" s="16" t="str">
        <f ca="1">IFERROR(__xludf.DUMMYFUNCTION("""COMPUTED_VALUE"""),".")</f>
        <v>.</v>
      </c>
    </row>
    <row r="1078" spans="1:8" ht="12.5">
      <c r="A1078" s="24"/>
      <c r="B1078" s="17"/>
      <c r="C1078" s="24"/>
      <c r="D1078" s="16"/>
      <c r="E1078" s="16"/>
      <c r="F1078" s="16"/>
      <c r="G1078" s="16"/>
      <c r="H1078" s="16" t="str">
        <f ca="1">IFERROR(__xludf.DUMMYFUNCTION("""COMPUTED_VALUE"""),".")</f>
        <v>.</v>
      </c>
    </row>
    <row r="1079" spans="1:8" ht="12.5">
      <c r="A1079" s="24"/>
      <c r="B1079" s="17"/>
      <c r="C1079" s="24"/>
      <c r="D1079" s="16"/>
      <c r="E1079" s="16"/>
      <c r="F1079" s="16"/>
      <c r="G1079" s="16"/>
      <c r="H1079" s="16" t="str">
        <f ca="1">IFERROR(__xludf.DUMMYFUNCTION("""COMPUTED_VALUE"""),".")</f>
        <v>.</v>
      </c>
    </row>
    <row r="1080" spans="1:8" ht="12.5">
      <c r="A1080" s="24"/>
      <c r="B1080" s="17"/>
      <c r="C1080" s="24"/>
      <c r="D1080" s="16"/>
      <c r="E1080" s="16"/>
      <c r="F1080" s="16"/>
      <c r="G1080" s="16"/>
      <c r="H1080" s="16" t="str">
        <f ca="1">IFERROR(__xludf.DUMMYFUNCTION("""COMPUTED_VALUE"""),".")</f>
        <v>.</v>
      </c>
    </row>
    <row r="1081" spans="1:8" ht="12.5">
      <c r="A1081" s="24"/>
      <c r="B1081" s="17"/>
      <c r="C1081" s="24"/>
      <c r="D1081" s="16"/>
      <c r="E1081" s="16"/>
      <c r="F1081" s="16"/>
      <c r="G1081" s="16"/>
      <c r="H1081" s="16" t="str">
        <f ca="1">IFERROR(__xludf.DUMMYFUNCTION("""COMPUTED_VALUE"""),".")</f>
        <v>.</v>
      </c>
    </row>
    <row r="1082" spans="1:8" ht="12.5">
      <c r="A1082" s="24"/>
      <c r="B1082" s="17"/>
      <c r="C1082" s="24"/>
      <c r="D1082" s="16"/>
      <c r="E1082" s="16"/>
      <c r="F1082" s="16"/>
      <c r="G1082" s="16"/>
      <c r="H1082" s="16" t="str">
        <f ca="1">IFERROR(__xludf.DUMMYFUNCTION("""COMPUTED_VALUE"""),".")</f>
        <v>.</v>
      </c>
    </row>
    <row r="1083" spans="1:8" ht="12.5">
      <c r="A1083" s="24"/>
      <c r="B1083" s="17"/>
      <c r="C1083" s="24"/>
      <c r="D1083" s="16"/>
      <c r="E1083" s="16"/>
      <c r="F1083" s="16"/>
      <c r="G1083" s="16"/>
      <c r="H1083" s="16" t="str">
        <f ca="1">IFERROR(__xludf.DUMMYFUNCTION("""COMPUTED_VALUE"""),".")</f>
        <v>.</v>
      </c>
    </row>
    <row r="1084" spans="1:8" ht="12.5">
      <c r="A1084" s="24"/>
      <c r="B1084" s="17"/>
      <c r="C1084" s="24"/>
      <c r="D1084" s="16"/>
      <c r="E1084" s="16"/>
      <c r="F1084" s="16"/>
      <c r="G1084" s="16"/>
      <c r="H1084" s="16" t="str">
        <f ca="1">IFERROR(__xludf.DUMMYFUNCTION("""COMPUTED_VALUE"""),".")</f>
        <v>.</v>
      </c>
    </row>
    <row r="1085" spans="1:8" ht="12.5">
      <c r="A1085" s="24"/>
      <c r="B1085" s="17"/>
      <c r="C1085" s="24"/>
      <c r="D1085" s="16"/>
      <c r="E1085" s="16"/>
      <c r="F1085" s="16"/>
      <c r="G1085" s="16"/>
      <c r="H1085" s="16" t="str">
        <f ca="1">IFERROR(__xludf.DUMMYFUNCTION("""COMPUTED_VALUE"""),".")</f>
        <v>.</v>
      </c>
    </row>
    <row r="1086" spans="1:8" ht="12.5">
      <c r="A1086" s="24"/>
      <c r="B1086" s="17"/>
      <c r="C1086" s="24"/>
      <c r="D1086" s="16"/>
      <c r="E1086" s="16"/>
      <c r="F1086" s="16"/>
      <c r="G1086" s="16"/>
      <c r="H1086" s="16" t="str">
        <f ca="1">IFERROR(__xludf.DUMMYFUNCTION("""COMPUTED_VALUE"""),".")</f>
        <v>.</v>
      </c>
    </row>
    <row r="1087" spans="1:8" ht="12.5">
      <c r="A1087" s="24"/>
      <c r="B1087" s="17"/>
      <c r="C1087" s="24"/>
      <c r="D1087" s="16"/>
      <c r="E1087" s="16"/>
      <c r="F1087" s="16"/>
      <c r="G1087" s="16"/>
      <c r="H1087" s="16" t="str">
        <f ca="1">IFERROR(__xludf.DUMMYFUNCTION("""COMPUTED_VALUE"""),".")</f>
        <v>.</v>
      </c>
    </row>
    <row r="1088" spans="1:8" ht="12.5">
      <c r="A1088" s="24"/>
      <c r="B1088" s="17"/>
      <c r="C1088" s="24"/>
      <c r="D1088" s="16"/>
      <c r="E1088" s="16"/>
      <c r="F1088" s="16"/>
      <c r="G1088" s="16"/>
      <c r="H1088" s="16" t="str">
        <f ca="1">IFERROR(__xludf.DUMMYFUNCTION("""COMPUTED_VALUE"""),".")</f>
        <v>.</v>
      </c>
    </row>
    <row r="1089" spans="1:8" ht="12.5">
      <c r="A1089" s="24"/>
      <c r="B1089" s="17"/>
      <c r="C1089" s="24"/>
      <c r="D1089" s="16"/>
      <c r="E1089" s="16"/>
      <c r="F1089" s="16"/>
      <c r="G1089" s="16"/>
      <c r="H1089" s="16" t="str">
        <f ca="1">IFERROR(__xludf.DUMMYFUNCTION("""COMPUTED_VALUE"""),".")</f>
        <v>.</v>
      </c>
    </row>
    <row r="1090" spans="1:8" ht="12.5">
      <c r="A1090" s="24"/>
      <c r="B1090" s="17"/>
      <c r="C1090" s="24"/>
      <c r="D1090" s="16"/>
      <c r="E1090" s="16"/>
      <c r="F1090" s="16"/>
      <c r="G1090" s="16"/>
      <c r="H1090" s="16" t="str">
        <f ca="1">IFERROR(__xludf.DUMMYFUNCTION("""COMPUTED_VALUE"""),".")</f>
        <v>.</v>
      </c>
    </row>
    <row r="1091" spans="1:8" ht="12.5">
      <c r="A1091" s="24"/>
      <c r="B1091" s="17"/>
      <c r="C1091" s="24"/>
      <c r="D1091" s="16"/>
      <c r="E1091" s="16"/>
      <c r="F1091" s="16"/>
      <c r="G1091" s="16"/>
      <c r="H1091" s="16" t="str">
        <f ca="1">IFERROR(__xludf.DUMMYFUNCTION("""COMPUTED_VALUE"""),".")</f>
        <v>.</v>
      </c>
    </row>
    <row r="1092" spans="1:8" ht="12.5">
      <c r="A1092" s="24"/>
      <c r="B1092" s="17"/>
      <c r="C1092" s="24"/>
      <c r="D1092" s="16"/>
      <c r="E1092" s="16"/>
      <c r="F1092" s="16"/>
      <c r="G1092" s="16"/>
      <c r="H1092" s="16" t="str">
        <f ca="1">IFERROR(__xludf.DUMMYFUNCTION("""COMPUTED_VALUE"""),".")</f>
        <v>.</v>
      </c>
    </row>
    <row r="1093" spans="1:8" ht="12.5">
      <c r="A1093" s="24"/>
      <c r="B1093" s="17"/>
      <c r="C1093" s="24"/>
      <c r="D1093" s="16"/>
      <c r="E1093" s="16"/>
      <c r="F1093" s="16"/>
      <c r="G1093" s="16"/>
      <c r="H1093" s="16" t="str">
        <f ca="1">IFERROR(__xludf.DUMMYFUNCTION("""COMPUTED_VALUE"""),".")</f>
        <v>.</v>
      </c>
    </row>
    <row r="1094" spans="1:8" ht="12.5">
      <c r="A1094" s="24"/>
      <c r="B1094" s="17"/>
      <c r="C1094" s="24"/>
      <c r="D1094" s="16"/>
      <c r="E1094" s="16"/>
      <c r="F1094" s="16"/>
      <c r="G1094" s="16"/>
      <c r="H1094" s="16" t="str">
        <f ca="1">IFERROR(__xludf.DUMMYFUNCTION("""COMPUTED_VALUE"""),".")</f>
        <v>.</v>
      </c>
    </row>
    <row r="1095" spans="1:8" ht="12.5">
      <c r="A1095" s="24"/>
      <c r="B1095" s="17"/>
      <c r="C1095" s="24"/>
      <c r="D1095" s="16"/>
      <c r="E1095" s="16"/>
      <c r="F1095" s="16"/>
      <c r="G1095" s="16"/>
      <c r="H1095" s="16" t="str">
        <f ca="1">IFERROR(__xludf.DUMMYFUNCTION("""COMPUTED_VALUE"""),".")</f>
        <v>.</v>
      </c>
    </row>
    <row r="1096" spans="1:8" ht="12.5">
      <c r="A1096" s="24"/>
      <c r="B1096" s="17"/>
      <c r="C1096" s="24"/>
      <c r="D1096" s="16"/>
      <c r="E1096" s="16"/>
      <c r="F1096" s="16"/>
      <c r="G1096" s="16"/>
      <c r="H1096" s="16" t="str">
        <f ca="1">IFERROR(__xludf.DUMMYFUNCTION("""COMPUTED_VALUE"""),".")</f>
        <v>.</v>
      </c>
    </row>
    <row r="1097" spans="1:8" ht="12.5">
      <c r="A1097" s="24"/>
      <c r="B1097" s="17"/>
      <c r="C1097" s="24"/>
      <c r="D1097" s="16"/>
      <c r="E1097" s="16"/>
      <c r="F1097" s="16"/>
      <c r="G1097" s="16"/>
      <c r="H1097" s="16" t="str">
        <f ca="1">IFERROR(__xludf.DUMMYFUNCTION("""COMPUTED_VALUE"""),".")</f>
        <v>.</v>
      </c>
    </row>
    <row r="1098" spans="1:8" ht="12.5">
      <c r="A1098" s="24"/>
      <c r="B1098" s="17"/>
      <c r="C1098" s="24"/>
      <c r="D1098" s="16"/>
      <c r="E1098" s="16"/>
      <c r="F1098" s="16"/>
      <c r="G1098" s="16"/>
      <c r="H1098" s="16" t="str">
        <f ca="1">IFERROR(__xludf.DUMMYFUNCTION("""COMPUTED_VALUE"""),".")</f>
        <v>.</v>
      </c>
    </row>
    <row r="1099" spans="1:8" ht="12.5">
      <c r="A1099" s="24"/>
      <c r="B1099" s="17"/>
      <c r="C1099" s="24"/>
      <c r="D1099" s="16"/>
      <c r="E1099" s="16"/>
      <c r="F1099" s="16"/>
      <c r="G1099" s="16"/>
      <c r="H1099" s="16" t="str">
        <f ca="1">IFERROR(__xludf.DUMMYFUNCTION("""COMPUTED_VALUE"""),".")</f>
        <v>.</v>
      </c>
    </row>
    <row r="1100" spans="1:8" ht="12.5">
      <c r="A1100" s="24"/>
      <c r="B1100" s="17"/>
      <c r="C1100" s="24"/>
      <c r="D1100" s="16"/>
      <c r="E1100" s="16"/>
      <c r="F1100" s="16"/>
      <c r="G1100" s="16"/>
      <c r="H1100" s="16" t="str">
        <f ca="1">IFERROR(__xludf.DUMMYFUNCTION("""COMPUTED_VALUE"""),".")</f>
        <v>.</v>
      </c>
    </row>
    <row r="1101" spans="1:8" ht="12.5">
      <c r="A1101" s="24"/>
      <c r="B1101" s="17"/>
      <c r="C1101" s="24"/>
      <c r="D1101" s="16"/>
      <c r="E1101" s="16"/>
      <c r="F1101" s="16"/>
      <c r="G1101" s="16"/>
      <c r="H1101" s="16" t="str">
        <f ca="1">IFERROR(__xludf.DUMMYFUNCTION("""COMPUTED_VALUE"""),".")</f>
        <v>.</v>
      </c>
    </row>
    <row r="1102" spans="1:8" ht="12.5">
      <c r="A1102" s="24"/>
      <c r="B1102" s="17"/>
      <c r="C1102" s="24"/>
      <c r="D1102" s="16"/>
      <c r="E1102" s="16"/>
      <c r="F1102" s="16"/>
      <c r="G1102" s="16"/>
      <c r="H1102" s="16" t="str">
        <f ca="1">IFERROR(__xludf.DUMMYFUNCTION("""COMPUTED_VALUE"""),".")</f>
        <v>.</v>
      </c>
    </row>
    <row r="1103" spans="1:8" ht="12.5">
      <c r="A1103" s="24"/>
      <c r="B1103" s="17"/>
      <c r="C1103" s="24"/>
      <c r="D1103" s="16"/>
      <c r="E1103" s="16"/>
      <c r="F1103" s="16"/>
      <c r="G1103" s="16"/>
      <c r="H1103" s="16" t="str">
        <f ca="1">IFERROR(__xludf.DUMMYFUNCTION("""COMPUTED_VALUE"""),".")</f>
        <v>.</v>
      </c>
    </row>
    <row r="1104" spans="1:8" ht="12.5">
      <c r="A1104" s="24"/>
      <c r="B1104" s="17"/>
      <c r="C1104" s="24"/>
      <c r="D1104" s="16"/>
      <c r="E1104" s="16"/>
      <c r="F1104" s="16"/>
      <c r="G1104" s="16"/>
      <c r="H1104" s="16" t="str">
        <f ca="1">IFERROR(__xludf.DUMMYFUNCTION("""COMPUTED_VALUE"""),".")</f>
        <v>.</v>
      </c>
    </row>
    <row r="1105" spans="1:8" ht="12.5">
      <c r="A1105" s="24"/>
      <c r="B1105" s="17"/>
      <c r="C1105" s="24"/>
      <c r="D1105" s="16"/>
      <c r="E1105" s="16"/>
      <c r="F1105" s="16"/>
      <c r="G1105" s="16"/>
      <c r="H1105" s="16" t="str">
        <f ca="1">IFERROR(__xludf.DUMMYFUNCTION("""COMPUTED_VALUE"""),".")</f>
        <v>.</v>
      </c>
    </row>
    <row r="1106" spans="1:8" ht="12.5">
      <c r="A1106" s="24"/>
      <c r="B1106" s="17"/>
      <c r="C1106" s="24"/>
      <c r="D1106" s="16"/>
      <c r="E1106" s="16"/>
      <c r="F1106" s="16"/>
      <c r="G1106" s="16"/>
      <c r="H1106" s="16" t="str">
        <f ca="1">IFERROR(__xludf.DUMMYFUNCTION("""COMPUTED_VALUE"""),".")</f>
        <v>.</v>
      </c>
    </row>
    <row r="1107" spans="1:8" ht="12.5">
      <c r="A1107" s="24"/>
      <c r="B1107" s="17"/>
      <c r="C1107" s="24"/>
      <c r="D1107" s="16"/>
      <c r="E1107" s="16"/>
      <c r="F1107" s="16"/>
      <c r="G1107" s="16"/>
      <c r="H1107" s="16" t="str">
        <f ca="1">IFERROR(__xludf.DUMMYFUNCTION("""COMPUTED_VALUE"""),".")</f>
        <v>.</v>
      </c>
    </row>
    <row r="1108" spans="1:8" ht="12.5">
      <c r="A1108" s="24"/>
      <c r="B1108" s="17"/>
      <c r="C1108" s="24"/>
      <c r="D1108" s="16"/>
      <c r="E1108" s="16"/>
      <c r="F1108" s="16"/>
      <c r="G1108" s="16"/>
      <c r="H1108" s="16" t="str">
        <f ca="1">IFERROR(__xludf.DUMMYFUNCTION("""COMPUTED_VALUE"""),".")</f>
        <v>.</v>
      </c>
    </row>
    <row r="1109" spans="1:8" ht="12.5">
      <c r="A1109" s="24"/>
      <c r="B1109" s="17"/>
      <c r="C1109" s="24"/>
      <c r="D1109" s="16"/>
      <c r="E1109" s="16"/>
      <c r="F1109" s="16"/>
      <c r="G1109" s="16"/>
      <c r="H1109" s="16" t="str">
        <f ca="1">IFERROR(__xludf.DUMMYFUNCTION("""COMPUTED_VALUE"""),".")</f>
        <v>.</v>
      </c>
    </row>
    <row r="1110" spans="1:8" ht="12.5">
      <c r="A1110" s="24"/>
      <c r="B1110" s="17"/>
      <c r="C1110" s="24"/>
      <c r="D1110" s="16"/>
      <c r="E1110" s="16"/>
      <c r="F1110" s="16"/>
      <c r="G1110" s="16"/>
      <c r="H1110" s="16" t="str">
        <f ca="1">IFERROR(__xludf.DUMMYFUNCTION("""COMPUTED_VALUE"""),".")</f>
        <v>.</v>
      </c>
    </row>
    <row r="1111" spans="1:8" ht="12.5">
      <c r="A1111" s="24"/>
      <c r="B1111" s="17"/>
      <c r="C1111" s="24"/>
      <c r="D1111" s="16"/>
      <c r="E1111" s="16"/>
      <c r="F1111" s="16"/>
      <c r="G1111" s="16"/>
      <c r="H1111" s="16" t="str">
        <f ca="1">IFERROR(__xludf.DUMMYFUNCTION("""COMPUTED_VALUE"""),".")</f>
        <v>.</v>
      </c>
    </row>
    <row r="1112" spans="1:8" ht="12.5">
      <c r="A1112" s="24"/>
      <c r="B1112" s="17"/>
      <c r="C1112" s="24"/>
      <c r="D1112" s="16"/>
      <c r="E1112" s="16"/>
      <c r="F1112" s="16"/>
      <c r="G1112" s="16"/>
      <c r="H1112" s="16" t="str">
        <f ca="1">IFERROR(__xludf.DUMMYFUNCTION("""COMPUTED_VALUE"""),".")</f>
        <v>.</v>
      </c>
    </row>
    <row r="1113" spans="1:8" ht="12.5">
      <c r="A1113" s="24"/>
      <c r="B1113" s="17"/>
      <c r="C1113" s="24"/>
      <c r="D1113" s="16"/>
      <c r="E1113" s="16"/>
      <c r="F1113" s="16"/>
      <c r="G1113" s="16"/>
      <c r="H1113" s="16"/>
    </row>
    <row r="1114" spans="1:8" ht="12.5">
      <c r="A1114" s="24"/>
      <c r="B1114" s="17"/>
      <c r="C1114" s="24"/>
      <c r="D1114" s="16"/>
      <c r="E1114" s="16"/>
      <c r="F1114" s="16"/>
      <c r="G1114" s="16"/>
      <c r="H1114" s="16"/>
    </row>
    <row r="1115" spans="1:8" ht="12.5">
      <c r="A1115" s="24"/>
      <c r="B1115" s="17"/>
      <c r="C1115" s="24"/>
      <c r="D1115" s="16"/>
      <c r="E1115" s="16"/>
      <c r="F1115" s="16"/>
      <c r="G1115" s="16"/>
      <c r="H1115" s="16"/>
    </row>
    <row r="1116" spans="1:8" ht="12.5">
      <c r="A1116" s="24"/>
      <c r="B1116" s="17"/>
      <c r="C1116" s="24"/>
      <c r="D1116" s="16"/>
      <c r="E1116" s="16"/>
      <c r="F1116" s="16"/>
      <c r="G1116" s="16"/>
      <c r="H1116" s="16"/>
    </row>
    <row r="1117" spans="1:8" ht="12.5">
      <c r="A1117" s="24"/>
      <c r="B1117" s="17"/>
      <c r="C1117" s="24"/>
      <c r="D1117" s="16"/>
      <c r="E1117" s="16"/>
      <c r="F1117" s="16"/>
      <c r="G1117" s="16"/>
      <c r="H1117" s="16"/>
    </row>
    <row r="1118" spans="1:8" ht="12.5">
      <c r="A1118" s="24"/>
      <c r="B1118" s="17"/>
      <c r="C1118" s="24"/>
      <c r="D1118" s="16"/>
      <c r="E1118" s="16"/>
      <c r="F1118" s="16"/>
      <c r="G1118" s="16"/>
      <c r="H1118" s="16"/>
    </row>
    <row r="1119" spans="1:8" ht="12.5">
      <c r="A1119" s="24"/>
      <c r="B1119" s="17"/>
      <c r="C1119" s="24"/>
      <c r="D1119" s="16"/>
      <c r="E1119" s="16"/>
      <c r="F1119" s="16"/>
      <c r="G1119" s="16"/>
      <c r="H1119" s="16"/>
    </row>
    <row r="1120" spans="1:8" ht="12.5">
      <c r="A1120" s="24"/>
      <c r="B1120" s="17"/>
      <c r="C1120" s="24"/>
      <c r="D1120" s="16"/>
      <c r="E1120" s="16"/>
      <c r="F1120" s="16"/>
      <c r="G1120" s="16"/>
      <c r="H1120" s="16"/>
    </row>
    <row r="1121" spans="1:8" ht="12.5">
      <c r="A1121" s="24"/>
      <c r="B1121" s="17"/>
      <c r="C1121" s="24"/>
      <c r="D1121" s="16"/>
      <c r="E1121" s="16"/>
      <c r="F1121" s="16"/>
      <c r="G1121" s="16"/>
      <c r="H1121" s="16"/>
    </row>
    <row r="1122" spans="1:8" ht="12.5">
      <c r="A1122" s="24"/>
      <c r="B1122" s="17"/>
      <c r="C1122" s="24"/>
      <c r="D1122" s="16"/>
      <c r="E1122" s="16"/>
      <c r="F1122" s="16"/>
      <c r="G1122" s="16"/>
      <c r="H1122" s="16"/>
    </row>
    <row r="1123" spans="1:8" ht="12.5">
      <c r="A1123" s="24"/>
      <c r="B1123" s="17"/>
      <c r="C1123" s="24"/>
      <c r="D1123" s="16"/>
      <c r="E1123" s="16"/>
      <c r="F1123" s="16"/>
      <c r="G1123" s="16"/>
      <c r="H1123" s="16"/>
    </row>
    <row r="1124" spans="1:8" ht="12.5">
      <c r="A1124" s="24"/>
      <c r="B1124" s="17"/>
      <c r="C1124" s="24"/>
      <c r="D1124" s="16"/>
      <c r="E1124" s="16"/>
      <c r="F1124" s="16"/>
      <c r="G1124" s="16"/>
      <c r="H1124" s="16"/>
    </row>
    <row r="1125" spans="1:8" ht="12.5">
      <c r="A1125" s="24"/>
      <c r="B1125" s="17"/>
      <c r="C1125" s="24"/>
      <c r="D1125" s="16"/>
      <c r="E1125" s="16"/>
      <c r="F1125" s="16"/>
      <c r="G1125" s="16"/>
      <c r="H1125" s="16"/>
    </row>
    <row r="1126" spans="1:8" ht="12.5">
      <c r="A1126" s="24"/>
      <c r="B1126" s="17"/>
      <c r="C1126" s="24"/>
      <c r="D1126" s="16"/>
      <c r="E1126" s="16"/>
      <c r="F1126" s="16"/>
      <c r="G1126" s="16"/>
      <c r="H1126" s="16"/>
    </row>
    <row r="1127" spans="1:8" ht="12.5">
      <c r="A1127" s="24"/>
      <c r="B1127" s="17"/>
      <c r="C1127" s="24"/>
      <c r="D1127" s="16"/>
      <c r="E1127" s="16"/>
      <c r="F1127" s="16"/>
      <c r="G1127" s="16"/>
      <c r="H1127" s="16"/>
    </row>
    <row r="1128" spans="1:8" ht="12.5">
      <c r="A1128" s="24"/>
      <c r="B1128" s="17"/>
      <c r="C1128" s="24"/>
      <c r="D1128" s="16"/>
      <c r="E1128" s="16"/>
      <c r="F1128" s="16"/>
      <c r="G1128" s="16"/>
      <c r="H1128" s="16"/>
    </row>
    <row r="1129" spans="1:8" ht="12.5">
      <c r="A1129" s="24"/>
      <c r="B1129" s="17"/>
      <c r="C1129" s="24"/>
      <c r="D1129" s="16"/>
      <c r="E1129" s="16"/>
      <c r="F1129" s="16"/>
      <c r="G1129" s="16"/>
      <c r="H1129" s="16"/>
    </row>
    <row r="1130" spans="1:8" ht="12.5">
      <c r="A1130" s="24"/>
      <c r="B1130" s="17"/>
      <c r="C1130" s="24"/>
      <c r="D1130" s="16"/>
      <c r="E1130" s="37" t="str">
        <f ca="1">IFERROR(__xludf.DUMMYFUNCTION("IMPORTRANGE(""https://docs.google.com/spreadsheets/d/1SHtXGy9HD2uwT8IHiNPOjLPM2zrv9pQFtEZo0HpPyj8/edit#gid=1404531132"",""#15 Raul!A11:A80"")"),"CODI")</f>
        <v>CODI</v>
      </c>
      <c r="F1130" s="37" t="str">
        <f ca="1">IFERROR(__xludf.DUMMYFUNCTION("IMPORTRANGE(""https://docs.google.com/spreadsheets/d/1SHtXGy9HD2uwT8IHiNPOjLPM2zrv9pQFtEZo0HpPyj8/edit#gid=1404531132"",""#15 Raul!I11:K80"")"),"Expense Type")</f>
        <v>Expense Type</v>
      </c>
      <c r="G1130" s="16" t="str">
        <f ca="1">IFERROR(__xludf.DUMMYFUNCTION("""COMPUTED_VALUE"""),"DESCRIPCION DEL GASTO")</f>
        <v>DESCRIPCION DEL GASTO</v>
      </c>
      <c r="H1130" s="16" t="str">
        <f ca="1">IFERROR(__xludf.DUMMYFUNCTION("""COMPUTED_VALUE"""),"FOLIO FACTURA")</f>
        <v>FOLIO FACTURA</v>
      </c>
    </row>
    <row r="1131" spans="1:8" ht="12.5">
      <c r="A1131" s="24"/>
      <c r="B1131" s="17"/>
      <c r="C1131" s="24"/>
      <c r="D1131" s="16"/>
      <c r="E1131" s="16" t="str">
        <f ca="1">IFERROR(__xludf.DUMMYFUNCTION("""COMPUTED_VALUE"""),"#N/A")</f>
        <v>#N/A</v>
      </c>
      <c r="F1131" s="16"/>
      <c r="G1131" s="16"/>
      <c r="H1131" s="16" t="str">
        <f ca="1">IFERROR(__xludf.DUMMYFUNCTION("""COMPUTED_VALUE"""),".")</f>
        <v>.</v>
      </c>
    </row>
    <row r="1132" spans="1:8" ht="12.5">
      <c r="A1132" s="24"/>
      <c r="B1132" s="17"/>
      <c r="C1132" s="24"/>
      <c r="D1132" s="16"/>
      <c r="E1132" s="16"/>
      <c r="F1132" s="16"/>
      <c r="G1132" s="16"/>
      <c r="H1132" s="16" t="str">
        <f ca="1">IFERROR(__xludf.DUMMYFUNCTION("""COMPUTED_VALUE"""),".")</f>
        <v>.</v>
      </c>
    </row>
    <row r="1133" spans="1:8" ht="12.5">
      <c r="A1133" s="24"/>
      <c r="B1133" s="17"/>
      <c r="C1133" s="24"/>
      <c r="D1133" s="16"/>
      <c r="E1133" s="16"/>
      <c r="F1133" s="16"/>
      <c r="G1133" s="16"/>
      <c r="H1133" s="16" t="str">
        <f ca="1">IFERROR(__xludf.DUMMYFUNCTION("""COMPUTED_VALUE"""),".")</f>
        <v>.</v>
      </c>
    </row>
    <row r="1134" spans="1:8" ht="12.5">
      <c r="A1134" s="24"/>
      <c r="B1134" s="17"/>
      <c r="C1134" s="24"/>
      <c r="D1134" s="16"/>
      <c r="E1134" s="16"/>
      <c r="F1134" s="16"/>
      <c r="G1134" s="16"/>
      <c r="H1134" s="16" t="str">
        <f ca="1">IFERROR(__xludf.DUMMYFUNCTION("""COMPUTED_VALUE"""),".")</f>
        <v>.</v>
      </c>
    </row>
    <row r="1135" spans="1:8" ht="12.5">
      <c r="A1135" s="24"/>
      <c r="B1135" s="17"/>
      <c r="C1135" s="24"/>
      <c r="D1135" s="16"/>
      <c r="E1135" s="16"/>
      <c r="F1135" s="16"/>
      <c r="G1135" s="16"/>
      <c r="H1135" s="16" t="str">
        <f ca="1">IFERROR(__xludf.DUMMYFUNCTION("""COMPUTED_VALUE"""),".")</f>
        <v>.</v>
      </c>
    </row>
    <row r="1136" spans="1:8" ht="12.5">
      <c r="A1136" s="24"/>
      <c r="B1136" s="17"/>
      <c r="C1136" s="24"/>
      <c r="D1136" s="16"/>
      <c r="E1136" s="16"/>
      <c r="F1136" s="16"/>
      <c r="G1136" s="16"/>
      <c r="H1136" s="16" t="str">
        <f ca="1">IFERROR(__xludf.DUMMYFUNCTION("""COMPUTED_VALUE"""),".")</f>
        <v>.</v>
      </c>
    </row>
    <row r="1137" spans="1:8" ht="12.5">
      <c r="A1137" s="24"/>
      <c r="B1137" s="17"/>
      <c r="C1137" s="24"/>
      <c r="D1137" s="16"/>
      <c r="E1137" s="16"/>
      <c r="F1137" s="16"/>
      <c r="G1137" s="16"/>
      <c r="H1137" s="16" t="str">
        <f ca="1">IFERROR(__xludf.DUMMYFUNCTION("""COMPUTED_VALUE"""),".")</f>
        <v>.</v>
      </c>
    </row>
    <row r="1138" spans="1:8" ht="12.5">
      <c r="A1138" s="24"/>
      <c r="B1138" s="17"/>
      <c r="C1138" s="24"/>
      <c r="D1138" s="16"/>
      <c r="E1138" s="16"/>
      <c r="F1138" s="16"/>
      <c r="G1138" s="16"/>
      <c r="H1138" s="16" t="str">
        <f ca="1">IFERROR(__xludf.DUMMYFUNCTION("""COMPUTED_VALUE"""),".")</f>
        <v>.</v>
      </c>
    </row>
    <row r="1139" spans="1:8" ht="12.5">
      <c r="A1139" s="24"/>
      <c r="B1139" s="17"/>
      <c r="C1139" s="24"/>
      <c r="D1139" s="16"/>
      <c r="E1139" s="16"/>
      <c r="F1139" s="16"/>
      <c r="G1139" s="16"/>
      <c r="H1139" s="16" t="str">
        <f ca="1">IFERROR(__xludf.DUMMYFUNCTION("""COMPUTED_VALUE"""),".")</f>
        <v>.</v>
      </c>
    </row>
    <row r="1140" spans="1:8" ht="12.5">
      <c r="A1140" s="24"/>
      <c r="B1140" s="17"/>
      <c r="C1140" s="24"/>
      <c r="D1140" s="16"/>
      <c r="E1140" s="16"/>
      <c r="F1140" s="16"/>
      <c r="G1140" s="16"/>
      <c r="H1140" s="16" t="str">
        <f ca="1">IFERROR(__xludf.DUMMYFUNCTION("""COMPUTED_VALUE"""),".")</f>
        <v>.</v>
      </c>
    </row>
    <row r="1141" spans="1:8" ht="12.5">
      <c r="A1141" s="24"/>
      <c r="B1141" s="17"/>
      <c r="C1141" s="24"/>
      <c r="D1141" s="16"/>
      <c r="E1141" s="16"/>
      <c r="F1141" s="16"/>
      <c r="G1141" s="16"/>
      <c r="H1141" s="16" t="str">
        <f ca="1">IFERROR(__xludf.DUMMYFUNCTION("""COMPUTED_VALUE"""),".")</f>
        <v>.</v>
      </c>
    </row>
    <row r="1142" spans="1:8" ht="12.5">
      <c r="A1142" s="24"/>
      <c r="B1142" s="17"/>
      <c r="C1142" s="24"/>
      <c r="D1142" s="16"/>
      <c r="E1142" s="16"/>
      <c r="F1142" s="16"/>
      <c r="G1142" s="16"/>
      <c r="H1142" s="16" t="str">
        <f ca="1">IFERROR(__xludf.DUMMYFUNCTION("""COMPUTED_VALUE"""),".")</f>
        <v>.</v>
      </c>
    </row>
    <row r="1143" spans="1:8" ht="12.5">
      <c r="A1143" s="24"/>
      <c r="B1143" s="17"/>
      <c r="C1143" s="24"/>
      <c r="D1143" s="16"/>
      <c r="E1143" s="16"/>
      <c r="F1143" s="16"/>
      <c r="G1143" s="16"/>
      <c r="H1143" s="16" t="str">
        <f ca="1">IFERROR(__xludf.DUMMYFUNCTION("""COMPUTED_VALUE"""),".")</f>
        <v>.</v>
      </c>
    </row>
    <row r="1144" spans="1:8" ht="12.5">
      <c r="A1144" s="24"/>
      <c r="B1144" s="17"/>
      <c r="C1144" s="24"/>
      <c r="D1144" s="16"/>
      <c r="E1144" s="16"/>
      <c r="F1144" s="16"/>
      <c r="G1144" s="16"/>
      <c r="H1144" s="16" t="str">
        <f ca="1">IFERROR(__xludf.DUMMYFUNCTION("""COMPUTED_VALUE"""),".")</f>
        <v>.</v>
      </c>
    </row>
    <row r="1145" spans="1:8" ht="12.5">
      <c r="A1145" s="24"/>
      <c r="B1145" s="17"/>
      <c r="C1145" s="24"/>
      <c r="D1145" s="16"/>
      <c r="E1145" s="16"/>
      <c r="F1145" s="16"/>
      <c r="G1145" s="16"/>
      <c r="H1145" s="16" t="str">
        <f ca="1">IFERROR(__xludf.DUMMYFUNCTION("""COMPUTED_VALUE"""),".")</f>
        <v>.</v>
      </c>
    </row>
    <row r="1146" spans="1:8" ht="12.5">
      <c r="A1146" s="24"/>
      <c r="B1146" s="17"/>
      <c r="C1146" s="24"/>
      <c r="D1146" s="16"/>
      <c r="E1146" s="16"/>
      <c r="F1146" s="16"/>
      <c r="G1146" s="16"/>
      <c r="H1146" s="16" t="str">
        <f ca="1">IFERROR(__xludf.DUMMYFUNCTION("""COMPUTED_VALUE"""),".")</f>
        <v>.</v>
      </c>
    </row>
    <row r="1147" spans="1:8" ht="12.5">
      <c r="A1147" s="24"/>
      <c r="B1147" s="17"/>
      <c r="C1147" s="24"/>
      <c r="D1147" s="16"/>
      <c r="E1147" s="16"/>
      <c r="F1147" s="16"/>
      <c r="G1147" s="16"/>
      <c r="H1147" s="16" t="str">
        <f ca="1">IFERROR(__xludf.DUMMYFUNCTION("""COMPUTED_VALUE"""),".")</f>
        <v>.</v>
      </c>
    </row>
    <row r="1148" spans="1:8" ht="12.5">
      <c r="A1148" s="24"/>
      <c r="B1148" s="17"/>
      <c r="C1148" s="24"/>
      <c r="D1148" s="16"/>
      <c r="E1148" s="16"/>
      <c r="F1148" s="16"/>
      <c r="G1148" s="16"/>
      <c r="H1148" s="16" t="str">
        <f ca="1">IFERROR(__xludf.DUMMYFUNCTION("""COMPUTED_VALUE"""),".")</f>
        <v>.</v>
      </c>
    </row>
    <row r="1149" spans="1:8" ht="12.5">
      <c r="A1149" s="24"/>
      <c r="B1149" s="17"/>
      <c r="C1149" s="24"/>
      <c r="D1149" s="16"/>
      <c r="E1149" s="16"/>
      <c r="F1149" s="16"/>
      <c r="G1149" s="16"/>
      <c r="H1149" s="16" t="str">
        <f ca="1">IFERROR(__xludf.DUMMYFUNCTION("""COMPUTED_VALUE"""),".")</f>
        <v>.</v>
      </c>
    </row>
    <row r="1150" spans="1:8" ht="12.5">
      <c r="A1150" s="24"/>
      <c r="B1150" s="17"/>
      <c r="C1150" s="24"/>
      <c r="D1150" s="16"/>
      <c r="E1150" s="16"/>
      <c r="F1150" s="16"/>
      <c r="G1150" s="16"/>
      <c r="H1150" s="16" t="str">
        <f ca="1">IFERROR(__xludf.DUMMYFUNCTION("""COMPUTED_VALUE"""),".")</f>
        <v>.</v>
      </c>
    </row>
    <row r="1151" spans="1:8" ht="12.5">
      <c r="A1151" s="24"/>
      <c r="B1151" s="17"/>
      <c r="C1151" s="24"/>
      <c r="D1151" s="16"/>
      <c r="E1151" s="16"/>
      <c r="F1151" s="16"/>
      <c r="G1151" s="16"/>
      <c r="H1151" s="16" t="str">
        <f ca="1">IFERROR(__xludf.DUMMYFUNCTION("""COMPUTED_VALUE"""),".")</f>
        <v>.</v>
      </c>
    </row>
    <row r="1152" spans="1:8" ht="12.5">
      <c r="A1152" s="24"/>
      <c r="B1152" s="17"/>
      <c r="C1152" s="24"/>
      <c r="D1152" s="16"/>
      <c r="E1152" s="16"/>
      <c r="F1152" s="16"/>
      <c r="G1152" s="16"/>
      <c r="H1152" s="16" t="str">
        <f ca="1">IFERROR(__xludf.DUMMYFUNCTION("""COMPUTED_VALUE"""),".")</f>
        <v>.</v>
      </c>
    </row>
    <row r="1153" spans="1:8" ht="12.5">
      <c r="A1153" s="24"/>
      <c r="B1153" s="17"/>
      <c r="C1153" s="24"/>
      <c r="D1153" s="16"/>
      <c r="E1153" s="16"/>
      <c r="F1153" s="16"/>
      <c r="G1153" s="16"/>
      <c r="H1153" s="16" t="str">
        <f ca="1">IFERROR(__xludf.DUMMYFUNCTION("""COMPUTED_VALUE"""),".")</f>
        <v>.</v>
      </c>
    </row>
    <row r="1154" spans="1:8" ht="12.5">
      <c r="A1154" s="24"/>
      <c r="B1154" s="17"/>
      <c r="C1154" s="24"/>
      <c r="D1154" s="16"/>
      <c r="E1154" s="16"/>
      <c r="F1154" s="16"/>
      <c r="G1154" s="16"/>
      <c r="H1154" s="16" t="str">
        <f ca="1">IFERROR(__xludf.DUMMYFUNCTION("""COMPUTED_VALUE"""),".")</f>
        <v>.</v>
      </c>
    </row>
    <row r="1155" spans="1:8" ht="12.5">
      <c r="A1155" s="24"/>
      <c r="B1155" s="17"/>
      <c r="C1155" s="24"/>
      <c r="D1155" s="16"/>
      <c r="E1155" s="16"/>
      <c r="F1155" s="16"/>
      <c r="G1155" s="16"/>
      <c r="H1155" s="16" t="str">
        <f ca="1">IFERROR(__xludf.DUMMYFUNCTION("""COMPUTED_VALUE"""),".")</f>
        <v>.</v>
      </c>
    </row>
    <row r="1156" spans="1:8" ht="12.5">
      <c r="A1156" s="24"/>
      <c r="B1156" s="17"/>
      <c r="C1156" s="24"/>
      <c r="D1156" s="16"/>
      <c r="E1156" s="16"/>
      <c r="F1156" s="16"/>
      <c r="G1156" s="16"/>
      <c r="H1156" s="16" t="str">
        <f ca="1">IFERROR(__xludf.DUMMYFUNCTION("""COMPUTED_VALUE"""),".")</f>
        <v>.</v>
      </c>
    </row>
    <row r="1157" spans="1:8" ht="12.5">
      <c r="A1157" s="24"/>
      <c r="B1157" s="17"/>
      <c r="C1157" s="24"/>
      <c r="D1157" s="16"/>
      <c r="E1157" s="16"/>
      <c r="F1157" s="16"/>
      <c r="G1157" s="16"/>
      <c r="H1157" s="16" t="str">
        <f ca="1">IFERROR(__xludf.DUMMYFUNCTION("""COMPUTED_VALUE"""),".")</f>
        <v>.</v>
      </c>
    </row>
    <row r="1158" spans="1:8" ht="12.5">
      <c r="A1158" s="24"/>
      <c r="B1158" s="17"/>
      <c r="C1158" s="24"/>
      <c r="D1158" s="16"/>
      <c r="E1158" s="16"/>
      <c r="F1158" s="16"/>
      <c r="G1158" s="16"/>
      <c r="H1158" s="16" t="str">
        <f ca="1">IFERROR(__xludf.DUMMYFUNCTION("""COMPUTED_VALUE"""),".")</f>
        <v>.</v>
      </c>
    </row>
    <row r="1159" spans="1:8" ht="12.5">
      <c r="A1159" s="24"/>
      <c r="B1159" s="17"/>
      <c r="C1159" s="24"/>
      <c r="D1159" s="16"/>
      <c r="E1159" s="16"/>
      <c r="F1159" s="16"/>
      <c r="G1159" s="16"/>
      <c r="H1159" s="16" t="str">
        <f ca="1">IFERROR(__xludf.DUMMYFUNCTION("""COMPUTED_VALUE"""),".")</f>
        <v>.</v>
      </c>
    </row>
    <row r="1160" spans="1:8" ht="12.5">
      <c r="A1160" s="24"/>
      <c r="B1160" s="17"/>
      <c r="C1160" s="24"/>
      <c r="D1160" s="16"/>
      <c r="E1160" s="16"/>
      <c r="F1160" s="16"/>
      <c r="G1160" s="16"/>
      <c r="H1160" s="16" t="str">
        <f ca="1">IFERROR(__xludf.DUMMYFUNCTION("""COMPUTED_VALUE"""),".")</f>
        <v>.</v>
      </c>
    </row>
    <row r="1161" spans="1:8" ht="12.5">
      <c r="A1161" s="24"/>
      <c r="B1161" s="17"/>
      <c r="C1161" s="24"/>
      <c r="D1161" s="16"/>
      <c r="E1161" s="16"/>
      <c r="F1161" s="16"/>
      <c r="G1161" s="16"/>
      <c r="H1161" s="16" t="str">
        <f ca="1">IFERROR(__xludf.DUMMYFUNCTION("""COMPUTED_VALUE"""),".")</f>
        <v>.</v>
      </c>
    </row>
    <row r="1162" spans="1:8" ht="12.5">
      <c r="A1162" s="24"/>
      <c r="B1162" s="17"/>
      <c r="C1162" s="24"/>
      <c r="D1162" s="16"/>
      <c r="E1162" s="16"/>
      <c r="F1162" s="16"/>
      <c r="G1162" s="16"/>
      <c r="H1162" s="16" t="str">
        <f ca="1">IFERROR(__xludf.DUMMYFUNCTION("""COMPUTED_VALUE"""),".")</f>
        <v>.</v>
      </c>
    </row>
    <row r="1163" spans="1:8" ht="12.5">
      <c r="A1163" s="24"/>
      <c r="B1163" s="17"/>
      <c r="C1163" s="24"/>
      <c r="D1163" s="16"/>
      <c r="E1163" s="16"/>
      <c r="F1163" s="16"/>
      <c r="G1163" s="16"/>
      <c r="H1163" s="16" t="str">
        <f ca="1">IFERROR(__xludf.DUMMYFUNCTION("""COMPUTED_VALUE"""),".")</f>
        <v>.</v>
      </c>
    </row>
    <row r="1164" spans="1:8" ht="12.5">
      <c r="A1164" s="24"/>
      <c r="B1164" s="17"/>
      <c r="C1164" s="24"/>
      <c r="D1164" s="16"/>
      <c r="E1164" s="16"/>
      <c r="F1164" s="16"/>
      <c r="G1164" s="16"/>
      <c r="H1164" s="16" t="str">
        <f ca="1">IFERROR(__xludf.DUMMYFUNCTION("""COMPUTED_VALUE"""),".")</f>
        <v>.</v>
      </c>
    </row>
    <row r="1165" spans="1:8" ht="12.5">
      <c r="A1165" s="24"/>
      <c r="B1165" s="17"/>
      <c r="C1165" s="24"/>
      <c r="D1165" s="16"/>
      <c r="E1165" s="16"/>
      <c r="F1165" s="16"/>
      <c r="G1165" s="16"/>
      <c r="H1165" s="16" t="str">
        <f ca="1">IFERROR(__xludf.DUMMYFUNCTION("""COMPUTED_VALUE"""),".")</f>
        <v>.</v>
      </c>
    </row>
    <row r="1166" spans="1:8" ht="12.5">
      <c r="A1166" s="24"/>
      <c r="B1166" s="17"/>
      <c r="C1166" s="24"/>
      <c r="D1166" s="16"/>
      <c r="E1166" s="16"/>
      <c r="F1166" s="16"/>
      <c r="G1166" s="16"/>
      <c r="H1166" s="16" t="str">
        <f ca="1">IFERROR(__xludf.DUMMYFUNCTION("""COMPUTED_VALUE"""),".")</f>
        <v>.</v>
      </c>
    </row>
    <row r="1167" spans="1:8" ht="12.5">
      <c r="A1167" s="24"/>
      <c r="B1167" s="17"/>
      <c r="C1167" s="24"/>
      <c r="D1167" s="16"/>
      <c r="E1167" s="16"/>
      <c r="F1167" s="16"/>
      <c r="G1167" s="16"/>
      <c r="H1167" s="16" t="str">
        <f ca="1">IFERROR(__xludf.DUMMYFUNCTION("""COMPUTED_VALUE"""),".")</f>
        <v>.</v>
      </c>
    </row>
    <row r="1168" spans="1:8" ht="12.5">
      <c r="A1168" s="24"/>
      <c r="B1168" s="17"/>
      <c r="C1168" s="24"/>
      <c r="D1168" s="16"/>
      <c r="E1168" s="16"/>
      <c r="F1168" s="16"/>
      <c r="G1168" s="16"/>
      <c r="H1168" s="16" t="str">
        <f ca="1">IFERROR(__xludf.DUMMYFUNCTION("""COMPUTED_VALUE"""),".")</f>
        <v>.</v>
      </c>
    </row>
    <row r="1169" spans="1:8" ht="12.5">
      <c r="A1169" s="24"/>
      <c r="B1169" s="17"/>
      <c r="C1169" s="24"/>
      <c r="D1169" s="16"/>
      <c r="E1169" s="16"/>
      <c r="F1169" s="16"/>
      <c r="G1169" s="16"/>
      <c r="H1169" s="16" t="str">
        <f ca="1">IFERROR(__xludf.DUMMYFUNCTION("""COMPUTED_VALUE"""),".")</f>
        <v>.</v>
      </c>
    </row>
    <row r="1170" spans="1:8" ht="12.5">
      <c r="A1170" s="24"/>
      <c r="B1170" s="17"/>
      <c r="C1170" s="24"/>
      <c r="D1170" s="16"/>
      <c r="E1170" s="16"/>
      <c r="F1170" s="16"/>
      <c r="G1170" s="16"/>
      <c r="H1170" s="16" t="str">
        <f ca="1">IFERROR(__xludf.DUMMYFUNCTION("""COMPUTED_VALUE"""),".")</f>
        <v>.</v>
      </c>
    </row>
    <row r="1171" spans="1:8" ht="12.5">
      <c r="A1171" s="24"/>
      <c r="B1171" s="17"/>
      <c r="C1171" s="24"/>
      <c r="D1171" s="16"/>
      <c r="E1171" s="16"/>
      <c r="F1171" s="16"/>
      <c r="G1171" s="16"/>
      <c r="H1171" s="16" t="str">
        <f ca="1">IFERROR(__xludf.DUMMYFUNCTION("""COMPUTED_VALUE"""),".")</f>
        <v>.</v>
      </c>
    </row>
    <row r="1172" spans="1:8" ht="12.5">
      <c r="A1172" s="24"/>
      <c r="B1172" s="17"/>
      <c r="C1172" s="24"/>
      <c r="D1172" s="16"/>
      <c r="E1172" s="16"/>
      <c r="F1172" s="16"/>
      <c r="G1172" s="16"/>
      <c r="H1172" s="16" t="str">
        <f ca="1">IFERROR(__xludf.DUMMYFUNCTION("""COMPUTED_VALUE"""),".")</f>
        <v>.</v>
      </c>
    </row>
    <row r="1173" spans="1:8" ht="12.5">
      <c r="A1173" s="24"/>
      <c r="B1173" s="17"/>
      <c r="C1173" s="24"/>
      <c r="D1173" s="16"/>
      <c r="E1173" s="16"/>
      <c r="F1173" s="16"/>
      <c r="G1173" s="16"/>
      <c r="H1173" s="16" t="str">
        <f ca="1">IFERROR(__xludf.DUMMYFUNCTION("""COMPUTED_VALUE"""),".")</f>
        <v>.</v>
      </c>
    </row>
    <row r="1174" spans="1:8" ht="12.5">
      <c r="A1174" s="24"/>
      <c r="B1174" s="17"/>
      <c r="C1174" s="24"/>
      <c r="D1174" s="16"/>
      <c r="E1174" s="16"/>
      <c r="F1174" s="16"/>
      <c r="G1174" s="16"/>
      <c r="H1174" s="16" t="str">
        <f ca="1">IFERROR(__xludf.DUMMYFUNCTION("""COMPUTED_VALUE"""),".")</f>
        <v>.</v>
      </c>
    </row>
    <row r="1175" spans="1:8" ht="12.5">
      <c r="A1175" s="24"/>
      <c r="B1175" s="17"/>
      <c r="C1175" s="24"/>
      <c r="D1175" s="16"/>
      <c r="E1175" s="16"/>
      <c r="F1175" s="16"/>
      <c r="G1175" s="16"/>
      <c r="H1175" s="16" t="str">
        <f ca="1">IFERROR(__xludf.DUMMYFUNCTION("""COMPUTED_VALUE"""),".")</f>
        <v>.</v>
      </c>
    </row>
    <row r="1176" spans="1:8" ht="12.5">
      <c r="A1176" s="24"/>
      <c r="B1176" s="17"/>
      <c r="C1176" s="24"/>
      <c r="D1176" s="16"/>
      <c r="E1176" s="16"/>
      <c r="F1176" s="16"/>
      <c r="G1176" s="16"/>
      <c r="H1176" s="16" t="str">
        <f ca="1">IFERROR(__xludf.DUMMYFUNCTION("""COMPUTED_VALUE"""),".")</f>
        <v>.</v>
      </c>
    </row>
    <row r="1177" spans="1:8" ht="12.5">
      <c r="A1177" s="24"/>
      <c r="B1177" s="17"/>
      <c r="C1177" s="24"/>
      <c r="D1177" s="16"/>
      <c r="E1177" s="16"/>
      <c r="F1177" s="16"/>
      <c r="G1177" s="16"/>
      <c r="H1177" s="16" t="str">
        <f ca="1">IFERROR(__xludf.DUMMYFUNCTION("""COMPUTED_VALUE"""),".")</f>
        <v>.</v>
      </c>
    </row>
    <row r="1178" spans="1:8" ht="12.5">
      <c r="A1178" s="24"/>
      <c r="B1178" s="17"/>
      <c r="C1178" s="24"/>
      <c r="D1178" s="16"/>
      <c r="E1178" s="16"/>
      <c r="F1178" s="16"/>
      <c r="G1178" s="16"/>
      <c r="H1178" s="16" t="str">
        <f ca="1">IFERROR(__xludf.DUMMYFUNCTION("""COMPUTED_VALUE"""),".")</f>
        <v>.</v>
      </c>
    </row>
    <row r="1179" spans="1:8" ht="12.5">
      <c r="A1179" s="24"/>
      <c r="B1179" s="17"/>
      <c r="C1179" s="24"/>
      <c r="D1179" s="16"/>
      <c r="E1179" s="16"/>
      <c r="F1179" s="16"/>
      <c r="G1179" s="16"/>
      <c r="H1179" s="16" t="str">
        <f ca="1">IFERROR(__xludf.DUMMYFUNCTION("""COMPUTED_VALUE"""),".")</f>
        <v>.</v>
      </c>
    </row>
    <row r="1180" spans="1:8" ht="12.5">
      <c r="A1180" s="24"/>
      <c r="B1180" s="17"/>
      <c r="C1180" s="24"/>
      <c r="D1180" s="16"/>
      <c r="E1180" s="16"/>
      <c r="F1180" s="16"/>
      <c r="G1180" s="16"/>
      <c r="H1180" s="16" t="str">
        <f ca="1">IFERROR(__xludf.DUMMYFUNCTION("""COMPUTED_VALUE"""),".")</f>
        <v>.</v>
      </c>
    </row>
    <row r="1181" spans="1:8" ht="12.5">
      <c r="A1181" s="24"/>
      <c r="B1181" s="17"/>
      <c r="C1181" s="24"/>
      <c r="D1181" s="16"/>
      <c r="E1181" s="16"/>
      <c r="F1181" s="16"/>
      <c r="G1181" s="16"/>
      <c r="H1181" s="16" t="str">
        <f ca="1">IFERROR(__xludf.DUMMYFUNCTION("""COMPUTED_VALUE"""),".")</f>
        <v>.</v>
      </c>
    </row>
    <row r="1182" spans="1:8" ht="12.5">
      <c r="A1182" s="24"/>
      <c r="B1182" s="17"/>
      <c r="C1182" s="24"/>
      <c r="D1182" s="16"/>
      <c r="E1182" s="16"/>
      <c r="F1182" s="16"/>
      <c r="G1182" s="16"/>
      <c r="H1182" s="16" t="str">
        <f ca="1">IFERROR(__xludf.DUMMYFUNCTION("""COMPUTED_VALUE"""),".")</f>
        <v>.</v>
      </c>
    </row>
    <row r="1183" spans="1:8" ht="12.5">
      <c r="A1183" s="24"/>
      <c r="B1183" s="17"/>
      <c r="C1183" s="24"/>
      <c r="D1183" s="16"/>
      <c r="E1183" s="16"/>
      <c r="F1183" s="16"/>
      <c r="G1183" s="16"/>
      <c r="H1183" s="16" t="str">
        <f ca="1">IFERROR(__xludf.DUMMYFUNCTION("""COMPUTED_VALUE"""),".")</f>
        <v>.</v>
      </c>
    </row>
    <row r="1184" spans="1:8" ht="12.5">
      <c r="A1184" s="24"/>
      <c r="B1184" s="17"/>
      <c r="C1184" s="24"/>
      <c r="D1184" s="16"/>
      <c r="E1184" s="16"/>
      <c r="F1184" s="16"/>
      <c r="G1184" s="16"/>
      <c r="H1184" s="16" t="str">
        <f ca="1">IFERROR(__xludf.DUMMYFUNCTION("""COMPUTED_VALUE"""),".")</f>
        <v>.</v>
      </c>
    </row>
    <row r="1185" spans="1:8" ht="12.5">
      <c r="A1185" s="24"/>
      <c r="B1185" s="17"/>
      <c r="C1185" s="24"/>
      <c r="D1185" s="16"/>
      <c r="E1185" s="16"/>
      <c r="F1185" s="16"/>
      <c r="G1185" s="16"/>
      <c r="H1185" s="16" t="str">
        <f ca="1">IFERROR(__xludf.DUMMYFUNCTION("""COMPUTED_VALUE"""),".")</f>
        <v>.</v>
      </c>
    </row>
    <row r="1186" spans="1:8" ht="12.5">
      <c r="A1186" s="24"/>
      <c r="B1186" s="17"/>
      <c r="C1186" s="24"/>
      <c r="D1186" s="16"/>
      <c r="E1186" s="16"/>
      <c r="F1186" s="16"/>
      <c r="G1186" s="16"/>
      <c r="H1186" s="16" t="str">
        <f ca="1">IFERROR(__xludf.DUMMYFUNCTION("""COMPUTED_VALUE"""),".")</f>
        <v>.</v>
      </c>
    </row>
    <row r="1187" spans="1:8" ht="12.5">
      <c r="A1187" s="24"/>
      <c r="B1187" s="17"/>
      <c r="C1187" s="24"/>
      <c r="D1187" s="16"/>
      <c r="E1187" s="16"/>
      <c r="F1187" s="16"/>
      <c r="G1187" s="16"/>
      <c r="H1187" s="16" t="str">
        <f ca="1">IFERROR(__xludf.DUMMYFUNCTION("""COMPUTED_VALUE"""),".")</f>
        <v>.</v>
      </c>
    </row>
    <row r="1188" spans="1:8" ht="12.5">
      <c r="A1188" s="24"/>
      <c r="B1188" s="17"/>
      <c r="C1188" s="24"/>
      <c r="D1188" s="16"/>
      <c r="E1188" s="16"/>
      <c r="F1188" s="16"/>
      <c r="G1188" s="16"/>
      <c r="H1188" s="16" t="str">
        <f ca="1">IFERROR(__xludf.DUMMYFUNCTION("""COMPUTED_VALUE"""),".")</f>
        <v>.</v>
      </c>
    </row>
    <row r="1189" spans="1:8" ht="12.5">
      <c r="A1189" s="24"/>
      <c r="B1189" s="17"/>
      <c r="C1189" s="24"/>
      <c r="D1189" s="16"/>
      <c r="E1189" s="16"/>
      <c r="F1189" s="16"/>
      <c r="G1189" s="16"/>
      <c r="H1189" s="16" t="str">
        <f ca="1">IFERROR(__xludf.DUMMYFUNCTION("""COMPUTED_VALUE"""),".")</f>
        <v>.</v>
      </c>
    </row>
    <row r="1190" spans="1:8" ht="12.5">
      <c r="A1190" s="24"/>
      <c r="B1190" s="17"/>
      <c r="C1190" s="24"/>
      <c r="D1190" s="16"/>
      <c r="E1190" s="16"/>
      <c r="F1190" s="16"/>
      <c r="G1190" s="16"/>
      <c r="H1190" s="16" t="str">
        <f ca="1">IFERROR(__xludf.DUMMYFUNCTION("""COMPUTED_VALUE"""),".")</f>
        <v>.</v>
      </c>
    </row>
    <row r="1191" spans="1:8" ht="12.5">
      <c r="A1191" s="24"/>
      <c r="B1191" s="17"/>
      <c r="C1191" s="24"/>
      <c r="D1191" s="16"/>
      <c r="E1191" s="16"/>
      <c r="F1191" s="16"/>
      <c r="G1191" s="16"/>
      <c r="H1191" s="16" t="str">
        <f ca="1">IFERROR(__xludf.DUMMYFUNCTION("""COMPUTED_VALUE"""),".")</f>
        <v>.</v>
      </c>
    </row>
    <row r="1192" spans="1:8" ht="12.5">
      <c r="A1192" s="24"/>
      <c r="B1192" s="17"/>
      <c r="C1192" s="24"/>
      <c r="D1192" s="16"/>
      <c r="E1192" s="16"/>
      <c r="F1192" s="16"/>
      <c r="G1192" s="16"/>
      <c r="H1192" s="16" t="str">
        <f ca="1">IFERROR(__xludf.DUMMYFUNCTION("""COMPUTED_VALUE"""),".")</f>
        <v>.</v>
      </c>
    </row>
    <row r="1193" spans="1:8" ht="12.5">
      <c r="A1193" s="24"/>
      <c r="B1193" s="17"/>
      <c r="C1193" s="24"/>
      <c r="D1193" s="16"/>
      <c r="E1193" s="16"/>
      <c r="F1193" s="16"/>
      <c r="G1193" s="16"/>
      <c r="H1193" s="16" t="str">
        <f ca="1">IFERROR(__xludf.DUMMYFUNCTION("""COMPUTED_VALUE"""),".")</f>
        <v>.</v>
      </c>
    </row>
    <row r="1194" spans="1:8" ht="12.5">
      <c r="A1194" s="24"/>
      <c r="B1194" s="17"/>
      <c r="C1194" s="24"/>
      <c r="D1194" s="16"/>
      <c r="E1194" s="16"/>
      <c r="F1194" s="16"/>
      <c r="G1194" s="16"/>
      <c r="H1194" s="16" t="str">
        <f ca="1">IFERROR(__xludf.DUMMYFUNCTION("""COMPUTED_VALUE"""),".")</f>
        <v>.</v>
      </c>
    </row>
    <row r="1195" spans="1:8" ht="12.5">
      <c r="A1195" s="24"/>
      <c r="B1195" s="17"/>
      <c r="C1195" s="24"/>
      <c r="D1195" s="16"/>
      <c r="E1195" s="16"/>
      <c r="F1195" s="16"/>
      <c r="G1195" s="16"/>
      <c r="H1195" s="16" t="str">
        <f ca="1">IFERROR(__xludf.DUMMYFUNCTION("""COMPUTED_VALUE"""),".")</f>
        <v>.</v>
      </c>
    </row>
    <row r="1196" spans="1:8" ht="12.5">
      <c r="A1196" s="24"/>
      <c r="B1196" s="17"/>
      <c r="C1196" s="24"/>
      <c r="D1196" s="16"/>
      <c r="E1196" s="16"/>
      <c r="F1196" s="16"/>
      <c r="G1196" s="16"/>
      <c r="H1196" s="16" t="str">
        <f ca="1">IFERROR(__xludf.DUMMYFUNCTION("""COMPUTED_VALUE"""),".")</f>
        <v>.</v>
      </c>
    </row>
    <row r="1197" spans="1:8" ht="12.5">
      <c r="A1197" s="24"/>
      <c r="B1197" s="17"/>
      <c r="C1197" s="24"/>
      <c r="D1197" s="16"/>
      <c r="E1197" s="16"/>
      <c r="F1197" s="16"/>
      <c r="G1197" s="16"/>
      <c r="H1197" s="16" t="str">
        <f ca="1">IFERROR(__xludf.DUMMYFUNCTION("""COMPUTED_VALUE"""),".")</f>
        <v>.</v>
      </c>
    </row>
    <row r="1198" spans="1:8" ht="12.5">
      <c r="A1198" s="24"/>
      <c r="B1198" s="17"/>
      <c r="C1198" s="24"/>
      <c r="D1198" s="16"/>
      <c r="E1198" s="16"/>
      <c r="F1198" s="16"/>
      <c r="G1198" s="16"/>
      <c r="H1198" s="16" t="str">
        <f ca="1">IFERROR(__xludf.DUMMYFUNCTION("""COMPUTED_VALUE"""),".")</f>
        <v>.</v>
      </c>
    </row>
    <row r="1199" spans="1:8" ht="12.5">
      <c r="A1199" s="24"/>
      <c r="B1199" s="17"/>
      <c r="C1199" s="24"/>
      <c r="D1199" s="16"/>
      <c r="E1199" s="16"/>
      <c r="F1199" s="16"/>
      <c r="G1199" s="16"/>
      <c r="H1199" s="16" t="str">
        <f ca="1">IFERROR(__xludf.DUMMYFUNCTION("""COMPUTED_VALUE"""),".")</f>
        <v>.</v>
      </c>
    </row>
    <row r="1200" spans="1:8" ht="12.5">
      <c r="A1200" s="24"/>
      <c r="B1200" s="17"/>
      <c r="C1200" s="24"/>
      <c r="D1200" s="16"/>
      <c r="E1200" s="16"/>
      <c r="F1200" s="16"/>
      <c r="G1200" s="16"/>
      <c r="H1200" s="16"/>
    </row>
    <row r="1201" spans="1:8" ht="12.5">
      <c r="A1201" s="24"/>
      <c r="B1201" s="17"/>
      <c r="C1201" s="24"/>
      <c r="D1201" s="16"/>
      <c r="E1201" s="16"/>
      <c r="F1201" s="16"/>
      <c r="G1201" s="16"/>
      <c r="H1201" s="16"/>
    </row>
    <row r="1202" spans="1:8" ht="12.5">
      <c r="A1202" s="24"/>
      <c r="B1202" s="17"/>
      <c r="C1202" s="24"/>
      <c r="D1202" s="16"/>
      <c r="E1202" s="16"/>
      <c r="F1202" s="16"/>
      <c r="G1202" s="16"/>
      <c r="H1202" s="16"/>
    </row>
    <row r="1203" spans="1:8" ht="12.5">
      <c r="A1203" s="24"/>
      <c r="B1203" s="17"/>
      <c r="C1203" s="24"/>
      <c r="D1203" s="16"/>
      <c r="E1203" s="16"/>
      <c r="F1203" s="16"/>
      <c r="G1203" s="16"/>
      <c r="H1203" s="16"/>
    </row>
    <row r="1204" spans="1:8" ht="12.5">
      <c r="A1204" s="24"/>
      <c r="B1204" s="17"/>
      <c r="C1204" s="24"/>
      <c r="D1204" s="16"/>
      <c r="E1204" s="16"/>
      <c r="F1204" s="16"/>
      <c r="G1204" s="16"/>
      <c r="H1204" s="16"/>
    </row>
    <row r="1205" spans="1:8" ht="12.5">
      <c r="A1205" s="24"/>
      <c r="B1205" s="17"/>
      <c r="C1205" s="24"/>
      <c r="D1205" s="16"/>
      <c r="E1205" s="16"/>
      <c r="F1205" s="16"/>
      <c r="G1205" s="16"/>
      <c r="H1205" s="16"/>
    </row>
    <row r="1206" spans="1:8" ht="12.5">
      <c r="A1206" s="24"/>
      <c r="B1206" s="17"/>
      <c r="C1206" s="24"/>
      <c r="D1206" s="16"/>
      <c r="E1206" s="16"/>
      <c r="F1206" s="16"/>
      <c r="G1206" s="16"/>
      <c r="H1206" s="16"/>
    </row>
    <row r="1207" spans="1:8" ht="12.5">
      <c r="A1207" s="24"/>
      <c r="B1207" s="17"/>
      <c r="C1207" s="24"/>
      <c r="D1207" s="16"/>
      <c r="E1207" s="16"/>
      <c r="F1207" s="16"/>
      <c r="G1207" s="16"/>
      <c r="H1207" s="16"/>
    </row>
    <row r="1208" spans="1:8" ht="12.5">
      <c r="A1208" s="24"/>
      <c r="B1208" s="17"/>
      <c r="C1208" s="24"/>
      <c r="D1208" s="16"/>
      <c r="E1208" s="16"/>
      <c r="F1208" s="16"/>
      <c r="G1208" s="16"/>
      <c r="H1208" s="16"/>
    </row>
    <row r="1209" spans="1:8" ht="12.5">
      <c r="A1209" s="24"/>
      <c r="B1209" s="17"/>
      <c r="C1209" s="24"/>
      <c r="D1209" s="16"/>
      <c r="E1209" s="37" t="str">
        <f ca="1">IFERROR(__xludf.DUMMYFUNCTION("IMPORTRANGE(""https://docs.google.com/spreadsheets/d/1KiyAf9G1I934qnsQjx1_j3_ODcgOAYK2jfwnh8c74JY/edit#gid=1404531132"",""#16 Rogelio!A11:A80"")"),"CODI")</f>
        <v>CODI</v>
      </c>
      <c r="F1209" s="37" t="str">
        <f ca="1">IFERROR(__xludf.DUMMYFUNCTION("IMPORTRANGE(""https://docs.google.com/spreadsheets/d/1KiyAf9G1I934qnsQjx1_j3_ODcgOAYK2jfwnh8c74JY/edit#gid=1404531132"",""#16 Rogelio!I11:K80"")"),"")</f>
        <v/>
      </c>
      <c r="G1209" s="16" t="str">
        <f ca="1">IFERROR(__xludf.DUMMYFUNCTION("""COMPUTED_VALUE"""),"DESCRIPCION DEL GASTO")</f>
        <v>DESCRIPCION DEL GASTO</v>
      </c>
      <c r="H1209" s="16" t="str">
        <f ca="1">IFERROR(__xludf.DUMMYFUNCTION("""COMPUTED_VALUE"""),"FOLIO FACTURA")</f>
        <v>FOLIO FACTURA</v>
      </c>
    </row>
    <row r="1210" spans="1:8" ht="12.5">
      <c r="A1210" s="24"/>
      <c r="B1210" s="17"/>
      <c r="C1210" s="24"/>
      <c r="D1210" s="16"/>
      <c r="E1210" s="16" t="str">
        <f ca="1">IFERROR(__xludf.DUMMYFUNCTION("""COMPUTED_VALUE"""),"TRX1294")</f>
        <v>TRX1294</v>
      </c>
      <c r="F1210" s="16" t="str">
        <f ca="1">IFERROR(__xludf.DUMMYFUNCTION("""COMPUTED_VALUE"""),"Tech&amp;Product")</f>
        <v>Tech&amp;Product</v>
      </c>
      <c r="G1210" s="16"/>
      <c r="H1210" s="16"/>
    </row>
    <row r="1211" spans="1:8" ht="12.5">
      <c r="A1211" s="24"/>
      <c r="B1211" s="17"/>
      <c r="C1211" s="24"/>
      <c r="D1211" s="16"/>
      <c r="E1211" s="16" t="str">
        <f ca="1">IFERROR(__xludf.DUMMYFUNCTION("""COMPUTED_VALUE"""),"TRX1233")</f>
        <v>TRX1233</v>
      </c>
      <c r="F1211" s="16" t="str">
        <f ca="1">IFERROR(__xludf.DUMMYFUNCTION("""COMPUTED_VALUE"""),"Sales")</f>
        <v>Sales</v>
      </c>
      <c r="G1211" s="16" t="str">
        <f ca="1">IFERROR(__xludf.DUMMYFUNCTION("""COMPUTED_VALUE"""),"Marketing")</f>
        <v>Marketing</v>
      </c>
      <c r="H1211" s="16"/>
    </row>
    <row r="1212" spans="1:8" ht="12.5">
      <c r="A1212" s="24"/>
      <c r="B1212" s="17"/>
      <c r="C1212" s="24"/>
      <c r="D1212" s="16"/>
      <c r="E1212" s="16" t="str">
        <f ca="1">IFERROR(__xludf.DUMMYFUNCTION("""COMPUTED_VALUE"""),"TRX1185")</f>
        <v>TRX1185</v>
      </c>
      <c r="F1212" s="16" t="str">
        <f ca="1">IFERROR(__xludf.DUMMYFUNCTION("""COMPUTED_VALUE"""),"Office expenses")</f>
        <v>Office expenses</v>
      </c>
      <c r="G1212" s="16"/>
      <c r="H1212" s="16"/>
    </row>
    <row r="1213" spans="1:8" ht="12.5">
      <c r="A1213" s="24"/>
      <c r="B1213" s="17"/>
      <c r="C1213" s="24"/>
      <c r="D1213" s="16"/>
      <c r="E1213" s="16" t="str">
        <f ca="1">IFERROR(__xludf.DUMMYFUNCTION("""COMPUTED_VALUE"""),"TRX1184")</f>
        <v>TRX1184</v>
      </c>
      <c r="F1213" s="16" t="str">
        <f ca="1">IFERROR(__xludf.DUMMYFUNCTION("""COMPUTED_VALUE"""),"Office expenses")</f>
        <v>Office expenses</v>
      </c>
      <c r="G1213" s="16"/>
      <c r="H1213" s="16"/>
    </row>
    <row r="1214" spans="1:8" ht="12.5">
      <c r="A1214" s="24"/>
      <c r="B1214" s="17"/>
      <c r="C1214" s="24"/>
      <c r="D1214" s="16"/>
      <c r="E1214" s="16" t="str">
        <f ca="1">IFERROR(__xludf.DUMMYFUNCTION("""COMPUTED_VALUE"""),"TRX1179")</f>
        <v>TRX1179</v>
      </c>
      <c r="F1214" s="16" t="str">
        <f ca="1">IFERROR(__xludf.DUMMYFUNCTION("""COMPUTED_VALUE"""),"Tech&amp;Product")</f>
        <v>Tech&amp;Product</v>
      </c>
      <c r="G1214" s="16"/>
      <c r="H1214" s="16"/>
    </row>
    <row r="1215" spans="1:8" ht="12.5">
      <c r="A1215" s="24"/>
      <c r="B1215" s="17"/>
      <c r="C1215" s="24"/>
      <c r="D1215" s="16"/>
      <c r="E1215" s="16" t="str">
        <f ca="1">IFERROR(__xludf.DUMMYFUNCTION("""COMPUTED_VALUE"""),"TRX1177")</f>
        <v>TRX1177</v>
      </c>
      <c r="F1215" s="16" t="str">
        <f ca="1">IFERROR(__xludf.DUMMYFUNCTION("""COMPUTED_VALUE"""),"Office expenses")</f>
        <v>Office expenses</v>
      </c>
      <c r="G1215" s="16"/>
      <c r="H1215" s="16"/>
    </row>
    <row r="1216" spans="1:8" ht="12.5">
      <c r="A1216" s="24"/>
      <c r="B1216" s="17"/>
      <c r="C1216" s="24"/>
      <c r="D1216" s="16"/>
      <c r="E1216" s="16" t="str">
        <f ca="1">IFERROR(__xludf.DUMMYFUNCTION("""COMPUTED_VALUE"""),"TRX1170")</f>
        <v>TRX1170</v>
      </c>
      <c r="F1216" s="16" t="str">
        <f ca="1">IFERROR(__xludf.DUMMYFUNCTION("""COMPUTED_VALUE"""),"Office expenses")</f>
        <v>Office expenses</v>
      </c>
      <c r="G1216" s="16"/>
      <c r="H1216" s="16"/>
    </row>
    <row r="1217" spans="1:8" ht="12.5">
      <c r="A1217" s="24"/>
      <c r="B1217" s="17"/>
      <c r="C1217" s="24"/>
      <c r="D1217" s="16"/>
      <c r="E1217" s="16" t="str">
        <f ca="1">IFERROR(__xludf.DUMMYFUNCTION("""COMPUTED_VALUE"""),"TRX1157")</f>
        <v>TRX1157</v>
      </c>
      <c r="F1217" s="16" t="str">
        <f ca="1">IFERROR(__xludf.DUMMYFUNCTION("""COMPUTED_VALUE"""),"Office expenses")</f>
        <v>Office expenses</v>
      </c>
      <c r="G1217" s="16"/>
      <c r="H1217" s="16"/>
    </row>
    <row r="1218" spans="1:8" ht="12.5">
      <c r="A1218" s="24"/>
      <c r="B1218" s="17"/>
      <c r="C1218" s="24"/>
      <c r="D1218" s="16"/>
      <c r="E1218" s="16" t="str">
        <f ca="1">IFERROR(__xludf.DUMMYFUNCTION("""COMPUTED_VALUE"""),"TRX1541")</f>
        <v>TRX1541</v>
      </c>
      <c r="F1218" s="16" t="str">
        <f ca="1">IFERROR(__xludf.DUMMYFUNCTION("""COMPUTED_VALUE"""),"Office expenses")</f>
        <v>Office expenses</v>
      </c>
      <c r="G1218" s="16"/>
      <c r="H1218" s="16"/>
    </row>
    <row r="1219" spans="1:8" ht="12.5">
      <c r="A1219" s="24"/>
      <c r="B1219" s="17"/>
      <c r="C1219" s="24"/>
      <c r="D1219" s="16"/>
      <c r="E1219" s="16" t="str">
        <f ca="1">IFERROR(__xludf.DUMMYFUNCTION("""COMPUTED_VALUE"""),"TRX1648")</f>
        <v>TRX1648</v>
      </c>
      <c r="F1219" s="16" t="str">
        <f ca="1">IFERROR(__xludf.DUMMYFUNCTION("""COMPUTED_VALUE"""),"Sales")</f>
        <v>Sales</v>
      </c>
      <c r="G1219" s="16" t="str">
        <f ca="1">IFERROR(__xludf.DUMMYFUNCTION("""COMPUTED_VALUE"""),"Marketing")</f>
        <v>Marketing</v>
      </c>
      <c r="H1219" s="16"/>
    </row>
    <row r="1220" spans="1:8" ht="12.5">
      <c r="A1220" s="24"/>
      <c r="B1220" s="17"/>
      <c r="C1220" s="24"/>
      <c r="D1220" s="16"/>
      <c r="E1220" s="16" t="str">
        <f ca="1">IFERROR(__xludf.DUMMYFUNCTION("""COMPUTED_VALUE"""),"TRX1277")</f>
        <v>TRX1277</v>
      </c>
      <c r="F1220" s="16" t="str">
        <f ca="1">IFERROR(__xludf.DUMMYFUNCTION("""COMPUTED_VALUE"""),"Office expenses")</f>
        <v>Office expenses</v>
      </c>
      <c r="G1220" s="16"/>
      <c r="H1220" s="16"/>
    </row>
    <row r="1221" spans="1:8" ht="12.5">
      <c r="A1221" s="24"/>
      <c r="B1221" s="17"/>
      <c r="C1221" s="24"/>
      <c r="D1221" s="16"/>
      <c r="E1221" s="16" t="str">
        <f ca="1">IFERROR(__xludf.DUMMYFUNCTION("""COMPUTED_VALUE"""),"TRX1426")</f>
        <v>TRX1426</v>
      </c>
      <c r="F1221" s="16" t="str">
        <f ca="1">IFERROR(__xludf.DUMMYFUNCTION("""COMPUTED_VALUE"""),"G&amp;A expenses")</f>
        <v>G&amp;A expenses</v>
      </c>
      <c r="G1221" s="16"/>
      <c r="H1221" s="16"/>
    </row>
    <row r="1222" spans="1:8" ht="12.5">
      <c r="A1222" s="24"/>
      <c r="B1222" s="17"/>
      <c r="C1222" s="24"/>
      <c r="D1222" s="16"/>
      <c r="E1222" s="16" t="str">
        <f ca="1">IFERROR(__xludf.DUMMYFUNCTION("""COMPUTED_VALUE"""),"TRX1453")</f>
        <v>TRX1453</v>
      </c>
      <c r="F1222" s="16" t="str">
        <f ca="1">IFERROR(__xludf.DUMMYFUNCTION("""COMPUTED_VALUE"""),"Office expenses")</f>
        <v>Office expenses</v>
      </c>
      <c r="G1222" s="16"/>
      <c r="H1222" s="16"/>
    </row>
    <row r="1223" spans="1:8" ht="12.5">
      <c r="A1223" s="24"/>
      <c r="B1223" s="17"/>
      <c r="C1223" s="24"/>
      <c r="D1223" s="16"/>
      <c r="E1223" s="16" t="str">
        <f ca="1">IFERROR(__xludf.DUMMYFUNCTION("""COMPUTED_VALUE"""),"TRX1331")</f>
        <v>TRX1331</v>
      </c>
      <c r="F1223" s="16" t="str">
        <f ca="1">IFERROR(__xludf.DUMMYFUNCTION("""COMPUTED_VALUE"""),"G&amp;A expenses")</f>
        <v>G&amp;A expenses</v>
      </c>
      <c r="G1223" s="16"/>
      <c r="H1223" s="16"/>
    </row>
    <row r="1224" spans="1:8" ht="12.5">
      <c r="A1224" s="24"/>
      <c r="B1224" s="17"/>
      <c r="C1224" s="24"/>
      <c r="D1224" s="16"/>
      <c r="E1224" s="16" t="str">
        <f ca="1">IFERROR(__xludf.DUMMYFUNCTION("""COMPUTED_VALUE"""),"TRX1926")</f>
        <v>TRX1926</v>
      </c>
      <c r="F1224" s="16" t="str">
        <f ca="1">IFERROR(__xludf.DUMMYFUNCTION("""COMPUTED_VALUE"""),"Tech&amp;Product")</f>
        <v>Tech&amp;Product</v>
      </c>
      <c r="G1224" s="16"/>
      <c r="H1224" s="16"/>
    </row>
    <row r="1225" spans="1:8" ht="12.5">
      <c r="A1225" s="24"/>
      <c r="B1225" s="17"/>
      <c r="C1225" s="24"/>
      <c r="D1225" s="16"/>
      <c r="E1225" s="16" t="str">
        <f ca="1">IFERROR(__xludf.DUMMYFUNCTION("""COMPUTED_VALUE"""),"TRX1345")</f>
        <v>TRX1345</v>
      </c>
      <c r="F1225" s="16" t="str">
        <f ca="1">IFERROR(__xludf.DUMMYFUNCTION("""COMPUTED_VALUE"""),"Office expenses")</f>
        <v>Office expenses</v>
      </c>
      <c r="G1225" s="16"/>
      <c r="H1225" s="16"/>
    </row>
    <row r="1226" spans="1:8" ht="12.5">
      <c r="A1226" s="24"/>
      <c r="B1226" s="17"/>
      <c r="C1226" s="24"/>
      <c r="D1226" s="16"/>
      <c r="E1226" s="16" t="str">
        <f ca="1">IFERROR(__xludf.DUMMYFUNCTION("""COMPUTED_VALUE"""),"TRX1338")</f>
        <v>TRX1338</v>
      </c>
      <c r="F1226" s="16" t="str">
        <f ca="1">IFERROR(__xludf.DUMMYFUNCTION("""COMPUTED_VALUE"""),"Tech&amp;Product")</f>
        <v>Tech&amp;Product</v>
      </c>
      <c r="G1226" s="16"/>
      <c r="H1226" s="16"/>
    </row>
    <row r="1227" spans="1:8" ht="12.5">
      <c r="A1227" s="24"/>
      <c r="B1227" s="17"/>
      <c r="C1227" s="24"/>
      <c r="D1227" s="16"/>
      <c r="E1227" s="16" t="str">
        <f ca="1">IFERROR(__xludf.DUMMYFUNCTION("""COMPUTED_VALUE"""),"TRX1265")</f>
        <v>TRX1265</v>
      </c>
      <c r="F1227" s="16" t="str">
        <f ca="1">IFERROR(__xludf.DUMMYFUNCTION("""COMPUTED_VALUE"""),"Sales")</f>
        <v>Sales</v>
      </c>
      <c r="G1227" s="16" t="str">
        <f ca="1">IFERROR(__xludf.DUMMYFUNCTION("""COMPUTED_VALUE"""),"Marketing")</f>
        <v>Marketing</v>
      </c>
      <c r="H1227" s="16"/>
    </row>
    <row r="1228" spans="1:8" ht="12.5">
      <c r="A1228" s="24"/>
      <c r="B1228" s="17"/>
      <c r="C1228" s="24"/>
      <c r="D1228" s="16"/>
      <c r="E1228" s="16" t="str">
        <f ca="1">IFERROR(__xludf.DUMMYFUNCTION("""COMPUTED_VALUE"""),"TRX1303")</f>
        <v>TRX1303</v>
      </c>
      <c r="F1228" s="16" t="str">
        <f ca="1">IFERROR(__xludf.DUMMYFUNCTION("""COMPUTED_VALUE"""),"Tech&amp;Product")</f>
        <v>Tech&amp;Product</v>
      </c>
      <c r="G1228" s="16"/>
      <c r="H1228" s="16"/>
    </row>
    <row r="1229" spans="1:8" ht="12.5">
      <c r="A1229" s="24"/>
      <c r="B1229" s="17"/>
      <c r="C1229" s="24"/>
      <c r="D1229" s="16"/>
      <c r="E1229" s="16" t="str">
        <f ca="1">IFERROR(__xludf.DUMMYFUNCTION("""COMPUTED_VALUE"""),"TRX1313")</f>
        <v>TRX1313</v>
      </c>
      <c r="F1229" s="16" t="str">
        <f ca="1">IFERROR(__xludf.DUMMYFUNCTION("""COMPUTED_VALUE"""),"Office expenses")</f>
        <v>Office expenses</v>
      </c>
      <c r="G1229" s="16"/>
      <c r="H1229" s="16"/>
    </row>
    <row r="1230" spans="1:8" ht="12.5">
      <c r="A1230" s="24"/>
      <c r="B1230" s="17"/>
      <c r="C1230" s="24"/>
      <c r="D1230" s="16"/>
      <c r="E1230" s="16" t="str">
        <f ca="1">IFERROR(__xludf.DUMMYFUNCTION("""COMPUTED_VALUE"""),"TRX1077")</f>
        <v>TRX1077</v>
      </c>
      <c r="F1230" s="16" t="str">
        <f ca="1">IFERROR(__xludf.DUMMYFUNCTION("""COMPUTED_VALUE"""),"Tech&amp;Product")</f>
        <v>Tech&amp;Product</v>
      </c>
      <c r="G1230" s="16"/>
      <c r="H1230" s="16"/>
    </row>
    <row r="1231" spans="1:8" ht="12.5">
      <c r="A1231" s="24"/>
      <c r="B1231" s="17"/>
      <c r="C1231" s="24"/>
      <c r="D1231" s="16"/>
      <c r="E1231" s="16" t="str">
        <f ca="1">IFERROR(__xludf.DUMMYFUNCTION("""COMPUTED_VALUE"""),"TRX1097")</f>
        <v>TRX1097</v>
      </c>
      <c r="F1231" s="16" t="str">
        <f ca="1">IFERROR(__xludf.DUMMYFUNCTION("""COMPUTED_VALUE"""),"Tech&amp;Product")</f>
        <v>Tech&amp;Product</v>
      </c>
      <c r="G1231" s="16"/>
      <c r="H1231" s="16"/>
    </row>
    <row r="1232" spans="1:8" ht="12.5">
      <c r="A1232" s="24"/>
      <c r="B1232" s="17"/>
      <c r="C1232" s="24"/>
      <c r="D1232" s="16"/>
      <c r="E1232" s="16"/>
      <c r="F1232" s="16"/>
      <c r="G1232" s="16"/>
      <c r="H1232" s="16"/>
    </row>
    <row r="1233" spans="1:8" ht="12.5">
      <c r="A1233" s="24"/>
      <c r="B1233" s="17"/>
      <c r="C1233" s="24"/>
      <c r="D1233" s="16"/>
      <c r="E1233" s="16"/>
      <c r="F1233" s="16"/>
      <c r="G1233" s="16"/>
      <c r="H1233" s="16"/>
    </row>
    <row r="1234" spans="1:8" ht="12.5">
      <c r="A1234" s="24"/>
      <c r="B1234" s="17"/>
      <c r="C1234" s="24"/>
      <c r="D1234" s="16"/>
      <c r="E1234" s="16"/>
      <c r="F1234" s="16"/>
      <c r="G1234" s="16"/>
      <c r="H1234" s="16"/>
    </row>
    <row r="1235" spans="1:8" ht="12.5">
      <c r="A1235" s="24"/>
      <c r="B1235" s="17"/>
      <c r="C1235" s="24"/>
      <c r="D1235" s="16"/>
      <c r="E1235" s="16"/>
      <c r="F1235" s="16"/>
      <c r="G1235" s="16"/>
      <c r="H1235" s="16"/>
    </row>
    <row r="1236" spans="1:8" ht="12.5">
      <c r="A1236" s="24"/>
      <c r="B1236" s="17"/>
      <c r="C1236" s="24"/>
      <c r="D1236" s="16"/>
      <c r="E1236" s="16"/>
      <c r="F1236" s="16"/>
      <c r="G1236" s="16"/>
      <c r="H1236" s="16"/>
    </row>
    <row r="1237" spans="1:8" ht="12.5">
      <c r="A1237" s="24"/>
      <c r="B1237" s="17"/>
      <c r="C1237" s="24"/>
      <c r="D1237" s="16"/>
      <c r="E1237" s="16"/>
      <c r="F1237" s="16"/>
      <c r="G1237" s="16"/>
      <c r="H1237" s="16"/>
    </row>
    <row r="1238" spans="1:8" ht="12.5">
      <c r="A1238" s="24"/>
      <c r="B1238" s="17"/>
      <c r="C1238" s="24"/>
      <c r="D1238" s="16"/>
      <c r="E1238" s="16"/>
      <c r="F1238" s="16"/>
      <c r="G1238" s="16"/>
      <c r="H1238" s="16"/>
    </row>
    <row r="1239" spans="1:8" ht="12.5">
      <c r="A1239" s="24"/>
      <c r="B1239" s="17"/>
      <c r="C1239" s="24"/>
      <c r="D1239" s="16"/>
      <c r="E1239" s="16"/>
      <c r="F1239" s="16"/>
      <c r="G1239" s="16"/>
      <c r="H1239" s="16"/>
    </row>
    <row r="1240" spans="1:8" ht="12.5">
      <c r="A1240" s="24"/>
      <c r="B1240" s="17"/>
      <c r="C1240" s="24"/>
      <c r="D1240" s="16"/>
      <c r="E1240" s="16"/>
      <c r="F1240" s="16"/>
      <c r="G1240" s="16"/>
      <c r="H1240" s="16"/>
    </row>
    <row r="1241" spans="1:8" ht="12.5">
      <c r="A1241" s="24"/>
      <c r="B1241" s="17"/>
      <c r="C1241" s="24"/>
      <c r="D1241" s="16"/>
      <c r="E1241" s="16"/>
      <c r="F1241" s="16"/>
      <c r="G1241" s="16"/>
      <c r="H1241" s="16"/>
    </row>
    <row r="1242" spans="1:8" ht="12.5">
      <c r="A1242" s="24"/>
      <c r="B1242" s="17"/>
      <c r="C1242" s="24"/>
      <c r="D1242" s="16"/>
      <c r="E1242" s="16"/>
      <c r="F1242" s="16"/>
      <c r="G1242" s="16"/>
      <c r="H1242" s="16"/>
    </row>
    <row r="1243" spans="1:8" ht="12.5">
      <c r="A1243" s="24"/>
      <c r="B1243" s="17"/>
      <c r="C1243" s="24"/>
      <c r="D1243" s="16"/>
      <c r="E1243" s="16"/>
      <c r="F1243" s="16"/>
      <c r="G1243" s="16"/>
      <c r="H1243" s="16"/>
    </row>
    <row r="1244" spans="1:8" ht="12.5">
      <c r="A1244" s="24"/>
      <c r="B1244" s="17"/>
      <c r="C1244" s="24"/>
      <c r="D1244" s="16"/>
      <c r="E1244" s="16"/>
      <c r="F1244" s="16"/>
      <c r="G1244" s="16"/>
      <c r="H1244" s="16"/>
    </row>
    <row r="1245" spans="1:8" ht="12.5">
      <c r="A1245" s="24"/>
      <c r="B1245" s="17"/>
      <c r="C1245" s="24"/>
      <c r="D1245" s="16"/>
      <c r="E1245" s="16"/>
      <c r="F1245" s="16"/>
      <c r="G1245" s="16"/>
      <c r="H1245" s="16"/>
    </row>
    <row r="1246" spans="1:8" ht="12.5">
      <c r="A1246" s="24"/>
      <c r="B1246" s="17"/>
      <c r="C1246" s="24"/>
      <c r="D1246" s="16"/>
      <c r="E1246" s="16"/>
      <c r="F1246" s="16"/>
      <c r="G1246" s="16"/>
      <c r="H1246" s="16"/>
    </row>
    <row r="1247" spans="1:8" ht="12.5">
      <c r="A1247" s="24"/>
      <c r="B1247" s="17"/>
      <c r="C1247" s="24"/>
      <c r="D1247" s="16"/>
      <c r="E1247" s="16"/>
      <c r="F1247" s="16"/>
      <c r="G1247" s="16"/>
      <c r="H1247" s="16"/>
    </row>
    <row r="1248" spans="1:8" ht="12.5">
      <c r="A1248" s="24"/>
      <c r="B1248" s="17"/>
      <c r="C1248" s="24"/>
      <c r="D1248" s="16"/>
      <c r="E1248" s="16"/>
      <c r="F1248" s="16"/>
      <c r="G1248" s="16"/>
      <c r="H1248" s="16"/>
    </row>
    <row r="1249" spans="1:8" ht="12.5">
      <c r="A1249" s="24"/>
      <c r="B1249" s="17"/>
      <c r="C1249" s="24"/>
      <c r="D1249" s="16"/>
      <c r="E1249" s="16"/>
      <c r="F1249" s="16"/>
      <c r="G1249" s="16"/>
      <c r="H1249" s="16"/>
    </row>
    <row r="1250" spans="1:8" ht="12.5">
      <c r="A1250" s="24"/>
      <c r="B1250" s="17"/>
      <c r="C1250" s="24"/>
      <c r="D1250" s="16"/>
      <c r="E1250" s="16"/>
      <c r="F1250" s="16"/>
      <c r="G1250" s="16"/>
      <c r="H1250" s="16"/>
    </row>
    <row r="1251" spans="1:8" ht="12.5">
      <c r="A1251" s="24"/>
      <c r="B1251" s="17"/>
      <c r="C1251" s="24"/>
      <c r="D1251" s="16"/>
      <c r="E1251" s="16"/>
      <c r="F1251" s="16"/>
      <c r="G1251" s="16"/>
      <c r="H1251" s="16"/>
    </row>
    <row r="1252" spans="1:8" ht="12.5">
      <c r="A1252" s="24"/>
      <c r="B1252" s="17"/>
      <c r="C1252" s="24"/>
      <c r="D1252" s="16"/>
      <c r="E1252" s="16"/>
      <c r="F1252" s="16"/>
      <c r="G1252" s="16"/>
      <c r="H1252" s="16"/>
    </row>
    <row r="1253" spans="1:8" ht="12.5">
      <c r="A1253" s="24"/>
      <c r="B1253" s="17"/>
      <c r="C1253" s="24"/>
      <c r="D1253" s="16"/>
      <c r="E1253" s="16"/>
      <c r="F1253" s="16"/>
      <c r="G1253" s="16"/>
      <c r="H1253" s="16"/>
    </row>
    <row r="1254" spans="1:8" ht="12.5">
      <c r="A1254" s="24"/>
      <c r="B1254" s="17"/>
      <c r="C1254" s="24"/>
      <c r="D1254" s="16"/>
      <c r="E1254" s="16"/>
      <c r="F1254" s="16"/>
      <c r="G1254" s="16"/>
      <c r="H1254" s="16"/>
    </row>
    <row r="1255" spans="1:8" ht="12.5">
      <c r="A1255" s="24"/>
      <c r="B1255" s="17"/>
      <c r="C1255" s="24"/>
      <c r="D1255" s="16"/>
      <c r="E1255" s="16"/>
      <c r="F1255" s="16"/>
      <c r="G1255" s="16"/>
      <c r="H1255" s="16"/>
    </row>
    <row r="1256" spans="1:8" ht="12.5">
      <c r="A1256" s="24"/>
      <c r="B1256" s="17"/>
      <c r="C1256" s="24"/>
      <c r="D1256" s="16"/>
      <c r="E1256" s="16"/>
      <c r="F1256" s="16"/>
      <c r="G1256" s="16"/>
      <c r="H1256" s="16"/>
    </row>
    <row r="1257" spans="1:8" ht="12.5">
      <c r="A1257" s="24"/>
      <c r="B1257" s="17"/>
      <c r="C1257" s="24"/>
      <c r="D1257" s="16"/>
      <c r="E1257" s="16"/>
      <c r="F1257" s="16"/>
      <c r="G1257" s="16"/>
      <c r="H1257" s="16"/>
    </row>
    <row r="1258" spans="1:8" ht="12.5">
      <c r="A1258" s="24"/>
      <c r="B1258" s="17"/>
      <c r="C1258" s="24"/>
      <c r="D1258" s="16"/>
      <c r="E1258" s="16"/>
      <c r="F1258" s="16"/>
      <c r="G1258" s="16"/>
      <c r="H1258" s="16"/>
    </row>
    <row r="1259" spans="1:8" ht="12.5">
      <c r="A1259" s="24"/>
      <c r="B1259" s="17"/>
      <c r="C1259" s="24"/>
      <c r="D1259" s="16"/>
      <c r="E1259" s="16"/>
      <c r="F1259" s="16"/>
      <c r="G1259" s="16"/>
      <c r="H1259" s="16"/>
    </row>
    <row r="1260" spans="1:8" ht="12.5">
      <c r="A1260" s="24"/>
      <c r="B1260" s="17"/>
      <c r="C1260" s="24"/>
      <c r="D1260" s="16"/>
      <c r="E1260" s="16"/>
      <c r="F1260" s="16"/>
      <c r="G1260" s="16"/>
      <c r="H1260" s="16"/>
    </row>
    <row r="1261" spans="1:8" ht="12.5">
      <c r="A1261" s="24"/>
      <c r="B1261" s="17"/>
      <c r="C1261" s="24"/>
      <c r="D1261" s="16"/>
      <c r="E1261" s="16"/>
      <c r="F1261" s="16"/>
      <c r="G1261" s="16"/>
      <c r="H1261" s="16"/>
    </row>
    <row r="1262" spans="1:8" ht="12.5">
      <c r="A1262" s="24"/>
      <c r="B1262" s="17"/>
      <c r="C1262" s="24"/>
      <c r="D1262" s="16"/>
      <c r="E1262" s="16"/>
      <c r="F1262" s="16"/>
      <c r="G1262" s="16"/>
      <c r="H1262" s="16"/>
    </row>
    <row r="1263" spans="1:8" ht="12.5">
      <c r="A1263" s="24"/>
      <c r="B1263" s="17"/>
      <c r="C1263" s="24"/>
      <c r="D1263" s="16"/>
      <c r="E1263" s="16"/>
      <c r="F1263" s="16"/>
      <c r="G1263" s="16"/>
      <c r="H1263" s="16"/>
    </row>
    <row r="1264" spans="1:8" ht="12.5">
      <c r="A1264" s="24"/>
      <c r="B1264" s="17"/>
      <c r="C1264" s="24"/>
      <c r="D1264" s="16"/>
      <c r="E1264" s="16"/>
      <c r="F1264" s="16"/>
      <c r="G1264" s="16"/>
      <c r="H1264" s="16"/>
    </row>
    <row r="1265" spans="1:8" ht="12.5">
      <c r="A1265" s="24"/>
      <c r="B1265" s="17"/>
      <c r="C1265" s="24"/>
      <c r="D1265" s="16"/>
      <c r="E1265" s="16"/>
      <c r="F1265" s="16"/>
      <c r="G1265" s="16"/>
      <c r="H1265" s="16"/>
    </row>
    <row r="1266" spans="1:8" ht="12.5">
      <c r="A1266" s="24"/>
      <c r="B1266" s="17"/>
      <c r="C1266" s="24"/>
      <c r="D1266" s="16"/>
      <c r="E1266" s="16"/>
      <c r="F1266" s="16"/>
      <c r="G1266" s="16"/>
      <c r="H1266" s="16"/>
    </row>
    <row r="1267" spans="1:8" ht="12.5">
      <c r="A1267" s="24"/>
      <c r="B1267" s="17"/>
      <c r="C1267" s="24"/>
      <c r="D1267" s="16"/>
      <c r="E1267" s="16"/>
      <c r="F1267" s="16"/>
      <c r="G1267" s="16"/>
      <c r="H1267" s="16"/>
    </row>
    <row r="1268" spans="1:8" ht="12.5">
      <c r="A1268" s="24"/>
      <c r="B1268" s="17"/>
      <c r="C1268" s="24"/>
      <c r="D1268" s="16"/>
      <c r="E1268" s="16"/>
      <c r="F1268" s="16"/>
      <c r="G1268" s="16"/>
      <c r="H1268" s="16"/>
    </row>
    <row r="1269" spans="1:8" ht="12.5">
      <c r="A1269" s="24"/>
      <c r="B1269" s="17"/>
      <c r="C1269" s="24"/>
      <c r="D1269" s="16"/>
      <c r="E1269" s="16"/>
      <c r="F1269" s="16"/>
      <c r="G1269" s="16"/>
      <c r="H1269" s="16"/>
    </row>
    <row r="1270" spans="1:8" ht="12.5">
      <c r="A1270" s="24"/>
      <c r="B1270" s="17"/>
      <c r="C1270" s="24"/>
      <c r="D1270" s="16"/>
      <c r="E1270" s="16"/>
      <c r="F1270" s="16"/>
      <c r="G1270" s="16"/>
      <c r="H1270" s="16"/>
    </row>
    <row r="1271" spans="1:8" ht="12.5">
      <c r="A1271" s="24"/>
      <c r="B1271" s="17"/>
      <c r="C1271" s="24"/>
      <c r="D1271" s="16"/>
      <c r="E1271" s="16"/>
      <c r="F1271" s="16"/>
      <c r="G1271" s="16"/>
      <c r="H1271" s="16"/>
    </row>
    <row r="1272" spans="1:8" ht="12.5">
      <c r="A1272" s="24"/>
      <c r="B1272" s="17"/>
      <c r="C1272" s="24"/>
      <c r="D1272" s="16"/>
      <c r="E1272" s="16"/>
      <c r="F1272" s="16"/>
      <c r="G1272" s="16"/>
      <c r="H1272" s="16"/>
    </row>
    <row r="1273" spans="1:8" ht="12.5">
      <c r="A1273" s="24"/>
      <c r="B1273" s="17"/>
      <c r="C1273" s="24"/>
      <c r="D1273" s="16"/>
      <c r="E1273" s="16"/>
      <c r="F1273" s="16"/>
      <c r="G1273" s="16"/>
      <c r="H1273" s="16"/>
    </row>
    <row r="1274" spans="1:8" ht="12.5">
      <c r="A1274" s="24"/>
      <c r="B1274" s="17"/>
      <c r="C1274" s="24"/>
      <c r="D1274" s="16"/>
      <c r="E1274" s="16"/>
      <c r="F1274" s="16"/>
      <c r="G1274" s="16"/>
      <c r="H1274" s="16"/>
    </row>
    <row r="1275" spans="1:8" ht="12.5">
      <c r="A1275" s="24"/>
      <c r="B1275" s="17"/>
      <c r="C1275" s="24"/>
      <c r="D1275" s="16"/>
      <c r="E1275" s="16"/>
      <c r="F1275" s="16"/>
      <c r="G1275" s="16"/>
      <c r="H1275" s="16"/>
    </row>
    <row r="1276" spans="1:8" ht="12.5">
      <c r="A1276" s="24"/>
      <c r="B1276" s="17"/>
      <c r="C1276" s="24"/>
      <c r="D1276" s="16"/>
      <c r="E1276" s="16"/>
      <c r="F1276" s="16"/>
      <c r="G1276" s="16"/>
      <c r="H1276" s="16"/>
    </row>
    <row r="1277" spans="1:8" ht="12.5">
      <c r="A1277" s="24"/>
      <c r="B1277" s="17"/>
      <c r="C1277" s="24"/>
      <c r="D1277" s="16"/>
      <c r="E1277" s="16"/>
      <c r="F1277" s="16"/>
      <c r="G1277" s="16"/>
      <c r="H1277" s="16"/>
    </row>
    <row r="1278" spans="1:8" ht="12.5">
      <c r="A1278" s="24"/>
      <c r="B1278" s="17"/>
      <c r="C1278" s="24"/>
      <c r="D1278" s="16"/>
      <c r="E1278" s="16"/>
      <c r="F1278" s="16"/>
      <c r="G1278" s="16"/>
      <c r="H1278" s="16"/>
    </row>
    <row r="1279" spans="1:8" ht="12.5">
      <c r="A1279" s="24"/>
      <c r="B1279" s="17"/>
      <c r="C1279" s="24"/>
      <c r="D1279" s="16"/>
      <c r="E1279" s="16"/>
      <c r="F1279" s="16"/>
      <c r="G1279" s="16"/>
      <c r="H1279" s="16"/>
    </row>
    <row r="1280" spans="1:8" ht="12.5">
      <c r="A1280" s="24"/>
      <c r="B1280" s="17"/>
      <c r="C1280" s="24"/>
      <c r="D1280" s="16"/>
      <c r="E1280" s="16"/>
      <c r="F1280" s="16"/>
      <c r="G1280" s="16"/>
      <c r="H1280" s="16"/>
    </row>
    <row r="1281" spans="1:8" ht="12.5">
      <c r="A1281" s="24"/>
      <c r="B1281" s="17"/>
      <c r="C1281" s="24"/>
      <c r="D1281" s="16"/>
      <c r="E1281" s="16"/>
      <c r="F1281" s="16"/>
      <c r="G1281" s="16"/>
      <c r="H1281" s="16"/>
    </row>
    <row r="1282" spans="1:8" ht="12.5">
      <c r="A1282" s="24"/>
      <c r="B1282" s="17"/>
      <c r="C1282" s="24"/>
      <c r="D1282" s="16"/>
      <c r="E1282" s="16"/>
      <c r="F1282" s="16"/>
      <c r="G1282" s="16"/>
      <c r="H1282" s="16"/>
    </row>
    <row r="1283" spans="1:8" ht="12.5">
      <c r="A1283" s="24"/>
      <c r="B1283" s="17"/>
      <c r="C1283" s="24"/>
      <c r="D1283" s="16"/>
      <c r="E1283" s="16"/>
      <c r="F1283" s="16"/>
      <c r="G1283" s="16"/>
      <c r="H1283" s="16"/>
    </row>
    <row r="1284" spans="1:8" ht="12.5">
      <c r="A1284" s="24"/>
      <c r="B1284" s="17"/>
      <c r="C1284" s="24"/>
      <c r="D1284" s="16"/>
      <c r="E1284" s="16"/>
      <c r="F1284" s="16"/>
      <c r="G1284" s="16"/>
      <c r="H1284" s="16"/>
    </row>
    <row r="1285" spans="1:8" ht="12.5">
      <c r="A1285" s="24"/>
      <c r="B1285" s="17"/>
      <c r="C1285" s="24"/>
      <c r="D1285" s="16"/>
      <c r="E1285" s="16"/>
      <c r="F1285" s="16"/>
      <c r="G1285" s="16"/>
      <c r="H1285" s="16"/>
    </row>
    <row r="1286" spans="1:8" ht="12.5">
      <c r="A1286" s="24"/>
      <c r="B1286" s="17"/>
      <c r="C1286" s="24"/>
      <c r="D1286" s="16"/>
      <c r="E1286" s="16"/>
      <c r="F1286" s="16"/>
      <c r="G1286" s="16"/>
      <c r="H1286" s="16"/>
    </row>
    <row r="1287" spans="1:8" ht="12.5">
      <c r="A1287" s="24"/>
      <c r="B1287" s="17"/>
      <c r="C1287" s="24"/>
      <c r="D1287" s="16"/>
      <c r="E1287" s="16"/>
      <c r="F1287" s="16"/>
      <c r="G1287" s="16"/>
      <c r="H1287" s="16"/>
    </row>
    <row r="1288" spans="1:8" ht="12.5">
      <c r="A1288" s="24"/>
      <c r="B1288" s="17"/>
      <c r="C1288" s="24"/>
      <c r="D1288" s="16"/>
      <c r="E1288" s="16"/>
      <c r="F1288" s="16"/>
      <c r="G1288" s="16"/>
      <c r="H1288" s="16"/>
    </row>
    <row r="1289" spans="1:8" ht="12.5">
      <c r="A1289" s="24"/>
      <c r="B1289" s="17"/>
      <c r="C1289" s="24"/>
      <c r="D1289" s="16"/>
      <c r="E1289" s="16"/>
      <c r="F1289" s="16"/>
      <c r="G1289" s="16"/>
      <c r="H1289" s="16"/>
    </row>
    <row r="1290" spans="1:8" ht="12.5">
      <c r="A1290" s="24"/>
      <c r="B1290" s="17"/>
      <c r="C1290" s="24"/>
      <c r="D1290" s="16"/>
      <c r="E1290" s="16"/>
      <c r="F1290" s="16"/>
      <c r="G1290" s="16"/>
      <c r="H1290" s="16"/>
    </row>
    <row r="1291" spans="1:8" ht="12.5">
      <c r="A1291" s="24"/>
      <c r="B1291" s="17"/>
      <c r="C1291" s="24"/>
      <c r="D1291" s="16"/>
      <c r="E1291" s="16"/>
      <c r="F1291" s="16"/>
      <c r="G1291" s="16"/>
      <c r="H1291" s="16"/>
    </row>
    <row r="1292" spans="1:8" ht="12.5">
      <c r="A1292" s="24"/>
      <c r="B1292" s="17"/>
      <c r="C1292" s="24"/>
      <c r="D1292" s="16"/>
      <c r="E1292" s="16"/>
      <c r="F1292" s="16"/>
      <c r="G1292" s="16"/>
      <c r="H1292" s="16"/>
    </row>
    <row r="1293" spans="1:8" ht="12.5">
      <c r="A1293" s="24"/>
      <c r="B1293" s="17"/>
      <c r="C1293" s="24"/>
      <c r="D1293" s="16"/>
      <c r="E1293" s="16"/>
      <c r="F1293" s="16"/>
      <c r="G1293" s="16"/>
      <c r="H1293" s="16"/>
    </row>
    <row r="1294" spans="1:8" ht="12.5">
      <c r="A1294" s="24"/>
      <c r="B1294" s="17"/>
      <c r="C1294" s="24"/>
      <c r="D1294" s="16"/>
      <c r="E1294" s="16"/>
      <c r="F1294" s="16"/>
      <c r="G1294" s="16"/>
      <c r="H1294" s="16"/>
    </row>
    <row r="1295" spans="1:8" ht="12.5">
      <c r="A1295" s="24"/>
      <c r="B1295" s="17"/>
      <c r="C1295" s="24"/>
      <c r="D1295" s="16"/>
      <c r="E1295" s="37" t="str">
        <f ca="1">IFERROR(__xludf.DUMMYFUNCTION("IMPORTRANGE(""https://docs.google.com/spreadsheets/d/17f0y4iSqqb1LnQlfSvWVx1KyLQXVX4ISea9SsFNQfHE/edit#gid=1404531132"",""#17 Sebastian!A11:A80"")"),"CODI")</f>
        <v>CODI</v>
      </c>
      <c r="F1295" s="37" t="str">
        <f ca="1">IFERROR(__xludf.DUMMYFUNCTION("IMPORTRANGE(""https://docs.google.com/spreadsheets/d/1ghPq2GXSRxm4-7nokWB-4NeQT5BT6DZC88IPWta5RGM/edit#gid=188114201"",""#17 Sebastian!I11:K80"")"),"Expense Type")</f>
        <v>Expense Type</v>
      </c>
      <c r="G1295" s="16" t="str">
        <f ca="1">IFERROR(__xludf.DUMMYFUNCTION("""COMPUTED_VALUE"""),"DESCRIPCION DEL CARGO")</f>
        <v>DESCRIPCION DEL CARGO</v>
      </c>
      <c r="H1295" s="16" t="str">
        <f ca="1">IFERROR(__xludf.DUMMYFUNCTION("""COMPUTED_VALUE"""),"FOLIO DE FACTURA")</f>
        <v>FOLIO DE FACTURA</v>
      </c>
    </row>
    <row r="1296" spans="1:8" ht="12.5">
      <c r="A1296" s="24"/>
      <c r="B1296" s="17"/>
      <c r="C1296" s="24"/>
      <c r="D1296" s="16"/>
      <c r="E1296" s="16" t="str">
        <f ca="1">IFERROR(__xludf.DUMMYFUNCTION("""COMPUTED_VALUE"""),"#N/A")</f>
        <v>#N/A</v>
      </c>
      <c r="F1296" s="16" t="str">
        <f ca="1">IFERROR(__xludf.DUMMYFUNCTION("""COMPUTED_VALUE"""),"G&amp;A expenses")</f>
        <v>G&amp;A expenses</v>
      </c>
      <c r="G1296" s="16" t="str">
        <f ca="1">IFERROR(__xludf.DUMMYFUNCTION("""COMPUTED_VALUE"""),"RFQ HOTELERIA - Aeropuerto T1 (agua)")</f>
        <v>RFQ HOTELERIA - Aeropuerto T1 (agua)</v>
      </c>
      <c r="H1296" s="16" t="str">
        <f ca="1">IFERROR(__xludf.DUMMYFUNCTION("""COMPUTED_VALUE"""),"Solicitada")</f>
        <v>Solicitada</v>
      </c>
    </row>
    <row r="1297" spans="1:8" ht="12.5">
      <c r="A1297" s="24"/>
      <c r="B1297" s="17"/>
      <c r="C1297" s="24"/>
      <c r="D1297" s="16"/>
      <c r="E1297" s="16"/>
      <c r="F1297" s="16" t="str">
        <f ca="1">IFERROR(__xludf.DUMMYFUNCTION("""COMPUTED_VALUE"""),"G&amp;A expenses")</f>
        <v>G&amp;A expenses</v>
      </c>
      <c r="G1297" s="16" t="str">
        <f ca="1">IFERROR(__xludf.DUMMYFUNCTION("""COMPUTED_VALUE"""),"RFQ HOTELERIA - Aeropuerto agua")</f>
        <v>RFQ HOTELERIA - Aeropuerto agua</v>
      </c>
      <c r="H1297" s="16" t="str">
        <f ca="1">IFERROR(__xludf.DUMMYFUNCTION("""COMPUTED_VALUE"""),"Solicitada")</f>
        <v>Solicitada</v>
      </c>
    </row>
    <row r="1298" spans="1:8" ht="12.5">
      <c r="A1298" s="24"/>
      <c r="B1298" s="17"/>
      <c r="C1298" s="24"/>
      <c r="D1298" s="16"/>
      <c r="E1298" s="16"/>
      <c r="F1298" s="16" t="str">
        <f ca="1">IFERROR(__xludf.DUMMYFUNCTION("""COMPUTED_VALUE"""),"G&amp;A expenses")</f>
        <v>G&amp;A expenses</v>
      </c>
      <c r="G1298" s="16" t="str">
        <f ca="1">IFERROR(__xludf.DUMMYFUNCTION("""COMPUTED_VALUE"""),"RFQ HOTELERIA - Hospedaje 2 personas: Gustavo + Sebastián")</f>
        <v>RFQ HOTELERIA - Hospedaje 2 personas: Gustavo + Sebastián</v>
      </c>
      <c r="H1298" s="16" t="str">
        <f ca="1">IFERROR(__xludf.DUMMYFUNCTION("""COMPUTED_VALUE"""),"FA - 50106")</f>
        <v>FA - 50106</v>
      </c>
    </row>
    <row r="1299" spans="1:8" ht="12.5">
      <c r="A1299" s="24"/>
      <c r="B1299" s="17"/>
      <c r="C1299" s="24"/>
      <c r="D1299" s="16"/>
      <c r="E1299" s="16"/>
      <c r="F1299" s="16" t="str">
        <f ca="1">IFERROR(__xludf.DUMMYFUNCTION("""COMPUTED_VALUE"""),"G&amp;A expenses")</f>
        <v>G&amp;A expenses</v>
      </c>
      <c r="G1299" s="16" t="str">
        <f ca="1">IFERROR(__xludf.DUMMYFUNCTION("""COMPUTED_VALUE"""),"RFQ HOTELERIA - Fairfield Inn (comida)")</f>
        <v>RFQ HOTELERIA - Fairfield Inn (comida)</v>
      </c>
      <c r="H1299" s="16" t="str">
        <f ca="1">IFERROR(__xludf.DUMMYFUNCTION("""COMPUTED_VALUE"""),"A - 4721")</f>
        <v>A - 4721</v>
      </c>
    </row>
    <row r="1300" spans="1:8" ht="12.5">
      <c r="A1300" s="24"/>
      <c r="B1300" s="17"/>
      <c r="C1300" s="24"/>
      <c r="D1300" s="16"/>
      <c r="E1300" s="16"/>
      <c r="F1300" s="16" t="str">
        <f ca="1">IFERROR(__xludf.DUMMYFUNCTION("""COMPUTED_VALUE"""),"G&amp;A expenses")</f>
        <v>G&amp;A expenses</v>
      </c>
      <c r="G1300" s="16" t="str">
        <f ca="1">IFERROR(__xludf.DUMMYFUNCTION("""COMPUTED_VALUE"""),"RFQ HOTELERIA - Cena - Hilton+Oasis (x6 personas)")</f>
        <v>RFQ HOTELERIA - Cena - Hilton+Oasis (x6 personas)</v>
      </c>
      <c r="H1300" s="16" t="str">
        <f ca="1">IFERROR(__xludf.DUMMYFUNCTION("""COMPUTED_VALUE"""),"A11784")</f>
        <v>A11784</v>
      </c>
    </row>
    <row r="1301" spans="1:8" ht="12.5">
      <c r="A1301" s="24"/>
      <c r="B1301" s="17"/>
      <c r="C1301" s="24"/>
      <c r="D1301" s="16"/>
      <c r="E1301" s="16"/>
      <c r="F1301" s="16" t="str">
        <f ca="1">IFERROR(__xludf.DUMMYFUNCTION("""COMPUTED_VALUE"""),"G&amp;A expenses")</f>
        <v>G&amp;A expenses</v>
      </c>
      <c r="G1301" s="16" t="str">
        <f ca="1">IFERROR(__xludf.DUMMYFUNCTION("""COMPUTED_VALUE"""),"RFQ HOTELERIA - Reunión en café")</f>
        <v>RFQ HOTELERIA - Reunión en café</v>
      </c>
      <c r="H1301" s="16" t="str">
        <f ca="1">IFERROR(__xludf.DUMMYFUNCTION("""COMPUTED_VALUE"""),"Solicitada")</f>
        <v>Solicitada</v>
      </c>
    </row>
    <row r="1302" spans="1:8" ht="12.5">
      <c r="A1302" s="24"/>
      <c r="B1302" s="17"/>
      <c r="C1302" s="24"/>
      <c r="D1302" s="16"/>
      <c r="E1302" s="16"/>
      <c r="F1302" s="16" t="str">
        <f ca="1">IFERROR(__xludf.DUMMYFUNCTION("""COMPUTED_VALUE"""),"G&amp;A expenses")</f>
        <v>G&amp;A expenses</v>
      </c>
      <c r="G1302" s="16" t="str">
        <f ca="1">IFERROR(__xludf.DUMMYFUNCTION("""COMPUTED_VALUE"""),"RFQ HOTELERIA - Fridays comida")</f>
        <v>RFQ HOTELERIA - Fridays comida</v>
      </c>
      <c r="H1302" s="16" t="str">
        <f ca="1">IFERROR(__xludf.DUMMYFUNCTION("""COMPUTED_VALUE"""),"F 24909")</f>
        <v>F 24909</v>
      </c>
    </row>
    <row r="1303" spans="1:8" ht="12.5">
      <c r="A1303" s="24"/>
      <c r="B1303" s="17"/>
      <c r="C1303" s="24"/>
      <c r="D1303" s="16"/>
      <c r="E1303" s="16"/>
      <c r="F1303" s="16" t="str">
        <f ca="1">IFERROR(__xludf.DUMMYFUNCTION("""COMPUTED_VALUE"""),"G&amp;A expenses")</f>
        <v>G&amp;A expenses</v>
      </c>
      <c r="G1303" s="16" t="str">
        <f ca="1">IFERROR(__xludf.DUMMYFUNCTION("""COMPUTED_VALUE"""),"RFQ HOTELERIA - Transporte aeropuerto")</f>
        <v>RFQ HOTELERIA - Transporte aeropuerto</v>
      </c>
      <c r="H1303" s="16" t="str">
        <f ca="1">IFERROR(__xludf.DUMMYFUNCTION("""COMPUTED_VALUE"""),"Solicitada")</f>
        <v>Solicitada</v>
      </c>
    </row>
    <row r="1304" spans="1:8" ht="12.5">
      <c r="A1304" s="24"/>
      <c r="B1304" s="17"/>
      <c r="C1304" s="24"/>
      <c r="D1304" s="16"/>
      <c r="E1304" s="16"/>
      <c r="F1304" s="16" t="str">
        <f ca="1">IFERROR(__xludf.DUMMYFUNCTION("""COMPUTED_VALUE"""),"G&amp;A expenses")</f>
        <v>G&amp;A expenses</v>
      </c>
      <c r="G1304" s="16" t="str">
        <f ca="1">IFERROR(__xludf.DUMMYFUNCTION("""COMPUTED_VALUE"""),"RFQ IMESA - Transporte a la planta")</f>
        <v>RFQ IMESA - Transporte a la planta</v>
      </c>
      <c r="H1304" s="16" t="str">
        <f ca="1">IFERROR(__xludf.DUMMYFUNCTION("""COMPUTED_VALUE"""),"Solicitada")</f>
        <v>Solicitada</v>
      </c>
    </row>
    <row r="1305" spans="1:8" ht="12.5">
      <c r="A1305" s="24"/>
      <c r="B1305" s="17"/>
      <c r="C1305" s="24"/>
      <c r="D1305" s="16"/>
      <c r="E1305" s="16"/>
      <c r="F1305" s="16" t="str">
        <f ca="1">IFERROR(__xludf.DUMMYFUNCTION("""COMPUTED_VALUE"""),"G&amp;A expenses")</f>
        <v>G&amp;A expenses</v>
      </c>
      <c r="G1305" s="16"/>
      <c r="H1305" s="16"/>
    </row>
    <row r="1306" spans="1:8" ht="12.5">
      <c r="A1306" s="24"/>
      <c r="B1306" s="17"/>
      <c r="C1306" s="24"/>
      <c r="D1306" s="16"/>
      <c r="E1306" s="16"/>
      <c r="F1306" s="16" t="str">
        <f ca="1">IFERROR(__xludf.DUMMYFUNCTION("""COMPUTED_VALUE"""),"G&amp;A expenses")</f>
        <v>G&amp;A expenses</v>
      </c>
      <c r="G1306" s="16"/>
      <c r="H1306" s="16"/>
    </row>
    <row r="1307" spans="1:8" ht="12.5">
      <c r="A1307" s="24"/>
      <c r="B1307" s="17"/>
      <c r="C1307" s="24"/>
      <c r="D1307" s="16"/>
      <c r="E1307" s="16"/>
      <c r="F1307" s="16" t="str">
        <f ca="1">IFERROR(__xludf.DUMMYFUNCTION("""COMPUTED_VALUE"""),"G&amp;A expenses")</f>
        <v>G&amp;A expenses</v>
      </c>
      <c r="G1307" s="16"/>
      <c r="H1307" s="16"/>
    </row>
    <row r="1308" spans="1:8" ht="12.5">
      <c r="A1308" s="24"/>
      <c r="B1308" s="17"/>
      <c r="C1308" s="24"/>
      <c r="D1308" s="16"/>
      <c r="E1308" s="16"/>
      <c r="F1308" s="16" t="str">
        <f ca="1">IFERROR(__xludf.DUMMYFUNCTION("""COMPUTED_VALUE"""),"G&amp;A expenses")</f>
        <v>G&amp;A expenses</v>
      </c>
      <c r="G1308" s="16" t="str">
        <f ca="1">IFERROR(__xludf.DUMMYFUNCTION("""COMPUTED_VALUE"""),"RFQ ELKAY - Comida en Local16 ")</f>
        <v xml:space="preserve">RFQ ELKAY - Comida en Local16 </v>
      </c>
      <c r="H1308" s="16" t="str">
        <f ca="1">IFERROR(__xludf.DUMMYFUNCTION("""COMPUTED_VALUE"""),"B 405")</f>
        <v>B 405</v>
      </c>
    </row>
    <row r="1309" spans="1:8" ht="12.5">
      <c r="A1309" s="24"/>
      <c r="B1309" s="17"/>
      <c r="C1309" s="24"/>
      <c r="D1309" s="16"/>
      <c r="E1309" s="16"/>
      <c r="F1309" s="16" t="str">
        <f ca="1">IFERROR(__xludf.DUMMYFUNCTION("""COMPUTED_VALUE"""),"G&amp;A expenses")</f>
        <v>G&amp;A expenses</v>
      </c>
      <c r="G1309" s="16"/>
      <c r="H1309" s="16"/>
    </row>
    <row r="1310" spans="1:8" ht="12.5">
      <c r="A1310" s="24"/>
      <c r="B1310" s="17"/>
      <c r="C1310" s="24"/>
      <c r="D1310" s="16"/>
      <c r="E1310" s="16"/>
      <c r="F1310" s="16" t="str">
        <f ca="1">IFERROR(__xludf.DUMMYFUNCTION("""COMPUTED_VALUE"""),"G&amp;A expenses")</f>
        <v>G&amp;A expenses</v>
      </c>
      <c r="G1310" s="16"/>
      <c r="H1310" s="16"/>
    </row>
    <row r="1311" spans="1:8" ht="12.5">
      <c r="A1311" s="24"/>
      <c r="B1311" s="17"/>
      <c r="C1311" s="24"/>
      <c r="D1311" s="16"/>
      <c r="E1311" s="16"/>
      <c r="F1311" s="16" t="str">
        <f ca="1">IFERROR(__xludf.DUMMYFUNCTION("""COMPUTED_VALUE"""),"G&amp;A expenses")</f>
        <v>G&amp;A expenses</v>
      </c>
      <c r="G1311" s="16"/>
      <c r="H1311" s="16"/>
    </row>
    <row r="1312" spans="1:8" ht="12.5">
      <c r="A1312" s="24"/>
      <c r="B1312" s="17"/>
      <c r="C1312" s="24"/>
      <c r="D1312" s="16"/>
      <c r="E1312" s="16"/>
      <c r="F1312" s="16" t="str">
        <f ca="1">IFERROR(__xludf.DUMMYFUNCTION("""COMPUTED_VALUE"""),"G&amp;A expenses")</f>
        <v>G&amp;A expenses</v>
      </c>
      <c r="G1312" s="16"/>
      <c r="H1312" s="16"/>
    </row>
    <row r="1313" spans="1:8" ht="12.5">
      <c r="A1313" s="24"/>
      <c r="B1313" s="17"/>
      <c r="C1313" s="24"/>
      <c r="D1313" s="16"/>
      <c r="E1313" s="16"/>
      <c r="F1313" s="16" t="str">
        <f ca="1">IFERROR(__xludf.DUMMYFUNCTION("""COMPUTED_VALUE"""),"G&amp;A expenses")</f>
        <v>G&amp;A expenses</v>
      </c>
      <c r="G1313" s="16"/>
      <c r="H1313" s="16"/>
    </row>
    <row r="1314" spans="1:8" ht="12.5">
      <c r="A1314" s="24"/>
      <c r="B1314" s="17"/>
      <c r="C1314" s="24"/>
      <c r="D1314" s="16"/>
      <c r="E1314" s="16"/>
      <c r="F1314" s="16"/>
      <c r="G1314" s="16"/>
      <c r="H1314" s="16"/>
    </row>
    <row r="1315" spans="1:8" ht="12.5">
      <c r="A1315" s="24"/>
      <c r="B1315" s="17"/>
      <c r="C1315" s="24"/>
      <c r="D1315" s="16"/>
      <c r="E1315" s="16"/>
      <c r="F1315" s="16"/>
      <c r="G1315" s="16"/>
      <c r="H1315" s="16"/>
    </row>
    <row r="1316" spans="1:8" ht="12.5">
      <c r="A1316" s="24"/>
      <c r="B1316" s="17"/>
      <c r="C1316" s="24"/>
      <c r="D1316" s="16"/>
      <c r="E1316" s="16"/>
      <c r="F1316" s="16"/>
      <c r="G1316" s="16"/>
      <c r="H1316" s="16"/>
    </row>
    <row r="1317" spans="1:8" ht="12.5">
      <c r="A1317" s="24"/>
      <c r="B1317" s="17"/>
      <c r="C1317" s="24"/>
      <c r="D1317" s="16"/>
      <c r="E1317" s="16"/>
      <c r="F1317" s="16"/>
      <c r="G1317" s="16"/>
      <c r="H1317" s="16"/>
    </row>
    <row r="1318" spans="1:8" ht="12.5">
      <c r="A1318" s="24"/>
      <c r="B1318" s="17"/>
      <c r="C1318" s="24"/>
      <c r="D1318" s="16"/>
      <c r="E1318" s="16"/>
      <c r="F1318" s="16"/>
      <c r="G1318" s="16"/>
      <c r="H1318" s="16"/>
    </row>
    <row r="1319" spans="1:8" ht="12.5">
      <c r="A1319" s="24"/>
      <c r="B1319" s="17"/>
      <c r="C1319" s="24"/>
      <c r="D1319" s="16"/>
      <c r="E1319" s="16"/>
      <c r="F1319" s="16"/>
      <c r="G1319" s="16"/>
      <c r="H1319" s="16"/>
    </row>
    <row r="1320" spans="1:8" ht="12.5">
      <c r="A1320" s="24"/>
      <c r="B1320" s="17"/>
      <c r="C1320" s="24"/>
      <c r="D1320" s="16"/>
      <c r="E1320" s="16"/>
      <c r="F1320" s="16"/>
      <c r="G1320" s="16"/>
      <c r="H1320" s="16"/>
    </row>
    <row r="1321" spans="1:8" ht="12.5">
      <c r="A1321" s="24"/>
      <c r="B1321" s="17"/>
      <c r="C1321" s="24"/>
      <c r="D1321" s="16"/>
      <c r="E1321" s="16"/>
      <c r="F1321" s="16"/>
      <c r="G1321" s="16"/>
      <c r="H1321" s="16"/>
    </row>
    <row r="1322" spans="1:8" ht="12.5">
      <c r="A1322" s="24"/>
      <c r="B1322" s="17"/>
      <c r="C1322" s="24"/>
      <c r="D1322" s="16"/>
      <c r="E1322" s="16"/>
      <c r="F1322" s="16"/>
      <c r="G1322" s="16"/>
      <c r="H1322" s="16"/>
    </row>
    <row r="1323" spans="1:8" ht="12.5">
      <c r="A1323" s="24"/>
      <c r="B1323" s="17"/>
      <c r="C1323" s="24"/>
      <c r="D1323" s="16"/>
      <c r="E1323" s="16"/>
      <c r="F1323" s="16"/>
      <c r="G1323" s="16"/>
      <c r="H1323" s="16"/>
    </row>
    <row r="1324" spans="1:8" ht="12.5">
      <c r="A1324" s="24"/>
      <c r="B1324" s="17"/>
      <c r="C1324" s="24"/>
      <c r="D1324" s="16"/>
      <c r="E1324" s="16"/>
      <c r="F1324" s="16"/>
      <c r="G1324" s="16"/>
      <c r="H1324" s="16"/>
    </row>
    <row r="1325" spans="1:8" ht="12.5">
      <c r="A1325" s="24"/>
      <c r="B1325" s="17"/>
      <c r="C1325" s="24"/>
      <c r="D1325" s="16"/>
      <c r="E1325" s="16"/>
      <c r="F1325" s="16"/>
      <c r="G1325" s="16"/>
      <c r="H1325" s="16"/>
    </row>
    <row r="1326" spans="1:8" ht="12.5">
      <c r="A1326" s="24"/>
      <c r="B1326" s="17"/>
      <c r="C1326" s="24"/>
      <c r="D1326" s="16"/>
      <c r="E1326" s="16"/>
      <c r="F1326" s="16"/>
      <c r="G1326" s="16"/>
      <c r="H1326" s="16"/>
    </row>
    <row r="1327" spans="1:8" ht="12.5">
      <c r="A1327" s="24"/>
      <c r="B1327" s="17"/>
      <c r="C1327" s="24"/>
      <c r="D1327" s="16"/>
      <c r="E1327" s="16"/>
      <c r="F1327" s="16"/>
      <c r="G1327" s="16"/>
      <c r="H1327" s="16"/>
    </row>
    <row r="1328" spans="1:8" ht="12.5">
      <c r="A1328" s="24"/>
      <c r="B1328" s="17"/>
      <c r="C1328" s="24"/>
      <c r="D1328" s="16"/>
      <c r="E1328" s="16"/>
      <c r="F1328" s="16"/>
      <c r="G1328" s="16"/>
      <c r="H1328" s="16"/>
    </row>
    <row r="1329" spans="1:8" ht="12.5">
      <c r="A1329" s="24"/>
      <c r="B1329" s="17"/>
      <c r="C1329" s="24"/>
      <c r="D1329" s="16"/>
      <c r="E1329" s="16"/>
      <c r="F1329" s="16"/>
      <c r="G1329" s="16"/>
      <c r="H1329" s="16"/>
    </row>
    <row r="1330" spans="1:8" ht="12.5">
      <c r="A1330" s="24"/>
      <c r="B1330" s="17"/>
      <c r="C1330" s="24"/>
      <c r="D1330" s="16"/>
      <c r="E1330" s="16"/>
      <c r="F1330" s="16"/>
      <c r="G1330" s="16"/>
      <c r="H1330" s="16"/>
    </row>
    <row r="1331" spans="1:8" ht="12.5">
      <c r="A1331" s="24"/>
      <c r="B1331" s="17"/>
      <c r="C1331" s="24"/>
      <c r="D1331" s="16"/>
      <c r="E1331" s="16"/>
      <c r="F1331" s="16"/>
      <c r="G1331" s="16"/>
      <c r="H1331" s="16"/>
    </row>
    <row r="1332" spans="1:8" ht="12.5">
      <c r="A1332" s="24"/>
      <c r="B1332" s="17"/>
      <c r="C1332" s="24"/>
      <c r="D1332" s="16"/>
      <c r="E1332" s="16"/>
      <c r="F1332" s="16"/>
      <c r="G1332" s="16"/>
      <c r="H1332" s="16"/>
    </row>
    <row r="1333" spans="1:8" ht="12.5">
      <c r="A1333" s="24"/>
      <c r="B1333" s="17"/>
      <c r="C1333" s="24"/>
      <c r="D1333" s="16"/>
      <c r="E1333" s="16"/>
      <c r="F1333" s="16"/>
      <c r="G1333" s="16"/>
      <c r="H1333" s="16"/>
    </row>
    <row r="1334" spans="1:8" ht="12.5">
      <c r="A1334" s="24"/>
      <c r="B1334" s="17"/>
      <c r="C1334" s="24"/>
      <c r="D1334" s="16"/>
      <c r="E1334" s="16"/>
      <c r="F1334" s="16"/>
      <c r="G1334" s="16"/>
      <c r="H1334" s="16"/>
    </row>
    <row r="1335" spans="1:8" ht="12.5">
      <c r="A1335" s="24"/>
      <c r="B1335" s="17"/>
      <c r="C1335" s="24"/>
      <c r="D1335" s="16"/>
      <c r="E1335" s="16"/>
      <c r="F1335" s="16"/>
      <c r="G1335" s="16"/>
      <c r="H1335" s="16"/>
    </row>
    <row r="1336" spans="1:8" ht="12.5">
      <c r="A1336" s="24"/>
      <c r="B1336" s="17"/>
      <c r="C1336" s="24"/>
      <c r="D1336" s="16"/>
      <c r="E1336" s="16"/>
      <c r="F1336" s="16"/>
      <c r="G1336" s="16"/>
      <c r="H1336" s="16"/>
    </row>
    <row r="1337" spans="1:8" ht="12.5">
      <c r="A1337" s="24"/>
      <c r="B1337" s="17"/>
      <c r="C1337" s="24"/>
      <c r="D1337" s="16"/>
      <c r="E1337" s="16"/>
      <c r="F1337" s="16"/>
      <c r="G1337" s="16"/>
      <c r="H1337" s="16"/>
    </row>
    <row r="1338" spans="1:8" ht="12.5">
      <c r="A1338" s="24"/>
      <c r="B1338" s="17"/>
      <c r="C1338" s="24"/>
      <c r="D1338" s="16"/>
      <c r="E1338" s="16"/>
      <c r="F1338" s="16"/>
      <c r="G1338" s="16"/>
      <c r="H1338" s="16"/>
    </row>
    <row r="1339" spans="1:8" ht="12.5">
      <c r="A1339" s="24"/>
      <c r="B1339" s="17"/>
      <c r="C1339" s="24"/>
      <c r="D1339" s="16"/>
      <c r="E1339" s="16"/>
      <c r="F1339" s="16"/>
      <c r="G1339" s="16"/>
      <c r="H1339" s="16"/>
    </row>
    <row r="1340" spans="1:8" ht="12.5">
      <c r="A1340" s="24"/>
      <c r="B1340" s="17"/>
      <c r="C1340" s="24"/>
      <c r="D1340" s="16"/>
      <c r="E1340" s="16"/>
      <c r="F1340" s="16"/>
      <c r="G1340" s="16"/>
      <c r="H1340" s="16"/>
    </row>
    <row r="1341" spans="1:8" ht="12.5">
      <c r="A1341" s="24"/>
      <c r="B1341" s="17"/>
      <c r="C1341" s="24"/>
      <c r="D1341" s="16"/>
      <c r="E1341" s="16"/>
      <c r="F1341" s="16"/>
      <c r="G1341" s="16"/>
      <c r="H1341" s="16"/>
    </row>
    <row r="1342" spans="1:8" ht="12.5">
      <c r="A1342" s="24"/>
      <c r="B1342" s="17"/>
      <c r="C1342" s="24"/>
      <c r="D1342" s="16"/>
      <c r="E1342" s="16"/>
      <c r="F1342" s="16"/>
      <c r="G1342" s="16"/>
      <c r="H1342" s="16"/>
    </row>
    <row r="1343" spans="1:8" ht="12.5">
      <c r="A1343" s="24"/>
      <c r="B1343" s="17"/>
      <c r="C1343" s="24"/>
      <c r="D1343" s="16"/>
      <c r="E1343" s="16"/>
      <c r="F1343" s="16"/>
      <c r="G1343" s="16"/>
      <c r="H1343" s="16"/>
    </row>
    <row r="1344" spans="1:8" ht="12.5">
      <c r="A1344" s="24"/>
      <c r="B1344" s="17"/>
      <c r="C1344" s="24"/>
      <c r="D1344" s="16"/>
      <c r="E1344" s="16"/>
      <c r="F1344" s="16"/>
      <c r="G1344" s="16"/>
      <c r="H1344" s="16"/>
    </row>
    <row r="1345" spans="1:8" ht="12.5">
      <c r="A1345" s="24"/>
      <c r="B1345" s="17"/>
      <c r="C1345" s="24"/>
      <c r="D1345" s="16"/>
      <c r="E1345" s="16"/>
      <c r="F1345" s="16"/>
      <c r="G1345" s="16"/>
      <c r="H1345" s="16"/>
    </row>
    <row r="1346" spans="1:8" ht="12.5">
      <c r="A1346" s="24"/>
      <c r="B1346" s="17"/>
      <c r="C1346" s="24"/>
      <c r="D1346" s="16"/>
      <c r="E1346" s="16"/>
      <c r="F1346" s="16"/>
      <c r="G1346" s="16"/>
      <c r="H1346" s="16"/>
    </row>
    <row r="1347" spans="1:8" ht="12.5">
      <c r="A1347" s="24"/>
      <c r="B1347" s="17"/>
      <c r="C1347" s="24"/>
      <c r="D1347" s="16"/>
      <c r="E1347" s="16"/>
      <c r="F1347" s="16"/>
      <c r="G1347" s="16"/>
      <c r="H1347" s="16"/>
    </row>
    <row r="1348" spans="1:8" ht="12.5">
      <c r="A1348" s="24"/>
      <c r="B1348" s="17"/>
      <c r="C1348" s="24"/>
      <c r="D1348" s="16"/>
      <c r="E1348" s="16"/>
      <c r="F1348" s="16"/>
      <c r="G1348" s="16"/>
      <c r="H1348" s="16"/>
    </row>
    <row r="1349" spans="1:8" ht="12.5">
      <c r="A1349" s="24"/>
      <c r="B1349" s="17"/>
      <c r="C1349" s="24"/>
      <c r="D1349" s="16"/>
      <c r="E1349" s="16"/>
      <c r="F1349" s="16"/>
      <c r="G1349" s="16"/>
      <c r="H1349" s="16"/>
    </row>
    <row r="1350" spans="1:8" ht="12.5">
      <c r="A1350" s="24"/>
      <c r="B1350" s="17"/>
      <c r="C1350" s="24"/>
      <c r="D1350" s="16"/>
      <c r="E1350" s="16"/>
      <c r="F1350" s="16"/>
      <c r="G1350" s="16"/>
      <c r="H1350" s="16"/>
    </row>
    <row r="1351" spans="1:8" ht="12.5">
      <c r="A1351" s="24"/>
      <c r="B1351" s="17"/>
      <c r="C1351" s="24"/>
      <c r="D1351" s="16"/>
      <c r="E1351" s="16"/>
      <c r="F1351" s="16"/>
      <c r="G1351" s="16"/>
      <c r="H1351" s="16"/>
    </row>
    <row r="1352" spans="1:8" ht="12.5">
      <c r="A1352" s="24"/>
      <c r="B1352" s="17"/>
      <c r="C1352" s="24"/>
      <c r="D1352" s="16"/>
      <c r="E1352" s="16"/>
      <c r="F1352" s="16"/>
      <c r="G1352" s="16"/>
      <c r="H1352" s="16"/>
    </row>
    <row r="1353" spans="1:8" ht="12.5">
      <c r="A1353" s="24"/>
      <c r="B1353" s="17"/>
      <c r="C1353" s="24"/>
      <c r="D1353" s="16"/>
      <c r="E1353" s="16"/>
      <c r="F1353" s="16"/>
      <c r="G1353" s="16"/>
      <c r="H1353" s="16"/>
    </row>
    <row r="1354" spans="1:8" ht="12.5">
      <c r="A1354" s="24"/>
      <c r="B1354" s="17"/>
      <c r="C1354" s="24"/>
      <c r="D1354" s="16"/>
      <c r="E1354" s="16"/>
      <c r="F1354" s="16"/>
      <c r="G1354" s="16"/>
      <c r="H1354" s="16"/>
    </row>
    <row r="1355" spans="1:8" ht="12.5">
      <c r="A1355" s="24"/>
      <c r="B1355" s="17"/>
      <c r="C1355" s="24"/>
      <c r="D1355" s="16"/>
      <c r="E1355" s="16"/>
      <c r="F1355" s="16"/>
      <c r="G1355" s="16"/>
      <c r="H1355" s="16"/>
    </row>
    <row r="1356" spans="1:8" ht="12.5">
      <c r="A1356" s="24"/>
      <c r="B1356" s="17"/>
      <c r="C1356" s="24"/>
      <c r="D1356" s="16"/>
      <c r="E1356" s="16"/>
      <c r="F1356" s="16"/>
      <c r="G1356" s="16"/>
      <c r="H1356" s="16"/>
    </row>
    <row r="1357" spans="1:8" ht="12.5">
      <c r="A1357" s="24"/>
      <c r="B1357" s="17"/>
      <c r="C1357" s="24"/>
      <c r="D1357" s="16"/>
      <c r="E1357" s="16"/>
      <c r="F1357" s="16"/>
      <c r="G1357" s="16"/>
      <c r="H1357" s="16"/>
    </row>
    <row r="1358" spans="1:8" ht="12.5">
      <c r="A1358" s="24"/>
      <c r="B1358" s="17"/>
      <c r="C1358" s="24"/>
      <c r="D1358" s="16"/>
      <c r="E1358" s="16"/>
      <c r="F1358" s="16"/>
      <c r="G1358" s="16"/>
      <c r="H1358" s="16"/>
    </row>
    <row r="1359" spans="1:8" ht="12.5">
      <c r="A1359" s="24"/>
      <c r="B1359" s="17"/>
      <c r="C1359" s="24"/>
      <c r="D1359" s="16"/>
      <c r="E1359" s="16"/>
      <c r="F1359" s="16"/>
      <c r="G1359" s="16"/>
      <c r="H1359" s="16"/>
    </row>
    <row r="1360" spans="1:8" ht="12.5">
      <c r="A1360" s="24"/>
      <c r="B1360" s="17"/>
      <c r="C1360" s="24"/>
      <c r="D1360" s="16"/>
      <c r="E1360" s="16"/>
      <c r="F1360" s="16"/>
      <c r="G1360" s="16"/>
      <c r="H1360" s="16"/>
    </row>
    <row r="1361" spans="1:8" ht="12.5">
      <c r="A1361" s="24"/>
      <c r="B1361" s="17"/>
      <c r="C1361" s="24"/>
      <c r="D1361" s="16"/>
      <c r="E1361" s="16"/>
      <c r="F1361" s="16"/>
      <c r="G1361" s="16"/>
      <c r="H1361" s="16"/>
    </row>
    <row r="1362" spans="1:8" ht="12.5">
      <c r="A1362" s="24"/>
      <c r="B1362" s="17"/>
      <c r="C1362" s="24"/>
      <c r="D1362" s="16"/>
      <c r="E1362" s="16"/>
      <c r="F1362" s="16"/>
      <c r="G1362" s="16"/>
      <c r="H1362" s="16"/>
    </row>
    <row r="1363" spans="1:8" ht="12.5">
      <c r="A1363" s="24"/>
      <c r="B1363" s="17"/>
      <c r="C1363" s="24"/>
      <c r="D1363" s="16"/>
      <c r="E1363" s="16"/>
      <c r="F1363" s="16"/>
      <c r="G1363" s="16"/>
      <c r="H1363" s="16"/>
    </row>
    <row r="1364" spans="1:8" ht="12.5">
      <c r="A1364" s="24"/>
      <c r="B1364" s="17"/>
      <c r="C1364" s="24"/>
      <c r="D1364" s="16"/>
      <c r="E1364" s="16"/>
      <c r="F1364" s="16"/>
      <c r="G1364" s="16"/>
      <c r="H1364" s="16"/>
    </row>
    <row r="1365" spans="1:8" ht="12.5">
      <c r="A1365" s="24"/>
      <c r="B1365" s="17"/>
      <c r="C1365" s="24"/>
      <c r="D1365" s="16"/>
      <c r="E1365" s="16"/>
      <c r="F1365" s="16"/>
      <c r="G1365" s="16"/>
      <c r="H1365" s="16"/>
    </row>
    <row r="1366" spans="1:8" ht="12.5">
      <c r="A1366" s="24"/>
      <c r="B1366" s="17"/>
      <c r="C1366" s="24"/>
      <c r="D1366" s="16"/>
      <c r="E1366" s="16"/>
      <c r="F1366" s="16"/>
      <c r="G1366" s="16"/>
      <c r="H1366" s="16"/>
    </row>
    <row r="1367" spans="1:8" ht="12.5">
      <c r="A1367" s="24"/>
      <c r="B1367" s="17"/>
      <c r="C1367" s="24"/>
      <c r="D1367" s="16"/>
      <c r="E1367" s="16"/>
      <c r="F1367" s="16"/>
      <c r="G1367" s="16"/>
      <c r="H1367" s="16"/>
    </row>
    <row r="1368" spans="1:8" ht="12.5">
      <c r="A1368" s="24"/>
      <c r="B1368" s="17"/>
      <c r="C1368" s="24"/>
      <c r="D1368" s="16"/>
      <c r="E1368" s="16"/>
      <c r="F1368" s="16"/>
      <c r="G1368" s="16"/>
      <c r="H1368" s="16"/>
    </row>
    <row r="1369" spans="1:8" ht="12.5">
      <c r="A1369" s="24"/>
      <c r="B1369" s="17"/>
      <c r="C1369" s="24"/>
      <c r="D1369" s="16"/>
      <c r="E1369" s="16"/>
      <c r="F1369" s="16"/>
      <c r="G1369" s="16"/>
      <c r="H1369" s="16"/>
    </row>
    <row r="1370" spans="1:8" ht="12.5">
      <c r="A1370" s="24"/>
      <c r="B1370" s="17"/>
      <c r="C1370" s="24"/>
      <c r="D1370" s="16"/>
      <c r="E1370" s="16"/>
      <c r="F1370" s="16"/>
      <c r="G1370" s="16"/>
      <c r="H1370" s="16"/>
    </row>
    <row r="1371" spans="1:8" ht="12.5">
      <c r="A1371" s="24"/>
      <c r="B1371" s="17"/>
      <c r="C1371" s="24"/>
      <c r="D1371" s="16"/>
      <c r="E1371" s="16"/>
      <c r="F1371" s="16"/>
      <c r="G1371" s="16"/>
      <c r="H1371" s="16"/>
    </row>
    <row r="1372" spans="1:8" ht="12.5">
      <c r="A1372" s="24"/>
      <c r="B1372" s="17"/>
      <c r="C1372" s="24"/>
      <c r="D1372" s="16"/>
      <c r="E1372" s="16"/>
      <c r="F1372" s="16"/>
      <c r="G1372" s="16"/>
      <c r="H1372" s="16"/>
    </row>
    <row r="1373" spans="1:8" ht="12.5">
      <c r="A1373" s="24"/>
      <c r="B1373" s="17"/>
      <c r="C1373" s="24"/>
      <c r="D1373" s="16"/>
      <c r="E1373" s="16"/>
      <c r="F1373" s="16"/>
      <c r="G1373" s="16"/>
      <c r="H1373" s="16"/>
    </row>
    <row r="1374" spans="1:8" ht="12.5">
      <c r="A1374" s="24"/>
      <c r="B1374" s="17"/>
      <c r="C1374" s="24"/>
      <c r="D1374" s="16"/>
      <c r="E1374" s="37" t="str">
        <f ca="1">IFERROR(__xludf.DUMMYFUNCTION("IMPORTRANGE(""https://docs.google.com/spreadsheets/d/1VQAfHmtGGGogCBkbbGtfN0KPmHrDVWTy2jDhVjzBqok/edit#gid=337198013"",""#18 Josue Samuel Galindo Sosa!A11:A80"")"),"CODI")</f>
        <v>CODI</v>
      </c>
      <c r="F1374" s="37" t="str">
        <f ca="1">IFERROR(__xludf.DUMMYFUNCTION("IMPORTRANGE(""https://docs.google.com/spreadsheets/d/1VQAfHmtGGGogCBkbbGtfN0KPmHrDVWTy2jDhVjzBqok/edit#gid=337198013"",""#18 Josue Samuel Galindo Sosa!I11:K80"")"),"Expense Type")</f>
        <v>Expense Type</v>
      </c>
      <c r="G1374" s="16" t="str">
        <f ca="1">IFERROR(__xludf.DUMMYFUNCTION("""COMPUTED_VALUE"""),"DESCRIPCION DEL CARGO")</f>
        <v>DESCRIPCION DEL CARGO</v>
      </c>
      <c r="H1374" s="16" t="str">
        <f ca="1">IFERROR(__xludf.DUMMYFUNCTION("""COMPUTED_VALUE"""),"FOLIO DE FACTURA")</f>
        <v>FOLIO DE FACTURA</v>
      </c>
    </row>
    <row r="1375" spans="1:8" ht="12.5">
      <c r="A1375" s="24"/>
      <c r="B1375" s="17"/>
      <c r="C1375" s="24"/>
      <c r="D1375" s="16"/>
      <c r="E1375" s="16" t="str">
        <f ca="1">IFERROR(__xludf.DUMMYFUNCTION("""COMPUTED_VALUE"""),"#N/A")</f>
        <v>#N/A</v>
      </c>
      <c r="F1375" s="16" t="str">
        <f ca="1">IFERROR(__xludf.DUMMYFUNCTION("""COMPUTED_VALUE"""),"Transaction cost")</f>
        <v>Transaction cost</v>
      </c>
      <c r="G1375" s="16" t="str">
        <f ca="1">IFERROR(__xludf.DUMMYFUNCTION("""COMPUTED_VALUE"""),"PO-620, Seguimiento a fabricación")</f>
        <v>PO-620, Seguimiento a fabricación</v>
      </c>
      <c r="H1375" s="16" t="str">
        <f ca="1">IFERROR(__xludf.DUMMYFUNCTION("""COMPUTED_VALUE"""),"CLI45903536")</f>
        <v>CLI45903536</v>
      </c>
    </row>
    <row r="1376" spans="1:8" ht="12.5">
      <c r="A1376" s="24"/>
      <c r="B1376" s="17"/>
      <c r="C1376" s="24"/>
      <c r="D1376" s="16"/>
      <c r="E1376" s="16"/>
      <c r="F1376" s="16" t="str">
        <f ca="1">IFERROR(__xludf.DUMMYFUNCTION("""COMPUTED_VALUE"""),"Transaction cost")</f>
        <v>Transaction cost</v>
      </c>
      <c r="G1376" s="16" t="str">
        <f ca="1">IFERROR(__xludf.DUMMYFUNCTION("""COMPUTED_VALUE"""),"PO-620, Seguimiento a fabricación")</f>
        <v>PO-620, Seguimiento a fabricación</v>
      </c>
      <c r="H1376" s="16">
        <f ca="1">IFERROR(__xludf.DUMMYFUNCTION("""COMPUTED_VALUE"""),3491212)</f>
        <v>3491212</v>
      </c>
    </row>
    <row r="1377" spans="1:8" ht="12.5">
      <c r="A1377" s="24"/>
      <c r="B1377" s="17"/>
      <c r="C1377" s="24"/>
      <c r="D1377" s="16"/>
      <c r="E1377" s="16"/>
      <c r="F1377" s="16" t="str">
        <f ca="1">IFERROR(__xludf.DUMMYFUNCTION("""COMPUTED_VALUE"""),"Transaction cost")</f>
        <v>Transaction cost</v>
      </c>
      <c r="G1377" s="16" t="str">
        <f ca="1">IFERROR(__xludf.DUMMYFUNCTION("""COMPUTED_VALUE"""),"PO-620, Seguimiento a fabricación")</f>
        <v>PO-620, Seguimiento a fabricación</v>
      </c>
      <c r="H1377" s="16">
        <f ca="1">IFERROR(__xludf.DUMMYFUNCTION("""COMPUTED_VALUE"""),3491200)</f>
        <v>3491200</v>
      </c>
    </row>
    <row r="1378" spans="1:8" ht="12.5">
      <c r="A1378" s="24"/>
      <c r="B1378" s="17"/>
      <c r="C1378" s="24"/>
      <c r="D1378" s="16"/>
      <c r="E1378" s="16"/>
      <c r="F1378" s="16" t="str">
        <f ca="1">IFERROR(__xludf.DUMMYFUNCTION("""COMPUTED_VALUE"""),"Transaction cost")</f>
        <v>Transaction cost</v>
      </c>
      <c r="G1378" s="16" t="str">
        <f ca="1">IFERROR(__xludf.DUMMYFUNCTION("""COMPUTED_VALUE"""),"PO-620, Seguimiento a fabricación")</f>
        <v>PO-620, Seguimiento a fabricación</v>
      </c>
      <c r="H1378" s="16">
        <f ca="1">IFERROR(__xludf.DUMMYFUNCTION("""COMPUTED_VALUE"""),3491223)</f>
        <v>3491223</v>
      </c>
    </row>
    <row r="1379" spans="1:8" ht="12.5">
      <c r="A1379" s="24"/>
      <c r="B1379" s="17"/>
      <c r="C1379" s="24"/>
      <c r="D1379" s="16"/>
      <c r="E1379" s="16"/>
      <c r="F1379" s="16" t="str">
        <f ca="1">IFERROR(__xludf.DUMMYFUNCTION("""COMPUTED_VALUE"""),"Transaction cost")</f>
        <v>Transaction cost</v>
      </c>
      <c r="G1379" s="16" t="str">
        <f ca="1">IFERROR(__xludf.DUMMYFUNCTION("""COMPUTED_VALUE"""),"PO-1234, Envío de muestra a cliente")</f>
        <v>PO-1234, Envío de muestra a cliente</v>
      </c>
      <c r="H1379" s="16" t="str">
        <f ca="1">IFERROR(__xludf.DUMMYFUNCTION("""COMPUTED_VALUE"""),"JYUFA31575")</f>
        <v>JYUFA31575</v>
      </c>
    </row>
    <row r="1380" spans="1:8" ht="12.5">
      <c r="A1380" s="24"/>
      <c r="B1380" s="17"/>
      <c r="C1380" s="24"/>
      <c r="D1380" s="16"/>
      <c r="E1380" s="16"/>
      <c r="F1380" s="16" t="str">
        <f ca="1">IFERROR(__xludf.DUMMYFUNCTION("""COMPUTED_VALUE"""),"Transaction cost")</f>
        <v>Transaction cost</v>
      </c>
      <c r="G1380" s="16" t="str">
        <f ca="1">IFERROR(__xludf.DUMMYFUNCTION("""COMPUTED_VALUE"""),"PO-620, Seguimiento a fabricación")</f>
        <v>PO-620, Seguimiento a fabricación</v>
      </c>
      <c r="H1380" s="16" t="str">
        <f ca="1">IFERROR(__xludf.DUMMYFUNCTION("""COMPUTED_VALUE"""),"CLI45903652")</f>
        <v>CLI45903652</v>
      </c>
    </row>
    <row r="1381" spans="1:8" ht="12.5">
      <c r="A1381" s="24"/>
      <c r="B1381" s="17"/>
      <c r="C1381" s="24"/>
      <c r="D1381" s="16"/>
      <c r="E1381" s="16"/>
      <c r="F1381" s="16" t="str">
        <f ca="1">IFERROR(__xludf.DUMMYFUNCTION("""COMPUTED_VALUE"""),"Transaction cost")</f>
        <v>Transaction cost</v>
      </c>
      <c r="G1381" s="16" t="str">
        <f ca="1">IFERROR(__xludf.DUMMYFUNCTION("""COMPUTED_VALUE"""),"PO-616, Seguimiento a fabricación y embarque")</f>
        <v>PO-616, Seguimiento a fabricación y embarque</v>
      </c>
      <c r="H1381" s="16" t="str">
        <f ca="1">IFERROR(__xludf.DUMMYFUNCTION("""COMPUTED_VALUE"""),"CLI45903694")</f>
        <v>CLI45903694</v>
      </c>
    </row>
    <row r="1382" spans="1:8" ht="12.5">
      <c r="A1382" s="24"/>
      <c r="B1382" s="17"/>
      <c r="C1382" s="24"/>
      <c r="D1382" s="16"/>
      <c r="E1382" s="16"/>
      <c r="F1382" s="16" t="str">
        <f ca="1">IFERROR(__xludf.DUMMYFUNCTION("""COMPUTED_VALUE"""),"Transaction cost")</f>
        <v>Transaction cost</v>
      </c>
      <c r="G1382" s="16" t="str">
        <f ca="1">IFERROR(__xludf.DUMMYFUNCTION("""COMPUTED_VALUE"""),"RFQ-2605, auditoría de cliente en Maken Saltillo")</f>
        <v>RFQ-2605, auditoría de cliente en Maken Saltillo</v>
      </c>
      <c r="H1382" s="16">
        <f ca="1">IFERROR(__xludf.DUMMYFUNCTION("""COMPUTED_VALUE"""),3491235)</f>
        <v>3491235</v>
      </c>
    </row>
    <row r="1383" spans="1:8" ht="12.5">
      <c r="A1383" s="24"/>
      <c r="B1383" s="17"/>
      <c r="C1383" s="24"/>
      <c r="D1383" s="16"/>
      <c r="E1383" s="16"/>
      <c r="F1383" s="16" t="str">
        <f ca="1">IFERROR(__xludf.DUMMYFUNCTION("""COMPUTED_VALUE"""),"Transaction cost")</f>
        <v>Transaction cost</v>
      </c>
      <c r="G1383" s="16" t="str">
        <f ca="1">IFERROR(__xludf.DUMMYFUNCTION("""COMPUTED_VALUE"""),"RFQ-2605, auditoría de cliente en Maken Saltillo")</f>
        <v>RFQ-2605, auditoría de cliente en Maken Saltillo</v>
      </c>
      <c r="H1383" s="16">
        <f ca="1">IFERROR(__xludf.DUMMYFUNCTION("""COMPUTED_VALUE"""),3491231)</f>
        <v>3491231</v>
      </c>
    </row>
    <row r="1384" spans="1:8" ht="12.5">
      <c r="A1384" s="24"/>
      <c r="B1384" s="17"/>
      <c r="C1384" s="24"/>
      <c r="D1384" s="16"/>
      <c r="E1384" s="16"/>
      <c r="F1384" s="16" t="str">
        <f ca="1">IFERROR(__xludf.DUMMYFUNCTION("""COMPUTED_VALUE"""),"Transaction cost")</f>
        <v>Transaction cost</v>
      </c>
      <c r="G1384" s="16" t="str">
        <f ca="1">IFERROR(__xludf.DUMMYFUNCTION("""COMPUTED_VALUE"""),"RFQ-2605, auditoría de cliente en Maken Saltillo")</f>
        <v>RFQ-2605, auditoría de cliente en Maken Saltillo</v>
      </c>
      <c r="H1384" s="16" t="str">
        <f ca="1">IFERROR(__xludf.DUMMYFUNCTION("""COMPUTED_VALUE"""),"IB 827489")</f>
        <v>IB 827489</v>
      </c>
    </row>
    <row r="1385" spans="1:8" ht="12.5">
      <c r="A1385" s="24"/>
      <c r="B1385" s="17"/>
      <c r="C1385" s="24"/>
      <c r="D1385" s="16"/>
      <c r="E1385" s="16"/>
      <c r="F1385" s="16" t="str">
        <f ca="1">IFERROR(__xludf.DUMMYFUNCTION("""COMPUTED_VALUE"""),"Transaction cost")</f>
        <v>Transaction cost</v>
      </c>
      <c r="G1385" s="16" t="str">
        <f ca="1">IFERROR(__xludf.DUMMYFUNCTION("""COMPUTED_VALUE"""),"RFQ-2605, auditoría de cliente en Maken Saltillo")</f>
        <v>RFQ-2605, auditoría de cliente en Maken Saltillo</v>
      </c>
      <c r="H1385" s="16" t="str">
        <f ca="1">IFERROR(__xludf.DUMMYFUNCTION("""COMPUTED_VALUE"""),"W20805")</f>
        <v>W20805</v>
      </c>
    </row>
    <row r="1386" spans="1:8" ht="12.5">
      <c r="A1386" s="24"/>
      <c r="B1386" s="17"/>
      <c r="C1386" s="24"/>
      <c r="D1386" s="16"/>
      <c r="E1386" s="16"/>
      <c r="F1386" s="16" t="str">
        <f ca="1">IFERROR(__xludf.DUMMYFUNCTION("""COMPUTED_VALUE"""),"Transaction cost")</f>
        <v>Transaction cost</v>
      </c>
      <c r="G1386" s="16" t="str">
        <f ca="1">IFERROR(__xludf.DUMMYFUNCTION("""COMPUTED_VALUE"""),"RFQ-2605, auditoría de cliente en Maken Saltillo")</f>
        <v>RFQ-2605, auditoría de cliente en Maken Saltillo</v>
      </c>
      <c r="H1386" s="16" t="str">
        <f ca="1">IFERROR(__xludf.DUMMYFUNCTION("""COMPUTED_VALUE"""),"20241211/012215-FOP")</f>
        <v>20241211/012215-FOP</v>
      </c>
    </row>
    <row r="1387" spans="1:8" ht="12.5">
      <c r="A1387" s="24"/>
      <c r="B1387" s="17"/>
      <c r="C1387" s="24"/>
      <c r="D1387" s="16"/>
      <c r="E1387" s="16"/>
      <c r="F1387" s="16" t="str">
        <f ca="1">IFERROR(__xludf.DUMMYFUNCTION("""COMPUTED_VALUE"""),"Transaction cost")</f>
        <v>Transaction cost</v>
      </c>
      <c r="G1387" s="16" t="str">
        <f ca="1">IFERROR(__xludf.DUMMYFUNCTION("""COMPUTED_VALUE"""),"RFQ-2605, auditoría de cliente en Maken Saltillo")</f>
        <v>RFQ-2605, auditoría de cliente en Maken Saltillo</v>
      </c>
      <c r="H1387" s="16">
        <f ca="1">IFERROR(__xludf.DUMMYFUNCTION("""COMPUTED_VALUE"""),3491240)</f>
        <v>3491240</v>
      </c>
    </row>
    <row r="1388" spans="1:8" ht="12.5">
      <c r="A1388" s="24"/>
      <c r="B1388" s="17"/>
      <c r="C1388" s="24"/>
      <c r="D1388" s="16"/>
      <c r="E1388" s="16"/>
      <c r="F1388" s="16" t="str">
        <f ca="1">IFERROR(__xludf.DUMMYFUNCTION("""COMPUTED_VALUE"""),"Transaction cost")</f>
        <v>Transaction cost</v>
      </c>
      <c r="G1388" s="16" t="str">
        <f ca="1">IFERROR(__xludf.DUMMYFUNCTION("""COMPUTED_VALUE"""),"RFQ-2605, auditoría de cliente en Maken Saltillo")</f>
        <v>RFQ-2605, auditoría de cliente en Maken Saltillo</v>
      </c>
      <c r="H1388" s="16">
        <f ca="1">IFERROR(__xludf.DUMMYFUNCTION("""COMPUTED_VALUE"""),3491238)</f>
        <v>3491238</v>
      </c>
    </row>
    <row r="1389" spans="1:8" ht="12.5">
      <c r="A1389" s="24"/>
      <c r="B1389" s="17"/>
      <c r="C1389" s="24"/>
      <c r="D1389" s="16"/>
      <c r="E1389" s="16"/>
      <c r="F1389" s="16" t="str">
        <f ca="1">IFERROR(__xludf.DUMMYFUNCTION("""COMPUTED_VALUE"""),"Transaction cost")</f>
        <v>Transaction cost</v>
      </c>
      <c r="G1389" s="16" t="str">
        <f ca="1">IFERROR(__xludf.DUMMYFUNCTION("""COMPUTED_VALUE"""),"PO-620, Seguimiento a fabricación")</f>
        <v>PO-620, Seguimiento a fabricación</v>
      </c>
      <c r="H1389" s="16">
        <f ca="1">IFERROR(__xludf.DUMMYFUNCTION("""COMPUTED_VALUE"""),3491245)</f>
        <v>3491245</v>
      </c>
    </row>
    <row r="1390" spans="1:8" ht="12.5">
      <c r="A1390" s="24"/>
      <c r="B1390" s="17"/>
      <c r="C1390" s="24"/>
      <c r="D1390" s="16"/>
      <c r="E1390" s="16"/>
      <c r="F1390" s="16" t="str">
        <f ca="1">IFERROR(__xludf.DUMMYFUNCTION("""COMPUTED_VALUE"""),"Transaction cost")</f>
        <v>Transaction cost</v>
      </c>
      <c r="G1390" s="16" t="str">
        <f ca="1">IFERROR(__xludf.DUMMYFUNCTION("""COMPUTED_VALUE"""),"PO-620, Seguimiento a fabricación")</f>
        <v>PO-620, Seguimiento a fabricación</v>
      </c>
      <c r="H1390" s="16">
        <f ca="1">IFERROR(__xludf.DUMMYFUNCTION("""COMPUTED_VALUE"""),3491251)</f>
        <v>3491251</v>
      </c>
    </row>
    <row r="1391" spans="1:8" ht="12.5">
      <c r="A1391" s="24"/>
      <c r="B1391" s="17"/>
      <c r="C1391" s="24"/>
      <c r="D1391" s="16"/>
      <c r="E1391" s="16"/>
      <c r="F1391" s="16" t="str">
        <f ca="1">IFERROR(__xludf.DUMMYFUNCTION("""COMPUTED_VALUE"""),"Transaction cost")</f>
        <v>Transaction cost</v>
      </c>
      <c r="G1391" s="16" t="str">
        <f ca="1">IFERROR(__xludf.DUMMYFUNCTION("""COMPUTED_VALUE"""),"PO-620, Seguimiento a fabricación")</f>
        <v>PO-620, Seguimiento a fabricación</v>
      </c>
      <c r="H1391" s="16" t="str">
        <f ca="1">IFERROR(__xludf.DUMMYFUNCTION("""COMPUTED_VALUE"""),"CLI46235390")</f>
        <v>CLI46235390</v>
      </c>
    </row>
    <row r="1392" spans="1:8" ht="12.5">
      <c r="A1392" s="24"/>
      <c r="B1392" s="17"/>
      <c r="C1392" s="24"/>
      <c r="D1392" s="16"/>
      <c r="E1392" s="16"/>
      <c r="F1392" s="16" t="str">
        <f ca="1">IFERROR(__xludf.DUMMYFUNCTION("""COMPUTED_VALUE"""),"Transaction cost")</f>
        <v>Transaction cost</v>
      </c>
      <c r="G1392" s="16" t="str">
        <f ca="1">IFERROR(__xludf.DUMMYFUNCTION("""COMPUTED_VALUE"""),"PO-620, Seguimiento a fabricación")</f>
        <v>PO-620, Seguimiento a fabricación</v>
      </c>
      <c r="H1392" s="16">
        <f ca="1">IFERROR(__xludf.DUMMYFUNCTION("""COMPUTED_VALUE"""),3526058)</f>
        <v>3526058</v>
      </c>
    </row>
    <row r="1393" spans="1:8" ht="12.5">
      <c r="A1393" s="24"/>
      <c r="B1393" s="17"/>
      <c r="C1393" s="24"/>
      <c r="D1393" s="16"/>
      <c r="E1393" s="16"/>
      <c r="F1393" s="16" t="str">
        <f ca="1">IFERROR(__xludf.DUMMYFUNCTION("""COMPUTED_VALUE"""),"Transaction cost")</f>
        <v>Transaction cost</v>
      </c>
      <c r="G1393" s="16" t="str">
        <f ca="1">IFERROR(__xludf.DUMMYFUNCTION("""COMPUTED_VALUE"""),"PO-620, Seguimiento a fabricación")</f>
        <v>PO-620, Seguimiento a fabricación</v>
      </c>
      <c r="H1393" s="16">
        <f ca="1">IFERROR(__xludf.DUMMYFUNCTION("""COMPUTED_VALUE"""),3523653)</f>
        <v>3523653</v>
      </c>
    </row>
    <row r="1394" spans="1:8" ht="12.5">
      <c r="A1394" s="24"/>
      <c r="B1394" s="17"/>
      <c r="C1394" s="24"/>
      <c r="D1394" s="16"/>
      <c r="E1394" s="16"/>
      <c r="F1394" s="16" t="str">
        <f ca="1">IFERROR(__xludf.DUMMYFUNCTION("""COMPUTED_VALUE"""),"Transaction cost")</f>
        <v>Transaction cost</v>
      </c>
      <c r="G1394" s="16" t="str">
        <f ca="1">IFERROR(__xludf.DUMMYFUNCTION("""COMPUTED_VALUE"""),"PO-620, Seguimiento a fabricación")</f>
        <v>PO-620, Seguimiento a fabricación</v>
      </c>
      <c r="H1394" s="16">
        <f ca="1">IFERROR(__xludf.DUMMYFUNCTION("""COMPUTED_VALUE"""),3523649)</f>
        <v>3523649</v>
      </c>
    </row>
    <row r="1395" spans="1:8" ht="12.5">
      <c r="A1395" s="24"/>
      <c r="B1395" s="17"/>
      <c r="C1395" s="24"/>
      <c r="D1395" s="16"/>
      <c r="E1395" s="16"/>
      <c r="F1395" s="16" t="str">
        <f ca="1">IFERROR(__xludf.DUMMYFUNCTION("""COMPUTED_VALUE"""),"Transaction cost")</f>
        <v>Transaction cost</v>
      </c>
      <c r="G1395" s="16" t="str">
        <f ca="1">IFERROR(__xludf.DUMMYFUNCTION("""COMPUTED_VALUE"""),"PO-620, Seguimiento a fabricación")</f>
        <v>PO-620, Seguimiento a fabricación</v>
      </c>
      <c r="H1395" s="16"/>
    </row>
    <row r="1396" spans="1:8" ht="12.5">
      <c r="A1396" s="24"/>
      <c r="B1396" s="17"/>
      <c r="C1396" s="24"/>
      <c r="D1396" s="16"/>
      <c r="E1396" s="16"/>
      <c r="F1396" s="16"/>
      <c r="G1396" s="16"/>
      <c r="H1396" s="16" t="str">
        <f ca="1">IFERROR(__xludf.DUMMYFUNCTION("""COMPUTED_VALUE"""),".")</f>
        <v>.</v>
      </c>
    </row>
    <row r="1397" spans="1:8" ht="12.5">
      <c r="A1397" s="24"/>
      <c r="B1397" s="17"/>
      <c r="C1397" s="24"/>
      <c r="D1397" s="16"/>
      <c r="E1397" s="16"/>
      <c r="F1397" s="16"/>
      <c r="G1397" s="16"/>
      <c r="H1397" s="16" t="str">
        <f ca="1">IFERROR(__xludf.DUMMYFUNCTION("""COMPUTED_VALUE"""),".")</f>
        <v>.</v>
      </c>
    </row>
    <row r="1398" spans="1:8" ht="12.5">
      <c r="A1398" s="24"/>
      <c r="B1398" s="17"/>
      <c r="C1398" s="24"/>
      <c r="D1398" s="16"/>
      <c r="E1398" s="16"/>
      <c r="F1398" s="16"/>
      <c r="G1398" s="16"/>
      <c r="H1398" s="16" t="str">
        <f ca="1">IFERROR(__xludf.DUMMYFUNCTION("""COMPUTED_VALUE"""),".")</f>
        <v>.</v>
      </c>
    </row>
    <row r="1399" spans="1:8" ht="12.5">
      <c r="A1399" s="24"/>
      <c r="B1399" s="17"/>
      <c r="C1399" s="24"/>
      <c r="D1399" s="16"/>
      <c r="E1399" s="16"/>
      <c r="F1399" s="16"/>
      <c r="G1399" s="16"/>
      <c r="H1399" s="16" t="str">
        <f ca="1">IFERROR(__xludf.DUMMYFUNCTION("""COMPUTED_VALUE"""),".")</f>
        <v>.</v>
      </c>
    </row>
    <row r="1400" spans="1:8" ht="12.5">
      <c r="A1400" s="24"/>
      <c r="B1400" s="17"/>
      <c r="C1400" s="24"/>
      <c r="D1400" s="16"/>
      <c r="E1400" s="16"/>
      <c r="F1400" s="16"/>
      <c r="G1400" s="16"/>
      <c r="H1400" s="16" t="str">
        <f ca="1">IFERROR(__xludf.DUMMYFUNCTION("""COMPUTED_VALUE"""),".")</f>
        <v>.</v>
      </c>
    </row>
    <row r="1401" spans="1:8" ht="12.5">
      <c r="A1401" s="24"/>
      <c r="B1401" s="17"/>
      <c r="C1401" s="24"/>
      <c r="D1401" s="16"/>
      <c r="E1401" s="16"/>
      <c r="F1401" s="16"/>
      <c r="G1401" s="16"/>
      <c r="H1401" s="16" t="str">
        <f ca="1">IFERROR(__xludf.DUMMYFUNCTION("""COMPUTED_VALUE"""),".")</f>
        <v>.</v>
      </c>
    </row>
    <row r="1402" spans="1:8" ht="12.5">
      <c r="A1402" s="24"/>
      <c r="B1402" s="17"/>
      <c r="C1402" s="24"/>
      <c r="D1402" s="16"/>
      <c r="E1402" s="16"/>
      <c r="F1402" s="16"/>
      <c r="G1402" s="16"/>
      <c r="H1402" s="16" t="str">
        <f ca="1">IFERROR(__xludf.DUMMYFUNCTION("""COMPUTED_VALUE"""),".")</f>
        <v>.</v>
      </c>
    </row>
    <row r="1403" spans="1:8" ht="12.5">
      <c r="A1403" s="24"/>
      <c r="B1403" s="17"/>
      <c r="C1403" s="24"/>
      <c r="D1403" s="16"/>
      <c r="E1403" s="16"/>
      <c r="F1403" s="16"/>
      <c r="G1403" s="16"/>
      <c r="H1403" s="16" t="str">
        <f ca="1">IFERROR(__xludf.DUMMYFUNCTION("""COMPUTED_VALUE"""),".")</f>
        <v>.</v>
      </c>
    </row>
    <row r="1404" spans="1:8" ht="12.5">
      <c r="A1404" s="24"/>
      <c r="B1404" s="17"/>
      <c r="C1404" s="24"/>
      <c r="D1404" s="16"/>
      <c r="E1404" s="16"/>
      <c r="F1404" s="16"/>
      <c r="G1404" s="16"/>
      <c r="H1404" s="16" t="str">
        <f ca="1">IFERROR(__xludf.DUMMYFUNCTION("""COMPUTED_VALUE"""),".")</f>
        <v>.</v>
      </c>
    </row>
    <row r="1405" spans="1:8" ht="12.5">
      <c r="A1405" s="24"/>
      <c r="B1405" s="17"/>
      <c r="C1405" s="24"/>
      <c r="D1405" s="16"/>
      <c r="E1405" s="16"/>
      <c r="F1405" s="16"/>
      <c r="G1405" s="16"/>
      <c r="H1405" s="16" t="str">
        <f ca="1">IFERROR(__xludf.DUMMYFUNCTION("""COMPUTED_VALUE"""),".")</f>
        <v>.</v>
      </c>
    </row>
    <row r="1406" spans="1:8" ht="12.5">
      <c r="A1406" s="24"/>
      <c r="B1406" s="17"/>
      <c r="C1406" s="24"/>
      <c r="D1406" s="16"/>
      <c r="E1406" s="16"/>
      <c r="F1406" s="16"/>
      <c r="G1406" s="16"/>
      <c r="H1406" s="16" t="str">
        <f ca="1">IFERROR(__xludf.DUMMYFUNCTION("""COMPUTED_VALUE"""),".")</f>
        <v>.</v>
      </c>
    </row>
    <row r="1407" spans="1:8" ht="12.5">
      <c r="A1407" s="24"/>
      <c r="B1407" s="17"/>
      <c r="C1407" s="24"/>
      <c r="D1407" s="16"/>
      <c r="E1407" s="16"/>
      <c r="F1407" s="16"/>
      <c r="G1407" s="16"/>
      <c r="H1407" s="16" t="str">
        <f ca="1">IFERROR(__xludf.DUMMYFUNCTION("""COMPUTED_VALUE"""),".")</f>
        <v>.</v>
      </c>
    </row>
    <row r="1408" spans="1:8" ht="12.5">
      <c r="A1408" s="24"/>
      <c r="B1408" s="17"/>
      <c r="C1408" s="24"/>
      <c r="D1408" s="16"/>
      <c r="E1408" s="16"/>
      <c r="F1408" s="16"/>
      <c r="G1408" s="16"/>
      <c r="H1408" s="16" t="str">
        <f ca="1">IFERROR(__xludf.DUMMYFUNCTION("""COMPUTED_VALUE"""),".")</f>
        <v>.</v>
      </c>
    </row>
    <row r="1409" spans="1:8" ht="12.5">
      <c r="A1409" s="24"/>
      <c r="B1409" s="17"/>
      <c r="C1409" s="24"/>
      <c r="D1409" s="16"/>
      <c r="E1409" s="16"/>
      <c r="F1409" s="16"/>
      <c r="G1409" s="16"/>
      <c r="H1409" s="16" t="str">
        <f ca="1">IFERROR(__xludf.DUMMYFUNCTION("""COMPUTED_VALUE"""),".")</f>
        <v>.</v>
      </c>
    </row>
    <row r="1410" spans="1:8" ht="12.5">
      <c r="A1410" s="24"/>
      <c r="B1410" s="17"/>
      <c r="C1410" s="24"/>
      <c r="D1410" s="16"/>
      <c r="E1410" s="16"/>
      <c r="F1410" s="16"/>
      <c r="G1410" s="16"/>
      <c r="H1410" s="16" t="str">
        <f ca="1">IFERROR(__xludf.DUMMYFUNCTION("""COMPUTED_VALUE"""),".")</f>
        <v>.</v>
      </c>
    </row>
    <row r="1411" spans="1:8" ht="12.5">
      <c r="A1411" s="24"/>
      <c r="B1411" s="17"/>
      <c r="C1411" s="24"/>
      <c r="D1411" s="16"/>
      <c r="E1411" s="16"/>
      <c r="F1411" s="16"/>
      <c r="G1411" s="16"/>
      <c r="H1411" s="16" t="str">
        <f ca="1">IFERROR(__xludf.DUMMYFUNCTION("""COMPUTED_VALUE"""),".")</f>
        <v>.</v>
      </c>
    </row>
    <row r="1412" spans="1:8" ht="12.5">
      <c r="A1412" s="24"/>
      <c r="B1412" s="17"/>
      <c r="C1412" s="24"/>
      <c r="D1412" s="16"/>
      <c r="E1412" s="16"/>
      <c r="F1412" s="16"/>
      <c r="G1412" s="16"/>
      <c r="H1412" s="16" t="str">
        <f ca="1">IFERROR(__xludf.DUMMYFUNCTION("""COMPUTED_VALUE"""),".")</f>
        <v>.</v>
      </c>
    </row>
    <row r="1413" spans="1:8" ht="12.5">
      <c r="A1413" s="24"/>
      <c r="B1413" s="17"/>
      <c r="C1413" s="24"/>
      <c r="D1413" s="16"/>
      <c r="E1413" s="16"/>
      <c r="F1413" s="16"/>
      <c r="G1413" s="16"/>
      <c r="H1413" s="16" t="str">
        <f ca="1">IFERROR(__xludf.DUMMYFUNCTION("""COMPUTED_VALUE"""),".")</f>
        <v>.</v>
      </c>
    </row>
    <row r="1414" spans="1:8" ht="12.5">
      <c r="A1414" s="24"/>
      <c r="B1414" s="17"/>
      <c r="C1414" s="24"/>
      <c r="D1414" s="16"/>
      <c r="E1414" s="16"/>
      <c r="F1414" s="16"/>
      <c r="G1414" s="16"/>
      <c r="H1414" s="16" t="str">
        <f ca="1">IFERROR(__xludf.DUMMYFUNCTION("""COMPUTED_VALUE"""),".")</f>
        <v>.</v>
      </c>
    </row>
    <row r="1415" spans="1:8" ht="12.5">
      <c r="A1415" s="24"/>
      <c r="B1415" s="17"/>
      <c r="C1415" s="24"/>
      <c r="D1415" s="16"/>
      <c r="E1415" s="16"/>
      <c r="F1415" s="16"/>
      <c r="G1415" s="16"/>
      <c r="H1415" s="16" t="str">
        <f ca="1">IFERROR(__xludf.DUMMYFUNCTION("""COMPUTED_VALUE"""),".")</f>
        <v>.</v>
      </c>
    </row>
    <row r="1416" spans="1:8" ht="12.5">
      <c r="A1416" s="24"/>
      <c r="B1416" s="17"/>
      <c r="C1416" s="24"/>
      <c r="D1416" s="16"/>
      <c r="E1416" s="16"/>
      <c r="F1416" s="16"/>
      <c r="G1416" s="16"/>
      <c r="H1416" s="16" t="str">
        <f ca="1">IFERROR(__xludf.DUMMYFUNCTION("""COMPUTED_VALUE"""),".")</f>
        <v>.</v>
      </c>
    </row>
    <row r="1417" spans="1:8" ht="12.5">
      <c r="A1417" s="24"/>
      <c r="B1417" s="17"/>
      <c r="C1417" s="24"/>
      <c r="D1417" s="16"/>
      <c r="E1417" s="16"/>
      <c r="F1417" s="16"/>
      <c r="G1417" s="16"/>
      <c r="H1417" s="16" t="str">
        <f ca="1">IFERROR(__xludf.DUMMYFUNCTION("""COMPUTED_VALUE"""),".")</f>
        <v>.</v>
      </c>
    </row>
    <row r="1418" spans="1:8" ht="12.5">
      <c r="A1418" s="24"/>
      <c r="B1418" s="17"/>
      <c r="C1418" s="24"/>
      <c r="D1418" s="16"/>
      <c r="E1418" s="16"/>
      <c r="F1418" s="16"/>
      <c r="G1418" s="16"/>
      <c r="H1418" s="16" t="str">
        <f ca="1">IFERROR(__xludf.DUMMYFUNCTION("""COMPUTED_VALUE"""),".")</f>
        <v>.</v>
      </c>
    </row>
    <row r="1419" spans="1:8" ht="12.5">
      <c r="A1419" s="24"/>
      <c r="B1419" s="17"/>
      <c r="C1419" s="24"/>
      <c r="D1419" s="16"/>
      <c r="E1419" s="16"/>
      <c r="F1419" s="16"/>
      <c r="G1419" s="16"/>
      <c r="H1419" s="16" t="str">
        <f ca="1">IFERROR(__xludf.DUMMYFUNCTION("""COMPUTED_VALUE"""),".")</f>
        <v>.</v>
      </c>
    </row>
    <row r="1420" spans="1:8" ht="12.5">
      <c r="A1420" s="24"/>
      <c r="B1420" s="17"/>
      <c r="C1420" s="24"/>
      <c r="D1420" s="16"/>
      <c r="E1420" s="16"/>
      <c r="F1420" s="16"/>
      <c r="G1420" s="16"/>
      <c r="H1420" s="16" t="str">
        <f ca="1">IFERROR(__xludf.DUMMYFUNCTION("""COMPUTED_VALUE"""),".")</f>
        <v>.</v>
      </c>
    </row>
    <row r="1421" spans="1:8" ht="12.5">
      <c r="A1421" s="24"/>
      <c r="B1421" s="17"/>
      <c r="C1421" s="24"/>
      <c r="D1421" s="16"/>
      <c r="E1421" s="16"/>
      <c r="F1421" s="16"/>
      <c r="G1421" s="16"/>
      <c r="H1421" s="16" t="str">
        <f ca="1">IFERROR(__xludf.DUMMYFUNCTION("""COMPUTED_VALUE"""),".")</f>
        <v>.</v>
      </c>
    </row>
    <row r="1422" spans="1:8" ht="12.5">
      <c r="A1422" s="24"/>
      <c r="B1422" s="17"/>
      <c r="C1422" s="24"/>
      <c r="D1422" s="16"/>
      <c r="E1422" s="16"/>
      <c r="F1422" s="16"/>
      <c r="G1422" s="16"/>
      <c r="H1422" s="16" t="str">
        <f ca="1">IFERROR(__xludf.DUMMYFUNCTION("""COMPUTED_VALUE"""),".")</f>
        <v>.</v>
      </c>
    </row>
    <row r="1423" spans="1:8" ht="12.5">
      <c r="A1423" s="24"/>
      <c r="B1423" s="17"/>
      <c r="C1423" s="24"/>
      <c r="D1423" s="16"/>
      <c r="E1423" s="16"/>
      <c r="F1423" s="16"/>
      <c r="G1423" s="16"/>
      <c r="H1423" s="16" t="str">
        <f ca="1">IFERROR(__xludf.DUMMYFUNCTION("""COMPUTED_VALUE"""),".")</f>
        <v>.</v>
      </c>
    </row>
    <row r="1424" spans="1:8" ht="12.5">
      <c r="A1424" s="24"/>
      <c r="B1424" s="17"/>
      <c r="C1424" s="24"/>
      <c r="D1424" s="16"/>
      <c r="E1424" s="16"/>
      <c r="F1424" s="16"/>
      <c r="G1424" s="16"/>
      <c r="H1424" s="16" t="str">
        <f ca="1">IFERROR(__xludf.DUMMYFUNCTION("""COMPUTED_VALUE"""),".")</f>
        <v>.</v>
      </c>
    </row>
    <row r="1425" spans="1:8" ht="12.5">
      <c r="A1425" s="24"/>
      <c r="B1425" s="17"/>
      <c r="C1425" s="24"/>
      <c r="D1425" s="16"/>
      <c r="E1425" s="16"/>
      <c r="F1425" s="16"/>
      <c r="G1425" s="16"/>
      <c r="H1425" s="16" t="str">
        <f ca="1">IFERROR(__xludf.DUMMYFUNCTION("""COMPUTED_VALUE"""),".")</f>
        <v>.</v>
      </c>
    </row>
    <row r="1426" spans="1:8" ht="12.5">
      <c r="A1426" s="24"/>
      <c r="B1426" s="17"/>
      <c r="C1426" s="24"/>
      <c r="D1426" s="16"/>
      <c r="E1426" s="16"/>
      <c r="F1426" s="16"/>
      <c r="G1426" s="16"/>
      <c r="H1426" s="16" t="str">
        <f ca="1">IFERROR(__xludf.DUMMYFUNCTION("""COMPUTED_VALUE"""),".")</f>
        <v>.</v>
      </c>
    </row>
    <row r="1427" spans="1:8" ht="12.5">
      <c r="A1427" s="24"/>
      <c r="B1427" s="17"/>
      <c r="C1427" s="24"/>
      <c r="D1427" s="16"/>
      <c r="E1427" s="16"/>
      <c r="F1427" s="16"/>
      <c r="G1427" s="16"/>
      <c r="H1427" s="16" t="str">
        <f ca="1">IFERROR(__xludf.DUMMYFUNCTION("""COMPUTED_VALUE"""),".")</f>
        <v>.</v>
      </c>
    </row>
    <row r="1428" spans="1:8" ht="12.5">
      <c r="A1428" s="24"/>
      <c r="B1428" s="17"/>
      <c r="C1428" s="24"/>
      <c r="D1428" s="16"/>
      <c r="E1428" s="16"/>
      <c r="F1428" s="16"/>
      <c r="G1428" s="16"/>
      <c r="H1428" s="16" t="str">
        <f ca="1">IFERROR(__xludf.DUMMYFUNCTION("""COMPUTED_VALUE"""),".")</f>
        <v>.</v>
      </c>
    </row>
    <row r="1429" spans="1:8" ht="12.5">
      <c r="A1429" s="24"/>
      <c r="B1429" s="17"/>
      <c r="C1429" s="24"/>
      <c r="D1429" s="16"/>
      <c r="E1429" s="16"/>
      <c r="F1429" s="16"/>
      <c r="G1429" s="16"/>
      <c r="H1429" s="16" t="str">
        <f ca="1">IFERROR(__xludf.DUMMYFUNCTION("""COMPUTED_VALUE"""),".")</f>
        <v>.</v>
      </c>
    </row>
    <row r="1430" spans="1:8" ht="12.5">
      <c r="A1430" s="24"/>
      <c r="B1430" s="17"/>
      <c r="C1430" s="24"/>
      <c r="D1430" s="16"/>
      <c r="E1430" s="16"/>
      <c r="F1430" s="16"/>
      <c r="G1430" s="16"/>
      <c r="H1430" s="16" t="str">
        <f ca="1">IFERROR(__xludf.DUMMYFUNCTION("""COMPUTED_VALUE"""),".")</f>
        <v>.</v>
      </c>
    </row>
    <row r="1431" spans="1:8" ht="12.5">
      <c r="A1431" s="24"/>
      <c r="B1431" s="17"/>
      <c r="C1431" s="24"/>
      <c r="D1431" s="16"/>
      <c r="E1431" s="16"/>
      <c r="F1431" s="16"/>
      <c r="G1431" s="16"/>
      <c r="H1431" s="16" t="str">
        <f ca="1">IFERROR(__xludf.DUMMYFUNCTION("""COMPUTED_VALUE"""),".")</f>
        <v>.</v>
      </c>
    </row>
    <row r="1432" spans="1:8" ht="12.5">
      <c r="A1432" s="24"/>
      <c r="B1432" s="17"/>
      <c r="C1432" s="24"/>
      <c r="D1432" s="16"/>
      <c r="E1432" s="16"/>
      <c r="F1432" s="16"/>
      <c r="G1432" s="16"/>
      <c r="H1432" s="16" t="str">
        <f ca="1">IFERROR(__xludf.DUMMYFUNCTION("""COMPUTED_VALUE"""),".")</f>
        <v>.</v>
      </c>
    </row>
    <row r="1433" spans="1:8" ht="12.5">
      <c r="A1433" s="24"/>
      <c r="B1433" s="17"/>
      <c r="C1433" s="24"/>
      <c r="D1433" s="16"/>
      <c r="E1433" s="16"/>
      <c r="F1433" s="16"/>
      <c r="G1433" s="16"/>
      <c r="H1433" s="16" t="str">
        <f ca="1">IFERROR(__xludf.DUMMYFUNCTION("""COMPUTED_VALUE"""),".")</f>
        <v>.</v>
      </c>
    </row>
    <row r="1434" spans="1:8" ht="12.5">
      <c r="A1434" s="24"/>
      <c r="B1434" s="17"/>
      <c r="C1434" s="24"/>
      <c r="D1434" s="16"/>
      <c r="E1434" s="16"/>
      <c r="F1434" s="16"/>
      <c r="G1434" s="16"/>
      <c r="H1434" s="16" t="str">
        <f ca="1">IFERROR(__xludf.DUMMYFUNCTION("""COMPUTED_VALUE"""),".")</f>
        <v>.</v>
      </c>
    </row>
    <row r="1435" spans="1:8" ht="12.5">
      <c r="A1435" s="24"/>
      <c r="B1435" s="17"/>
      <c r="C1435" s="24"/>
      <c r="D1435" s="16"/>
      <c r="E1435" s="16"/>
      <c r="F1435" s="16"/>
      <c r="G1435" s="16"/>
      <c r="H1435" s="16" t="str">
        <f ca="1">IFERROR(__xludf.DUMMYFUNCTION("""COMPUTED_VALUE"""),".")</f>
        <v>.</v>
      </c>
    </row>
    <row r="1436" spans="1:8" ht="12.5">
      <c r="A1436" s="24"/>
      <c r="B1436" s="17"/>
      <c r="C1436" s="24"/>
      <c r="D1436" s="16"/>
      <c r="E1436" s="16"/>
      <c r="F1436" s="16"/>
      <c r="G1436" s="16"/>
      <c r="H1436" s="16" t="str">
        <f ca="1">IFERROR(__xludf.DUMMYFUNCTION("""COMPUTED_VALUE"""),".")</f>
        <v>.</v>
      </c>
    </row>
    <row r="1437" spans="1:8" ht="12.5">
      <c r="A1437" s="24"/>
      <c r="B1437" s="17"/>
      <c r="C1437" s="24"/>
      <c r="D1437" s="16"/>
      <c r="E1437" s="16"/>
      <c r="F1437" s="16"/>
      <c r="G1437" s="16"/>
      <c r="H1437" s="16" t="str">
        <f ca="1">IFERROR(__xludf.DUMMYFUNCTION("""COMPUTED_VALUE"""),".")</f>
        <v>.</v>
      </c>
    </row>
    <row r="1438" spans="1:8" ht="12.5">
      <c r="A1438" s="24"/>
      <c r="B1438" s="17"/>
      <c r="C1438" s="24"/>
      <c r="D1438" s="16"/>
      <c r="E1438" s="16"/>
      <c r="F1438" s="16"/>
      <c r="G1438" s="16"/>
      <c r="H1438" s="16" t="str">
        <f ca="1">IFERROR(__xludf.DUMMYFUNCTION("""COMPUTED_VALUE"""),".")</f>
        <v>.</v>
      </c>
    </row>
    <row r="1439" spans="1:8" ht="12.5">
      <c r="A1439" s="24"/>
      <c r="B1439" s="17"/>
      <c r="C1439" s="24"/>
      <c r="D1439" s="16"/>
      <c r="E1439" s="16"/>
      <c r="F1439" s="16"/>
      <c r="G1439" s="16"/>
      <c r="H1439" s="16" t="str">
        <f ca="1">IFERROR(__xludf.DUMMYFUNCTION("""COMPUTED_VALUE"""),".")</f>
        <v>.</v>
      </c>
    </row>
    <row r="1440" spans="1:8" ht="12.5">
      <c r="A1440" s="24"/>
      <c r="B1440" s="17"/>
      <c r="C1440" s="24"/>
      <c r="D1440" s="16"/>
      <c r="E1440" s="16"/>
      <c r="F1440" s="16"/>
      <c r="G1440" s="16"/>
      <c r="H1440" s="16" t="str">
        <f ca="1">IFERROR(__xludf.DUMMYFUNCTION("""COMPUTED_VALUE"""),".")</f>
        <v>.</v>
      </c>
    </row>
    <row r="1441" spans="1:8" ht="12.5">
      <c r="A1441" s="24"/>
      <c r="B1441" s="17"/>
      <c r="C1441" s="24"/>
      <c r="D1441" s="16"/>
      <c r="E1441" s="16"/>
      <c r="F1441" s="16"/>
      <c r="G1441" s="16"/>
      <c r="H1441" s="16" t="str">
        <f ca="1">IFERROR(__xludf.DUMMYFUNCTION("""COMPUTED_VALUE"""),".")</f>
        <v>.</v>
      </c>
    </row>
    <row r="1442" spans="1:8" ht="12.5">
      <c r="A1442" s="24"/>
      <c r="B1442" s="17"/>
      <c r="C1442" s="24"/>
      <c r="D1442" s="16"/>
      <c r="E1442" s="16"/>
      <c r="F1442" s="16"/>
      <c r="G1442" s="16"/>
      <c r="H1442" s="16" t="str">
        <f ca="1">IFERROR(__xludf.DUMMYFUNCTION("""COMPUTED_VALUE"""),".")</f>
        <v>.</v>
      </c>
    </row>
    <row r="1443" spans="1:8" ht="12.5">
      <c r="A1443" s="24"/>
      <c r="B1443" s="17"/>
      <c r="C1443" s="24"/>
      <c r="D1443" s="16"/>
      <c r="E1443" s="16"/>
      <c r="F1443" s="16"/>
      <c r="G1443" s="16"/>
      <c r="H1443" s="16" t="str">
        <f ca="1">IFERROR(__xludf.DUMMYFUNCTION("""COMPUTED_VALUE"""),".")</f>
        <v>.</v>
      </c>
    </row>
    <row r="1444" spans="1:8" ht="12.5">
      <c r="A1444" s="24"/>
      <c r="B1444" s="17"/>
      <c r="C1444" s="24"/>
      <c r="D1444" s="16"/>
      <c r="E1444" s="16"/>
      <c r="F1444" s="16"/>
      <c r="G1444" s="16"/>
      <c r="H1444" s="16"/>
    </row>
    <row r="1445" spans="1:8" ht="12.5">
      <c r="A1445" s="24"/>
      <c r="B1445" s="17"/>
      <c r="C1445" s="24"/>
      <c r="D1445" s="16"/>
      <c r="E1445" s="16"/>
      <c r="F1445" s="16"/>
      <c r="G1445" s="16"/>
      <c r="H1445" s="16"/>
    </row>
    <row r="1446" spans="1:8" ht="12.5">
      <c r="A1446" s="24"/>
      <c r="B1446" s="17"/>
      <c r="C1446" s="24"/>
      <c r="D1446" s="16"/>
      <c r="E1446" s="16"/>
      <c r="F1446" s="16"/>
      <c r="G1446" s="16"/>
      <c r="H1446" s="16"/>
    </row>
    <row r="1447" spans="1:8" ht="12.5">
      <c r="A1447" s="24"/>
      <c r="B1447" s="17"/>
      <c r="C1447" s="24"/>
      <c r="D1447" s="16"/>
      <c r="E1447" s="16"/>
      <c r="F1447" s="16"/>
      <c r="G1447" s="16"/>
      <c r="H1447" s="16"/>
    </row>
    <row r="1448" spans="1:8" ht="12.5">
      <c r="A1448" s="24"/>
      <c r="B1448" s="17"/>
      <c r="C1448" s="24"/>
      <c r="D1448" s="16"/>
      <c r="E1448" s="16"/>
      <c r="F1448" s="16"/>
      <c r="G1448" s="16"/>
      <c r="H1448" s="16"/>
    </row>
    <row r="1449" spans="1:8" ht="12.5">
      <c r="A1449" s="24"/>
      <c r="B1449" s="17"/>
      <c r="C1449" s="24"/>
      <c r="D1449" s="16"/>
      <c r="E1449" s="16"/>
      <c r="F1449" s="16"/>
      <c r="G1449" s="16"/>
      <c r="H1449" s="16"/>
    </row>
    <row r="1450" spans="1:8" ht="12.5">
      <c r="A1450" s="24"/>
      <c r="B1450" s="17"/>
      <c r="C1450" s="24"/>
      <c r="D1450" s="16"/>
      <c r="E1450" s="16"/>
      <c r="F1450" s="16"/>
      <c r="G1450" s="16"/>
      <c r="H1450" s="16"/>
    </row>
    <row r="1451" spans="1:8" ht="12.5">
      <c r="A1451" s="24"/>
      <c r="B1451" s="17"/>
      <c r="C1451" s="24"/>
      <c r="D1451" s="16"/>
      <c r="E1451" s="16"/>
      <c r="F1451" s="16"/>
      <c r="G1451" s="16"/>
      <c r="H1451" s="16"/>
    </row>
    <row r="1452" spans="1:8" ht="12.5">
      <c r="A1452" s="24"/>
      <c r="B1452" s="17"/>
      <c r="C1452" s="24"/>
      <c r="D1452" s="16"/>
      <c r="E1452" s="16"/>
      <c r="F1452" s="16"/>
      <c r="G1452" s="16"/>
      <c r="H1452" s="16"/>
    </row>
    <row r="1453" spans="1:8" ht="12.5">
      <c r="A1453" s="24"/>
      <c r="B1453" s="17"/>
      <c r="C1453" s="24"/>
      <c r="D1453" s="16"/>
      <c r="E1453" s="16"/>
      <c r="F1453" s="16"/>
      <c r="G1453" s="16"/>
      <c r="H1453" s="16"/>
    </row>
    <row r="1454" spans="1:8" ht="12.5">
      <c r="A1454" s="24"/>
      <c r="B1454" s="17"/>
      <c r="C1454" s="24"/>
      <c r="D1454" s="16"/>
      <c r="E1454" s="16"/>
      <c r="F1454" s="16"/>
      <c r="G1454" s="16"/>
      <c r="H1454" s="16"/>
    </row>
    <row r="1455" spans="1:8" ht="12.5">
      <c r="A1455" s="24"/>
      <c r="B1455" s="17"/>
      <c r="C1455" s="24"/>
      <c r="D1455" s="16"/>
      <c r="E1455" s="16"/>
      <c r="F1455" s="16"/>
      <c r="G1455" s="16"/>
      <c r="H1455" s="16"/>
    </row>
    <row r="1456" spans="1:8" ht="12.5">
      <c r="A1456" s="24"/>
      <c r="B1456" s="17"/>
      <c r="C1456" s="24"/>
      <c r="D1456" s="16"/>
      <c r="E1456" s="16"/>
      <c r="F1456" s="16"/>
      <c r="G1456" s="16"/>
      <c r="H1456" s="16"/>
    </row>
    <row r="1457" spans="1:8" ht="12.5">
      <c r="A1457" s="24"/>
      <c r="B1457" s="17"/>
      <c r="C1457" s="24"/>
      <c r="D1457" s="16"/>
      <c r="E1457" s="16"/>
      <c r="F1457" s="16"/>
      <c r="G1457" s="16"/>
      <c r="H1457" s="16"/>
    </row>
    <row r="1458" spans="1:8" ht="12.5">
      <c r="A1458" s="24"/>
      <c r="B1458" s="17"/>
      <c r="C1458" s="24"/>
      <c r="D1458" s="16"/>
      <c r="E1458" s="16"/>
      <c r="F1458" s="16"/>
      <c r="G1458" s="16"/>
      <c r="H1458" s="16"/>
    </row>
    <row r="1459" spans="1:8" ht="12.5">
      <c r="A1459" s="24"/>
      <c r="B1459" s="17"/>
      <c r="C1459" s="24"/>
      <c r="D1459" s="16"/>
      <c r="E1459" s="16"/>
      <c r="F1459" s="16"/>
      <c r="G1459" s="16"/>
      <c r="H1459" s="16"/>
    </row>
    <row r="1460" spans="1:8" ht="12.5">
      <c r="A1460" s="24"/>
      <c r="B1460" s="17"/>
      <c r="C1460" s="24"/>
      <c r="D1460" s="16"/>
      <c r="E1460" s="16"/>
      <c r="F1460" s="16"/>
      <c r="G1460" s="16"/>
      <c r="H1460" s="16"/>
    </row>
    <row r="1461" spans="1:8" ht="12.5">
      <c r="A1461" s="24"/>
      <c r="B1461" s="17"/>
      <c r="C1461" s="24"/>
      <c r="D1461" s="16"/>
      <c r="E1461" s="16"/>
      <c r="F1461" s="16"/>
      <c r="G1461" s="16"/>
      <c r="H1461" s="16"/>
    </row>
    <row r="1462" spans="1:8" ht="12.5">
      <c r="A1462" s="24"/>
      <c r="B1462" s="17"/>
      <c r="C1462" s="24"/>
      <c r="D1462" s="16"/>
      <c r="E1462" s="16"/>
      <c r="F1462" s="16"/>
      <c r="G1462" s="16"/>
      <c r="H1462" s="16"/>
    </row>
    <row r="1463" spans="1:8" ht="12.5">
      <c r="A1463" s="24"/>
      <c r="B1463" s="17"/>
      <c r="C1463" s="24"/>
      <c r="D1463" s="16"/>
      <c r="E1463" s="16"/>
      <c r="F1463" s="16"/>
      <c r="G1463" s="16"/>
      <c r="H1463" s="16"/>
    </row>
    <row r="1464" spans="1:8" ht="12.5">
      <c r="A1464" s="24"/>
      <c r="B1464" s="17"/>
      <c r="C1464" s="24"/>
      <c r="D1464" s="16"/>
      <c r="E1464" s="16"/>
      <c r="F1464" s="16"/>
      <c r="G1464" s="16"/>
      <c r="H1464" s="16"/>
    </row>
    <row r="1465" spans="1:8" ht="12.5">
      <c r="A1465" s="24"/>
      <c r="B1465" s="17"/>
      <c r="C1465" s="24"/>
      <c r="D1465" s="16"/>
      <c r="E1465" s="37" t="str">
        <f ca="1">IFERROR(__xludf.DUMMYFUNCTION("IMPORTRANGE(""https://docs.google.com/spreadsheets/d/1HiYEa0CHbQ2RnAxopYY-_pSMNoQDWuV0wPwaTCsf29o/edit#gid=384009412"",""#19 Daniel Alejandro Castillo Rivera!A11:A80"")"),"CODI")</f>
        <v>CODI</v>
      </c>
      <c r="F1465" s="37" t="str">
        <f ca="1">IFERROR(__xludf.DUMMYFUNCTION("IMPORTRANGE(""https://docs.google.com/spreadsheets/d/1HiYEa0CHbQ2RnAxopYY-_pSMNoQDWuV0wPwaTCsf29o/edit#gid=384009412"",""#19 Daniel Alejandro Castillo Rivera!I11:K80"")"),"Expense Type")</f>
        <v>Expense Type</v>
      </c>
      <c r="G1465" s="16" t="str">
        <f ca="1">IFERROR(__xludf.DUMMYFUNCTION("""COMPUTED_VALUE"""),"DESCRIPCION DEL CARGO")</f>
        <v>DESCRIPCION DEL CARGO</v>
      </c>
      <c r="H1465" s="16" t="str">
        <f ca="1">IFERROR(__xludf.DUMMYFUNCTION("""COMPUTED_VALUE"""),"FOLIO DE FACTURA")</f>
        <v>FOLIO DE FACTURA</v>
      </c>
    </row>
    <row r="1466" spans="1:8" ht="12.5">
      <c r="A1466" s="24"/>
      <c r="B1466" s="17"/>
      <c r="C1466" s="24"/>
      <c r="D1466" s="16"/>
      <c r="E1466" s="16" t="str">
        <f ca="1">IFERROR(__xludf.DUMMYFUNCTION("""COMPUTED_VALUE"""),"TRX1259")</f>
        <v>TRX1259</v>
      </c>
      <c r="F1466" s="16" t="str">
        <f ca="1">IFERROR(__xludf.DUMMYFUNCTION("""COMPUTED_VALUE"""),"Transaction cost")</f>
        <v>Transaction cost</v>
      </c>
      <c r="G1466" s="16" t="str">
        <f ca="1">IFERROR(__xludf.DUMMYFUNCTION("""COMPUTED_VALUE"""),"PO2023 SIB 99 min")</f>
        <v>PO2023 SIB 99 min</v>
      </c>
      <c r="H1466" s="16" t="str">
        <f ca="1">IFERROR(__xludf.DUMMYFUNCTION("""COMPUTED_VALUE"""),"-")</f>
        <v>-</v>
      </c>
    </row>
    <row r="1467" spans="1:8" ht="12.5">
      <c r="A1467" s="24"/>
      <c r="B1467" s="17"/>
      <c r="C1467" s="24"/>
      <c r="D1467" s="16"/>
      <c r="E1467" s="16" t="str">
        <f ca="1">IFERROR(__xludf.DUMMYFUNCTION("""COMPUTED_VALUE"""),"TRX1255")</f>
        <v>TRX1255</v>
      </c>
      <c r="F1467" s="16" t="str">
        <f ca="1">IFERROR(__xludf.DUMMYFUNCTION("""COMPUTED_VALUE"""),"Transaction cost")</f>
        <v>Transaction cost</v>
      </c>
      <c r="G1467" s="16" t="str">
        <f ca="1">IFERROR(__xludf.DUMMYFUNCTION("""COMPUTED_VALUE"""),"PO2023 SIB 99 min")</f>
        <v>PO2023 SIB 99 min</v>
      </c>
      <c r="H1467" s="16" t="str">
        <f ca="1">IFERROR(__xludf.DUMMYFUNCTION("""COMPUTED_VALUE"""),"-")</f>
        <v>-</v>
      </c>
    </row>
    <row r="1468" spans="1:8" ht="12.5">
      <c r="A1468" s="24"/>
      <c r="B1468" s="17"/>
      <c r="C1468" s="24"/>
      <c r="D1468" s="16"/>
      <c r="E1468" s="16" t="str">
        <f ca="1">IFERROR(__xludf.DUMMYFUNCTION("""COMPUTED_VALUE"""),"TRX1214")</f>
        <v>TRX1214</v>
      </c>
      <c r="F1468" s="16" t="str">
        <f ca="1">IFERROR(__xludf.DUMMYFUNCTION("""COMPUTED_VALUE"""),"Transaction cost")</f>
        <v>Transaction cost</v>
      </c>
      <c r="G1468" s="16" t="str">
        <f ca="1">IFERROR(__xludf.DUMMYFUNCTION("""COMPUTED_VALUE"""),"PO2023 SIB 99 min")</f>
        <v>PO2023 SIB 99 min</v>
      </c>
      <c r="H1468" s="16" t="str">
        <f ca="1">IFERROR(__xludf.DUMMYFUNCTION("""COMPUTED_VALUE"""),"-")</f>
        <v>-</v>
      </c>
    </row>
    <row r="1469" spans="1:8" ht="12.5">
      <c r="A1469" s="24"/>
      <c r="B1469" s="17"/>
      <c r="C1469" s="24"/>
      <c r="D1469" s="16"/>
      <c r="E1469" s="16" t="str">
        <f ca="1">IFERROR(__xludf.DUMMYFUNCTION("""COMPUTED_VALUE"""),"TRX1248")</f>
        <v>TRX1248</v>
      </c>
      <c r="F1469" s="16" t="str">
        <f ca="1">IFERROR(__xludf.DUMMYFUNCTION("""COMPUTED_VALUE"""),"Transaction cost")</f>
        <v>Transaction cost</v>
      </c>
      <c r="G1469" s="16" t="str">
        <f ca="1">IFERROR(__xludf.DUMMYFUNCTION("""COMPUTED_VALUE"""),"PO1953  ARTEVALLEDEBRAVO")</f>
        <v>PO1953  ARTEVALLEDEBRAVO</v>
      </c>
      <c r="H1469" s="16" t="str">
        <f ca="1">IFERROR(__xludf.DUMMYFUNCTION("""COMPUTED_VALUE"""),"-")</f>
        <v>-</v>
      </c>
    </row>
    <row r="1470" spans="1:8" ht="12.5">
      <c r="A1470" s="24"/>
      <c r="B1470" s="17"/>
      <c r="C1470" s="24"/>
      <c r="D1470" s="16"/>
      <c r="E1470" s="16" t="str">
        <f ca="1">IFERROR(__xludf.DUMMYFUNCTION("""COMPUTED_VALUE"""),"TRX1279")</f>
        <v>TRX1279</v>
      </c>
      <c r="F1470" s="16" t="str">
        <f ca="1">IFERROR(__xludf.DUMMYFUNCTION("""COMPUTED_VALUE"""),"Transaction cost")</f>
        <v>Transaction cost</v>
      </c>
      <c r="G1470" s="16" t="str">
        <f ca="1">IFERROR(__xludf.DUMMYFUNCTION("""COMPUTED_VALUE"""),"PO1953  ARTEVALLEDEBRAVO")</f>
        <v>PO1953  ARTEVALLEDEBRAVO</v>
      </c>
      <c r="H1470" s="16" t="str">
        <f ca="1">IFERROR(__xludf.DUMMYFUNCTION("""COMPUTED_VALUE"""),"-")</f>
        <v>-</v>
      </c>
    </row>
    <row r="1471" spans="1:8" ht="12.5">
      <c r="A1471" s="24"/>
      <c r="B1471" s="17"/>
      <c r="C1471" s="24"/>
      <c r="D1471" s="16"/>
      <c r="E1471" s="16" t="str">
        <f ca="1">IFERROR(__xludf.DUMMYFUNCTION("""COMPUTED_VALUE"""),"TRX1471")</f>
        <v>TRX1471</v>
      </c>
      <c r="F1471" s="16" t="str">
        <f ca="1">IFERROR(__xludf.DUMMYFUNCTION("""COMPUTED_VALUE"""),"Transaction cost")</f>
        <v>Transaction cost</v>
      </c>
      <c r="G1471" s="16" t="str">
        <f ca="1">IFERROR(__xludf.DUMMYFUNCTION("""COMPUTED_VALUE"""),"PO1953  ARTEVALLEDEBRAVO")</f>
        <v>PO1953  ARTEVALLEDEBRAVO</v>
      </c>
      <c r="H1471" s="16" t="str">
        <f ca="1">IFERROR(__xludf.DUMMYFUNCTION("""COMPUTED_VALUE"""),"-")</f>
        <v>-</v>
      </c>
    </row>
    <row r="1472" spans="1:8" ht="12.5">
      <c r="A1472" s="24"/>
      <c r="B1472" s="17"/>
      <c r="C1472" s="24"/>
      <c r="D1472" s="16"/>
      <c r="E1472" s="16" t="str">
        <f ca="1">IFERROR(__xludf.DUMMYFUNCTION("""COMPUTED_VALUE"""),"TRX1016")</f>
        <v>TRX1016</v>
      </c>
      <c r="F1472" s="16" t="str">
        <f ca="1">IFERROR(__xludf.DUMMYFUNCTION("""COMPUTED_VALUE"""),"Transaction cost")</f>
        <v>Transaction cost</v>
      </c>
      <c r="G1472" s="16" t="str">
        <f ca="1">IFERROR(__xludf.DUMMYFUNCTION("""COMPUTED_VALUE"""),"PO1953  ARTEVALLEDEBRAVO")</f>
        <v>PO1953  ARTEVALLEDEBRAVO</v>
      </c>
      <c r="H1472" s="16" t="str">
        <f ca="1">IFERROR(__xludf.DUMMYFUNCTION("""COMPUTED_VALUE"""),"-")</f>
        <v>-</v>
      </c>
    </row>
    <row r="1473" spans="1:8" ht="12.5">
      <c r="A1473" s="24"/>
      <c r="B1473" s="17"/>
      <c r="C1473" s="24"/>
      <c r="D1473" s="16"/>
      <c r="E1473" s="16" t="str">
        <f ca="1">IFERROR(__xludf.DUMMYFUNCTION("""COMPUTED_VALUE"""),"TRX1354")</f>
        <v>TRX1354</v>
      </c>
      <c r="F1473" s="16" t="str">
        <f ca="1">IFERROR(__xludf.DUMMYFUNCTION("""COMPUTED_VALUE"""),"Transaction cost")</f>
        <v>Transaction cost</v>
      </c>
      <c r="G1473" s="16" t="str">
        <f ca="1">IFERROR(__xludf.DUMMYFUNCTION("""COMPUTED_VALUE"""),"PO1953  ARTEVALLEDEBRAVO")</f>
        <v>PO1953  ARTEVALLEDEBRAVO</v>
      </c>
      <c r="H1473" s="16" t="str">
        <f ca="1">IFERROR(__xludf.DUMMYFUNCTION("""COMPUTED_VALUE"""),"-")</f>
        <v>-</v>
      </c>
    </row>
    <row r="1474" spans="1:8" ht="12.5">
      <c r="A1474" s="24"/>
      <c r="B1474" s="17"/>
      <c r="C1474" s="24"/>
      <c r="D1474" s="16"/>
      <c r="E1474" s="16" t="str">
        <f ca="1">IFERROR(__xludf.DUMMYFUNCTION("""COMPUTED_VALUE"""),"TRX1900")</f>
        <v>TRX1900</v>
      </c>
      <c r="F1474" s="16" t="str">
        <f ca="1">IFERROR(__xludf.DUMMYFUNCTION("""COMPUTED_VALUE"""),"Transaction cost")</f>
        <v>Transaction cost</v>
      </c>
      <c r="G1474" s="16" t="str">
        <f ca="1">IFERROR(__xludf.DUMMYFUNCTION("""COMPUTED_VALUE"""),"PO1953  ARTEVALLEDEBRAVO")</f>
        <v>PO1953  ARTEVALLEDEBRAVO</v>
      </c>
      <c r="H1474" s="16" t="str">
        <f ca="1">IFERROR(__xludf.DUMMYFUNCTION("""COMPUTED_VALUE"""),"-")</f>
        <v>-</v>
      </c>
    </row>
    <row r="1475" spans="1:8" ht="12.5">
      <c r="A1475" s="24"/>
      <c r="B1475" s="17"/>
      <c r="C1475" s="24"/>
      <c r="D1475" s="16"/>
      <c r="E1475" s="16" t="str">
        <f ca="1">IFERROR(__xludf.DUMMYFUNCTION("""COMPUTED_VALUE"""),"TRX1567")</f>
        <v>TRX1567</v>
      </c>
      <c r="F1475" s="16" t="str">
        <f ca="1">IFERROR(__xludf.DUMMYFUNCTION("""COMPUTED_VALUE"""),"Transaction cost")</f>
        <v>Transaction cost</v>
      </c>
      <c r="G1475" s="16" t="str">
        <f ca="1">IFERROR(__xludf.DUMMYFUNCTION("""COMPUTED_VALUE"""),"PO1953  ARTEVALLEDEBRAVO")</f>
        <v>PO1953  ARTEVALLEDEBRAVO</v>
      </c>
      <c r="H1475" s="16" t="str">
        <f ca="1">IFERROR(__xludf.DUMMYFUNCTION("""COMPUTED_VALUE"""),"-")</f>
        <v>-</v>
      </c>
    </row>
    <row r="1476" spans="1:8" ht="12.5">
      <c r="A1476" s="24"/>
      <c r="B1476" s="17"/>
      <c r="C1476" s="24"/>
      <c r="D1476" s="16"/>
      <c r="E1476" s="16" t="str">
        <f ca="1">IFERROR(__xludf.DUMMYFUNCTION("""COMPUTED_VALUE"""),"TRX1784")</f>
        <v>TRX1784</v>
      </c>
      <c r="F1476" s="16" t="str">
        <f ca="1">IFERROR(__xludf.DUMMYFUNCTION("""COMPUTED_VALUE"""),"Transaction cost")</f>
        <v>Transaction cost</v>
      </c>
      <c r="G1476" s="16" t="str">
        <f ca="1">IFERROR(__xludf.DUMMYFUNCTION("""COMPUTED_VALUE"""),"PO1953  ARTEVALLEDEBRAVO")</f>
        <v>PO1953  ARTEVALLEDEBRAVO</v>
      </c>
      <c r="H1476" s="16" t="str">
        <f ca="1">IFERROR(__xludf.DUMMYFUNCTION("""COMPUTED_VALUE"""),"-")</f>
        <v>-</v>
      </c>
    </row>
    <row r="1477" spans="1:8" ht="12.5">
      <c r="A1477" s="24"/>
      <c r="B1477" s="17"/>
      <c r="C1477" s="24"/>
      <c r="D1477" s="16"/>
      <c r="E1477" s="16" t="str">
        <f ca="1">IFERROR(__xludf.DUMMYFUNCTION("""COMPUTED_VALUE"""),"TRX1966")</f>
        <v>TRX1966</v>
      </c>
      <c r="F1477" s="16" t="str">
        <f ca="1">IFERROR(__xludf.DUMMYFUNCTION("""COMPUTED_VALUE"""),"Transaction cost")</f>
        <v>Transaction cost</v>
      </c>
      <c r="G1477" s="16" t="str">
        <f ca="1">IFERROR(__xludf.DUMMYFUNCTION("""COMPUTED_VALUE"""),"PO2165 veolia UFCEB")</f>
        <v>PO2165 veolia UFCEB</v>
      </c>
      <c r="H1477" s="16" t="str">
        <f ca="1">IFERROR(__xludf.DUMMYFUNCTION("""COMPUTED_VALUE"""),"-")</f>
        <v>-</v>
      </c>
    </row>
    <row r="1478" spans="1:8" ht="12.5">
      <c r="A1478" s="24"/>
      <c r="B1478" s="17"/>
      <c r="C1478" s="24"/>
      <c r="D1478" s="16"/>
      <c r="E1478" s="16" t="str">
        <f ca="1">IFERROR(__xludf.DUMMYFUNCTION("""COMPUTED_VALUE"""),"TRX1064")</f>
        <v>TRX1064</v>
      </c>
      <c r="F1478" s="16" t="str">
        <f ca="1">IFERROR(__xludf.DUMMYFUNCTION("""COMPUTED_VALUE"""),"Transaction cost")</f>
        <v>Transaction cost</v>
      </c>
      <c r="G1478" s="16" t="str">
        <f ca="1">IFERROR(__xludf.DUMMYFUNCTION("""COMPUTED_VALUE"""),"PO2165 veolia UFCEB")</f>
        <v>PO2165 veolia UFCEB</v>
      </c>
      <c r="H1478" s="16" t="str">
        <f ca="1">IFERROR(__xludf.DUMMYFUNCTION("""COMPUTED_VALUE"""),"-")</f>
        <v>-</v>
      </c>
    </row>
    <row r="1479" spans="1:8" ht="12.5">
      <c r="A1479" s="24"/>
      <c r="B1479" s="17"/>
      <c r="C1479" s="24"/>
      <c r="D1479" s="16"/>
      <c r="E1479" s="16" t="str">
        <f ca="1">IFERROR(__xludf.DUMMYFUNCTION("""COMPUTED_VALUE"""),"TRX1038")</f>
        <v>TRX1038</v>
      </c>
      <c r="F1479" s="16" t="str">
        <f ca="1">IFERROR(__xludf.DUMMYFUNCTION("""COMPUTED_VALUE"""),"Transaction cost")</f>
        <v>Transaction cost</v>
      </c>
      <c r="G1479" s="16" t="str">
        <f ca="1">IFERROR(__xludf.DUMMYFUNCTION("""COMPUTED_VALUE"""),"PO2165 veolia UFCEB")</f>
        <v>PO2165 veolia UFCEB</v>
      </c>
      <c r="H1479" s="16" t="str">
        <f ca="1">IFERROR(__xludf.DUMMYFUNCTION("""COMPUTED_VALUE"""),"-")</f>
        <v>-</v>
      </c>
    </row>
    <row r="1480" spans="1:8" ht="12.5">
      <c r="A1480" s="24"/>
      <c r="B1480" s="17"/>
      <c r="C1480" s="24"/>
      <c r="D1480" s="16"/>
      <c r="E1480" s="16" t="str">
        <f ca="1">IFERROR(__xludf.DUMMYFUNCTION("""COMPUTED_VALUE"""),"TRX1946")</f>
        <v>TRX1946</v>
      </c>
      <c r="F1480" s="16" t="str">
        <f ca="1">IFERROR(__xludf.DUMMYFUNCTION("""COMPUTED_VALUE"""),"Transaction cost")</f>
        <v>Transaction cost</v>
      </c>
      <c r="G1480" s="16" t="str">
        <f ca="1">IFERROR(__xludf.DUMMYFUNCTION("""COMPUTED_VALUE"""),"PO2165 veolia UFCEB")</f>
        <v>PO2165 veolia UFCEB</v>
      </c>
      <c r="H1480" s="16" t="str">
        <f ca="1">IFERROR(__xludf.DUMMYFUNCTION("""COMPUTED_VALUE"""),"-")</f>
        <v>-</v>
      </c>
    </row>
    <row r="1481" spans="1:8" ht="12.5">
      <c r="A1481" s="24"/>
      <c r="B1481" s="17"/>
      <c r="C1481" s="24"/>
      <c r="D1481" s="16"/>
      <c r="E1481" s="16" t="str">
        <f ca="1">IFERROR(__xludf.DUMMYFUNCTION("""COMPUTED_VALUE"""),"TRX1169")</f>
        <v>TRX1169</v>
      </c>
      <c r="F1481" s="16" t="str">
        <f ca="1">IFERROR(__xludf.DUMMYFUNCTION("""COMPUTED_VALUE"""),"Transaction cost")</f>
        <v>Transaction cost</v>
      </c>
      <c r="G1481" s="16" t="str">
        <f ca="1">IFERROR(__xludf.DUMMYFUNCTION("""COMPUTED_VALUE"""),"calibracion rugosimetro CC calidad")</f>
        <v>calibracion rugosimetro CC calidad</v>
      </c>
      <c r="H1481" s="16" t="str">
        <f ca="1">IFERROR(__xludf.DUMMYFUNCTION("""COMPUTED_VALUE"""),"-")</f>
        <v>-</v>
      </c>
    </row>
    <row r="1482" spans="1:8" ht="12.5">
      <c r="A1482" s="24"/>
      <c r="B1482" s="17"/>
      <c r="C1482" s="24"/>
      <c r="D1482" s="16"/>
      <c r="E1482" s="16" t="str">
        <f ca="1">IFERROR(__xludf.DUMMYFUNCTION("""COMPUTED_VALUE"""),"TRX1227")</f>
        <v>TRX1227</v>
      </c>
      <c r="F1482" s="16" t="str">
        <f ca="1">IFERROR(__xludf.DUMMYFUNCTION("""COMPUTED_VALUE"""),"Transaction cost")</f>
        <v>Transaction cost</v>
      </c>
      <c r="G1482" s="16" t="str">
        <f ca="1">IFERROR(__xludf.DUMMYFUNCTION("""COMPUTED_VALUE"""),"calibracion rugosimetro CC calidad")</f>
        <v>calibracion rugosimetro CC calidad</v>
      </c>
      <c r="H1482" s="16" t="str">
        <f ca="1">IFERROR(__xludf.DUMMYFUNCTION("""COMPUTED_VALUE"""),"-")</f>
        <v>-</v>
      </c>
    </row>
    <row r="1483" spans="1:8" ht="12.5">
      <c r="A1483" s="24"/>
      <c r="B1483" s="17"/>
      <c r="C1483" s="24"/>
      <c r="D1483" s="16"/>
      <c r="E1483" s="16" t="str">
        <f ca="1">IFERROR(__xludf.DUMMYFUNCTION("""COMPUTED_VALUE"""),"TRX1144")</f>
        <v>TRX1144</v>
      </c>
      <c r="F1483" s="16" t="str">
        <f ca="1">IFERROR(__xludf.DUMMYFUNCTION("""COMPUTED_VALUE"""),"Transaction cost")</f>
        <v>Transaction cost</v>
      </c>
      <c r="G1483" s="16" t="str">
        <f ca="1">IFERROR(__xludf.DUMMYFUNCTION("""COMPUTED_VALUE"""),"PO1953  ARTEVALLEDEBRAVO")</f>
        <v>PO1953  ARTEVALLEDEBRAVO</v>
      </c>
      <c r="H1483" s="16" t="str">
        <f ca="1">IFERROR(__xludf.DUMMYFUNCTION("""COMPUTED_VALUE"""),"-")</f>
        <v>-</v>
      </c>
    </row>
    <row r="1484" spans="1:8" ht="12.5">
      <c r="A1484" s="24"/>
      <c r="B1484" s="17"/>
      <c r="C1484" s="24"/>
      <c r="D1484" s="16"/>
      <c r="E1484" s="16" t="str">
        <f ca="1">IFERROR(__xludf.DUMMYFUNCTION("""COMPUTED_VALUE"""),"TRX1069")</f>
        <v>TRX1069</v>
      </c>
      <c r="F1484" s="16" t="str">
        <f ca="1">IFERROR(__xludf.DUMMYFUNCTION("""COMPUTED_VALUE"""),"Transaction cost")</f>
        <v>Transaction cost</v>
      </c>
      <c r="G1484" s="16" t="str">
        <f ca="1">IFERROR(__xludf.DUMMYFUNCTION("""COMPUTED_VALUE"""),"PO1953  ARTEVALLEDEBRAVO")</f>
        <v>PO1953  ARTEVALLEDEBRAVO</v>
      </c>
      <c r="H1484" s="16" t="str">
        <f ca="1">IFERROR(__xludf.DUMMYFUNCTION("""COMPUTED_VALUE"""),"-")</f>
        <v>-</v>
      </c>
    </row>
    <row r="1485" spans="1:8" ht="12.5">
      <c r="A1485" s="24"/>
      <c r="B1485" s="17"/>
      <c r="C1485" s="24"/>
      <c r="D1485" s="16"/>
      <c r="E1485" s="16" t="str">
        <f ca="1">IFERROR(__xludf.DUMMYFUNCTION("""COMPUTED_VALUE"""),"TRX1073")</f>
        <v>TRX1073</v>
      </c>
      <c r="F1485" s="16" t="str">
        <f ca="1">IFERROR(__xludf.DUMMYFUNCTION("""COMPUTED_VALUE"""),"Transaction cost")</f>
        <v>Transaction cost</v>
      </c>
      <c r="G1485" s="16" t="str">
        <f ca="1">IFERROR(__xludf.DUMMYFUNCTION("""COMPUTED_VALUE"""),"PO1953  ARTEVALLEDEBRAVO")</f>
        <v>PO1953  ARTEVALLEDEBRAVO</v>
      </c>
      <c r="H1485" s="16" t="str">
        <f ca="1">IFERROR(__xludf.DUMMYFUNCTION("""COMPUTED_VALUE"""),"-")</f>
        <v>-</v>
      </c>
    </row>
    <row r="1486" spans="1:8" ht="12.5">
      <c r="A1486" s="24"/>
      <c r="B1486" s="17"/>
      <c r="C1486" s="24"/>
      <c r="D1486" s="16"/>
      <c r="E1486" s="16" t="str">
        <f ca="1">IFERROR(__xludf.DUMMYFUNCTION("""COMPUTED_VALUE"""),"TRX1085")</f>
        <v>TRX1085</v>
      </c>
      <c r="F1486" s="16" t="str">
        <f ca="1">IFERROR(__xludf.DUMMYFUNCTION("""COMPUTED_VALUE"""),"Transaction cost")</f>
        <v>Transaction cost</v>
      </c>
      <c r="G1486" s="16" t="str">
        <f ca="1">IFERROR(__xludf.DUMMYFUNCTION("""COMPUTED_VALUE"""),"PO1953  ARTEVALLEDEBRAVO")</f>
        <v>PO1953  ARTEVALLEDEBRAVO</v>
      </c>
      <c r="H1486" s="16" t="str">
        <f ca="1">IFERROR(__xludf.DUMMYFUNCTION("""COMPUTED_VALUE"""),"-")</f>
        <v>-</v>
      </c>
    </row>
    <row r="1487" spans="1:8" ht="12.5">
      <c r="A1487" s="24"/>
      <c r="B1487" s="17"/>
      <c r="C1487" s="24"/>
      <c r="D1487" s="16"/>
      <c r="E1487" s="16" t="str">
        <f ca="1">IFERROR(__xludf.DUMMYFUNCTION("""COMPUTED_VALUE"""),"TRX1152")</f>
        <v>TRX1152</v>
      </c>
      <c r="F1487" s="16" t="str">
        <f ca="1">IFERROR(__xludf.DUMMYFUNCTION("""COMPUTED_VALUE"""),"Transaction cost")</f>
        <v>Transaction cost</v>
      </c>
      <c r="G1487" s="16" t="str">
        <f ca="1">IFERROR(__xludf.DUMMYFUNCTION("""COMPUTED_VALUE"""),"PO2165 veolia UFCEB")</f>
        <v>PO2165 veolia UFCEB</v>
      </c>
      <c r="H1487" s="16" t="str">
        <f ca="1">IFERROR(__xludf.DUMMYFUNCTION("""COMPUTED_VALUE"""),"-")</f>
        <v>-</v>
      </c>
    </row>
    <row r="1488" spans="1:8" ht="12.5">
      <c r="A1488" s="24"/>
      <c r="B1488" s="17"/>
      <c r="C1488" s="24"/>
      <c r="D1488" s="16"/>
      <c r="E1488" s="16" t="str">
        <f ca="1">IFERROR(__xludf.DUMMYFUNCTION("""COMPUTED_VALUE"""),"TRX1190")</f>
        <v>TRX1190</v>
      </c>
      <c r="F1488" s="16" t="str">
        <f ca="1">IFERROR(__xludf.DUMMYFUNCTION("""COMPUTED_VALUE"""),"Transaction cost")</f>
        <v>Transaction cost</v>
      </c>
      <c r="G1488" s="16" t="str">
        <f ca="1">IFERROR(__xludf.DUMMYFUNCTION("""COMPUTED_VALUE"""),"PO4573 escaleras y barandales")</f>
        <v>PO4573 escaleras y barandales</v>
      </c>
      <c r="H1488" s="16" t="str">
        <f ca="1">IFERROR(__xludf.DUMMYFUNCTION("""COMPUTED_VALUE"""),"F4445FC1-D14F-4669-BB6B-F5BD1EBC1D19")</f>
        <v>F4445FC1-D14F-4669-BB6B-F5BD1EBC1D19</v>
      </c>
    </row>
    <row r="1489" spans="1:8" ht="12.5">
      <c r="A1489" s="24"/>
      <c r="B1489" s="17"/>
      <c r="C1489" s="24"/>
      <c r="D1489" s="16"/>
      <c r="E1489" s="16" t="str">
        <f ca="1">IFERROR(__xludf.DUMMYFUNCTION("""COMPUTED_VALUE"""),"TRX1251")</f>
        <v>TRX1251</v>
      </c>
      <c r="F1489" s="16" t="str">
        <f ca="1">IFERROR(__xludf.DUMMYFUNCTION("""COMPUTED_VALUE"""),"Tech&amp;Product")</f>
        <v>Tech&amp;Product</v>
      </c>
      <c r="G1489" s="16" t="str">
        <f ca="1">IFERROR(__xludf.DUMMYFUNCTION("""COMPUTED_VALUE"""),"licencia solid works")</f>
        <v>licencia solid works</v>
      </c>
      <c r="H1489" s="16" t="str">
        <f ca="1">IFERROR(__xludf.DUMMYFUNCTION("""COMPUTED_VALUE"""),"-")</f>
        <v>-</v>
      </c>
    </row>
    <row r="1490" spans="1:8" ht="12.5">
      <c r="A1490" s="24"/>
      <c r="B1490" s="17"/>
      <c r="C1490" s="24"/>
      <c r="D1490" s="16"/>
      <c r="E1490" s="16" t="str">
        <f ca="1">IFERROR(__xludf.DUMMYFUNCTION("""COMPUTED_VALUE"""),"TRX1257")</f>
        <v>TRX1257</v>
      </c>
      <c r="F1490" s="16" t="str">
        <f ca="1">IFERROR(__xludf.DUMMYFUNCTION("""COMPUTED_VALUE"""),"Transaction cost")</f>
        <v>Transaction cost</v>
      </c>
      <c r="G1490" s="16" t="str">
        <f ca="1">IFERROR(__xludf.DUMMYFUNCTION("""COMPUTED_VALUE"""),"PO1953  ARTEVALLEDEBRAVO")</f>
        <v>PO1953  ARTEVALLEDEBRAVO</v>
      </c>
      <c r="H1490" s="16" t="str">
        <f ca="1">IFERROR(__xludf.DUMMYFUNCTION("""COMPUTED_VALUE"""),"-")</f>
        <v>-</v>
      </c>
    </row>
    <row r="1491" spans="1:8" ht="12.5">
      <c r="A1491" s="24"/>
      <c r="B1491" s="17"/>
      <c r="C1491" s="24"/>
      <c r="D1491" s="16"/>
      <c r="E1491" s="16" t="str">
        <f ca="1">IFERROR(__xludf.DUMMYFUNCTION("""COMPUTED_VALUE"""),"TRX1258")</f>
        <v>TRX1258</v>
      </c>
      <c r="F1491" s="16" t="str">
        <f ca="1">IFERROR(__xludf.DUMMYFUNCTION("""COMPUTED_VALUE"""),"Transaction cost")</f>
        <v>Transaction cost</v>
      </c>
      <c r="G1491" s="16" t="str">
        <f ca="1">IFERROR(__xludf.DUMMYFUNCTION("""COMPUTED_VALUE"""),"PO1953  ARTEVALLEDEBRAVO")</f>
        <v>PO1953  ARTEVALLEDEBRAVO</v>
      </c>
      <c r="H1491" s="16" t="str">
        <f ca="1">IFERROR(__xludf.DUMMYFUNCTION("""COMPUTED_VALUE"""),"-")</f>
        <v>-</v>
      </c>
    </row>
    <row r="1492" spans="1:8" ht="12.5">
      <c r="A1492" s="24"/>
      <c r="B1492" s="17"/>
      <c r="C1492" s="24"/>
      <c r="D1492" s="16"/>
      <c r="E1492" s="16" t="str">
        <f ca="1">IFERROR(__xludf.DUMMYFUNCTION("""COMPUTED_VALUE"""),"TRX1271")</f>
        <v>TRX1271</v>
      </c>
      <c r="F1492" s="16" t="str">
        <f ca="1">IFERROR(__xludf.DUMMYFUNCTION("""COMPUTED_VALUE"""),"Transaction cost")</f>
        <v>Transaction cost</v>
      </c>
      <c r="G1492" s="16" t="str">
        <f ca="1">IFERROR(__xludf.DUMMYFUNCTION("""COMPUTED_VALUE"""),"PO1953  ARTEVALLEDEBRAVO")</f>
        <v>PO1953  ARTEVALLEDEBRAVO</v>
      </c>
      <c r="H1492" s="16" t="str">
        <f ca="1">IFERROR(__xludf.DUMMYFUNCTION("""COMPUTED_VALUE"""),"-")</f>
        <v>-</v>
      </c>
    </row>
    <row r="1493" spans="1:8" ht="12.5">
      <c r="A1493" s="24"/>
      <c r="B1493" s="17"/>
      <c r="C1493" s="24"/>
      <c r="D1493" s="16"/>
      <c r="E1493" s="16" t="str">
        <f ca="1">IFERROR(__xludf.DUMMYFUNCTION("""COMPUTED_VALUE"""),"TRX1285")</f>
        <v>TRX1285</v>
      </c>
      <c r="F1493" s="16" t="str">
        <f ca="1">IFERROR(__xludf.DUMMYFUNCTION("""COMPUTED_VALUE"""),"Transaction cost")</f>
        <v>Transaction cost</v>
      </c>
      <c r="G1493" s="16" t="str">
        <f ca="1">IFERROR(__xludf.DUMMYFUNCTION("""COMPUTED_VALUE"""),"PO1953  ARTEVALLEDEBRAVO")</f>
        <v>PO1953  ARTEVALLEDEBRAVO</v>
      </c>
      <c r="H1493" s="16" t="str">
        <f ca="1">IFERROR(__xludf.DUMMYFUNCTION("""COMPUTED_VALUE"""),"-")</f>
        <v>-</v>
      </c>
    </row>
    <row r="1494" spans="1:8" ht="12.5">
      <c r="A1494" s="24"/>
      <c r="B1494" s="17"/>
      <c r="C1494" s="24"/>
      <c r="D1494" s="16"/>
      <c r="E1494" s="16"/>
      <c r="F1494" s="16" t="str">
        <f ca="1">IFERROR(__xludf.DUMMYFUNCTION("""COMPUTED_VALUE"""),"Transaction cost")</f>
        <v>Transaction cost</v>
      </c>
      <c r="G1494" s="16"/>
      <c r="H1494" s="16"/>
    </row>
    <row r="1495" spans="1:8" ht="12.5">
      <c r="A1495" s="24"/>
      <c r="B1495" s="17"/>
      <c r="C1495" s="24"/>
      <c r="D1495" s="16"/>
      <c r="E1495" s="16"/>
      <c r="F1495" s="16" t="str">
        <f ca="1">IFERROR(__xludf.DUMMYFUNCTION("""COMPUTED_VALUE"""),"Transaction cost")</f>
        <v>Transaction cost</v>
      </c>
      <c r="G1495" s="16"/>
      <c r="H1495" s="16"/>
    </row>
    <row r="1496" spans="1:8" ht="12.5">
      <c r="A1496" s="24"/>
      <c r="B1496" s="17"/>
      <c r="C1496" s="24"/>
      <c r="D1496" s="16"/>
      <c r="E1496" s="16"/>
      <c r="F1496" s="16" t="str">
        <f ca="1">IFERROR(__xludf.DUMMYFUNCTION("""COMPUTED_VALUE"""),"Transaction cost")</f>
        <v>Transaction cost</v>
      </c>
      <c r="G1496" s="16"/>
      <c r="H1496" s="16"/>
    </row>
    <row r="1497" spans="1:8" ht="12.5">
      <c r="A1497" s="24"/>
      <c r="B1497" s="17"/>
      <c r="C1497" s="24"/>
      <c r="D1497" s="16"/>
      <c r="E1497" s="16"/>
      <c r="F1497" s="16" t="str">
        <f ca="1">IFERROR(__xludf.DUMMYFUNCTION("""COMPUTED_VALUE"""),"Transaction cost")</f>
        <v>Transaction cost</v>
      </c>
      <c r="G1497" s="16"/>
      <c r="H1497" s="16"/>
    </row>
    <row r="1498" spans="1:8" ht="12.5">
      <c r="A1498" s="24"/>
      <c r="B1498" s="17"/>
      <c r="C1498" s="24"/>
      <c r="D1498" s="16"/>
      <c r="E1498" s="16"/>
      <c r="F1498" s="16" t="str">
        <f ca="1">IFERROR(__xludf.DUMMYFUNCTION("""COMPUTED_VALUE"""),"Transaction cost")</f>
        <v>Transaction cost</v>
      </c>
      <c r="G1498" s="16"/>
      <c r="H1498" s="16"/>
    </row>
    <row r="1499" spans="1:8" ht="12.5">
      <c r="A1499" s="24"/>
      <c r="B1499" s="17"/>
      <c r="C1499" s="24"/>
      <c r="D1499" s="16"/>
      <c r="E1499" s="16"/>
      <c r="F1499" s="16" t="str">
        <f ca="1">IFERROR(__xludf.DUMMYFUNCTION("""COMPUTED_VALUE"""),"Transaction cost")</f>
        <v>Transaction cost</v>
      </c>
      <c r="G1499" s="16"/>
      <c r="H1499" s="16"/>
    </row>
    <row r="1500" spans="1:8" ht="12.5">
      <c r="A1500" s="24"/>
      <c r="B1500" s="17"/>
      <c r="C1500" s="24"/>
      <c r="D1500" s="16"/>
      <c r="E1500" s="16"/>
      <c r="F1500" s="16" t="str">
        <f ca="1">IFERROR(__xludf.DUMMYFUNCTION("""COMPUTED_VALUE"""),"Transaction cost")</f>
        <v>Transaction cost</v>
      </c>
      <c r="G1500" s="16"/>
      <c r="H1500" s="16"/>
    </row>
    <row r="1501" spans="1:8" ht="12.5">
      <c r="A1501" s="24"/>
      <c r="B1501" s="17"/>
      <c r="C1501" s="24"/>
      <c r="D1501" s="16"/>
      <c r="E1501" s="16"/>
      <c r="F1501" s="16" t="str">
        <f ca="1">IFERROR(__xludf.DUMMYFUNCTION("""COMPUTED_VALUE"""),"Transaction cost")</f>
        <v>Transaction cost</v>
      </c>
      <c r="G1501" s="16"/>
      <c r="H1501" s="16"/>
    </row>
    <row r="1502" spans="1:8" ht="12.5">
      <c r="A1502" s="24"/>
      <c r="B1502" s="17"/>
      <c r="C1502" s="24"/>
      <c r="D1502" s="16"/>
      <c r="E1502" s="16"/>
      <c r="F1502" s="16" t="str">
        <f ca="1">IFERROR(__xludf.DUMMYFUNCTION("""COMPUTED_VALUE"""),"Transaction cost")</f>
        <v>Transaction cost</v>
      </c>
      <c r="G1502" s="16"/>
      <c r="H1502" s="16"/>
    </row>
    <row r="1503" spans="1:8" ht="12.5">
      <c r="A1503" s="24"/>
      <c r="B1503" s="17"/>
      <c r="C1503" s="24"/>
      <c r="D1503" s="16"/>
      <c r="E1503" s="16"/>
      <c r="F1503" s="16" t="str">
        <f ca="1">IFERROR(__xludf.DUMMYFUNCTION("""COMPUTED_VALUE"""),"Transaction cost")</f>
        <v>Transaction cost</v>
      </c>
      <c r="G1503" s="16"/>
      <c r="H1503" s="16"/>
    </row>
    <row r="1504" spans="1:8" ht="12.5">
      <c r="A1504" s="24"/>
      <c r="B1504" s="17"/>
      <c r="C1504" s="24"/>
      <c r="D1504" s="16"/>
      <c r="E1504" s="16"/>
      <c r="F1504" s="16" t="str">
        <f ca="1">IFERROR(__xludf.DUMMYFUNCTION("""COMPUTED_VALUE"""),"Transaction cost")</f>
        <v>Transaction cost</v>
      </c>
      <c r="G1504" s="16"/>
      <c r="H1504" s="16"/>
    </row>
    <row r="1505" spans="1:8" ht="12.5">
      <c r="A1505" s="24"/>
      <c r="B1505" s="17"/>
      <c r="C1505" s="24"/>
      <c r="D1505" s="16"/>
      <c r="E1505" s="16"/>
      <c r="F1505" s="16" t="str">
        <f ca="1">IFERROR(__xludf.DUMMYFUNCTION("""COMPUTED_VALUE"""),"Transaction cost")</f>
        <v>Transaction cost</v>
      </c>
      <c r="G1505" s="16"/>
      <c r="H1505" s="16"/>
    </row>
    <row r="1506" spans="1:8" ht="12.5">
      <c r="A1506" s="24"/>
      <c r="B1506" s="17"/>
      <c r="C1506" s="24"/>
      <c r="D1506" s="16"/>
      <c r="E1506" s="16"/>
      <c r="F1506" s="16" t="str">
        <f ca="1">IFERROR(__xludf.DUMMYFUNCTION("""COMPUTED_VALUE"""),"Transaction cost")</f>
        <v>Transaction cost</v>
      </c>
      <c r="G1506" s="16"/>
      <c r="H1506" s="16"/>
    </row>
    <row r="1507" spans="1:8" ht="12.5">
      <c r="A1507" s="24"/>
      <c r="B1507" s="17"/>
      <c r="C1507" s="24"/>
      <c r="D1507" s="16"/>
      <c r="E1507" s="16"/>
      <c r="F1507" s="16" t="str">
        <f ca="1">IFERROR(__xludf.DUMMYFUNCTION("""COMPUTED_VALUE"""),"Transaction cost")</f>
        <v>Transaction cost</v>
      </c>
      <c r="G1507" s="16"/>
      <c r="H1507" s="16"/>
    </row>
    <row r="1508" spans="1:8" ht="12.5">
      <c r="A1508" s="24"/>
      <c r="B1508" s="17"/>
      <c r="C1508" s="24"/>
      <c r="D1508" s="16"/>
      <c r="E1508" s="16"/>
      <c r="F1508" s="16" t="str">
        <f ca="1">IFERROR(__xludf.DUMMYFUNCTION("""COMPUTED_VALUE"""),"Transaction cost")</f>
        <v>Transaction cost</v>
      </c>
      <c r="G1508" s="16"/>
      <c r="H1508" s="16"/>
    </row>
    <row r="1509" spans="1:8" ht="12.5">
      <c r="A1509" s="24"/>
      <c r="B1509" s="17"/>
      <c r="C1509" s="24"/>
      <c r="D1509" s="16"/>
      <c r="E1509" s="16"/>
      <c r="F1509" s="16" t="str">
        <f ca="1">IFERROR(__xludf.DUMMYFUNCTION("""COMPUTED_VALUE"""),"Transaction cost")</f>
        <v>Transaction cost</v>
      </c>
      <c r="G1509" s="16"/>
      <c r="H1509" s="16"/>
    </row>
    <row r="1510" spans="1:8" ht="12.5">
      <c r="A1510" s="24"/>
      <c r="B1510" s="17"/>
      <c r="C1510" s="24"/>
      <c r="D1510" s="16"/>
      <c r="E1510" s="16"/>
      <c r="F1510" s="16" t="str">
        <f ca="1">IFERROR(__xludf.DUMMYFUNCTION("""COMPUTED_VALUE"""),"Transaction cost")</f>
        <v>Transaction cost</v>
      </c>
      <c r="G1510" s="16"/>
      <c r="H1510" s="16"/>
    </row>
    <row r="1511" spans="1:8" ht="12.5">
      <c r="A1511" s="24"/>
      <c r="B1511" s="17"/>
      <c r="C1511" s="24"/>
      <c r="D1511" s="16"/>
      <c r="E1511" s="16"/>
      <c r="F1511" s="16" t="str">
        <f ca="1">IFERROR(__xludf.DUMMYFUNCTION("""COMPUTED_VALUE"""),"Transaction cost")</f>
        <v>Transaction cost</v>
      </c>
      <c r="G1511" s="16"/>
      <c r="H1511" s="16"/>
    </row>
    <row r="1512" spans="1:8" ht="12.5">
      <c r="A1512" s="24"/>
      <c r="B1512" s="17"/>
      <c r="C1512" s="24"/>
      <c r="D1512" s="16"/>
      <c r="E1512" s="16"/>
      <c r="F1512" s="16" t="str">
        <f ca="1">IFERROR(__xludf.DUMMYFUNCTION("""COMPUTED_VALUE"""),"Transaction cost")</f>
        <v>Transaction cost</v>
      </c>
      <c r="G1512" s="16"/>
      <c r="H1512" s="16"/>
    </row>
    <row r="1513" spans="1:8" ht="12.5">
      <c r="A1513" s="24"/>
      <c r="B1513" s="17"/>
      <c r="C1513" s="24"/>
      <c r="D1513" s="16"/>
      <c r="E1513" s="16"/>
      <c r="F1513" s="16" t="str">
        <f ca="1">IFERROR(__xludf.DUMMYFUNCTION("""COMPUTED_VALUE"""),"Transaction cost")</f>
        <v>Transaction cost</v>
      </c>
      <c r="G1513" s="16"/>
      <c r="H1513" s="16"/>
    </row>
    <row r="1514" spans="1:8" ht="12.5">
      <c r="A1514" s="24"/>
      <c r="B1514" s="17"/>
      <c r="C1514" s="24"/>
      <c r="D1514" s="16"/>
      <c r="E1514" s="16"/>
      <c r="F1514" s="16" t="str">
        <f ca="1">IFERROR(__xludf.DUMMYFUNCTION("""COMPUTED_VALUE"""),"Transaction cost")</f>
        <v>Transaction cost</v>
      </c>
      <c r="G1514" s="16"/>
      <c r="H1514" s="16"/>
    </row>
    <row r="1515" spans="1:8" ht="12.5">
      <c r="A1515" s="24"/>
      <c r="B1515" s="17"/>
      <c r="C1515" s="24"/>
      <c r="D1515" s="16"/>
      <c r="E1515" s="16"/>
      <c r="F1515" s="16" t="str">
        <f ca="1">IFERROR(__xludf.DUMMYFUNCTION("""COMPUTED_VALUE"""),"Transaction cost")</f>
        <v>Transaction cost</v>
      </c>
      <c r="G1515" s="16"/>
      <c r="H1515" s="16"/>
    </row>
    <row r="1516" spans="1:8" ht="12.5">
      <c r="A1516" s="24"/>
      <c r="B1516" s="17"/>
      <c r="C1516" s="24"/>
      <c r="D1516" s="16"/>
      <c r="E1516" s="16"/>
      <c r="F1516" s="16" t="str">
        <f ca="1">IFERROR(__xludf.DUMMYFUNCTION("""COMPUTED_VALUE"""),"Transaction cost")</f>
        <v>Transaction cost</v>
      </c>
      <c r="G1516" s="16"/>
      <c r="H1516" s="16"/>
    </row>
    <row r="1517" spans="1:8" ht="12.5">
      <c r="A1517" s="24"/>
      <c r="B1517" s="17"/>
      <c r="C1517" s="24"/>
      <c r="D1517" s="16"/>
      <c r="E1517" s="16"/>
      <c r="F1517" s="16" t="str">
        <f ca="1">IFERROR(__xludf.DUMMYFUNCTION("""COMPUTED_VALUE"""),"Transaction cost")</f>
        <v>Transaction cost</v>
      </c>
      <c r="G1517" s="16"/>
      <c r="H1517" s="16"/>
    </row>
    <row r="1518" spans="1:8" ht="12.5">
      <c r="A1518" s="24"/>
      <c r="B1518" s="17"/>
      <c r="C1518" s="24"/>
      <c r="D1518" s="16"/>
      <c r="E1518" s="16"/>
      <c r="F1518" s="16" t="str">
        <f ca="1">IFERROR(__xludf.DUMMYFUNCTION("""COMPUTED_VALUE"""),"Transaction cost")</f>
        <v>Transaction cost</v>
      </c>
      <c r="G1518" s="16"/>
      <c r="H1518" s="16"/>
    </row>
    <row r="1519" spans="1:8" ht="12.5">
      <c r="A1519" s="24"/>
      <c r="B1519" s="17"/>
      <c r="C1519" s="24"/>
      <c r="D1519" s="16"/>
      <c r="E1519" s="16"/>
      <c r="F1519" s="16" t="str">
        <f ca="1">IFERROR(__xludf.DUMMYFUNCTION("""COMPUTED_VALUE"""),"Transaction cost")</f>
        <v>Transaction cost</v>
      </c>
      <c r="G1519" s="16"/>
      <c r="H1519" s="16"/>
    </row>
    <row r="1520" spans="1:8" ht="12.5">
      <c r="A1520" s="24"/>
      <c r="B1520" s="17"/>
      <c r="C1520" s="24"/>
      <c r="D1520" s="16"/>
      <c r="E1520" s="16"/>
      <c r="F1520" s="16" t="str">
        <f ca="1">IFERROR(__xludf.DUMMYFUNCTION("""COMPUTED_VALUE"""),"Transaction cost")</f>
        <v>Transaction cost</v>
      </c>
      <c r="G1520" s="16"/>
      <c r="H1520" s="16"/>
    </row>
    <row r="1521" spans="1:8" ht="12.5">
      <c r="A1521" s="24"/>
      <c r="B1521" s="17"/>
      <c r="C1521" s="24"/>
      <c r="D1521" s="16"/>
      <c r="E1521" s="16"/>
      <c r="F1521" s="16" t="str">
        <f ca="1">IFERROR(__xludf.DUMMYFUNCTION("""COMPUTED_VALUE"""),"Transaction cost")</f>
        <v>Transaction cost</v>
      </c>
      <c r="G1521" s="16"/>
      <c r="H1521" s="16"/>
    </row>
    <row r="1522" spans="1:8" ht="12.5">
      <c r="A1522" s="24"/>
      <c r="B1522" s="17"/>
      <c r="C1522" s="24"/>
      <c r="D1522" s="16"/>
      <c r="E1522" s="16"/>
      <c r="F1522" s="16" t="str">
        <f ca="1">IFERROR(__xludf.DUMMYFUNCTION("""COMPUTED_VALUE"""),"Transaction cost")</f>
        <v>Transaction cost</v>
      </c>
      <c r="G1522" s="16"/>
      <c r="H1522" s="16"/>
    </row>
    <row r="1523" spans="1:8" ht="12.5">
      <c r="A1523" s="24"/>
      <c r="B1523" s="17"/>
      <c r="C1523" s="24"/>
      <c r="D1523" s="16"/>
      <c r="E1523" s="16"/>
      <c r="F1523" s="16" t="str">
        <f ca="1">IFERROR(__xludf.DUMMYFUNCTION("""COMPUTED_VALUE"""),"Transaction cost")</f>
        <v>Transaction cost</v>
      </c>
      <c r="G1523" s="16"/>
      <c r="H1523" s="16"/>
    </row>
    <row r="1524" spans="1:8" ht="12.5">
      <c r="A1524" s="24"/>
      <c r="B1524" s="17"/>
      <c r="C1524" s="24"/>
      <c r="D1524" s="16"/>
      <c r="E1524" s="16"/>
      <c r="F1524" s="16" t="str">
        <f ca="1">IFERROR(__xludf.DUMMYFUNCTION("""COMPUTED_VALUE"""),"Transaction cost")</f>
        <v>Transaction cost</v>
      </c>
      <c r="G1524" s="16"/>
      <c r="H1524" s="16"/>
    </row>
    <row r="1525" spans="1:8" ht="12.5">
      <c r="A1525" s="24"/>
      <c r="B1525" s="17"/>
      <c r="C1525" s="24"/>
      <c r="D1525" s="16"/>
      <c r="E1525" s="16"/>
      <c r="F1525" s="16" t="str">
        <f ca="1">IFERROR(__xludf.DUMMYFUNCTION("""COMPUTED_VALUE"""),"Transaction cost")</f>
        <v>Transaction cost</v>
      </c>
      <c r="G1525" s="16"/>
      <c r="H1525" s="16"/>
    </row>
    <row r="1526" spans="1:8" ht="12.5">
      <c r="A1526" s="24"/>
      <c r="B1526" s="17"/>
      <c r="C1526" s="24"/>
      <c r="D1526" s="16"/>
      <c r="E1526" s="16"/>
      <c r="F1526" s="16" t="str">
        <f ca="1">IFERROR(__xludf.DUMMYFUNCTION("""COMPUTED_VALUE"""),"Transaction cost")</f>
        <v>Transaction cost</v>
      </c>
      <c r="G1526" s="16"/>
      <c r="H1526" s="16"/>
    </row>
    <row r="1527" spans="1:8" ht="12.5">
      <c r="A1527" s="24"/>
      <c r="B1527" s="17"/>
      <c r="C1527" s="24"/>
      <c r="D1527" s="16"/>
      <c r="E1527" s="16"/>
      <c r="F1527" s="16" t="str">
        <f ca="1">IFERROR(__xludf.DUMMYFUNCTION("""COMPUTED_VALUE"""),"Transaction cost")</f>
        <v>Transaction cost</v>
      </c>
      <c r="G1527" s="16"/>
      <c r="H1527" s="16"/>
    </row>
    <row r="1528" spans="1:8" ht="12.5">
      <c r="A1528" s="24"/>
      <c r="B1528" s="17"/>
      <c r="C1528" s="24"/>
      <c r="D1528" s="16"/>
      <c r="E1528" s="16"/>
      <c r="F1528" s="16" t="str">
        <f ca="1">IFERROR(__xludf.DUMMYFUNCTION("""COMPUTED_VALUE"""),"Transaction cost")</f>
        <v>Transaction cost</v>
      </c>
      <c r="G1528" s="16"/>
      <c r="H1528" s="16"/>
    </row>
    <row r="1529" spans="1:8" ht="12.5">
      <c r="A1529" s="24"/>
      <c r="B1529" s="17"/>
      <c r="C1529" s="24"/>
      <c r="D1529" s="16"/>
      <c r="E1529" s="16"/>
      <c r="F1529" s="16" t="str">
        <f ca="1">IFERROR(__xludf.DUMMYFUNCTION("""COMPUTED_VALUE"""),"Transaction cost")</f>
        <v>Transaction cost</v>
      </c>
      <c r="G1529" s="16"/>
      <c r="H1529" s="16"/>
    </row>
    <row r="1530" spans="1:8" ht="12.5">
      <c r="A1530" s="24"/>
      <c r="B1530" s="17"/>
      <c r="C1530" s="24"/>
      <c r="D1530" s="16"/>
      <c r="E1530" s="16"/>
      <c r="F1530" s="16" t="str">
        <f ca="1">IFERROR(__xludf.DUMMYFUNCTION("""COMPUTED_VALUE"""),"Transaction cost")</f>
        <v>Transaction cost</v>
      </c>
      <c r="G1530" s="16"/>
      <c r="H1530" s="16"/>
    </row>
    <row r="1531" spans="1:8" ht="12.5">
      <c r="A1531" s="24"/>
      <c r="B1531" s="17"/>
      <c r="C1531" s="24"/>
      <c r="D1531" s="16"/>
      <c r="E1531" s="16"/>
      <c r="F1531" s="16" t="str">
        <f ca="1">IFERROR(__xludf.DUMMYFUNCTION("""COMPUTED_VALUE"""),"Transaction cost")</f>
        <v>Transaction cost</v>
      </c>
      <c r="G1531" s="16"/>
      <c r="H1531" s="16"/>
    </row>
    <row r="1532" spans="1:8" ht="12.5">
      <c r="A1532" s="24"/>
      <c r="B1532" s="17"/>
      <c r="C1532" s="24"/>
      <c r="D1532" s="16"/>
      <c r="E1532" s="16"/>
      <c r="F1532" s="16" t="str">
        <f ca="1">IFERROR(__xludf.DUMMYFUNCTION("""COMPUTED_VALUE"""),"Transaction cost")</f>
        <v>Transaction cost</v>
      </c>
      <c r="G1532" s="16"/>
      <c r="H1532" s="16"/>
    </row>
    <row r="1533" spans="1:8" ht="12.5">
      <c r="A1533" s="24"/>
      <c r="B1533" s="17"/>
      <c r="C1533" s="24"/>
      <c r="D1533" s="16"/>
      <c r="E1533" s="16"/>
      <c r="F1533" s="16" t="str">
        <f ca="1">IFERROR(__xludf.DUMMYFUNCTION("""COMPUTED_VALUE"""),"Transaction cost")</f>
        <v>Transaction cost</v>
      </c>
      <c r="G1533" s="16"/>
      <c r="H1533" s="16"/>
    </row>
    <row r="1534" spans="1:8" ht="12.5">
      <c r="A1534" s="24"/>
      <c r="B1534" s="17"/>
      <c r="C1534" s="24"/>
      <c r="D1534" s="16"/>
      <c r="E1534" s="16"/>
      <c r="F1534" s="16" t="str">
        <f ca="1">IFERROR(__xludf.DUMMYFUNCTION("""COMPUTED_VALUE"""),"Transaction cost")</f>
        <v>Transaction cost</v>
      </c>
      <c r="G1534" s="16"/>
      <c r="H1534" s="16"/>
    </row>
    <row r="1535" spans="1:8" ht="12.5">
      <c r="A1535" s="24"/>
      <c r="B1535" s="17"/>
      <c r="C1535" s="24"/>
      <c r="D1535" s="16"/>
      <c r="E1535" s="16"/>
      <c r="F1535" s="16"/>
      <c r="G1535" s="16"/>
      <c r="H1535" s="16"/>
    </row>
    <row r="1536" spans="1:8" ht="12.5">
      <c r="A1536" s="24"/>
      <c r="B1536" s="17"/>
      <c r="C1536" s="24"/>
      <c r="D1536" s="16"/>
      <c r="E1536" s="16"/>
      <c r="F1536" s="16"/>
      <c r="G1536" s="16"/>
      <c r="H1536" s="16"/>
    </row>
    <row r="1537" spans="1:8" ht="12.5">
      <c r="A1537" s="24"/>
      <c r="B1537" s="17"/>
      <c r="C1537" s="24"/>
      <c r="D1537" s="16"/>
      <c r="E1537" s="16"/>
      <c r="F1537" s="16"/>
      <c r="G1537" s="16"/>
      <c r="H1537" s="16"/>
    </row>
    <row r="1538" spans="1:8" ht="12.5">
      <c r="A1538" s="24"/>
      <c r="B1538" s="17"/>
      <c r="C1538" s="24"/>
      <c r="D1538" s="16"/>
      <c r="E1538" s="16"/>
      <c r="F1538" s="16"/>
      <c r="G1538" s="16"/>
      <c r="H1538" s="16"/>
    </row>
    <row r="1539" spans="1:8" ht="12.5">
      <c r="A1539" s="24"/>
      <c r="B1539" s="17"/>
      <c r="C1539" s="24"/>
      <c r="D1539" s="16"/>
      <c r="E1539" s="16"/>
      <c r="F1539" s="16"/>
      <c r="G1539" s="16"/>
      <c r="H1539" s="16"/>
    </row>
    <row r="1540" spans="1:8" ht="12.5">
      <c r="A1540" s="24"/>
      <c r="B1540" s="17"/>
      <c r="C1540" s="24"/>
      <c r="D1540" s="16"/>
      <c r="E1540" s="16"/>
      <c r="F1540" s="16"/>
      <c r="G1540" s="16"/>
      <c r="H1540" s="16"/>
    </row>
    <row r="1541" spans="1:8" ht="12.5">
      <c r="A1541" s="24"/>
      <c r="B1541" s="17"/>
      <c r="C1541" s="24"/>
      <c r="D1541" s="16"/>
      <c r="E1541" s="16"/>
      <c r="F1541" s="16"/>
      <c r="G1541" s="16"/>
      <c r="H1541" s="16"/>
    </row>
    <row r="1542" spans="1:8" ht="12.5">
      <c r="A1542" s="24"/>
      <c r="B1542" s="17"/>
      <c r="C1542" s="24"/>
      <c r="D1542" s="16"/>
      <c r="E1542" s="16"/>
      <c r="F1542" s="16"/>
      <c r="G1542" s="16"/>
      <c r="H1542" s="16"/>
    </row>
    <row r="1543" spans="1:8" ht="12.5">
      <c r="A1543" s="24"/>
      <c r="B1543" s="17"/>
      <c r="C1543" s="24"/>
      <c r="D1543" s="16"/>
      <c r="E1543" s="16"/>
      <c r="F1543" s="16"/>
      <c r="G1543" s="16"/>
      <c r="H1543" s="16"/>
    </row>
    <row r="1544" spans="1:8" ht="12.5">
      <c r="A1544" s="24"/>
      <c r="B1544" s="17"/>
      <c r="C1544" s="24"/>
      <c r="D1544" s="16"/>
      <c r="E1544" s="16"/>
      <c r="F1544" s="16"/>
      <c r="G1544" s="16"/>
      <c r="H1544" s="16"/>
    </row>
    <row r="1545" spans="1:8" ht="12.5">
      <c r="A1545" s="24"/>
      <c r="B1545" s="17"/>
      <c r="C1545" s="24"/>
      <c r="D1545" s="16"/>
      <c r="E1545" s="16"/>
      <c r="F1545" s="16"/>
      <c r="G1545" s="16"/>
      <c r="H1545" s="16"/>
    </row>
    <row r="1546" spans="1:8" ht="12.5">
      <c r="A1546" s="24"/>
      <c r="B1546" s="17"/>
      <c r="C1546" s="24"/>
      <c r="D1546" s="16"/>
      <c r="E1546" s="16"/>
      <c r="F1546" s="16"/>
      <c r="G1546" s="16"/>
      <c r="H1546" s="16"/>
    </row>
    <row r="1547" spans="1:8" ht="12.5">
      <c r="A1547" s="24"/>
      <c r="B1547" s="17"/>
      <c r="C1547" s="24"/>
      <c r="D1547" s="16"/>
      <c r="E1547" s="16"/>
      <c r="F1547" s="16"/>
      <c r="G1547" s="16"/>
      <c r="H1547" s="16"/>
    </row>
    <row r="1548" spans="1:8" ht="12.5">
      <c r="A1548" s="24"/>
      <c r="B1548" s="17"/>
      <c r="C1548" s="24"/>
      <c r="D1548" s="16"/>
      <c r="E1548" s="16"/>
      <c r="F1548" s="16"/>
      <c r="G1548" s="16"/>
      <c r="H1548" s="16"/>
    </row>
    <row r="1549" spans="1:8" ht="12.5">
      <c r="A1549" s="24"/>
      <c r="B1549" s="17"/>
      <c r="C1549" s="24"/>
      <c r="D1549" s="16"/>
      <c r="E1549" s="16"/>
      <c r="F1549" s="16"/>
      <c r="G1549" s="16"/>
      <c r="H1549" s="16"/>
    </row>
    <row r="1550" spans="1:8" ht="12.5">
      <c r="A1550" s="24"/>
      <c r="B1550" s="17"/>
      <c r="C1550" s="24"/>
      <c r="D1550" s="16"/>
      <c r="E1550" s="16"/>
      <c r="F1550" s="16"/>
      <c r="G1550" s="16"/>
      <c r="H1550" s="16"/>
    </row>
    <row r="1551" spans="1:8" ht="12.5">
      <c r="A1551" s="24"/>
      <c r="B1551" s="17"/>
      <c r="C1551" s="24"/>
      <c r="D1551" s="16"/>
      <c r="G1551" s="16"/>
      <c r="H1551" s="16"/>
    </row>
    <row r="1552" spans="1:8" ht="12.5">
      <c r="A1552" s="24"/>
      <c r="B1552" s="17"/>
      <c r="C1552" s="24"/>
      <c r="D1552" s="16"/>
      <c r="E1552" s="16"/>
      <c r="F1552" s="16"/>
      <c r="G1552" s="16"/>
      <c r="H1552" s="16"/>
    </row>
    <row r="1553" spans="1:8" ht="12.5">
      <c r="A1553" s="24"/>
      <c r="B1553" s="17"/>
      <c r="C1553" s="24"/>
      <c r="D1553" s="16"/>
      <c r="E1553" s="16"/>
      <c r="F1553" s="16"/>
      <c r="G1553" s="16"/>
      <c r="H1553" s="16"/>
    </row>
    <row r="1554" spans="1:8" ht="12.5">
      <c r="A1554" s="24"/>
      <c r="B1554" s="17"/>
      <c r="C1554" s="24"/>
      <c r="D1554" s="16"/>
      <c r="E1554" s="16"/>
      <c r="F1554" s="16"/>
      <c r="G1554" s="16"/>
      <c r="H1554" s="16"/>
    </row>
    <row r="1555" spans="1:8" ht="12.5">
      <c r="A1555" s="24"/>
      <c r="B1555" s="17"/>
      <c r="C1555" s="24"/>
      <c r="D1555" s="16"/>
      <c r="E1555" s="16"/>
      <c r="F1555" s="16"/>
      <c r="G1555" s="16"/>
      <c r="H1555" s="16"/>
    </row>
    <row r="1556" spans="1:8" ht="12.5">
      <c r="A1556" s="24"/>
      <c r="B1556" s="17"/>
      <c r="C1556" s="24"/>
      <c r="D1556" s="16"/>
      <c r="E1556" s="16"/>
      <c r="F1556" s="16"/>
      <c r="G1556" s="16"/>
      <c r="H1556" s="16"/>
    </row>
    <row r="1557" spans="1:8" ht="12.5">
      <c r="A1557" s="24"/>
      <c r="B1557" s="17"/>
      <c r="C1557" s="24"/>
      <c r="D1557" s="16"/>
      <c r="E1557" s="16"/>
      <c r="F1557" s="16"/>
      <c r="G1557" s="16"/>
      <c r="H1557" s="16"/>
    </row>
    <row r="1558" spans="1:8" ht="12.5">
      <c r="A1558" s="24"/>
      <c r="B1558" s="17"/>
      <c r="C1558" s="24"/>
      <c r="D1558" s="16"/>
      <c r="E1558" s="16"/>
      <c r="F1558" s="16"/>
      <c r="G1558" s="16"/>
      <c r="H1558" s="16"/>
    </row>
    <row r="1559" spans="1:8" ht="12.5">
      <c r="A1559" s="24"/>
      <c r="B1559" s="17"/>
      <c r="C1559" s="24"/>
      <c r="D1559" s="16"/>
      <c r="E1559" s="16"/>
      <c r="F1559" s="16"/>
      <c r="G1559" s="16"/>
      <c r="H1559" s="16"/>
    </row>
    <row r="1560" spans="1:8" ht="12.5">
      <c r="A1560" s="24"/>
      <c r="B1560" s="17"/>
      <c r="C1560" s="24"/>
      <c r="D1560" s="16"/>
      <c r="E1560" s="16"/>
      <c r="F1560" s="16"/>
      <c r="G1560" s="16"/>
      <c r="H1560" s="16"/>
    </row>
    <row r="1561" spans="1:8" ht="12.5">
      <c r="A1561" s="24"/>
      <c r="B1561" s="17"/>
      <c r="C1561" s="24"/>
      <c r="D1561" s="16"/>
      <c r="E1561" s="16"/>
      <c r="F1561" s="16"/>
      <c r="G1561" s="16"/>
      <c r="H1561" s="16"/>
    </row>
    <row r="1562" spans="1:8" ht="12.5">
      <c r="A1562" s="24"/>
      <c r="B1562" s="17"/>
      <c r="C1562" s="24"/>
      <c r="D1562" s="16"/>
      <c r="E1562" s="16"/>
      <c r="F1562" s="16"/>
      <c r="G1562" s="16"/>
      <c r="H1562" s="16"/>
    </row>
    <row r="1563" spans="1:8" ht="12.5">
      <c r="A1563" s="24"/>
      <c r="B1563" s="17"/>
      <c r="C1563" s="24"/>
      <c r="D1563" s="16"/>
      <c r="E1563" s="16"/>
      <c r="F1563" s="16"/>
      <c r="G1563" s="16"/>
      <c r="H1563" s="16"/>
    </row>
    <row r="1564" spans="1:8" ht="12.5">
      <c r="A1564" s="24"/>
      <c r="B1564" s="17"/>
      <c r="C1564" s="24"/>
      <c r="D1564" s="16"/>
      <c r="E1564" s="16"/>
      <c r="F1564" s="16"/>
      <c r="G1564" s="16"/>
      <c r="H1564" s="16"/>
    </row>
    <row r="1565" spans="1:8" ht="12.5">
      <c r="A1565" s="24"/>
      <c r="B1565" s="17"/>
      <c r="C1565" s="24"/>
      <c r="D1565" s="16"/>
      <c r="E1565" s="16"/>
      <c r="F1565" s="16"/>
      <c r="G1565" s="16"/>
      <c r="H1565" s="16"/>
    </row>
    <row r="1566" spans="1:8" ht="12.5">
      <c r="A1566" s="24"/>
      <c r="B1566" s="17"/>
      <c r="C1566" s="24"/>
      <c r="D1566" s="16"/>
      <c r="E1566" s="16"/>
      <c r="F1566" s="16"/>
      <c r="G1566" s="16"/>
      <c r="H1566" s="16"/>
    </row>
    <row r="1567" spans="1:8" ht="12.5">
      <c r="A1567" s="24"/>
      <c r="B1567" s="17"/>
      <c r="C1567" s="24"/>
      <c r="D1567" s="16"/>
      <c r="E1567" s="16"/>
      <c r="F1567" s="16"/>
      <c r="G1567" s="16"/>
      <c r="H1567" s="16"/>
    </row>
    <row r="1568" spans="1:8" ht="12.5">
      <c r="A1568" s="24"/>
      <c r="B1568" s="17"/>
      <c r="C1568" s="24"/>
      <c r="D1568" s="16"/>
      <c r="E1568" s="16"/>
      <c r="F1568" s="16"/>
      <c r="G1568" s="16"/>
      <c r="H1568" s="16"/>
    </row>
    <row r="1569" spans="1:8" ht="12.5">
      <c r="A1569" s="24"/>
      <c r="B1569" s="17"/>
      <c r="C1569" s="24"/>
      <c r="D1569" s="16"/>
      <c r="E1569" s="16"/>
      <c r="F1569" s="16"/>
      <c r="G1569" s="16"/>
      <c r="H1569" s="16"/>
    </row>
    <row r="1570" spans="1:8" ht="12.5">
      <c r="A1570" s="24"/>
      <c r="B1570" s="17"/>
      <c r="C1570" s="24"/>
      <c r="D1570" s="16"/>
      <c r="E1570" s="16"/>
      <c r="F1570" s="16"/>
      <c r="G1570" s="16"/>
      <c r="H1570" s="16"/>
    </row>
    <row r="1571" spans="1:8" ht="12.5">
      <c r="A1571" s="24"/>
      <c r="B1571" s="17"/>
      <c r="C1571" s="24"/>
      <c r="D1571" s="16"/>
      <c r="E1571" s="16"/>
      <c r="F1571" s="16"/>
      <c r="G1571" s="16"/>
      <c r="H1571" s="16"/>
    </row>
    <row r="1572" spans="1:8" ht="12.5">
      <c r="A1572" s="24"/>
      <c r="B1572" s="17"/>
      <c r="C1572" s="24"/>
      <c r="D1572" s="16"/>
      <c r="E1572" s="16"/>
      <c r="F1572" s="16"/>
      <c r="G1572" s="16"/>
      <c r="H1572" s="16"/>
    </row>
    <row r="1573" spans="1:8" ht="12.5">
      <c r="A1573" s="24"/>
      <c r="B1573" s="17"/>
      <c r="C1573" s="24"/>
      <c r="D1573" s="16"/>
      <c r="E1573" s="16"/>
      <c r="F1573" s="16"/>
      <c r="G1573" s="16"/>
      <c r="H1573" s="16"/>
    </row>
    <row r="1574" spans="1:8" ht="12.5">
      <c r="A1574" s="24"/>
      <c r="B1574" s="17"/>
      <c r="C1574" s="24"/>
      <c r="D1574" s="16"/>
      <c r="E1574" s="16"/>
      <c r="F1574" s="16"/>
      <c r="G1574" s="16"/>
      <c r="H1574" s="16"/>
    </row>
    <row r="1575" spans="1:8" ht="12.5">
      <c r="A1575" s="24"/>
      <c r="B1575" s="17"/>
      <c r="C1575" s="24"/>
      <c r="D1575" s="16"/>
      <c r="E1575" s="16"/>
      <c r="F1575" s="16"/>
      <c r="G1575" s="16"/>
      <c r="H1575" s="16"/>
    </row>
    <row r="1576" spans="1:8" ht="12.5">
      <c r="A1576" s="24"/>
      <c r="B1576" s="17"/>
      <c r="C1576" s="24"/>
      <c r="D1576" s="16"/>
      <c r="E1576" s="16"/>
      <c r="F1576" s="16"/>
      <c r="G1576" s="16"/>
      <c r="H1576" s="16"/>
    </row>
    <row r="1577" spans="1:8" ht="12.5">
      <c r="A1577" s="24"/>
      <c r="B1577" s="17"/>
      <c r="C1577" s="24"/>
      <c r="D1577" s="16"/>
      <c r="E1577" s="16"/>
      <c r="F1577" s="16"/>
      <c r="G1577" s="16"/>
      <c r="H1577" s="16"/>
    </row>
    <row r="1578" spans="1:8" ht="12.5">
      <c r="A1578" s="24"/>
      <c r="B1578" s="17"/>
      <c r="C1578" s="24"/>
      <c r="D1578" s="16"/>
      <c r="E1578" s="16"/>
      <c r="F1578" s="16"/>
      <c r="G1578" s="16"/>
      <c r="H1578" s="16"/>
    </row>
    <row r="1579" spans="1:8" ht="12.5">
      <c r="A1579" s="24"/>
      <c r="B1579" s="17"/>
      <c r="C1579" s="24"/>
      <c r="D1579" s="16"/>
      <c r="E1579" s="16"/>
      <c r="F1579" s="16"/>
      <c r="G1579" s="16"/>
      <c r="H1579" s="16"/>
    </row>
    <row r="1580" spans="1:8" ht="12.5">
      <c r="A1580" s="24"/>
      <c r="B1580" s="17"/>
      <c r="C1580" s="24"/>
      <c r="D1580" s="16"/>
      <c r="E1580" s="16"/>
      <c r="F1580" s="16"/>
      <c r="G1580" s="16"/>
      <c r="H1580" s="16"/>
    </row>
    <row r="1581" spans="1:8" ht="12.5">
      <c r="A1581" s="24"/>
      <c r="B1581" s="17"/>
      <c r="C1581" s="24"/>
      <c r="D1581" s="16"/>
      <c r="E1581" s="16"/>
      <c r="F1581" s="16"/>
      <c r="G1581" s="16"/>
      <c r="H1581" s="16"/>
    </row>
    <row r="1582" spans="1:8" ht="12.5">
      <c r="A1582" s="24"/>
      <c r="B1582" s="17"/>
      <c r="C1582" s="24"/>
      <c r="D1582" s="16"/>
      <c r="E1582" s="16"/>
      <c r="F1582" s="16"/>
      <c r="G1582" s="16"/>
      <c r="H1582" s="16"/>
    </row>
    <row r="1583" spans="1:8" ht="12.5">
      <c r="A1583" s="24"/>
      <c r="B1583" s="17"/>
      <c r="C1583" s="24"/>
      <c r="D1583" s="16"/>
      <c r="E1583" s="16"/>
      <c r="F1583" s="16"/>
      <c r="G1583" s="16"/>
      <c r="H1583" s="16"/>
    </row>
    <row r="1584" spans="1:8" ht="12.5">
      <c r="A1584" s="24"/>
      <c r="B1584" s="17"/>
      <c r="C1584" s="24"/>
      <c r="D1584" s="16"/>
      <c r="E1584" s="16"/>
      <c r="F1584" s="16"/>
      <c r="G1584" s="16"/>
      <c r="H1584" s="16"/>
    </row>
    <row r="1585" spans="1:8" ht="12.5">
      <c r="A1585" s="24"/>
      <c r="B1585" s="17"/>
      <c r="C1585" s="24"/>
      <c r="D1585" s="16"/>
      <c r="E1585" s="16"/>
      <c r="F1585" s="16"/>
      <c r="G1585" s="16"/>
      <c r="H1585" s="16"/>
    </row>
    <row r="1586" spans="1:8" ht="12.5">
      <c r="A1586" s="24"/>
      <c r="B1586" s="17"/>
      <c r="C1586" s="24"/>
      <c r="D1586" s="16"/>
      <c r="E1586" s="16"/>
      <c r="F1586" s="16"/>
      <c r="G1586" s="16"/>
      <c r="H1586" s="16"/>
    </row>
    <row r="1587" spans="1:8" ht="12.5">
      <c r="A1587" s="24"/>
      <c r="B1587" s="17"/>
      <c r="C1587" s="24"/>
      <c r="D1587" s="16"/>
      <c r="E1587" s="16"/>
      <c r="F1587" s="16"/>
      <c r="G1587" s="16"/>
      <c r="H1587" s="16"/>
    </row>
    <row r="1588" spans="1:8" ht="12.5">
      <c r="A1588" s="24"/>
      <c r="B1588" s="17"/>
      <c r="C1588" s="24"/>
      <c r="D1588" s="16"/>
      <c r="E1588" s="16"/>
      <c r="F1588" s="16"/>
      <c r="G1588" s="16"/>
      <c r="H1588" s="16"/>
    </row>
    <row r="1589" spans="1:8" ht="12.5">
      <c r="A1589" s="24"/>
      <c r="B1589" s="17"/>
      <c r="C1589" s="24"/>
      <c r="D1589" s="16"/>
      <c r="E1589" s="16"/>
      <c r="F1589" s="16"/>
      <c r="G1589" s="16"/>
      <c r="H1589" s="16"/>
    </row>
    <row r="1590" spans="1:8" ht="12.5">
      <c r="A1590" s="24"/>
      <c r="B1590" s="17"/>
      <c r="C1590" s="24"/>
      <c r="D1590" s="16"/>
      <c r="E1590" s="16"/>
      <c r="F1590" s="16"/>
      <c r="G1590" s="16"/>
      <c r="H1590" s="16"/>
    </row>
    <row r="1591" spans="1:8" ht="12.5">
      <c r="A1591" s="24"/>
      <c r="B1591" s="17"/>
      <c r="C1591" s="24"/>
      <c r="D1591" s="16"/>
      <c r="E1591" s="16"/>
      <c r="F1591" s="16"/>
      <c r="G1591" s="16"/>
      <c r="H1591" s="16"/>
    </row>
    <row r="1592" spans="1:8" ht="12.5">
      <c r="A1592" s="24"/>
      <c r="B1592" s="17"/>
      <c r="C1592" s="24"/>
      <c r="D1592" s="16"/>
      <c r="E1592" s="16"/>
      <c r="F1592" s="16"/>
      <c r="G1592" s="16"/>
      <c r="H1592" s="16"/>
    </row>
    <row r="1593" spans="1:8" ht="12.5">
      <c r="A1593" s="24"/>
      <c r="B1593" s="17"/>
      <c r="C1593" s="24"/>
      <c r="D1593" s="16"/>
      <c r="E1593" s="16"/>
      <c r="F1593" s="16"/>
      <c r="G1593" s="16"/>
      <c r="H1593" s="16"/>
    </row>
    <row r="1594" spans="1:8" ht="12.5">
      <c r="A1594" s="24"/>
      <c r="B1594" s="17"/>
      <c r="C1594" s="24"/>
      <c r="D1594" s="16"/>
      <c r="E1594" s="16"/>
      <c r="F1594" s="16"/>
      <c r="G1594" s="16"/>
      <c r="H1594" s="16"/>
    </row>
    <row r="1595" spans="1:8" ht="12.5">
      <c r="A1595" s="24"/>
      <c r="B1595" s="17"/>
      <c r="C1595" s="24"/>
      <c r="D1595" s="16"/>
      <c r="E1595" s="16"/>
      <c r="F1595" s="16"/>
      <c r="G1595" s="16"/>
      <c r="H1595" s="16"/>
    </row>
    <row r="1596" spans="1:8" ht="12.5">
      <c r="A1596" s="24"/>
      <c r="B1596" s="17"/>
      <c r="C1596" s="24"/>
      <c r="D1596" s="16"/>
      <c r="E1596" s="16"/>
      <c r="F1596" s="16"/>
      <c r="G1596" s="16"/>
      <c r="H1596" s="16"/>
    </row>
    <row r="1597" spans="1:8" ht="12.5">
      <c r="A1597" s="24"/>
      <c r="B1597" s="17"/>
      <c r="C1597" s="24"/>
      <c r="D1597" s="16"/>
      <c r="E1597" s="16"/>
      <c r="F1597" s="16"/>
      <c r="G1597" s="16"/>
      <c r="H1597" s="16"/>
    </row>
    <row r="1598" spans="1:8" ht="12.5">
      <c r="A1598" s="24"/>
      <c r="B1598" s="17"/>
      <c r="C1598" s="24"/>
      <c r="D1598" s="16"/>
      <c r="E1598" s="16"/>
      <c r="F1598" s="16"/>
      <c r="G1598" s="16"/>
      <c r="H1598" s="16"/>
    </row>
    <row r="1599" spans="1:8" ht="12.5">
      <c r="A1599" s="24"/>
      <c r="B1599" s="17"/>
      <c r="C1599" s="24"/>
      <c r="D1599" s="16"/>
      <c r="E1599" s="16"/>
      <c r="F1599" s="16"/>
      <c r="G1599" s="16"/>
      <c r="H1599" s="16"/>
    </row>
    <row r="1600" spans="1:8" ht="12.5">
      <c r="A1600" s="24"/>
      <c r="B1600" s="17"/>
      <c r="C1600" s="24"/>
      <c r="D1600" s="16"/>
      <c r="E1600" s="16"/>
      <c r="F1600" s="16"/>
      <c r="G1600" s="16"/>
      <c r="H1600" s="16"/>
    </row>
    <row r="1601" spans="1:8" ht="12.5">
      <c r="A1601" s="24"/>
      <c r="B1601" s="17"/>
      <c r="C1601" s="24"/>
      <c r="D1601" s="16"/>
      <c r="E1601" s="16"/>
      <c r="F1601" s="16"/>
      <c r="G1601" s="16"/>
      <c r="H1601" s="16"/>
    </row>
    <row r="1602" spans="1:8" ht="12.5">
      <c r="A1602" s="24"/>
      <c r="B1602" s="17"/>
      <c r="C1602" s="24"/>
      <c r="D1602" s="16"/>
      <c r="E1602" s="16"/>
      <c r="F1602" s="16"/>
      <c r="G1602" s="16"/>
      <c r="H1602" s="16"/>
    </row>
    <row r="1603" spans="1:8" ht="12.5">
      <c r="A1603" s="24"/>
      <c r="B1603" s="17"/>
      <c r="C1603" s="24"/>
      <c r="D1603" s="16"/>
      <c r="E1603" s="16"/>
      <c r="F1603" s="16"/>
      <c r="G1603" s="16"/>
      <c r="H1603" s="16"/>
    </row>
    <row r="1604" spans="1:8" ht="12.5">
      <c r="A1604" s="24"/>
      <c r="B1604" s="17"/>
      <c r="C1604" s="24"/>
      <c r="D1604" s="16"/>
      <c r="E1604" s="16"/>
      <c r="F1604" s="16"/>
      <c r="G1604" s="16"/>
      <c r="H1604" s="16"/>
    </row>
    <row r="1605" spans="1:8" ht="12.5">
      <c r="A1605" s="24"/>
      <c r="B1605" s="17"/>
      <c r="C1605" s="24"/>
      <c r="D1605" s="16"/>
      <c r="E1605" s="16"/>
      <c r="F1605" s="16"/>
      <c r="G1605" s="16"/>
      <c r="H1605" s="16"/>
    </row>
    <row r="1606" spans="1:8" ht="12.5">
      <c r="A1606" s="24"/>
      <c r="B1606" s="17"/>
      <c r="C1606" s="24"/>
      <c r="D1606" s="16"/>
      <c r="E1606" s="16"/>
      <c r="F1606" s="16"/>
      <c r="G1606" s="16"/>
      <c r="H1606" s="16"/>
    </row>
    <row r="1607" spans="1:8" ht="12.5">
      <c r="A1607" s="24"/>
      <c r="B1607" s="17"/>
      <c r="C1607" s="24"/>
      <c r="D1607" s="16"/>
      <c r="E1607" s="16"/>
      <c r="F1607" s="16"/>
      <c r="G1607" s="16"/>
      <c r="H1607" s="16"/>
    </row>
    <row r="1608" spans="1:8" ht="12.5">
      <c r="A1608" s="24"/>
      <c r="B1608" s="17"/>
      <c r="C1608" s="24"/>
      <c r="D1608" s="16"/>
      <c r="E1608" s="16"/>
      <c r="F1608" s="16"/>
      <c r="G1608" s="16"/>
      <c r="H1608" s="16"/>
    </row>
    <row r="1609" spans="1:8" ht="12.5">
      <c r="A1609" s="24"/>
      <c r="B1609" s="17"/>
      <c r="C1609" s="24"/>
      <c r="D1609" s="16"/>
      <c r="E1609" s="16"/>
      <c r="F1609" s="16"/>
      <c r="G1609" s="16"/>
      <c r="H1609" s="16"/>
    </row>
    <row r="1610" spans="1:8" ht="12.5">
      <c r="A1610" s="24"/>
      <c r="B1610" s="17"/>
      <c r="C1610" s="24"/>
      <c r="D1610" s="16"/>
      <c r="E1610" s="16"/>
      <c r="F1610" s="16"/>
      <c r="G1610" s="16"/>
      <c r="H1610" s="16"/>
    </row>
    <row r="1611" spans="1:8" ht="12.5">
      <c r="A1611" s="24"/>
      <c r="B1611" s="17"/>
      <c r="C1611" s="24"/>
      <c r="D1611" s="16"/>
      <c r="E1611" s="16"/>
      <c r="F1611" s="16"/>
      <c r="G1611" s="16"/>
      <c r="H1611" s="16"/>
    </row>
    <row r="1612" spans="1:8" ht="12.5">
      <c r="A1612" s="24"/>
      <c r="B1612" s="17"/>
      <c r="C1612" s="24"/>
      <c r="D1612" s="16"/>
      <c r="E1612" s="16"/>
      <c r="F1612" s="16"/>
      <c r="G1612" s="16"/>
      <c r="H1612" s="16"/>
    </row>
    <row r="1613" spans="1:8" ht="12.5">
      <c r="A1613" s="24"/>
      <c r="B1613" s="17"/>
      <c r="C1613" s="24"/>
      <c r="D1613" s="16"/>
      <c r="E1613" s="16"/>
      <c r="F1613" s="16"/>
      <c r="G1613" s="16"/>
      <c r="H1613" s="16"/>
    </row>
    <row r="1614" spans="1:8" ht="12.5">
      <c r="A1614" s="24"/>
      <c r="B1614" s="17"/>
      <c r="C1614" s="24"/>
      <c r="D1614" s="16"/>
      <c r="E1614" s="16"/>
      <c r="F1614" s="16"/>
      <c r="G1614" s="16"/>
      <c r="H1614" s="16"/>
    </row>
    <row r="1615" spans="1:8" ht="12.5">
      <c r="A1615" s="24"/>
      <c r="B1615" s="17"/>
      <c r="C1615" s="24"/>
      <c r="D1615" s="16"/>
      <c r="E1615" s="16"/>
      <c r="F1615" s="16"/>
      <c r="G1615" s="16"/>
      <c r="H1615" s="16"/>
    </row>
    <row r="1616" spans="1:8" ht="12.5">
      <c r="A1616" s="24"/>
      <c r="B1616" s="17"/>
      <c r="C1616" s="24"/>
      <c r="D1616" s="16"/>
      <c r="E1616" s="16"/>
      <c r="F1616" s="16"/>
      <c r="G1616" s="16"/>
      <c r="H1616" s="16"/>
    </row>
    <row r="1617" spans="1:8" ht="12.5">
      <c r="A1617" s="24"/>
      <c r="B1617" s="17"/>
      <c r="C1617" s="24"/>
      <c r="D1617" s="16"/>
      <c r="E1617" s="16"/>
      <c r="F1617" s="16"/>
      <c r="G1617" s="16"/>
      <c r="H1617" s="16"/>
    </row>
    <row r="1618" spans="1:8" ht="12.5">
      <c r="A1618" s="24"/>
      <c r="B1618" s="17"/>
      <c r="C1618" s="24"/>
      <c r="D1618" s="16"/>
      <c r="E1618" s="16"/>
      <c r="F1618" s="16"/>
      <c r="G1618" s="16"/>
      <c r="H1618" s="16"/>
    </row>
    <row r="1619" spans="1:8" ht="12.5">
      <c r="A1619" s="24"/>
      <c r="B1619" s="17"/>
      <c r="C1619" s="24"/>
      <c r="D1619" s="16"/>
      <c r="E1619" s="16"/>
      <c r="F1619" s="16"/>
      <c r="G1619" s="16"/>
      <c r="H1619" s="16"/>
    </row>
    <row r="1620" spans="1:8" ht="12.5">
      <c r="A1620" s="24"/>
      <c r="B1620" s="17"/>
      <c r="C1620" s="24"/>
      <c r="D1620" s="16"/>
      <c r="E1620" s="16"/>
      <c r="F1620" s="16"/>
      <c r="G1620" s="16"/>
      <c r="H1620" s="16"/>
    </row>
    <row r="1621" spans="1:8" ht="12.5">
      <c r="A1621" s="24"/>
      <c r="B1621" s="17"/>
      <c r="C1621" s="24"/>
      <c r="D1621" s="16"/>
      <c r="E1621" s="16"/>
      <c r="F1621" s="16"/>
      <c r="G1621" s="16"/>
      <c r="H1621" s="16"/>
    </row>
    <row r="1622" spans="1:8" ht="12.5">
      <c r="A1622" s="24"/>
      <c r="B1622" s="17"/>
      <c r="C1622" s="24"/>
      <c r="D1622" s="16"/>
      <c r="E1622" s="16"/>
      <c r="F1622" s="16"/>
      <c r="G1622" s="16"/>
      <c r="H1622" s="16"/>
    </row>
    <row r="1623" spans="1:8" ht="12.5">
      <c r="A1623" s="24"/>
      <c r="B1623" s="17"/>
      <c r="C1623" s="24"/>
      <c r="D1623" s="16"/>
      <c r="E1623" s="16"/>
      <c r="F1623" s="16"/>
      <c r="G1623" s="16"/>
      <c r="H1623" s="16"/>
    </row>
    <row r="1624" spans="1:8" ht="12.5">
      <c r="A1624" s="24"/>
      <c r="B1624" s="17"/>
      <c r="C1624" s="24"/>
      <c r="D1624" s="16"/>
      <c r="E1624" s="16"/>
      <c r="F1624" s="16"/>
      <c r="G1624" s="16"/>
      <c r="H1624" s="16"/>
    </row>
    <row r="1625" spans="1:8" ht="12.5">
      <c r="A1625" s="24"/>
      <c r="B1625" s="17"/>
      <c r="C1625" s="24"/>
      <c r="D1625" s="16"/>
      <c r="E1625" s="16"/>
      <c r="F1625" s="16"/>
      <c r="G1625" s="16"/>
      <c r="H1625" s="16"/>
    </row>
    <row r="1626" spans="1:8" ht="12.5">
      <c r="A1626" s="24"/>
      <c r="B1626" s="17"/>
      <c r="C1626" s="24"/>
      <c r="D1626" s="16"/>
      <c r="E1626" s="16"/>
      <c r="F1626" s="16"/>
      <c r="G1626" s="16"/>
      <c r="H1626" s="16"/>
    </row>
    <row r="1627" spans="1:8" ht="12.5">
      <c r="A1627" s="24"/>
      <c r="B1627" s="17"/>
      <c r="C1627" s="24"/>
      <c r="D1627" s="16"/>
      <c r="E1627" s="16"/>
      <c r="F1627" s="16"/>
      <c r="G1627" s="16"/>
      <c r="H1627" s="16"/>
    </row>
    <row r="1628" spans="1:8" ht="12.5">
      <c r="A1628" s="24"/>
      <c r="B1628" s="17"/>
      <c r="C1628" s="24"/>
      <c r="D1628" s="16"/>
      <c r="E1628" s="16"/>
      <c r="F1628" s="16"/>
      <c r="G1628" s="16"/>
      <c r="H1628" s="16"/>
    </row>
    <row r="1629" spans="1:8" ht="12.5">
      <c r="A1629" s="24"/>
      <c r="B1629" s="17"/>
      <c r="C1629" s="24"/>
      <c r="D1629" s="16"/>
      <c r="E1629" s="16"/>
      <c r="F1629" s="16"/>
      <c r="G1629" s="16"/>
      <c r="H1629" s="16"/>
    </row>
    <row r="1630" spans="1:8" ht="12.5">
      <c r="A1630" s="24"/>
      <c r="B1630" s="17"/>
      <c r="C1630" s="24"/>
      <c r="D1630" s="16"/>
      <c r="E1630" s="16"/>
      <c r="F1630" s="16"/>
      <c r="G1630" s="16"/>
      <c r="H1630" s="16"/>
    </row>
    <row r="1631" spans="1:8" ht="12.5">
      <c r="A1631" s="24"/>
      <c r="B1631" s="17"/>
      <c r="C1631" s="24"/>
      <c r="D1631" s="16"/>
      <c r="E1631" s="16"/>
      <c r="F1631" s="16"/>
      <c r="G1631" s="16"/>
      <c r="H1631" s="16"/>
    </row>
    <row r="1632" spans="1:8" ht="12.5">
      <c r="A1632" s="24"/>
      <c r="B1632" s="17"/>
      <c r="C1632" s="24"/>
      <c r="D1632" s="16"/>
      <c r="E1632" s="16"/>
      <c r="F1632" s="16"/>
      <c r="G1632" s="16"/>
      <c r="H1632" s="16"/>
    </row>
    <row r="1633" spans="1:8" ht="12.5">
      <c r="A1633" s="24"/>
      <c r="B1633" s="17"/>
      <c r="C1633" s="24"/>
      <c r="D1633" s="16"/>
      <c r="E1633" s="16"/>
      <c r="F1633" s="16"/>
      <c r="G1633" s="16"/>
      <c r="H1633" s="16"/>
    </row>
    <row r="1634" spans="1:8" ht="12.5">
      <c r="A1634" s="24"/>
      <c r="B1634" s="17"/>
      <c r="C1634" s="24"/>
      <c r="D1634" s="16"/>
      <c r="E1634" s="16"/>
      <c r="F1634" s="16"/>
      <c r="G1634" s="16"/>
      <c r="H1634" s="16"/>
    </row>
    <row r="1635" spans="1:8" ht="12.5">
      <c r="A1635" s="24"/>
      <c r="B1635" s="17"/>
      <c r="C1635" s="24"/>
      <c r="D1635" s="16"/>
      <c r="E1635" s="16"/>
      <c r="F1635" s="16"/>
      <c r="G1635" s="16"/>
      <c r="H1635" s="16"/>
    </row>
    <row r="1636" spans="1:8" ht="12.5">
      <c r="A1636" s="24"/>
      <c r="B1636" s="17"/>
      <c r="C1636" s="24"/>
      <c r="D1636" s="16"/>
      <c r="E1636" s="16"/>
      <c r="F1636" s="16"/>
      <c r="G1636" s="16"/>
      <c r="H1636" s="16"/>
    </row>
    <row r="1637" spans="1:8" ht="12.5">
      <c r="A1637" s="24"/>
      <c r="B1637" s="17"/>
      <c r="C1637" s="24"/>
      <c r="D1637" s="16"/>
      <c r="E1637" s="16"/>
      <c r="F1637" s="16"/>
      <c r="G1637" s="16"/>
      <c r="H1637" s="16"/>
    </row>
    <row r="1638" spans="1:8" ht="12.5">
      <c r="A1638" s="24"/>
      <c r="B1638" s="17"/>
      <c r="C1638" s="24"/>
      <c r="D1638" s="16"/>
      <c r="E1638" s="16"/>
      <c r="F1638" s="16"/>
      <c r="G1638" s="16"/>
      <c r="H1638" s="16"/>
    </row>
    <row r="1639" spans="1:8" ht="12.5">
      <c r="A1639" s="24"/>
      <c r="B1639" s="17"/>
      <c r="C1639" s="24"/>
      <c r="D1639" s="16"/>
      <c r="E1639" s="16"/>
      <c r="F1639" s="16"/>
      <c r="G1639" s="16"/>
      <c r="H1639" s="16"/>
    </row>
    <row r="1640" spans="1:8" ht="12.5">
      <c r="A1640" s="24"/>
      <c r="B1640" s="17"/>
      <c r="C1640" s="24"/>
      <c r="D1640" s="16"/>
      <c r="E1640" s="16"/>
      <c r="F1640" s="16"/>
      <c r="G1640" s="16"/>
      <c r="H1640" s="16"/>
    </row>
    <row r="1641" spans="1:8" ht="12.5">
      <c r="A1641" s="24"/>
      <c r="B1641" s="17"/>
      <c r="C1641" s="24"/>
      <c r="D1641" s="16"/>
      <c r="E1641" s="16"/>
      <c r="F1641" s="16"/>
      <c r="G1641" s="16"/>
      <c r="H1641" s="16"/>
    </row>
    <row r="1642" spans="1:8" ht="12.5">
      <c r="A1642" s="24"/>
      <c r="B1642" s="17"/>
      <c r="C1642" s="24"/>
      <c r="D1642" s="16"/>
      <c r="E1642" s="37" t="str">
        <f ca="1">IFERROR(__xludf.DUMMYFUNCTION("IMPORTRANGE(""https://docs.google.com/spreadsheets/d/1HOK7I00Untwj8kMAaC_eZIYZ5zcV6JGVU3HjCyYBqk8/edit#gid=1404531132"",""#20 Gerardo Guadalupe Ruiz Huerta!A11:A80"")"),"CODI")</f>
        <v>CODI</v>
      </c>
      <c r="F1642" s="37" t="str">
        <f ca="1">IFERROR(__xludf.DUMMYFUNCTION("IMPORTRANGE(""https://docs.google.com/spreadsheets/d/1HOK7I00Untwj8kMAaC_eZIYZ5zcV6JGVU3HjCyYBqk8/edit#gid=1404531132"",""#20 Gerardo Guadalupe Ruiz Huerta!I11:K80"")"),"Expense Type")</f>
        <v>Expense Type</v>
      </c>
      <c r="G1642" s="16" t="str">
        <f ca="1">IFERROR(__xludf.DUMMYFUNCTION("""COMPUTED_VALUE"""),"DESCRIPCION DEL GASTO")</f>
        <v>DESCRIPCION DEL GASTO</v>
      </c>
      <c r="H1642" s="16" t="str">
        <f ca="1">IFERROR(__xludf.DUMMYFUNCTION("""COMPUTED_VALUE"""),"FOLIO FACTURA")</f>
        <v>FOLIO FACTURA</v>
      </c>
    </row>
    <row r="1643" spans="1:8" ht="12.5">
      <c r="A1643" s="24"/>
      <c r="B1643" s="17"/>
      <c r="C1643" s="24"/>
      <c r="D1643" s="16"/>
      <c r="E1643" s="16" t="str">
        <f ca="1">IFERROR(__xludf.DUMMYFUNCTION("""COMPUTED_VALUE"""),"#N/A")</f>
        <v>#N/A</v>
      </c>
      <c r="F1643" s="16" t="str">
        <f ca="1">IFERROR(__xludf.DUMMYFUNCTION("""COMPUTED_VALUE"""),"Transaction cost")</f>
        <v>Transaction cost</v>
      </c>
      <c r="G1643" s="16" t="str">
        <f ca="1">IFERROR(__xludf.DUMMYFUNCTION("""COMPUTED_VALUE"""),"Gas Operaciones AGO 2025")</f>
        <v>Gas Operaciones AGO 2025</v>
      </c>
      <c r="H1643" s="16" t="str">
        <f ca="1">IFERROR(__xludf.DUMMYFUNCTION("""COMPUTED_VALUE"""),"CLI53213103")</f>
        <v>CLI53213103</v>
      </c>
    </row>
    <row r="1644" spans="1:8" ht="12.5">
      <c r="A1644" s="24"/>
      <c r="B1644" s="17"/>
      <c r="C1644" s="24"/>
      <c r="D1644" s="16"/>
      <c r="E1644" s="16"/>
      <c r="F1644" s="16" t="str">
        <f ca="1">IFERROR(__xludf.DUMMYFUNCTION("""COMPUTED_VALUE"""),"Sales")</f>
        <v>Sales</v>
      </c>
      <c r="G1644" s="16" t="str">
        <f ca="1">IFERROR(__xludf.DUMMYFUNCTION("""COMPUTED_VALUE"""),"Envío de Muestras")</f>
        <v>Envío de Muestras</v>
      </c>
      <c r="H1644" s="16" t="str">
        <f ca="1">IFERROR(__xludf.DUMMYFUNCTION("""COMPUTED_VALUE"""),"ND")</f>
        <v>ND</v>
      </c>
    </row>
    <row r="1645" spans="1:8" ht="12.5">
      <c r="A1645" s="24"/>
      <c r="B1645" s="17"/>
      <c r="C1645" s="24"/>
      <c r="D1645" s="16"/>
      <c r="E1645" s="16"/>
      <c r="F1645" s="16" t="str">
        <f ca="1">IFERROR(__xludf.DUMMYFUNCTION("""COMPUTED_VALUE"""),"Recruiting")</f>
        <v>Recruiting</v>
      </c>
      <c r="G1645" s="16" t="str">
        <f ca="1">IFERROR(__xludf.DUMMYFUNCTION("""COMPUTED_VALUE"""),"Envío de Muestras")</f>
        <v>Envío de Muestras</v>
      </c>
      <c r="H1645" s="16" t="str">
        <f ca="1">IFERROR(__xludf.DUMMYFUNCTION("""COMPUTED_VALUE"""),"ND")</f>
        <v>ND</v>
      </c>
    </row>
    <row r="1646" spans="1:8" ht="12.5">
      <c r="A1646" s="24"/>
      <c r="B1646" s="17"/>
      <c r="C1646" s="24"/>
      <c r="D1646" s="16"/>
      <c r="E1646" s="16"/>
      <c r="F1646" s="16" t="str">
        <f ca="1">IFERROR(__xludf.DUMMYFUNCTION("""COMPUTED_VALUE"""),"Sales")</f>
        <v>Sales</v>
      </c>
      <c r="G1646" s="16" t="str">
        <f ca="1">IFERROR(__xludf.DUMMYFUNCTION("""COMPUTED_VALUE"""),"Envío de Muestras")</f>
        <v>Envío de Muestras</v>
      </c>
      <c r="H1646" s="16" t="str">
        <f ca="1">IFERROR(__xludf.DUMMYFUNCTION("""COMPUTED_VALUE"""),"ND")</f>
        <v>ND</v>
      </c>
    </row>
    <row r="1647" spans="1:8" ht="12.5">
      <c r="A1647" s="24"/>
      <c r="B1647" s="17"/>
      <c r="C1647" s="24"/>
      <c r="D1647" s="16"/>
      <c r="E1647" s="16"/>
      <c r="F1647" s="16" t="str">
        <f ca="1">IFERROR(__xludf.DUMMYFUNCTION("""COMPUTED_VALUE"""),"Sales")</f>
        <v>Sales</v>
      </c>
      <c r="G1647" s="16" t="str">
        <f ca="1">IFERROR(__xludf.DUMMYFUNCTION("""COMPUTED_VALUE"""),"Gas Visitas a Saltillo AGO 2025")</f>
        <v>Gas Visitas a Saltillo AGO 2025</v>
      </c>
      <c r="H1647" s="16">
        <f ca="1">IFERROR(__xludf.DUMMYFUNCTION("""COMPUTED_VALUE"""),3004016)</f>
        <v>3004016</v>
      </c>
    </row>
    <row r="1648" spans="1:8" ht="12.5">
      <c r="A1648" s="24"/>
      <c r="B1648" s="17"/>
      <c r="C1648" s="24"/>
      <c r="D1648" s="16"/>
      <c r="E1648" s="16"/>
      <c r="F1648" s="16" t="str">
        <f ca="1">IFERROR(__xludf.DUMMYFUNCTION("""COMPUTED_VALUE"""),"Office expenses")</f>
        <v>Office expenses</v>
      </c>
      <c r="G1648" s="16" t="str">
        <f ca="1">IFERROR(__xludf.DUMMYFUNCTION("""COMPUTED_VALUE"""),"Comida Offsite 2025")</f>
        <v>Comida Offsite 2025</v>
      </c>
      <c r="H1648" s="16" t="str">
        <f ca="1">IFERROR(__xludf.DUMMYFUNCTION("""COMPUTED_VALUE"""),"ND")</f>
        <v>ND</v>
      </c>
    </row>
    <row r="1649" spans="1:8" ht="12.5">
      <c r="A1649" s="24"/>
      <c r="B1649" s="17"/>
      <c r="C1649" s="24"/>
      <c r="D1649" s="16"/>
      <c r="E1649" s="16"/>
      <c r="F1649" s="16" t="str">
        <f ca="1">IFERROR(__xludf.DUMMYFUNCTION("""COMPUTED_VALUE"""),"Sales")</f>
        <v>Sales</v>
      </c>
      <c r="G1649" s="16" t="str">
        <f ca="1">IFERROR(__xludf.DUMMYFUNCTION("""COMPUTED_VALUE"""),"Envío de Muestras")</f>
        <v>Envío de Muestras</v>
      </c>
      <c r="H1649" s="16" t="str">
        <f ca="1">IFERROR(__xludf.DUMMYFUNCTION("""COMPUTED_VALUE"""),"ND")</f>
        <v>ND</v>
      </c>
    </row>
    <row r="1650" spans="1:8" ht="12.5">
      <c r="A1650" s="24"/>
      <c r="B1650" s="17"/>
      <c r="C1650" s="24"/>
      <c r="D1650" s="16"/>
      <c r="E1650" s="16"/>
      <c r="F1650" s="16" t="str">
        <f ca="1">IFERROR(__xludf.DUMMYFUNCTION("""COMPUTED_VALUE"""),"Office expenses")</f>
        <v>Office expenses</v>
      </c>
      <c r="G1650" s="16" t="str">
        <f ca="1">IFERROR(__xludf.DUMMYFUNCTION("""COMPUTED_VALUE"""),"Comida Offsite 2025")</f>
        <v>Comida Offsite 2025</v>
      </c>
      <c r="H1650" s="16">
        <f ca="1">IFERROR(__xludf.DUMMYFUNCTION("""COMPUTED_VALUE"""),66901114528144)</f>
        <v>66901114528144</v>
      </c>
    </row>
    <row r="1651" spans="1:8" ht="12.5">
      <c r="A1651" s="24"/>
      <c r="B1651" s="17"/>
      <c r="C1651" s="24"/>
      <c r="D1651" s="16"/>
      <c r="E1651" s="16"/>
      <c r="F1651" s="16" t="str">
        <f ca="1">IFERROR(__xludf.DUMMYFUNCTION("""COMPUTED_VALUE"""),"Office expenses")</f>
        <v>Office expenses</v>
      </c>
      <c r="G1651" s="16" t="str">
        <f ca="1">IFERROR(__xludf.DUMMYFUNCTION("""COMPUTED_VALUE"""),"Estacionamiento Aeropuerto Offsite 2025")</f>
        <v>Estacionamiento Aeropuerto Offsite 2025</v>
      </c>
      <c r="H1651" s="16">
        <f ca="1">IFERROR(__xludf.DUMMYFUNCTION("""COMPUTED_VALUE"""),2472283)</f>
        <v>2472283</v>
      </c>
    </row>
    <row r="1652" spans="1:8" ht="12.5">
      <c r="A1652" s="24"/>
      <c r="B1652" s="17"/>
      <c r="C1652" s="24"/>
      <c r="D1652" s="16"/>
      <c r="E1652" s="16"/>
      <c r="F1652" s="16" t="str">
        <f ca="1">IFERROR(__xludf.DUMMYFUNCTION("""COMPUTED_VALUE"""),"Transaction cost")</f>
        <v>Transaction cost</v>
      </c>
      <c r="G1652" s="16" t="str">
        <f ca="1">IFERROR(__xludf.DUMMYFUNCTION("""COMPUTED_VALUE"""),"Gas Operaciones AGO 2025")</f>
        <v>Gas Operaciones AGO 2025</v>
      </c>
      <c r="H1652" s="16" t="str">
        <f ca="1">IFERROR(__xludf.DUMMYFUNCTION("""COMPUTED_VALUE"""),"CLI53213361")</f>
        <v>CLI53213361</v>
      </c>
    </row>
    <row r="1653" spans="1:8" ht="12.5">
      <c r="A1653" s="24"/>
      <c r="B1653" s="17"/>
      <c r="C1653" s="24"/>
      <c r="D1653" s="16"/>
      <c r="E1653" s="16"/>
      <c r="F1653" s="16" t="str">
        <f ca="1">IFERROR(__xludf.DUMMYFUNCTION("""COMPUTED_VALUE"""),"Sales")</f>
        <v>Sales</v>
      </c>
      <c r="G1653" s="16" t="str">
        <f ca="1">IFERROR(__xludf.DUMMYFUNCTION("""COMPUTED_VALUE"""),"Comida Visita a Genvamex con Hammer")</f>
        <v>Comida Visita a Genvamex con Hammer</v>
      </c>
      <c r="H1653" s="16" t="str">
        <f ca="1">IFERROR(__xludf.DUMMYFUNCTION("""COMPUTED_VALUE"""),"4288E8B93735")</f>
        <v>4288E8B93735</v>
      </c>
    </row>
    <row r="1654" spans="1:8" ht="12.5">
      <c r="A1654" s="24"/>
      <c r="B1654" s="17"/>
      <c r="C1654" s="24"/>
      <c r="D1654" s="16"/>
      <c r="E1654" s="16"/>
      <c r="F1654" s="16" t="str">
        <f ca="1">IFERROR(__xludf.DUMMYFUNCTION("""COMPUTED_VALUE"""),"Transaction cost")</f>
        <v>Transaction cost</v>
      </c>
      <c r="G1654" s="16" t="str">
        <f ca="1">IFERROR(__xludf.DUMMYFUNCTION("""COMPUTED_VALUE"""),"Gas Operaciones AGO 2025")</f>
        <v>Gas Operaciones AGO 2025</v>
      </c>
      <c r="H1654" s="16" t="str">
        <f ca="1">IFERROR(__xludf.DUMMYFUNCTION("""COMPUTED_VALUE"""),"ND")</f>
        <v>ND</v>
      </c>
    </row>
    <row r="1655" spans="1:8" ht="12.5">
      <c r="A1655" s="24"/>
      <c r="B1655" s="17"/>
      <c r="C1655" s="24"/>
      <c r="D1655" s="16"/>
      <c r="E1655" s="16"/>
      <c r="F1655" s="16"/>
      <c r="G1655" s="16"/>
      <c r="H1655" s="16"/>
    </row>
    <row r="1656" spans="1:8" ht="12.5">
      <c r="A1656" s="24"/>
      <c r="B1656" s="17"/>
      <c r="C1656" s="24"/>
      <c r="D1656" s="16"/>
      <c r="E1656" s="16"/>
      <c r="F1656" s="16"/>
      <c r="G1656" s="16"/>
      <c r="H1656" s="16"/>
    </row>
    <row r="1657" spans="1:8" ht="12.5">
      <c r="A1657" s="24"/>
      <c r="B1657" s="17"/>
      <c r="C1657" s="24"/>
      <c r="D1657" s="16"/>
      <c r="E1657" s="16"/>
      <c r="F1657" s="16"/>
      <c r="G1657" s="16"/>
      <c r="H1657" s="16"/>
    </row>
    <row r="1658" spans="1:8" ht="12.5">
      <c r="A1658" s="24"/>
      <c r="B1658" s="17"/>
      <c r="C1658" s="24"/>
      <c r="D1658" s="16"/>
      <c r="E1658" s="16"/>
      <c r="F1658" s="16"/>
      <c r="G1658" s="16"/>
      <c r="H1658" s="16"/>
    </row>
    <row r="1659" spans="1:8" ht="12.5">
      <c r="A1659" s="24"/>
      <c r="B1659" s="17"/>
      <c r="C1659" s="24"/>
      <c r="D1659" s="16"/>
      <c r="E1659" s="16"/>
      <c r="F1659" s="16"/>
      <c r="G1659" s="16"/>
      <c r="H1659" s="16"/>
    </row>
    <row r="1660" spans="1:8" ht="12.5">
      <c r="A1660" s="24"/>
      <c r="B1660" s="17"/>
      <c r="C1660" s="24"/>
      <c r="D1660" s="16"/>
      <c r="E1660" s="16"/>
      <c r="F1660" s="16"/>
      <c r="G1660" s="16"/>
      <c r="H1660" s="16"/>
    </row>
    <row r="1661" spans="1:8" ht="12.5">
      <c r="A1661" s="24"/>
      <c r="B1661" s="17"/>
      <c r="C1661" s="24"/>
      <c r="D1661" s="16"/>
      <c r="E1661" s="16"/>
      <c r="F1661" s="16"/>
      <c r="G1661" s="16"/>
      <c r="H1661" s="16"/>
    </row>
    <row r="1662" spans="1:8" ht="12.5">
      <c r="A1662" s="24"/>
      <c r="B1662" s="17"/>
      <c r="C1662" s="24"/>
      <c r="D1662" s="16"/>
      <c r="E1662" s="16"/>
      <c r="F1662" s="16"/>
      <c r="G1662" s="16"/>
      <c r="H1662" s="16"/>
    </row>
    <row r="1663" spans="1:8" ht="12.5">
      <c r="A1663" s="24"/>
      <c r="B1663" s="17"/>
      <c r="C1663" s="24"/>
      <c r="D1663" s="16"/>
      <c r="E1663" s="16"/>
      <c r="F1663" s="16"/>
      <c r="G1663" s="16"/>
      <c r="H1663" s="16"/>
    </row>
    <row r="1664" spans="1:8" ht="12.5">
      <c r="A1664" s="24"/>
      <c r="B1664" s="17"/>
      <c r="C1664" s="24"/>
      <c r="D1664" s="16"/>
      <c r="E1664" s="16"/>
      <c r="F1664" s="16"/>
      <c r="G1664" s="16"/>
      <c r="H1664" s="16"/>
    </row>
    <row r="1665" spans="1:8" ht="12.5">
      <c r="A1665" s="24"/>
      <c r="B1665" s="17"/>
      <c r="C1665" s="24"/>
      <c r="D1665" s="16"/>
      <c r="E1665" s="16"/>
      <c r="F1665" s="16"/>
      <c r="G1665" s="16"/>
      <c r="H1665" s="16"/>
    </row>
    <row r="1666" spans="1:8" ht="12.5">
      <c r="A1666" s="24"/>
      <c r="B1666" s="17"/>
      <c r="C1666" s="24"/>
      <c r="D1666" s="16"/>
      <c r="E1666" s="16"/>
      <c r="F1666" s="16"/>
      <c r="G1666" s="16"/>
      <c r="H1666" s="16"/>
    </row>
    <row r="1667" spans="1:8" ht="12.5">
      <c r="A1667" s="24"/>
      <c r="B1667" s="17"/>
      <c r="C1667" s="24"/>
      <c r="D1667" s="16"/>
      <c r="E1667" s="16"/>
      <c r="F1667" s="16"/>
      <c r="G1667" s="16"/>
      <c r="H1667" s="16"/>
    </row>
    <row r="1668" spans="1:8" ht="12.5">
      <c r="A1668" s="24"/>
      <c r="B1668" s="17"/>
      <c r="C1668" s="24"/>
      <c r="D1668" s="16"/>
      <c r="E1668" s="16"/>
      <c r="F1668" s="16"/>
      <c r="G1668" s="16"/>
      <c r="H1668" s="16"/>
    </row>
    <row r="1669" spans="1:8" ht="12.5">
      <c r="A1669" s="24"/>
      <c r="B1669" s="17"/>
      <c r="C1669" s="24"/>
      <c r="D1669" s="16"/>
      <c r="E1669" s="16"/>
      <c r="F1669" s="16"/>
      <c r="G1669" s="16"/>
      <c r="H1669" s="16"/>
    </row>
    <row r="1670" spans="1:8" ht="12.5">
      <c r="A1670" s="24"/>
      <c r="B1670" s="17"/>
      <c r="C1670" s="24"/>
      <c r="D1670" s="16"/>
      <c r="E1670" s="16"/>
      <c r="F1670" s="16"/>
      <c r="G1670" s="16"/>
      <c r="H1670" s="16"/>
    </row>
    <row r="1671" spans="1:8" ht="12.5">
      <c r="A1671" s="24"/>
      <c r="B1671" s="17"/>
      <c r="C1671" s="24"/>
      <c r="D1671" s="16"/>
      <c r="E1671" s="16"/>
      <c r="F1671" s="16"/>
      <c r="G1671" s="16"/>
      <c r="H1671" s="16"/>
    </row>
    <row r="1672" spans="1:8" ht="12.5">
      <c r="A1672" s="24"/>
      <c r="B1672" s="17"/>
      <c r="C1672" s="24"/>
      <c r="D1672" s="16"/>
      <c r="E1672" s="16"/>
      <c r="F1672" s="16"/>
      <c r="G1672" s="16"/>
      <c r="H1672" s="16"/>
    </row>
    <row r="1673" spans="1:8" ht="12.5">
      <c r="A1673" s="24"/>
      <c r="B1673" s="17"/>
      <c r="C1673" s="24"/>
      <c r="D1673" s="16"/>
      <c r="E1673" s="16"/>
      <c r="F1673" s="16"/>
      <c r="G1673" s="16"/>
      <c r="H1673" s="16"/>
    </row>
    <row r="1674" spans="1:8" ht="12.5">
      <c r="A1674" s="24"/>
      <c r="B1674" s="17"/>
      <c r="C1674" s="24"/>
      <c r="D1674" s="16"/>
      <c r="E1674" s="16"/>
      <c r="F1674" s="16"/>
      <c r="G1674" s="16"/>
      <c r="H1674" s="16"/>
    </row>
    <row r="1675" spans="1:8" ht="12.5">
      <c r="A1675" s="24"/>
      <c r="B1675" s="17"/>
      <c r="C1675" s="24"/>
      <c r="D1675" s="16"/>
      <c r="E1675" s="16"/>
      <c r="F1675" s="16"/>
      <c r="G1675" s="16"/>
      <c r="H1675" s="16"/>
    </row>
    <row r="1676" spans="1:8" ht="12.5">
      <c r="A1676" s="24"/>
      <c r="B1676" s="17"/>
      <c r="C1676" s="24"/>
      <c r="D1676" s="16"/>
      <c r="E1676" s="16"/>
      <c r="F1676" s="16"/>
      <c r="G1676" s="16"/>
      <c r="H1676" s="16"/>
    </row>
    <row r="1677" spans="1:8" ht="12.5">
      <c r="A1677" s="24"/>
      <c r="B1677" s="17"/>
      <c r="C1677" s="24"/>
      <c r="D1677" s="16"/>
      <c r="E1677" s="16"/>
      <c r="F1677" s="16"/>
      <c r="G1677" s="16"/>
      <c r="H1677" s="16"/>
    </row>
    <row r="1678" spans="1:8" ht="12.5">
      <c r="A1678" s="24"/>
      <c r="B1678" s="17"/>
      <c r="C1678" s="24"/>
      <c r="D1678" s="16"/>
      <c r="E1678" s="16"/>
      <c r="F1678" s="16"/>
      <c r="G1678" s="16"/>
      <c r="H1678" s="16"/>
    </row>
    <row r="1679" spans="1:8" ht="12.5">
      <c r="A1679" s="24"/>
      <c r="B1679" s="17"/>
      <c r="C1679" s="24"/>
      <c r="D1679" s="16"/>
      <c r="E1679" s="16"/>
      <c r="F1679" s="16"/>
      <c r="G1679" s="16"/>
      <c r="H1679" s="16" t="str">
        <f ca="1">IFERROR(__xludf.DUMMYFUNCTION("""COMPUTED_VALUE"""),".")</f>
        <v>.</v>
      </c>
    </row>
    <row r="1680" spans="1:8" ht="12.5">
      <c r="A1680" s="24"/>
      <c r="B1680" s="17"/>
      <c r="C1680" s="24"/>
      <c r="D1680" s="16"/>
      <c r="E1680" s="16"/>
      <c r="F1680" s="16"/>
      <c r="G1680" s="16"/>
      <c r="H1680" s="16" t="str">
        <f ca="1">IFERROR(__xludf.DUMMYFUNCTION("""COMPUTED_VALUE"""),".")</f>
        <v>.</v>
      </c>
    </row>
    <row r="1681" spans="1:8" ht="12.5">
      <c r="A1681" s="24"/>
      <c r="B1681" s="17"/>
      <c r="C1681" s="24"/>
      <c r="D1681" s="16"/>
      <c r="E1681" s="16"/>
      <c r="F1681" s="16"/>
      <c r="G1681" s="16"/>
      <c r="H1681" s="16" t="str">
        <f ca="1">IFERROR(__xludf.DUMMYFUNCTION("""COMPUTED_VALUE"""),".")</f>
        <v>.</v>
      </c>
    </row>
    <row r="1682" spans="1:8" ht="12.5">
      <c r="A1682" s="24"/>
      <c r="B1682" s="17"/>
      <c r="C1682" s="24"/>
      <c r="D1682" s="16"/>
      <c r="E1682" s="16"/>
      <c r="F1682" s="16"/>
      <c r="G1682" s="16"/>
      <c r="H1682" s="16" t="str">
        <f ca="1">IFERROR(__xludf.DUMMYFUNCTION("""COMPUTED_VALUE"""),".")</f>
        <v>.</v>
      </c>
    </row>
    <row r="1683" spans="1:8" ht="12.5">
      <c r="A1683" s="24"/>
      <c r="B1683" s="17"/>
      <c r="C1683" s="24"/>
      <c r="D1683" s="16"/>
      <c r="E1683" s="16"/>
      <c r="F1683" s="16"/>
      <c r="G1683" s="16"/>
      <c r="H1683" s="16" t="str">
        <f ca="1">IFERROR(__xludf.DUMMYFUNCTION("""COMPUTED_VALUE"""),".")</f>
        <v>.</v>
      </c>
    </row>
    <row r="1684" spans="1:8" ht="12.5">
      <c r="A1684" s="24"/>
      <c r="B1684" s="17"/>
      <c r="C1684" s="24"/>
      <c r="D1684" s="16"/>
      <c r="E1684" s="16"/>
      <c r="F1684" s="16"/>
      <c r="G1684" s="16"/>
      <c r="H1684" s="16" t="str">
        <f ca="1">IFERROR(__xludf.DUMMYFUNCTION("""COMPUTED_VALUE"""),".")</f>
        <v>.</v>
      </c>
    </row>
    <row r="1685" spans="1:8" ht="12.5">
      <c r="A1685" s="24"/>
      <c r="B1685" s="17"/>
      <c r="C1685" s="24"/>
      <c r="D1685" s="16"/>
      <c r="E1685" s="16"/>
      <c r="F1685" s="16"/>
      <c r="G1685" s="16"/>
      <c r="H1685" s="16" t="str">
        <f ca="1">IFERROR(__xludf.DUMMYFUNCTION("""COMPUTED_VALUE"""),".")</f>
        <v>.</v>
      </c>
    </row>
    <row r="1686" spans="1:8" ht="12.5">
      <c r="A1686" s="24"/>
      <c r="B1686" s="17"/>
      <c r="C1686" s="24"/>
      <c r="D1686" s="16"/>
      <c r="E1686" s="16"/>
      <c r="F1686" s="16"/>
      <c r="G1686" s="16"/>
      <c r="H1686" s="16" t="str">
        <f ca="1">IFERROR(__xludf.DUMMYFUNCTION("""COMPUTED_VALUE"""),".")</f>
        <v>.</v>
      </c>
    </row>
    <row r="1687" spans="1:8" ht="12.5">
      <c r="A1687" s="24"/>
      <c r="B1687" s="17"/>
      <c r="C1687" s="24"/>
      <c r="D1687" s="16"/>
      <c r="E1687" s="16"/>
      <c r="F1687" s="16"/>
      <c r="G1687" s="16"/>
      <c r="H1687" s="16" t="str">
        <f ca="1">IFERROR(__xludf.DUMMYFUNCTION("""COMPUTED_VALUE"""),".")</f>
        <v>.</v>
      </c>
    </row>
    <row r="1688" spans="1:8" ht="12.5">
      <c r="A1688" s="24"/>
      <c r="B1688" s="17"/>
      <c r="C1688" s="24"/>
      <c r="D1688" s="16"/>
      <c r="E1688" s="16"/>
      <c r="F1688" s="16"/>
      <c r="G1688" s="16"/>
      <c r="H1688" s="16" t="str">
        <f ca="1">IFERROR(__xludf.DUMMYFUNCTION("""COMPUTED_VALUE"""),".")</f>
        <v>.</v>
      </c>
    </row>
    <row r="1689" spans="1:8" ht="12.5">
      <c r="A1689" s="24"/>
      <c r="B1689" s="17"/>
      <c r="C1689" s="24"/>
      <c r="D1689" s="16"/>
      <c r="E1689" s="16"/>
      <c r="F1689" s="16"/>
      <c r="G1689" s="16"/>
      <c r="H1689" s="16" t="str">
        <f ca="1">IFERROR(__xludf.DUMMYFUNCTION("""COMPUTED_VALUE"""),".")</f>
        <v>.</v>
      </c>
    </row>
    <row r="1690" spans="1:8" ht="12.5">
      <c r="A1690" s="24"/>
      <c r="B1690" s="17"/>
      <c r="C1690" s="24"/>
      <c r="D1690" s="16"/>
      <c r="E1690" s="16"/>
      <c r="F1690" s="16"/>
      <c r="G1690" s="16"/>
      <c r="H1690" s="16" t="str">
        <f ca="1">IFERROR(__xludf.DUMMYFUNCTION("""COMPUTED_VALUE"""),".")</f>
        <v>.</v>
      </c>
    </row>
    <row r="1691" spans="1:8" ht="12.5">
      <c r="A1691" s="24"/>
      <c r="B1691" s="17"/>
      <c r="C1691" s="24"/>
      <c r="D1691" s="16"/>
      <c r="E1691" s="16"/>
      <c r="F1691" s="16"/>
      <c r="G1691" s="16"/>
      <c r="H1691" s="16" t="str">
        <f ca="1">IFERROR(__xludf.DUMMYFUNCTION("""COMPUTED_VALUE"""),".")</f>
        <v>.</v>
      </c>
    </row>
    <row r="1692" spans="1:8" ht="12.5">
      <c r="A1692" s="24"/>
      <c r="B1692" s="17"/>
      <c r="C1692" s="24"/>
      <c r="D1692" s="16"/>
      <c r="E1692" s="16"/>
      <c r="F1692" s="16"/>
      <c r="G1692" s="16"/>
      <c r="H1692" s="16" t="str">
        <f ca="1">IFERROR(__xludf.DUMMYFUNCTION("""COMPUTED_VALUE"""),".")</f>
        <v>.</v>
      </c>
    </row>
    <row r="1693" spans="1:8" ht="12.5">
      <c r="A1693" s="24"/>
      <c r="B1693" s="17"/>
      <c r="C1693" s="24"/>
      <c r="D1693" s="16"/>
      <c r="E1693" s="16"/>
      <c r="F1693" s="16"/>
      <c r="G1693" s="16"/>
      <c r="H1693" s="16" t="str">
        <f ca="1">IFERROR(__xludf.DUMMYFUNCTION("""COMPUTED_VALUE"""),".")</f>
        <v>.</v>
      </c>
    </row>
    <row r="1694" spans="1:8" ht="12.5">
      <c r="A1694" s="24"/>
      <c r="B1694" s="17"/>
      <c r="C1694" s="24"/>
      <c r="D1694" s="16"/>
      <c r="E1694" s="16"/>
      <c r="F1694" s="16"/>
      <c r="G1694" s="16"/>
      <c r="H1694" s="16" t="str">
        <f ca="1">IFERROR(__xludf.DUMMYFUNCTION("""COMPUTED_VALUE"""),".")</f>
        <v>.</v>
      </c>
    </row>
    <row r="1695" spans="1:8" ht="12.5">
      <c r="A1695" s="24"/>
      <c r="B1695" s="17"/>
      <c r="C1695" s="24"/>
      <c r="D1695" s="16"/>
      <c r="E1695" s="16"/>
      <c r="F1695" s="16"/>
      <c r="G1695" s="16"/>
      <c r="H1695" s="16" t="str">
        <f ca="1">IFERROR(__xludf.DUMMYFUNCTION("""COMPUTED_VALUE"""),".")</f>
        <v>.</v>
      </c>
    </row>
    <row r="1696" spans="1:8" ht="12.5">
      <c r="A1696" s="24"/>
      <c r="B1696" s="17"/>
      <c r="C1696" s="24"/>
      <c r="D1696" s="16"/>
      <c r="E1696" s="16"/>
      <c r="F1696" s="16"/>
      <c r="G1696" s="16"/>
      <c r="H1696" s="16" t="str">
        <f ca="1">IFERROR(__xludf.DUMMYFUNCTION("""COMPUTED_VALUE"""),".")</f>
        <v>.</v>
      </c>
    </row>
    <row r="1697" spans="1:8" ht="12.5">
      <c r="A1697" s="24"/>
      <c r="B1697" s="17"/>
      <c r="C1697" s="24"/>
      <c r="D1697" s="16"/>
      <c r="E1697" s="16"/>
      <c r="F1697" s="16"/>
      <c r="G1697" s="16"/>
      <c r="H1697" s="16" t="str">
        <f ca="1">IFERROR(__xludf.DUMMYFUNCTION("""COMPUTED_VALUE"""),".")</f>
        <v>.</v>
      </c>
    </row>
    <row r="1698" spans="1:8" ht="12.5">
      <c r="A1698" s="24"/>
      <c r="B1698" s="17"/>
      <c r="C1698" s="24"/>
      <c r="D1698" s="16"/>
      <c r="E1698" s="16"/>
      <c r="F1698" s="16"/>
      <c r="G1698" s="16"/>
      <c r="H1698" s="16" t="str">
        <f ca="1">IFERROR(__xludf.DUMMYFUNCTION("""COMPUTED_VALUE"""),".")</f>
        <v>.</v>
      </c>
    </row>
    <row r="1699" spans="1:8" ht="12.5">
      <c r="A1699" s="24"/>
      <c r="B1699" s="17"/>
      <c r="C1699" s="24"/>
      <c r="D1699" s="16"/>
      <c r="E1699" s="16"/>
      <c r="F1699" s="16"/>
      <c r="G1699" s="16"/>
      <c r="H1699" s="16" t="str">
        <f ca="1">IFERROR(__xludf.DUMMYFUNCTION("""COMPUTED_VALUE"""),".")</f>
        <v>.</v>
      </c>
    </row>
    <row r="1700" spans="1:8" ht="12.5">
      <c r="A1700" s="24"/>
      <c r="B1700" s="17"/>
      <c r="C1700" s="24"/>
      <c r="D1700" s="16"/>
      <c r="E1700" s="16"/>
      <c r="F1700" s="16"/>
      <c r="G1700" s="16"/>
      <c r="H1700" s="16" t="str">
        <f ca="1">IFERROR(__xludf.DUMMYFUNCTION("""COMPUTED_VALUE"""),".")</f>
        <v>.</v>
      </c>
    </row>
    <row r="1701" spans="1:8" ht="12.5">
      <c r="A1701" s="24"/>
      <c r="B1701" s="17"/>
      <c r="C1701" s="24"/>
      <c r="D1701" s="16"/>
      <c r="E1701" s="16"/>
      <c r="F1701" s="16"/>
      <c r="G1701" s="16"/>
      <c r="H1701" s="16" t="str">
        <f ca="1">IFERROR(__xludf.DUMMYFUNCTION("""COMPUTED_VALUE"""),".")</f>
        <v>.</v>
      </c>
    </row>
    <row r="1702" spans="1:8" ht="12.5">
      <c r="A1702" s="24"/>
      <c r="B1702" s="17"/>
      <c r="C1702" s="24"/>
      <c r="D1702" s="16"/>
      <c r="E1702" s="16"/>
      <c r="F1702" s="16"/>
      <c r="G1702" s="16"/>
      <c r="H1702" s="16" t="str">
        <f ca="1">IFERROR(__xludf.DUMMYFUNCTION("""COMPUTED_VALUE"""),".")</f>
        <v>.</v>
      </c>
    </row>
    <row r="1703" spans="1:8" ht="12.5">
      <c r="A1703" s="24"/>
      <c r="B1703" s="17"/>
      <c r="C1703" s="24"/>
      <c r="D1703" s="16"/>
      <c r="E1703" s="16"/>
      <c r="F1703" s="16"/>
      <c r="G1703" s="16"/>
      <c r="H1703" s="16" t="str">
        <f ca="1">IFERROR(__xludf.DUMMYFUNCTION("""COMPUTED_VALUE"""),".")</f>
        <v>.</v>
      </c>
    </row>
    <row r="1704" spans="1:8" ht="12.5">
      <c r="A1704" s="24"/>
      <c r="B1704" s="17"/>
      <c r="C1704" s="24"/>
      <c r="D1704" s="16"/>
      <c r="E1704" s="16"/>
      <c r="F1704" s="16"/>
      <c r="G1704" s="16"/>
      <c r="H1704" s="16" t="str">
        <f ca="1">IFERROR(__xludf.DUMMYFUNCTION("""COMPUTED_VALUE"""),".")</f>
        <v>.</v>
      </c>
    </row>
    <row r="1705" spans="1:8" ht="12.5">
      <c r="A1705" s="24"/>
      <c r="B1705" s="17"/>
      <c r="C1705" s="24"/>
      <c r="D1705" s="16"/>
      <c r="E1705" s="16"/>
      <c r="F1705" s="16"/>
      <c r="G1705" s="16"/>
      <c r="H1705" s="16" t="str">
        <f ca="1">IFERROR(__xludf.DUMMYFUNCTION("""COMPUTED_VALUE"""),".")</f>
        <v>.</v>
      </c>
    </row>
    <row r="1706" spans="1:8" ht="12.5">
      <c r="A1706" s="24"/>
      <c r="B1706" s="17"/>
      <c r="C1706" s="24"/>
      <c r="D1706" s="16"/>
      <c r="E1706" s="16"/>
      <c r="F1706" s="16"/>
      <c r="G1706" s="16"/>
      <c r="H1706" s="16" t="str">
        <f ca="1">IFERROR(__xludf.DUMMYFUNCTION("""COMPUTED_VALUE"""),".")</f>
        <v>.</v>
      </c>
    </row>
    <row r="1707" spans="1:8" ht="12.5">
      <c r="A1707" s="24"/>
      <c r="B1707" s="17"/>
      <c r="C1707" s="24"/>
      <c r="D1707" s="16"/>
      <c r="E1707" s="16"/>
      <c r="F1707" s="16"/>
      <c r="G1707" s="16"/>
      <c r="H1707" s="16" t="str">
        <f ca="1">IFERROR(__xludf.DUMMYFUNCTION("""COMPUTED_VALUE"""),".")</f>
        <v>.</v>
      </c>
    </row>
    <row r="1708" spans="1:8" ht="12.5">
      <c r="A1708" s="24"/>
      <c r="B1708" s="17"/>
      <c r="C1708" s="24"/>
      <c r="D1708" s="16"/>
      <c r="E1708" s="16"/>
      <c r="F1708" s="16"/>
      <c r="G1708" s="16"/>
      <c r="H1708" s="16" t="str">
        <f ca="1">IFERROR(__xludf.DUMMYFUNCTION("""COMPUTED_VALUE"""),".")</f>
        <v>.</v>
      </c>
    </row>
    <row r="1709" spans="1:8" ht="12.5">
      <c r="A1709" s="24"/>
      <c r="B1709" s="17"/>
      <c r="C1709" s="24"/>
      <c r="D1709" s="16"/>
      <c r="E1709" s="16"/>
      <c r="F1709" s="16"/>
      <c r="G1709" s="16"/>
      <c r="H1709" s="16" t="str">
        <f ca="1">IFERROR(__xludf.DUMMYFUNCTION("""COMPUTED_VALUE"""),".")</f>
        <v>.</v>
      </c>
    </row>
    <row r="1710" spans="1:8" ht="12.5">
      <c r="A1710" s="24"/>
      <c r="B1710" s="17"/>
      <c r="C1710" s="24"/>
      <c r="D1710" s="16"/>
      <c r="E1710" s="16"/>
      <c r="F1710" s="16"/>
      <c r="G1710" s="16"/>
      <c r="H1710" s="16" t="str">
        <f ca="1">IFERROR(__xludf.DUMMYFUNCTION("""COMPUTED_VALUE"""),".")</f>
        <v>.</v>
      </c>
    </row>
    <row r="1711" spans="1:8" ht="12.5">
      <c r="A1711" s="24"/>
      <c r="B1711" s="17"/>
      <c r="C1711" s="24"/>
      <c r="D1711" s="16"/>
      <c r="E1711" s="16"/>
      <c r="F1711" s="16"/>
      <c r="G1711" s="16"/>
      <c r="H1711" s="16" t="str">
        <f ca="1">IFERROR(__xludf.DUMMYFUNCTION("""COMPUTED_VALUE"""),".")</f>
        <v>.</v>
      </c>
    </row>
    <row r="1712" spans="1:8" ht="12.5">
      <c r="A1712" s="24"/>
      <c r="B1712" s="17"/>
      <c r="C1712" s="24"/>
      <c r="D1712" s="16"/>
      <c r="E1712" s="16"/>
      <c r="F1712" s="16"/>
      <c r="G1712" s="16"/>
      <c r="H1712" s="16"/>
    </row>
    <row r="1713" spans="1:8" ht="12.5">
      <c r="A1713" s="24"/>
      <c r="B1713" s="17"/>
      <c r="C1713" s="24"/>
      <c r="D1713" s="16"/>
      <c r="E1713" s="16"/>
      <c r="F1713" s="16"/>
      <c r="G1713" s="16"/>
      <c r="H1713" s="16"/>
    </row>
    <row r="1714" spans="1:8" ht="12.5">
      <c r="A1714" s="24"/>
      <c r="B1714" s="17"/>
      <c r="C1714" s="24"/>
      <c r="D1714" s="16"/>
      <c r="E1714" s="16"/>
      <c r="F1714" s="16"/>
      <c r="G1714" s="16"/>
      <c r="H1714" s="16"/>
    </row>
    <row r="1715" spans="1:8" ht="12.5">
      <c r="A1715" s="24"/>
      <c r="B1715" s="17"/>
      <c r="C1715" s="24"/>
      <c r="D1715" s="16"/>
      <c r="E1715" s="16"/>
      <c r="F1715" s="16"/>
      <c r="G1715" s="16"/>
      <c r="H1715" s="16"/>
    </row>
    <row r="1716" spans="1:8" ht="12.5">
      <c r="A1716" s="24"/>
      <c r="B1716" s="17"/>
      <c r="C1716" s="24"/>
      <c r="D1716" s="16"/>
      <c r="E1716" s="16"/>
      <c r="F1716" s="16"/>
      <c r="G1716" s="16"/>
      <c r="H1716" s="16"/>
    </row>
    <row r="1717" spans="1:8" ht="12.5">
      <c r="A1717" s="24"/>
      <c r="B1717" s="17"/>
      <c r="C1717" s="24"/>
      <c r="D1717" s="16"/>
      <c r="E1717" s="16"/>
      <c r="F1717" s="16"/>
      <c r="G1717" s="16"/>
      <c r="H1717" s="16"/>
    </row>
    <row r="1718" spans="1:8" ht="12.5">
      <c r="A1718" s="24"/>
      <c r="B1718" s="17"/>
      <c r="C1718" s="24"/>
      <c r="D1718" s="16"/>
      <c r="E1718" s="16"/>
      <c r="F1718" s="16"/>
      <c r="G1718" s="16"/>
      <c r="H1718" s="16"/>
    </row>
    <row r="1719" spans="1:8" ht="12.5">
      <c r="A1719" s="24"/>
      <c r="B1719" s="17"/>
      <c r="C1719" s="24"/>
      <c r="D1719" s="16"/>
      <c r="E1719" s="16"/>
      <c r="F1719" s="16"/>
      <c r="G1719" s="16"/>
      <c r="H1719" s="16"/>
    </row>
    <row r="1720" spans="1:8" ht="12.5">
      <c r="A1720" s="24"/>
      <c r="B1720" s="17"/>
      <c r="C1720" s="24"/>
      <c r="D1720" s="16"/>
      <c r="E1720" s="16"/>
      <c r="F1720" s="16"/>
      <c r="G1720" s="16"/>
      <c r="H1720" s="16"/>
    </row>
    <row r="1721" spans="1:8" ht="12.5">
      <c r="A1721" s="24"/>
      <c r="B1721" s="17"/>
      <c r="C1721" s="24"/>
      <c r="D1721" s="16"/>
      <c r="E1721" s="16"/>
      <c r="F1721" s="16"/>
      <c r="G1721" s="16"/>
      <c r="H1721" s="16"/>
    </row>
    <row r="1722" spans="1:8" ht="12.5">
      <c r="A1722" s="24"/>
      <c r="B1722" s="17"/>
      <c r="C1722" s="24"/>
      <c r="D1722" s="16"/>
      <c r="E1722" s="16"/>
      <c r="F1722" s="16"/>
      <c r="G1722" s="16"/>
      <c r="H1722" s="16"/>
    </row>
    <row r="1723" spans="1:8" ht="12.5">
      <c r="A1723" s="24"/>
      <c r="B1723" s="17"/>
      <c r="C1723" s="24"/>
      <c r="D1723" s="16"/>
      <c r="E1723" s="16"/>
      <c r="F1723" s="16"/>
      <c r="G1723" s="16"/>
      <c r="H1723" s="16"/>
    </row>
    <row r="1724" spans="1:8" ht="12.5">
      <c r="A1724" s="24"/>
      <c r="B1724" s="17"/>
      <c r="C1724" s="24"/>
      <c r="D1724" s="16"/>
      <c r="E1724" s="16"/>
      <c r="F1724" s="16"/>
      <c r="G1724" s="16"/>
      <c r="H1724" s="16"/>
    </row>
    <row r="1725" spans="1:8" ht="12.5">
      <c r="A1725" s="24"/>
      <c r="B1725" s="17"/>
      <c r="C1725" s="24"/>
      <c r="D1725" s="16"/>
      <c r="E1725" s="16"/>
      <c r="F1725" s="16"/>
      <c r="G1725" s="16"/>
      <c r="H1725" s="16"/>
    </row>
    <row r="1726" spans="1:8" ht="12.5">
      <c r="A1726" s="24"/>
      <c r="B1726" s="17"/>
      <c r="C1726" s="24"/>
      <c r="D1726" s="16"/>
      <c r="E1726" s="16"/>
      <c r="F1726" s="16"/>
      <c r="G1726" s="16"/>
      <c r="H1726" s="16"/>
    </row>
    <row r="1727" spans="1:8" ht="12.5">
      <c r="A1727" s="24"/>
      <c r="B1727" s="17"/>
      <c r="C1727" s="24"/>
      <c r="D1727" s="16"/>
      <c r="E1727" s="16"/>
      <c r="F1727" s="16"/>
      <c r="G1727" s="16"/>
      <c r="H1727" s="16"/>
    </row>
    <row r="1728" spans="1:8" ht="12.5">
      <c r="A1728" s="24"/>
      <c r="B1728" s="17"/>
      <c r="C1728" s="24"/>
      <c r="D1728" s="16"/>
      <c r="E1728" s="37" t="str">
        <f ca="1">IFERROR(__xludf.DUMMYFUNCTION("IMPORTRANGE(""https://docs.google.com/spreadsheets/d/1SDfRQAQlF-TIbIAW8u4ItP3_rV_E_qC8thtbpc9jkb8/edit#gid=1404531132"",""#21 Jesus Gonzalez Grana!A11:A80"")"),"CODI")</f>
        <v>CODI</v>
      </c>
      <c r="F1728" s="37" t="str">
        <f ca="1">IFERROR(__xludf.DUMMYFUNCTION("IMPORTRANGE(""https://docs.google.com/spreadsheets/d/1SDfRQAQlF-TIbIAW8u4ItP3_rV_E_qC8thtbpc9jkb8/edit#gid=1404531132"",""#21 Jesus Gonzalez Grana!I11:K80"")"),"Expense Type")</f>
        <v>Expense Type</v>
      </c>
      <c r="G1728" s="16" t="str">
        <f ca="1">IFERROR(__xludf.DUMMYFUNCTION("""COMPUTED_VALUE"""),"DESCRIPCION DEL GASTO")</f>
        <v>DESCRIPCION DEL GASTO</v>
      </c>
      <c r="H1728" s="16" t="str">
        <f ca="1">IFERROR(__xludf.DUMMYFUNCTION("""COMPUTED_VALUE"""),"FOLIO FACTURA")</f>
        <v>FOLIO FACTURA</v>
      </c>
    </row>
    <row r="1729" spans="1:8" ht="12.5">
      <c r="A1729" s="24"/>
      <c r="B1729" s="17"/>
      <c r="C1729" s="24"/>
      <c r="D1729" s="16"/>
      <c r="E1729" s="16" t="str">
        <f ca="1">IFERROR(__xludf.DUMMYFUNCTION("""COMPUTED_VALUE"""),"TRX1918")</f>
        <v>TRX1918</v>
      </c>
      <c r="F1729" s="16" t="str">
        <f ca="1">IFERROR(__xludf.DUMMYFUNCTION("""COMPUTED_VALUE"""),"Transaction cost")</f>
        <v>Transaction cost</v>
      </c>
      <c r="G1729" s="16" t="str">
        <f ca="1">IFERROR(__xludf.DUMMYFUNCTION("""COMPUTED_VALUE"""),"PO2165. Visita taller CAMI para reunión con cliente Veolia")</f>
        <v>PO2165. Visita taller CAMI para reunión con cliente Veolia</v>
      </c>
      <c r="H1729" s="16" t="str">
        <f ca="1">IFERROR(__xludf.DUMMYFUNCTION("""COMPUTED_VALUE"""),"29410d37-4441-4fae-aab8-a4977cabda94")</f>
        <v>29410d37-4441-4fae-aab8-a4977cabda94</v>
      </c>
    </row>
    <row r="1730" spans="1:8" ht="12.5">
      <c r="A1730" s="24"/>
      <c r="B1730" s="17"/>
      <c r="C1730" s="24"/>
      <c r="D1730" s="16"/>
      <c r="E1730" s="16" t="str">
        <f ca="1">IFERROR(__xludf.DUMMYFUNCTION("""COMPUTED_VALUE"""),"TRX1191")</f>
        <v>TRX1191</v>
      </c>
      <c r="F1730" s="16" t="str">
        <f ca="1">IFERROR(__xludf.DUMMYFUNCTION("""COMPUTED_VALUE"""),"G&amp;A expenses")</f>
        <v>G&amp;A expenses</v>
      </c>
      <c r="G1730" s="16" t="str">
        <f ca="1">IFERROR(__xludf.DUMMYFUNCTION("""COMPUTED_VALUE"""),"PO1777 Envío de equipo de seguridad")</f>
        <v>PO1777 Envío de equipo de seguridad</v>
      </c>
      <c r="H1730" s="16" t="str">
        <f ca="1">IFERROR(__xludf.DUMMYFUNCTION("""COMPUTED_VALUE"""),"04448AE5-5603-4B71-8558-13ED476D9B9D")</f>
        <v>04448AE5-5603-4B71-8558-13ED476D9B9D</v>
      </c>
    </row>
    <row r="1731" spans="1:8" ht="12.5">
      <c r="A1731" s="24"/>
      <c r="B1731" s="17"/>
      <c r="C1731" s="24"/>
      <c r="D1731" s="16"/>
      <c r="E1731" s="16" t="str">
        <f ca="1">IFERROR(__xludf.DUMMYFUNCTION("""COMPUTED_VALUE"""),"TRX1192")</f>
        <v>TRX1192</v>
      </c>
      <c r="F1731" s="16" t="str">
        <f ca="1">IFERROR(__xludf.DUMMYFUNCTION("""COMPUTED_VALUE"""),"G&amp;A expenses")</f>
        <v>G&amp;A expenses</v>
      </c>
      <c r="G1731" s="16" t="str">
        <f ca="1">IFERROR(__xludf.DUMMYFUNCTION("""COMPUTED_VALUE"""),"PO1865. Muestras IMESA")</f>
        <v>PO1865. Muestras IMESA</v>
      </c>
      <c r="H1731" s="16" t="str">
        <f ca="1">IFERROR(__xludf.DUMMYFUNCTION("""COMPUTED_VALUE"""),"3DE869E6-DCD7-4ABC-AFD2-38BDA403C7EF")</f>
        <v>3DE869E6-DCD7-4ABC-AFD2-38BDA403C7EF</v>
      </c>
    </row>
    <row r="1732" spans="1:8" ht="12.5">
      <c r="A1732" s="24"/>
      <c r="B1732" s="17"/>
      <c r="C1732" s="24"/>
      <c r="D1732" s="16"/>
      <c r="E1732" s="16" t="str">
        <f ca="1">IFERROR(__xludf.DUMMYFUNCTION("""COMPUTED_VALUE"""),"TRX1193")</f>
        <v>TRX1193</v>
      </c>
      <c r="F1732" s="16" t="str">
        <f ca="1">IFERROR(__xludf.DUMMYFUNCTION("""COMPUTED_VALUE"""),"G&amp;A expenses")</f>
        <v>G&amp;A expenses</v>
      </c>
      <c r="G1732" s="16" t="str">
        <f ca="1">IFERROR(__xludf.DUMMYFUNCTION("""COMPUTED_VALUE"""),"PO950=$16171.76+IVA. PO1866=$4988.60+IVA")</f>
        <v>PO950=$16171.76+IVA. PO1866=$4988.60+IVA</v>
      </c>
      <c r="H1732" s="16" t="str">
        <f ca="1">IFERROR(__xludf.DUMMYFUNCTION("""COMPUTED_VALUE"""),"1F7A25D2-961F-4068-9F9F-4BEB89155F08")</f>
        <v>1F7A25D2-961F-4068-9F9F-4BEB89155F08</v>
      </c>
    </row>
    <row r="1733" spans="1:8" ht="12.5">
      <c r="A1733" s="24"/>
      <c r="B1733" s="17"/>
      <c r="C1733" s="24"/>
      <c r="D1733" s="16"/>
      <c r="E1733" s="16" t="str">
        <f ca="1">IFERROR(__xludf.DUMMYFUNCTION("""COMPUTED_VALUE"""),"TRX1273")</f>
        <v>TRX1273</v>
      </c>
      <c r="F1733" s="16" t="str">
        <f ca="1">IFERROR(__xludf.DUMMYFUNCTION("""COMPUTED_VALUE"""),"G&amp;A expenses")</f>
        <v>G&amp;A expenses</v>
      </c>
      <c r="G1733" s="16" t="str">
        <f ca="1">IFERROR(__xludf.DUMMYFUNCTION("""COMPUTED_VALUE"""),"PO1774. Importación material TORQ para IMESA")</f>
        <v>PO1774. Importación material TORQ para IMESA</v>
      </c>
      <c r="H1733" s="67" t="str">
        <f ca="1">IFERROR(__xludf.DUMMYFUNCTION("""COMPUTED_VALUE"""),"https://drive.google.com/drive/folders/1tBRPEiGyYMUgsvzRDRDhDGIf_ZAKNFA1?usp=sharing")</f>
        <v>https://drive.google.com/drive/folders/1tBRPEiGyYMUgsvzRDRDhDGIf_ZAKNFA1?usp=sharing</v>
      </c>
    </row>
    <row r="1734" spans="1:8" ht="12.5">
      <c r="A1734" s="24"/>
      <c r="B1734" s="17"/>
      <c r="C1734" s="24"/>
      <c r="D1734" s="16"/>
      <c r="E1734" s="16"/>
      <c r="F1734" s="16" t="str">
        <f ca="1">IFERROR(__xludf.DUMMYFUNCTION("""COMPUTED_VALUE"""),"G&amp;A expenses")</f>
        <v>G&amp;A expenses</v>
      </c>
      <c r="G1734" s="16"/>
      <c r="H1734" s="16"/>
    </row>
    <row r="1735" spans="1:8" ht="12.5">
      <c r="A1735" s="24"/>
      <c r="B1735" s="17"/>
      <c r="C1735" s="24"/>
      <c r="D1735" s="16"/>
      <c r="E1735" s="16"/>
      <c r="F1735" s="16" t="str">
        <f ca="1">IFERROR(__xludf.DUMMYFUNCTION("""COMPUTED_VALUE"""),"G&amp;A expenses")</f>
        <v>G&amp;A expenses</v>
      </c>
      <c r="G1735" s="16"/>
      <c r="H1735" s="16"/>
    </row>
    <row r="1736" spans="1:8" ht="12.5">
      <c r="A1736" s="24"/>
      <c r="B1736" s="17"/>
      <c r="C1736" s="24"/>
      <c r="D1736" s="16"/>
      <c r="E1736" s="16"/>
      <c r="F1736" s="16" t="str">
        <f ca="1">IFERROR(__xludf.DUMMYFUNCTION("""COMPUTED_VALUE"""),"G&amp;A expenses")</f>
        <v>G&amp;A expenses</v>
      </c>
      <c r="G1736" s="16"/>
      <c r="H1736" s="16"/>
    </row>
    <row r="1737" spans="1:8" ht="12.5">
      <c r="A1737" s="24"/>
      <c r="B1737" s="17"/>
      <c r="C1737" s="24"/>
      <c r="D1737" s="16"/>
      <c r="E1737" s="16"/>
      <c r="F1737" s="16" t="str">
        <f ca="1">IFERROR(__xludf.DUMMYFUNCTION("""COMPUTED_VALUE"""),"G&amp;A expenses")</f>
        <v>G&amp;A expenses</v>
      </c>
      <c r="G1737" s="16"/>
      <c r="H1737" s="16"/>
    </row>
    <row r="1738" spans="1:8" ht="12.5">
      <c r="A1738" s="24"/>
      <c r="B1738" s="17"/>
      <c r="C1738" s="24"/>
      <c r="D1738" s="16"/>
      <c r="E1738" s="16"/>
      <c r="F1738" s="16" t="str">
        <f ca="1">IFERROR(__xludf.DUMMYFUNCTION("""COMPUTED_VALUE"""),"G&amp;A expenses")</f>
        <v>G&amp;A expenses</v>
      </c>
      <c r="G1738" s="16"/>
      <c r="H1738" s="16"/>
    </row>
    <row r="1739" spans="1:8" ht="12.5">
      <c r="A1739" s="24"/>
      <c r="B1739" s="17"/>
      <c r="C1739" s="24"/>
      <c r="D1739" s="16"/>
      <c r="E1739" s="16"/>
      <c r="F1739" s="16" t="str">
        <f ca="1">IFERROR(__xludf.DUMMYFUNCTION("""COMPUTED_VALUE"""),"G&amp;A expenses")</f>
        <v>G&amp;A expenses</v>
      </c>
      <c r="G1739" s="16"/>
      <c r="H1739" s="16"/>
    </row>
    <row r="1740" spans="1:8" ht="12.5">
      <c r="A1740" s="24"/>
      <c r="B1740" s="17"/>
      <c r="C1740" s="24"/>
      <c r="D1740" s="16"/>
      <c r="E1740" s="16"/>
      <c r="F1740" s="16" t="str">
        <f ca="1">IFERROR(__xludf.DUMMYFUNCTION("""COMPUTED_VALUE"""),"G&amp;A expenses")</f>
        <v>G&amp;A expenses</v>
      </c>
      <c r="G1740" s="16"/>
      <c r="H1740" s="16"/>
    </row>
    <row r="1741" spans="1:8" ht="12.5">
      <c r="A1741" s="24"/>
      <c r="B1741" s="17"/>
      <c r="C1741" s="24"/>
      <c r="D1741" s="16"/>
      <c r="E1741" s="16"/>
      <c r="F1741" s="16" t="str">
        <f ca="1">IFERROR(__xludf.DUMMYFUNCTION("""COMPUTED_VALUE"""),"G&amp;A expenses")</f>
        <v>G&amp;A expenses</v>
      </c>
      <c r="G1741" s="16"/>
      <c r="H1741" s="16"/>
    </row>
    <row r="1742" spans="1:8" ht="12.5">
      <c r="A1742" s="24"/>
      <c r="B1742" s="17"/>
      <c r="C1742" s="24"/>
      <c r="D1742" s="16"/>
      <c r="E1742" s="16"/>
      <c r="F1742" s="16" t="str">
        <f ca="1">IFERROR(__xludf.DUMMYFUNCTION("""COMPUTED_VALUE"""),"G&amp;A expenses")</f>
        <v>G&amp;A expenses</v>
      </c>
      <c r="G1742" s="16"/>
      <c r="H1742" s="16"/>
    </row>
    <row r="1743" spans="1:8" ht="12.5">
      <c r="A1743" s="24"/>
      <c r="B1743" s="17"/>
      <c r="C1743" s="24"/>
      <c r="D1743" s="16"/>
      <c r="E1743" s="16"/>
      <c r="F1743" s="16" t="str">
        <f ca="1">IFERROR(__xludf.DUMMYFUNCTION("""COMPUTED_VALUE"""),"G&amp;A expenses")</f>
        <v>G&amp;A expenses</v>
      </c>
      <c r="G1743" s="16"/>
      <c r="H1743" s="16"/>
    </row>
    <row r="1744" spans="1:8" ht="12.5">
      <c r="A1744" s="24"/>
      <c r="B1744" s="17"/>
      <c r="C1744" s="24"/>
      <c r="D1744" s="16"/>
      <c r="E1744" s="16"/>
      <c r="F1744" s="16" t="str">
        <f ca="1">IFERROR(__xludf.DUMMYFUNCTION("""COMPUTED_VALUE"""),"G&amp;A expenses")</f>
        <v>G&amp;A expenses</v>
      </c>
      <c r="G1744" s="16"/>
      <c r="H1744" s="16"/>
    </row>
    <row r="1745" spans="1:8" ht="12.5">
      <c r="A1745" s="24"/>
      <c r="B1745" s="17"/>
      <c r="C1745" s="24"/>
      <c r="D1745" s="16"/>
      <c r="E1745" s="16"/>
      <c r="F1745" s="16"/>
      <c r="G1745" s="16"/>
      <c r="H1745" s="16" t="str">
        <f ca="1">IFERROR(__xludf.DUMMYFUNCTION("""COMPUTED_VALUE"""),".")</f>
        <v>.</v>
      </c>
    </row>
    <row r="1746" spans="1:8" ht="12.5">
      <c r="A1746" s="24"/>
      <c r="B1746" s="17"/>
      <c r="C1746" s="24"/>
      <c r="D1746" s="16"/>
      <c r="E1746" s="16"/>
      <c r="F1746" s="16"/>
      <c r="G1746" s="16"/>
      <c r="H1746" s="16" t="str">
        <f ca="1">IFERROR(__xludf.DUMMYFUNCTION("""COMPUTED_VALUE"""),".")</f>
        <v>.</v>
      </c>
    </row>
    <row r="1747" spans="1:8" ht="12.5">
      <c r="A1747" s="24"/>
      <c r="B1747" s="17"/>
      <c r="C1747" s="24"/>
      <c r="D1747" s="16"/>
      <c r="E1747" s="16"/>
      <c r="F1747" s="16"/>
      <c r="G1747" s="16"/>
      <c r="H1747" s="16" t="str">
        <f ca="1">IFERROR(__xludf.DUMMYFUNCTION("""COMPUTED_VALUE"""),".")</f>
        <v>.</v>
      </c>
    </row>
    <row r="1748" spans="1:8" ht="12.5">
      <c r="A1748" s="24"/>
      <c r="B1748" s="17"/>
      <c r="C1748" s="24"/>
      <c r="D1748" s="16"/>
      <c r="E1748" s="16"/>
      <c r="F1748" s="16"/>
      <c r="G1748" s="16"/>
      <c r="H1748" s="16" t="str">
        <f ca="1">IFERROR(__xludf.DUMMYFUNCTION("""COMPUTED_VALUE"""),".")</f>
        <v>.</v>
      </c>
    </row>
    <row r="1749" spans="1:8" ht="12.5">
      <c r="A1749" s="24"/>
      <c r="B1749" s="17"/>
      <c r="C1749" s="24"/>
      <c r="D1749" s="16"/>
      <c r="E1749" s="16"/>
      <c r="F1749" s="16"/>
      <c r="G1749" s="16"/>
      <c r="H1749" s="16" t="str">
        <f ca="1">IFERROR(__xludf.DUMMYFUNCTION("""COMPUTED_VALUE"""),".")</f>
        <v>.</v>
      </c>
    </row>
    <row r="1750" spans="1:8" ht="12.5">
      <c r="A1750" s="24"/>
      <c r="B1750" s="17"/>
      <c r="C1750" s="24"/>
      <c r="D1750" s="16"/>
      <c r="E1750" s="16"/>
      <c r="F1750" s="16"/>
      <c r="G1750" s="16"/>
      <c r="H1750" s="16" t="str">
        <f ca="1">IFERROR(__xludf.DUMMYFUNCTION("""COMPUTED_VALUE"""),".")</f>
        <v>.</v>
      </c>
    </row>
    <row r="1751" spans="1:8" ht="12.5">
      <c r="A1751" s="24"/>
      <c r="B1751" s="17"/>
      <c r="C1751" s="24"/>
      <c r="D1751" s="16"/>
      <c r="E1751" s="16"/>
      <c r="F1751" s="16"/>
      <c r="G1751" s="16"/>
      <c r="H1751" s="16" t="str">
        <f ca="1">IFERROR(__xludf.DUMMYFUNCTION("""COMPUTED_VALUE"""),".")</f>
        <v>.</v>
      </c>
    </row>
    <row r="1752" spans="1:8" ht="12.5">
      <c r="A1752" s="24"/>
      <c r="B1752" s="17"/>
      <c r="C1752" s="24"/>
      <c r="D1752" s="16"/>
      <c r="E1752" s="16"/>
      <c r="F1752" s="16"/>
      <c r="G1752" s="16"/>
      <c r="H1752" s="16"/>
    </row>
    <row r="1753" spans="1:8" ht="12.5">
      <c r="A1753" s="24"/>
      <c r="B1753" s="17"/>
      <c r="C1753" s="24"/>
      <c r="D1753" s="16"/>
      <c r="E1753" s="16"/>
      <c r="F1753" s="16"/>
      <c r="G1753" s="16"/>
      <c r="H1753" s="16" t="str">
        <f ca="1">IFERROR(__xludf.DUMMYFUNCTION("""COMPUTED_VALUE"""),".")</f>
        <v>.</v>
      </c>
    </row>
    <row r="1754" spans="1:8" ht="12.5">
      <c r="A1754" s="24"/>
      <c r="B1754" s="17"/>
      <c r="C1754" s="24"/>
      <c r="D1754" s="16"/>
      <c r="E1754" s="16"/>
      <c r="F1754" s="16"/>
      <c r="G1754" s="16"/>
      <c r="H1754" s="16" t="str">
        <f ca="1">IFERROR(__xludf.DUMMYFUNCTION("""COMPUTED_VALUE"""),".")</f>
        <v>.</v>
      </c>
    </row>
    <row r="1755" spans="1:8" ht="12.5">
      <c r="A1755" s="24"/>
      <c r="B1755" s="17"/>
      <c r="C1755" s="24"/>
      <c r="D1755" s="16"/>
      <c r="E1755" s="16"/>
      <c r="F1755" s="16"/>
      <c r="G1755" s="16"/>
      <c r="H1755" s="16" t="str">
        <f ca="1">IFERROR(__xludf.DUMMYFUNCTION("""COMPUTED_VALUE"""),".")</f>
        <v>.</v>
      </c>
    </row>
    <row r="1756" spans="1:8" ht="12.5">
      <c r="A1756" s="24"/>
      <c r="B1756" s="17"/>
      <c r="C1756" s="24"/>
      <c r="D1756" s="16"/>
      <c r="E1756" s="16"/>
      <c r="F1756" s="16"/>
      <c r="G1756" s="16"/>
      <c r="H1756" s="16" t="str">
        <f ca="1">IFERROR(__xludf.DUMMYFUNCTION("""COMPUTED_VALUE"""),".")</f>
        <v>.</v>
      </c>
    </row>
    <row r="1757" spans="1:8" ht="12.5">
      <c r="A1757" s="24"/>
      <c r="B1757" s="17"/>
      <c r="C1757" s="24"/>
      <c r="D1757" s="16"/>
      <c r="E1757" s="16"/>
      <c r="F1757" s="16"/>
      <c r="G1757" s="16"/>
      <c r="H1757" s="16" t="str">
        <f ca="1">IFERROR(__xludf.DUMMYFUNCTION("""COMPUTED_VALUE"""),".")</f>
        <v>.</v>
      </c>
    </row>
    <row r="1758" spans="1:8" ht="12.5">
      <c r="A1758" s="24"/>
      <c r="B1758" s="17"/>
      <c r="C1758" s="24"/>
      <c r="D1758" s="16"/>
      <c r="E1758" s="16"/>
      <c r="F1758" s="16"/>
      <c r="G1758" s="16"/>
      <c r="H1758" s="16" t="str">
        <f ca="1">IFERROR(__xludf.DUMMYFUNCTION("""COMPUTED_VALUE"""),".")</f>
        <v>.</v>
      </c>
    </row>
    <row r="1759" spans="1:8" ht="12.5">
      <c r="A1759" s="24"/>
      <c r="B1759" s="17"/>
      <c r="C1759" s="24"/>
      <c r="D1759" s="16"/>
      <c r="E1759" s="16"/>
      <c r="F1759" s="16"/>
      <c r="G1759" s="16"/>
      <c r="H1759" s="16" t="str">
        <f ca="1">IFERROR(__xludf.DUMMYFUNCTION("""COMPUTED_VALUE"""),".")</f>
        <v>.</v>
      </c>
    </row>
    <row r="1760" spans="1:8" ht="12.5">
      <c r="A1760" s="24"/>
      <c r="B1760" s="17"/>
      <c r="C1760" s="24"/>
      <c r="D1760" s="16"/>
      <c r="E1760" s="16"/>
      <c r="F1760" s="16"/>
      <c r="G1760" s="16"/>
      <c r="H1760" s="16" t="str">
        <f ca="1">IFERROR(__xludf.DUMMYFUNCTION("""COMPUTED_VALUE"""),".")</f>
        <v>.</v>
      </c>
    </row>
    <row r="1761" spans="1:8" ht="12.5">
      <c r="A1761" s="24"/>
      <c r="B1761" s="17"/>
      <c r="C1761" s="24"/>
      <c r="D1761" s="16"/>
      <c r="E1761" s="16"/>
      <c r="F1761" s="16"/>
      <c r="G1761" s="16"/>
      <c r="H1761" s="16" t="str">
        <f ca="1">IFERROR(__xludf.DUMMYFUNCTION("""COMPUTED_VALUE"""),".")</f>
        <v>.</v>
      </c>
    </row>
    <row r="1762" spans="1:8" ht="12.5">
      <c r="A1762" s="24"/>
      <c r="B1762" s="17"/>
      <c r="C1762" s="24"/>
      <c r="D1762" s="16"/>
      <c r="E1762" s="16"/>
      <c r="F1762" s="16"/>
      <c r="G1762" s="16"/>
      <c r="H1762" s="16" t="str">
        <f ca="1">IFERROR(__xludf.DUMMYFUNCTION("""COMPUTED_VALUE"""),".")</f>
        <v>.</v>
      </c>
    </row>
    <row r="1763" spans="1:8" ht="12.5">
      <c r="A1763" s="24"/>
      <c r="B1763" s="17"/>
      <c r="C1763" s="24"/>
      <c r="D1763" s="16"/>
      <c r="E1763" s="16"/>
      <c r="F1763" s="16"/>
      <c r="G1763" s="16"/>
      <c r="H1763" s="16" t="str">
        <f ca="1">IFERROR(__xludf.DUMMYFUNCTION("""COMPUTED_VALUE"""),".")</f>
        <v>.</v>
      </c>
    </row>
    <row r="1764" spans="1:8" ht="12.5">
      <c r="A1764" s="24"/>
      <c r="B1764" s="17"/>
      <c r="C1764" s="24"/>
      <c r="D1764" s="16"/>
      <c r="E1764" s="16"/>
      <c r="F1764" s="16"/>
      <c r="G1764" s="16"/>
      <c r="H1764" s="16" t="str">
        <f ca="1">IFERROR(__xludf.DUMMYFUNCTION("""COMPUTED_VALUE"""),".")</f>
        <v>.</v>
      </c>
    </row>
    <row r="1765" spans="1:8" ht="12.5">
      <c r="A1765" s="24"/>
      <c r="B1765" s="17"/>
      <c r="C1765" s="24"/>
      <c r="D1765" s="16"/>
      <c r="E1765" s="16"/>
      <c r="F1765" s="16"/>
      <c r="G1765" s="16"/>
      <c r="H1765" s="16" t="str">
        <f ca="1">IFERROR(__xludf.DUMMYFUNCTION("""COMPUTED_VALUE"""),".")</f>
        <v>.</v>
      </c>
    </row>
    <row r="1766" spans="1:8" ht="12.5">
      <c r="A1766" s="24"/>
      <c r="B1766" s="17"/>
      <c r="C1766" s="24"/>
      <c r="D1766" s="16"/>
      <c r="E1766" s="16"/>
      <c r="F1766" s="16"/>
      <c r="G1766" s="16"/>
      <c r="H1766" s="16" t="str">
        <f ca="1">IFERROR(__xludf.DUMMYFUNCTION("""COMPUTED_VALUE"""),".")</f>
        <v>.</v>
      </c>
    </row>
    <row r="1767" spans="1:8" ht="12.5">
      <c r="A1767" s="24"/>
      <c r="B1767" s="17"/>
      <c r="C1767" s="24"/>
      <c r="D1767" s="16"/>
      <c r="E1767" s="16"/>
      <c r="F1767" s="16"/>
      <c r="G1767" s="16"/>
      <c r="H1767" s="16" t="str">
        <f ca="1">IFERROR(__xludf.DUMMYFUNCTION("""COMPUTED_VALUE"""),".")</f>
        <v>.</v>
      </c>
    </row>
    <row r="1768" spans="1:8" ht="12.5">
      <c r="A1768" s="24"/>
      <c r="B1768" s="17"/>
      <c r="C1768" s="24"/>
      <c r="D1768" s="16"/>
      <c r="E1768" s="16"/>
      <c r="F1768" s="16"/>
      <c r="G1768" s="16"/>
      <c r="H1768" s="16" t="str">
        <f ca="1">IFERROR(__xludf.DUMMYFUNCTION("""COMPUTED_VALUE"""),".")</f>
        <v>.</v>
      </c>
    </row>
    <row r="1769" spans="1:8" ht="12.5">
      <c r="A1769" s="24"/>
      <c r="B1769" s="17"/>
      <c r="C1769" s="24"/>
      <c r="D1769" s="16"/>
      <c r="E1769" s="16"/>
      <c r="F1769" s="16"/>
      <c r="G1769" s="16"/>
      <c r="H1769" s="16" t="str">
        <f ca="1">IFERROR(__xludf.DUMMYFUNCTION("""COMPUTED_VALUE"""),".")</f>
        <v>.</v>
      </c>
    </row>
    <row r="1770" spans="1:8" ht="12.5">
      <c r="A1770" s="24"/>
      <c r="B1770" s="17"/>
      <c r="C1770" s="24"/>
      <c r="D1770" s="16"/>
      <c r="E1770" s="16"/>
      <c r="F1770" s="16"/>
      <c r="G1770" s="16"/>
      <c r="H1770" s="16" t="str">
        <f ca="1">IFERROR(__xludf.DUMMYFUNCTION("""COMPUTED_VALUE"""),".")</f>
        <v>.</v>
      </c>
    </row>
    <row r="1771" spans="1:8" ht="12.5">
      <c r="A1771" s="24"/>
      <c r="B1771" s="17"/>
      <c r="C1771" s="24"/>
      <c r="D1771" s="16"/>
      <c r="E1771" s="16"/>
      <c r="F1771" s="16"/>
      <c r="G1771" s="16"/>
      <c r="H1771" s="16" t="str">
        <f ca="1">IFERROR(__xludf.DUMMYFUNCTION("""COMPUTED_VALUE"""),".")</f>
        <v>.</v>
      </c>
    </row>
    <row r="1772" spans="1:8" ht="12.5">
      <c r="A1772" s="24"/>
      <c r="B1772" s="17"/>
      <c r="C1772" s="24"/>
      <c r="D1772" s="16"/>
      <c r="E1772" s="16"/>
      <c r="F1772" s="16"/>
      <c r="G1772" s="16"/>
      <c r="H1772" s="16" t="str">
        <f ca="1">IFERROR(__xludf.DUMMYFUNCTION("""COMPUTED_VALUE"""),".")</f>
        <v>.</v>
      </c>
    </row>
    <row r="1773" spans="1:8" ht="12.5">
      <c r="A1773" s="24"/>
      <c r="B1773" s="17"/>
      <c r="C1773" s="24"/>
      <c r="D1773" s="16"/>
      <c r="E1773" s="16"/>
      <c r="F1773" s="16"/>
      <c r="G1773" s="16"/>
      <c r="H1773" s="16" t="str">
        <f ca="1">IFERROR(__xludf.DUMMYFUNCTION("""COMPUTED_VALUE"""),".")</f>
        <v>.</v>
      </c>
    </row>
    <row r="1774" spans="1:8" ht="12.5">
      <c r="A1774" s="24"/>
      <c r="B1774" s="17"/>
      <c r="C1774" s="24"/>
      <c r="D1774" s="16"/>
      <c r="E1774" s="16"/>
      <c r="F1774" s="16"/>
      <c r="G1774" s="16"/>
      <c r="H1774" s="16" t="str">
        <f ca="1">IFERROR(__xludf.DUMMYFUNCTION("""COMPUTED_VALUE"""),".")</f>
        <v>.</v>
      </c>
    </row>
    <row r="1775" spans="1:8" ht="12.5">
      <c r="A1775" s="24"/>
      <c r="B1775" s="17"/>
      <c r="C1775" s="24"/>
      <c r="D1775" s="16"/>
      <c r="E1775" s="16"/>
      <c r="F1775" s="16"/>
      <c r="G1775" s="16"/>
      <c r="H1775" s="16" t="str">
        <f ca="1">IFERROR(__xludf.DUMMYFUNCTION("""COMPUTED_VALUE"""),".")</f>
        <v>.</v>
      </c>
    </row>
    <row r="1776" spans="1:8" ht="12.5">
      <c r="A1776" s="24"/>
      <c r="B1776" s="17"/>
      <c r="C1776" s="24"/>
      <c r="D1776" s="16"/>
      <c r="E1776" s="16"/>
      <c r="F1776" s="16"/>
      <c r="G1776" s="16"/>
      <c r="H1776" s="16" t="str">
        <f ca="1">IFERROR(__xludf.DUMMYFUNCTION("""COMPUTED_VALUE"""),".")</f>
        <v>.</v>
      </c>
    </row>
    <row r="1777" spans="1:8" ht="12.5">
      <c r="A1777" s="24"/>
      <c r="B1777" s="17"/>
      <c r="C1777" s="24"/>
      <c r="D1777" s="16"/>
      <c r="E1777" s="16"/>
      <c r="F1777" s="16"/>
      <c r="G1777" s="16"/>
      <c r="H1777" s="16" t="str">
        <f ca="1">IFERROR(__xludf.DUMMYFUNCTION("""COMPUTED_VALUE"""),".")</f>
        <v>.</v>
      </c>
    </row>
    <row r="1778" spans="1:8" ht="12.5">
      <c r="A1778" s="24"/>
      <c r="B1778" s="17"/>
      <c r="C1778" s="24"/>
      <c r="D1778" s="16"/>
      <c r="E1778" s="16"/>
      <c r="F1778" s="16"/>
      <c r="G1778" s="16"/>
      <c r="H1778" s="16" t="str">
        <f ca="1">IFERROR(__xludf.DUMMYFUNCTION("""COMPUTED_VALUE"""),".")</f>
        <v>.</v>
      </c>
    </row>
    <row r="1779" spans="1:8" ht="12.5">
      <c r="A1779" s="24"/>
      <c r="B1779" s="17"/>
      <c r="C1779" s="24"/>
      <c r="D1779" s="16"/>
      <c r="E1779" s="16"/>
      <c r="F1779" s="16"/>
      <c r="G1779" s="16"/>
      <c r="H1779" s="16" t="str">
        <f ca="1">IFERROR(__xludf.DUMMYFUNCTION("""COMPUTED_VALUE"""),".")</f>
        <v>.</v>
      </c>
    </row>
    <row r="1780" spans="1:8" ht="12.5">
      <c r="A1780" s="24"/>
      <c r="B1780" s="17"/>
      <c r="C1780" s="24"/>
      <c r="D1780" s="16"/>
      <c r="E1780" s="16"/>
      <c r="F1780" s="16"/>
      <c r="G1780" s="16"/>
      <c r="H1780" s="16" t="str">
        <f ca="1">IFERROR(__xludf.DUMMYFUNCTION("""COMPUTED_VALUE"""),".")</f>
        <v>.</v>
      </c>
    </row>
    <row r="1781" spans="1:8" ht="12.5">
      <c r="A1781" s="24"/>
      <c r="B1781" s="17"/>
      <c r="C1781" s="24"/>
      <c r="D1781" s="16"/>
      <c r="E1781" s="16"/>
      <c r="F1781" s="16"/>
      <c r="G1781" s="16"/>
      <c r="H1781" s="16" t="str">
        <f ca="1">IFERROR(__xludf.DUMMYFUNCTION("""COMPUTED_VALUE"""),".")</f>
        <v>.</v>
      </c>
    </row>
    <row r="1782" spans="1:8" ht="12.5">
      <c r="A1782" s="24"/>
      <c r="B1782" s="17"/>
      <c r="C1782" s="24"/>
      <c r="D1782" s="16"/>
      <c r="E1782" s="16"/>
      <c r="F1782" s="16"/>
      <c r="G1782" s="16"/>
      <c r="H1782" s="16" t="str">
        <f ca="1">IFERROR(__xludf.DUMMYFUNCTION("""COMPUTED_VALUE"""),".")</f>
        <v>.</v>
      </c>
    </row>
    <row r="1783" spans="1:8" ht="12.5">
      <c r="A1783" s="24"/>
      <c r="B1783" s="17"/>
      <c r="C1783" s="24"/>
      <c r="D1783" s="16"/>
      <c r="E1783" s="16"/>
      <c r="F1783" s="16"/>
      <c r="G1783" s="16"/>
      <c r="H1783" s="16" t="str">
        <f ca="1">IFERROR(__xludf.DUMMYFUNCTION("""COMPUTED_VALUE"""),".")</f>
        <v>.</v>
      </c>
    </row>
    <row r="1784" spans="1:8" ht="12.5">
      <c r="A1784" s="24"/>
      <c r="B1784" s="17"/>
      <c r="C1784" s="24"/>
      <c r="D1784" s="16"/>
      <c r="E1784" s="16"/>
      <c r="F1784" s="16"/>
      <c r="G1784" s="16"/>
      <c r="H1784" s="16" t="str">
        <f ca="1">IFERROR(__xludf.DUMMYFUNCTION("""COMPUTED_VALUE"""),".")</f>
        <v>.</v>
      </c>
    </row>
    <row r="1785" spans="1:8" ht="12.5">
      <c r="A1785" s="24"/>
      <c r="B1785" s="17"/>
      <c r="C1785" s="24"/>
      <c r="D1785" s="16"/>
      <c r="E1785" s="16"/>
      <c r="F1785" s="16"/>
      <c r="G1785" s="16"/>
      <c r="H1785" s="16" t="str">
        <f ca="1">IFERROR(__xludf.DUMMYFUNCTION("""COMPUTED_VALUE"""),".")</f>
        <v>.</v>
      </c>
    </row>
    <row r="1786" spans="1:8" ht="12.5">
      <c r="A1786" s="24"/>
      <c r="B1786" s="17"/>
      <c r="C1786" s="24"/>
      <c r="D1786" s="16"/>
      <c r="E1786" s="16"/>
      <c r="F1786" s="16"/>
      <c r="G1786" s="16"/>
      <c r="H1786" s="16" t="str">
        <f ca="1">IFERROR(__xludf.DUMMYFUNCTION("""COMPUTED_VALUE"""),".")</f>
        <v>.</v>
      </c>
    </row>
    <row r="1787" spans="1:8" ht="12.5">
      <c r="A1787" s="24"/>
      <c r="B1787" s="17"/>
      <c r="C1787" s="24"/>
      <c r="D1787" s="16"/>
      <c r="E1787" s="16"/>
      <c r="F1787" s="16"/>
      <c r="G1787" s="16"/>
      <c r="H1787" s="16" t="str">
        <f ca="1">IFERROR(__xludf.DUMMYFUNCTION("""COMPUTED_VALUE"""),".")</f>
        <v>.</v>
      </c>
    </row>
    <row r="1788" spans="1:8" ht="12.5">
      <c r="A1788" s="24"/>
      <c r="B1788" s="17"/>
      <c r="C1788" s="24"/>
      <c r="D1788" s="16"/>
      <c r="E1788" s="16"/>
      <c r="F1788" s="16"/>
      <c r="G1788" s="16"/>
      <c r="H1788" s="16" t="str">
        <f ca="1">IFERROR(__xludf.DUMMYFUNCTION("""COMPUTED_VALUE"""),".")</f>
        <v>.</v>
      </c>
    </row>
    <row r="1789" spans="1:8" ht="12.5">
      <c r="A1789" s="24"/>
      <c r="B1789" s="17"/>
      <c r="C1789" s="24"/>
      <c r="D1789" s="16"/>
      <c r="E1789" s="16"/>
      <c r="F1789" s="16"/>
      <c r="G1789" s="16"/>
      <c r="H1789" s="16" t="str">
        <f ca="1">IFERROR(__xludf.DUMMYFUNCTION("""COMPUTED_VALUE"""),".")</f>
        <v>.</v>
      </c>
    </row>
    <row r="1790" spans="1:8" ht="12.5">
      <c r="A1790" s="24"/>
      <c r="B1790" s="17"/>
      <c r="C1790" s="24"/>
      <c r="D1790" s="16"/>
      <c r="E1790" s="16"/>
      <c r="F1790" s="16"/>
      <c r="G1790" s="16"/>
      <c r="H1790" s="16" t="str">
        <f ca="1">IFERROR(__xludf.DUMMYFUNCTION("""COMPUTED_VALUE"""),".")</f>
        <v>.</v>
      </c>
    </row>
    <row r="1791" spans="1:8" ht="12.5">
      <c r="A1791" s="24"/>
      <c r="B1791" s="17"/>
      <c r="C1791" s="24"/>
      <c r="D1791" s="16"/>
      <c r="E1791" s="16"/>
      <c r="F1791" s="16"/>
      <c r="G1791" s="16"/>
      <c r="H1791" s="16" t="str">
        <f ca="1">IFERROR(__xludf.DUMMYFUNCTION("""COMPUTED_VALUE"""),".")</f>
        <v>.</v>
      </c>
    </row>
    <row r="1792" spans="1:8" ht="12.5">
      <c r="A1792" s="24"/>
      <c r="B1792" s="17"/>
      <c r="C1792" s="24"/>
      <c r="D1792" s="16"/>
      <c r="E1792" s="16"/>
      <c r="F1792" s="16"/>
      <c r="G1792" s="16"/>
      <c r="H1792" s="16" t="str">
        <f ca="1">IFERROR(__xludf.DUMMYFUNCTION("""COMPUTED_VALUE"""),".")</f>
        <v>.</v>
      </c>
    </row>
    <row r="1793" spans="1:8" ht="12.5">
      <c r="A1793" s="24"/>
      <c r="B1793" s="17"/>
      <c r="C1793" s="24"/>
      <c r="D1793" s="16"/>
      <c r="E1793" s="16"/>
      <c r="F1793" s="16"/>
      <c r="G1793" s="16"/>
      <c r="H1793" s="16" t="str">
        <f ca="1">IFERROR(__xludf.DUMMYFUNCTION("""COMPUTED_VALUE"""),".")</f>
        <v>.</v>
      </c>
    </row>
    <row r="1794" spans="1:8" ht="12.5">
      <c r="A1794" s="24"/>
      <c r="B1794" s="17"/>
      <c r="C1794" s="24"/>
      <c r="D1794" s="16"/>
      <c r="E1794" s="16"/>
      <c r="F1794" s="16"/>
      <c r="G1794" s="16"/>
      <c r="H1794" s="16" t="str">
        <f ca="1">IFERROR(__xludf.DUMMYFUNCTION("""COMPUTED_VALUE"""),".")</f>
        <v>.</v>
      </c>
    </row>
    <row r="1795" spans="1:8" ht="12.5">
      <c r="A1795" s="24"/>
      <c r="B1795" s="17"/>
      <c r="C1795" s="24"/>
      <c r="D1795" s="16"/>
      <c r="E1795" s="16"/>
      <c r="F1795" s="16"/>
      <c r="G1795" s="16"/>
      <c r="H1795" s="16" t="str">
        <f ca="1">IFERROR(__xludf.DUMMYFUNCTION("""COMPUTED_VALUE"""),".")</f>
        <v>.</v>
      </c>
    </row>
    <row r="1796" spans="1:8" ht="12.5">
      <c r="A1796" s="24"/>
      <c r="B1796" s="17"/>
      <c r="C1796" s="24"/>
      <c r="D1796" s="16"/>
      <c r="E1796" s="16"/>
      <c r="F1796" s="16"/>
      <c r="G1796" s="16"/>
      <c r="H1796" s="16" t="str">
        <f ca="1">IFERROR(__xludf.DUMMYFUNCTION("""COMPUTED_VALUE"""),".")</f>
        <v>.</v>
      </c>
    </row>
    <row r="1797" spans="1:8" ht="12.5">
      <c r="A1797" s="24"/>
      <c r="B1797" s="17"/>
      <c r="C1797" s="24"/>
      <c r="D1797" s="16"/>
      <c r="E1797" s="16"/>
      <c r="F1797" s="16"/>
      <c r="G1797" s="16"/>
      <c r="H1797" s="16" t="str">
        <f ca="1">IFERROR(__xludf.DUMMYFUNCTION("""COMPUTED_VALUE"""),".")</f>
        <v>.</v>
      </c>
    </row>
    <row r="1798" spans="1:8" ht="12.5">
      <c r="A1798" s="24"/>
      <c r="B1798" s="17"/>
      <c r="C1798" s="24"/>
      <c r="D1798" s="16"/>
      <c r="E1798" s="16"/>
      <c r="F1798" s="16"/>
      <c r="G1798" s="16"/>
      <c r="H1798" s="16"/>
    </row>
    <row r="1799" spans="1:8" ht="12.5">
      <c r="A1799" s="24"/>
      <c r="B1799" s="17"/>
      <c r="C1799" s="24"/>
      <c r="D1799" s="16"/>
      <c r="E1799" s="16"/>
      <c r="F1799" s="16"/>
      <c r="G1799" s="16"/>
      <c r="H1799" s="16"/>
    </row>
    <row r="1800" spans="1:8" ht="12.5">
      <c r="A1800" s="24"/>
      <c r="B1800" s="17"/>
      <c r="C1800" s="24"/>
      <c r="D1800" s="16"/>
      <c r="E1800" s="16"/>
      <c r="F1800" s="16"/>
      <c r="G1800" s="16"/>
      <c r="H1800" s="16"/>
    </row>
    <row r="1801" spans="1:8" ht="12.5">
      <c r="A1801" s="24"/>
      <c r="B1801" s="17"/>
      <c r="C1801" s="24"/>
      <c r="D1801" s="16"/>
      <c r="E1801" s="16"/>
      <c r="F1801" s="16"/>
      <c r="G1801" s="16"/>
      <c r="H1801" s="16"/>
    </row>
    <row r="1802" spans="1:8" ht="12.5">
      <c r="A1802" s="24"/>
      <c r="B1802" s="17"/>
      <c r="C1802" s="24"/>
      <c r="D1802" s="16"/>
      <c r="E1802" s="16"/>
      <c r="F1802" s="16"/>
      <c r="G1802" s="16"/>
      <c r="H1802" s="16"/>
    </row>
    <row r="1803" spans="1:8" ht="12.5">
      <c r="A1803" s="24"/>
      <c r="B1803" s="17"/>
      <c r="C1803" s="24"/>
      <c r="D1803" s="16"/>
      <c r="E1803" s="16"/>
      <c r="F1803" s="16"/>
      <c r="G1803" s="16"/>
      <c r="H1803" s="16"/>
    </row>
    <row r="1804" spans="1:8" ht="12.5">
      <c r="A1804" s="24"/>
      <c r="B1804" s="17"/>
      <c r="C1804" s="24"/>
      <c r="D1804" s="16"/>
      <c r="E1804" s="16"/>
      <c r="F1804" s="16"/>
      <c r="G1804" s="16"/>
      <c r="H1804" s="16"/>
    </row>
    <row r="1805" spans="1:8" ht="12.5">
      <c r="A1805" s="24"/>
      <c r="B1805" s="17"/>
      <c r="C1805" s="24"/>
      <c r="D1805" s="16"/>
      <c r="E1805" s="16"/>
      <c r="F1805" s="16"/>
      <c r="G1805" s="16"/>
      <c r="H1805" s="16"/>
    </row>
    <row r="1806" spans="1:8" ht="12.5">
      <c r="A1806" s="24"/>
      <c r="B1806" s="17"/>
      <c r="C1806" s="24"/>
      <c r="D1806" s="16"/>
      <c r="E1806" s="16"/>
      <c r="F1806" s="16"/>
      <c r="G1806" s="16"/>
      <c r="H1806" s="16"/>
    </row>
    <row r="1807" spans="1:8" ht="12.5">
      <c r="A1807" s="24"/>
      <c r="B1807" s="17"/>
      <c r="C1807" s="24"/>
      <c r="D1807" s="16"/>
      <c r="E1807" s="16"/>
      <c r="F1807" s="16"/>
      <c r="G1807" s="16"/>
      <c r="H1807" s="16"/>
    </row>
    <row r="1808" spans="1:8" ht="12.5">
      <c r="A1808" s="24"/>
      <c r="B1808" s="17"/>
      <c r="C1808" s="24"/>
      <c r="D1808" s="16"/>
      <c r="E1808" s="16"/>
      <c r="F1808" s="16"/>
      <c r="G1808" s="16"/>
      <c r="H1808" s="16"/>
    </row>
    <row r="1809" spans="1:8" ht="12.5">
      <c r="A1809" s="24"/>
      <c r="B1809" s="17"/>
      <c r="C1809" s="24"/>
      <c r="D1809" s="16"/>
      <c r="E1809" s="16"/>
      <c r="F1809" s="16"/>
      <c r="G1809" s="16"/>
      <c r="H1809" s="16"/>
    </row>
    <row r="1810" spans="1:8" ht="12.5">
      <c r="A1810" s="24"/>
      <c r="B1810" s="17"/>
      <c r="C1810" s="24"/>
      <c r="D1810" s="16"/>
      <c r="E1810" s="16"/>
      <c r="F1810" s="16"/>
      <c r="G1810" s="16"/>
      <c r="H1810" s="16"/>
    </row>
    <row r="1811" spans="1:8" ht="12.5">
      <c r="A1811" s="24"/>
      <c r="B1811" s="17"/>
      <c r="C1811" s="24"/>
      <c r="D1811" s="16"/>
      <c r="E1811" s="16"/>
      <c r="F1811" s="16"/>
      <c r="G1811" s="16"/>
      <c r="H1811" s="16"/>
    </row>
    <row r="1812" spans="1:8" ht="12.5">
      <c r="A1812" s="24"/>
      <c r="B1812" s="17"/>
      <c r="C1812" s="24"/>
      <c r="D1812" s="16"/>
      <c r="E1812" s="16"/>
      <c r="F1812" s="16"/>
      <c r="G1812" s="16"/>
      <c r="H1812" s="16"/>
    </row>
    <row r="1813" spans="1:8" ht="12.5">
      <c r="A1813" s="24"/>
      <c r="B1813" s="17"/>
      <c r="C1813" s="24"/>
      <c r="D1813" s="16"/>
      <c r="E1813" s="16"/>
      <c r="F1813" s="16"/>
      <c r="G1813" s="16"/>
      <c r="H1813" s="16"/>
    </row>
    <row r="1814" spans="1:8" ht="12.5">
      <c r="A1814" s="24"/>
      <c r="B1814" s="17"/>
      <c r="C1814" s="24"/>
      <c r="D1814" s="16"/>
      <c r="E1814" s="16"/>
      <c r="F1814" s="16"/>
      <c r="G1814" s="16"/>
      <c r="H1814" s="16"/>
    </row>
    <row r="1815" spans="1:8" ht="12.5">
      <c r="A1815" s="24"/>
      <c r="B1815" s="17"/>
      <c r="C1815" s="24"/>
      <c r="D1815" s="16"/>
      <c r="E1815" s="16"/>
      <c r="F1815" s="16"/>
      <c r="G1815" s="16"/>
      <c r="H1815" s="16"/>
    </row>
    <row r="1816" spans="1:8" ht="12.5">
      <c r="A1816" s="24"/>
      <c r="B1816" s="17"/>
      <c r="C1816" s="24"/>
      <c r="D1816" s="16"/>
      <c r="E1816" s="16"/>
      <c r="F1816" s="16"/>
      <c r="G1816" s="16"/>
      <c r="H1816" s="16"/>
    </row>
    <row r="1817" spans="1:8" ht="12.5">
      <c r="A1817" s="24"/>
      <c r="B1817" s="17"/>
      <c r="C1817" s="24"/>
      <c r="D1817" s="16"/>
      <c r="E1817" s="16"/>
      <c r="F1817" s="16"/>
      <c r="G1817" s="16"/>
      <c r="H1817" s="16"/>
    </row>
    <row r="1818" spans="1:8" ht="12.5">
      <c r="A1818" s="24"/>
      <c r="B1818" s="17"/>
      <c r="C1818" s="24"/>
      <c r="D1818" s="16"/>
      <c r="E1818" s="16"/>
      <c r="F1818" s="16"/>
      <c r="G1818" s="16"/>
      <c r="H1818" s="16"/>
    </row>
    <row r="1819" spans="1:8" ht="12.5">
      <c r="A1819" s="24"/>
      <c r="B1819" s="17"/>
      <c r="C1819" s="24"/>
      <c r="D1819" s="16"/>
      <c r="E1819" s="16"/>
      <c r="F1819" s="16"/>
      <c r="G1819" s="16"/>
      <c r="H1819" s="16"/>
    </row>
    <row r="1820" spans="1:8" ht="12.5">
      <c r="A1820" s="24"/>
      <c r="B1820" s="17"/>
      <c r="C1820" s="24"/>
      <c r="D1820" s="16"/>
      <c r="E1820" s="37" t="str">
        <f ca="1">IFERROR(__xludf.DUMMYFUNCTION("IMPORTRANGE(""https://docs.google.com/spreadsheets/d/1LN67MFidIqSoUdJMRJheYU2HkS6mqAAhD_6rdMUqrOM/edit#gid=1404531132"",""#22 Yosef Siman-tov Cohen!A11:A80"")"),"CODI")</f>
        <v>CODI</v>
      </c>
      <c r="F1820" s="37" t="str">
        <f ca="1">IFERROR(__xludf.DUMMYFUNCTION("IMPORTRANGE(""https://docs.google.com/spreadsheets/d/1LN67MFidIqSoUdJMRJheYU2HkS6mqAAhD_6rdMUqrOM/edit#gid=1404531132"",""#22 Yosef Siman-tov Cohen!I11:K80"")"),"Expense Type")</f>
        <v>Expense Type</v>
      </c>
      <c r="G1820" s="16" t="str">
        <f ca="1">IFERROR(__xludf.DUMMYFUNCTION("""COMPUTED_VALUE"""),"DESCRIPCION DEL GASTO")</f>
        <v>DESCRIPCION DEL GASTO</v>
      </c>
      <c r="H1820" s="16" t="str">
        <f ca="1">IFERROR(__xludf.DUMMYFUNCTION("""COMPUTED_VALUE"""),"FOLIO FACTURA")</f>
        <v>FOLIO FACTURA</v>
      </c>
    </row>
    <row r="1821" spans="1:8" ht="12.5">
      <c r="A1821" s="24"/>
      <c r="B1821" s="17"/>
      <c r="C1821" s="24"/>
      <c r="D1821" s="16"/>
      <c r="E1821" s="16" t="str">
        <f ca="1">IFERROR(__xludf.DUMMYFUNCTION("""COMPUTED_VALUE"""),"#N/A")</f>
        <v>#N/A</v>
      </c>
      <c r="F1821" s="16"/>
      <c r="G1821" s="16" t="str">
        <f ca="1">IFERROR(__xludf.DUMMYFUNCTION("""COMPUTED_VALUE"""),"ERROR EN UBER")</f>
        <v>ERROR EN UBER</v>
      </c>
      <c r="H1821" s="16" t="str">
        <f ca="1">IFERROR(__xludf.DUMMYFUNCTION("""COMPUTED_VALUE"""),"ERROR EN UBER")</f>
        <v>ERROR EN UBER</v>
      </c>
    </row>
    <row r="1822" spans="1:8" ht="12.5">
      <c r="A1822" s="24"/>
      <c r="B1822" s="17"/>
      <c r="C1822" s="24"/>
      <c r="D1822" s="16"/>
      <c r="E1822" s="16"/>
      <c r="F1822" s="16"/>
      <c r="G1822" s="16" t="str">
        <f ca="1">IFERROR(__xludf.DUMMYFUNCTION("""COMPUTED_VALUE"""),"ERROR EN UBER")</f>
        <v>ERROR EN UBER</v>
      </c>
      <c r="H1822" s="16" t="str">
        <f ca="1">IFERROR(__xludf.DUMMYFUNCTION("""COMPUTED_VALUE"""),"ERROR EN UBER")</f>
        <v>ERROR EN UBER</v>
      </c>
    </row>
    <row r="1823" spans="1:8" ht="12.5">
      <c r="A1823" s="24"/>
      <c r="B1823" s="17"/>
      <c r="C1823" s="24"/>
      <c r="D1823" s="16"/>
      <c r="E1823" s="16"/>
      <c r="F1823" s="16"/>
      <c r="G1823" s="16"/>
      <c r="H1823" s="16" t="str">
        <f ca="1">IFERROR(__xludf.DUMMYFUNCTION("""COMPUTED_VALUE"""),".")</f>
        <v>.</v>
      </c>
    </row>
    <row r="1824" spans="1:8" ht="12.5">
      <c r="A1824" s="24"/>
      <c r="B1824" s="17"/>
      <c r="C1824" s="24"/>
      <c r="D1824" s="16"/>
      <c r="E1824" s="16"/>
      <c r="F1824" s="16"/>
      <c r="G1824" s="16"/>
      <c r="H1824" s="16" t="str">
        <f ca="1">IFERROR(__xludf.DUMMYFUNCTION("""COMPUTED_VALUE"""),".")</f>
        <v>.</v>
      </c>
    </row>
    <row r="1825" spans="1:8" ht="12.5">
      <c r="A1825" s="24"/>
      <c r="B1825" s="17"/>
      <c r="C1825" s="24"/>
      <c r="D1825" s="16"/>
      <c r="E1825" s="16"/>
      <c r="F1825" s="16"/>
      <c r="G1825" s="16"/>
      <c r="H1825" s="16" t="str">
        <f ca="1">IFERROR(__xludf.DUMMYFUNCTION("""COMPUTED_VALUE"""),".")</f>
        <v>.</v>
      </c>
    </row>
    <row r="1826" spans="1:8" ht="12.5">
      <c r="A1826" s="24"/>
      <c r="B1826" s="17"/>
      <c r="C1826" s="24"/>
      <c r="D1826" s="16"/>
      <c r="E1826" s="16"/>
      <c r="F1826" s="16"/>
      <c r="G1826" s="16"/>
      <c r="H1826" s="16" t="str">
        <f ca="1">IFERROR(__xludf.DUMMYFUNCTION("""COMPUTED_VALUE"""),".")</f>
        <v>.</v>
      </c>
    </row>
    <row r="1827" spans="1:8" ht="12.5">
      <c r="A1827" s="24"/>
      <c r="B1827" s="17"/>
      <c r="C1827" s="24"/>
      <c r="D1827" s="16"/>
      <c r="E1827" s="16"/>
      <c r="F1827" s="16"/>
      <c r="G1827" s="16"/>
      <c r="H1827" s="16" t="str">
        <f ca="1">IFERROR(__xludf.DUMMYFUNCTION("""COMPUTED_VALUE"""),".")</f>
        <v>.</v>
      </c>
    </row>
    <row r="1828" spans="1:8" ht="12.5">
      <c r="A1828" s="24"/>
      <c r="B1828" s="17"/>
      <c r="C1828" s="24"/>
      <c r="D1828" s="16"/>
      <c r="E1828" s="16"/>
      <c r="F1828" s="16"/>
      <c r="G1828" s="16"/>
      <c r="H1828" s="16" t="str">
        <f ca="1">IFERROR(__xludf.DUMMYFUNCTION("""COMPUTED_VALUE"""),".")</f>
        <v>.</v>
      </c>
    </row>
    <row r="1829" spans="1:8" ht="12.5">
      <c r="A1829" s="24"/>
      <c r="B1829" s="17"/>
      <c r="C1829" s="24"/>
      <c r="D1829" s="16"/>
      <c r="E1829" s="16"/>
      <c r="F1829" s="16"/>
      <c r="G1829" s="16"/>
      <c r="H1829" s="16" t="str">
        <f ca="1">IFERROR(__xludf.DUMMYFUNCTION("""COMPUTED_VALUE"""),".")</f>
        <v>.</v>
      </c>
    </row>
    <row r="1830" spans="1:8" ht="12.5">
      <c r="A1830" s="24"/>
      <c r="B1830" s="17"/>
      <c r="C1830" s="24"/>
      <c r="D1830" s="16"/>
      <c r="E1830" s="16"/>
      <c r="F1830" s="16"/>
      <c r="G1830" s="16"/>
      <c r="H1830" s="16" t="str">
        <f ca="1">IFERROR(__xludf.DUMMYFUNCTION("""COMPUTED_VALUE"""),".")</f>
        <v>.</v>
      </c>
    </row>
    <row r="1831" spans="1:8" ht="12.5">
      <c r="A1831" s="24"/>
      <c r="B1831" s="17"/>
      <c r="C1831" s="24"/>
      <c r="D1831" s="16"/>
      <c r="E1831" s="16"/>
      <c r="F1831" s="16"/>
      <c r="G1831" s="16"/>
      <c r="H1831" s="16" t="str">
        <f ca="1">IFERROR(__xludf.DUMMYFUNCTION("""COMPUTED_VALUE"""),".")</f>
        <v>.</v>
      </c>
    </row>
    <row r="1832" spans="1:8" ht="12.5">
      <c r="A1832" s="24"/>
      <c r="B1832" s="17"/>
      <c r="C1832" s="24"/>
      <c r="D1832" s="16"/>
      <c r="E1832" s="16"/>
      <c r="F1832" s="16"/>
      <c r="G1832" s="16"/>
      <c r="H1832" s="16" t="str">
        <f ca="1">IFERROR(__xludf.DUMMYFUNCTION("""COMPUTED_VALUE"""),".")</f>
        <v>.</v>
      </c>
    </row>
    <row r="1833" spans="1:8" ht="12.5">
      <c r="A1833" s="24"/>
      <c r="B1833" s="17"/>
      <c r="C1833" s="24"/>
      <c r="D1833" s="16"/>
      <c r="E1833" s="16"/>
      <c r="F1833" s="16"/>
      <c r="G1833" s="16"/>
      <c r="H1833" s="16" t="str">
        <f ca="1">IFERROR(__xludf.DUMMYFUNCTION("""COMPUTED_VALUE"""),".")</f>
        <v>.</v>
      </c>
    </row>
    <row r="1834" spans="1:8" ht="12.5">
      <c r="A1834" s="24"/>
      <c r="B1834" s="17"/>
      <c r="C1834" s="24"/>
      <c r="D1834" s="16"/>
      <c r="E1834" s="16"/>
      <c r="F1834" s="16"/>
      <c r="G1834" s="16"/>
      <c r="H1834" s="16" t="str">
        <f ca="1">IFERROR(__xludf.DUMMYFUNCTION("""COMPUTED_VALUE"""),".")</f>
        <v>.</v>
      </c>
    </row>
    <row r="1835" spans="1:8" ht="12.5">
      <c r="A1835" s="24"/>
      <c r="B1835" s="17"/>
      <c r="C1835" s="24"/>
      <c r="D1835" s="16"/>
      <c r="E1835" s="16"/>
      <c r="F1835" s="16"/>
      <c r="G1835" s="16"/>
      <c r="H1835" s="16" t="str">
        <f ca="1">IFERROR(__xludf.DUMMYFUNCTION("""COMPUTED_VALUE"""),".")</f>
        <v>.</v>
      </c>
    </row>
    <row r="1836" spans="1:8" ht="12.5">
      <c r="A1836" s="24"/>
      <c r="B1836" s="17"/>
      <c r="C1836" s="24"/>
      <c r="D1836" s="16"/>
      <c r="E1836" s="16"/>
      <c r="F1836" s="16"/>
      <c r="G1836" s="16"/>
      <c r="H1836" s="16" t="str">
        <f ca="1">IFERROR(__xludf.DUMMYFUNCTION("""COMPUTED_VALUE"""),".")</f>
        <v>.</v>
      </c>
    </row>
    <row r="1837" spans="1:8" ht="12.5">
      <c r="A1837" s="24"/>
      <c r="B1837" s="17"/>
      <c r="C1837" s="24"/>
      <c r="D1837" s="16"/>
      <c r="E1837" s="16"/>
      <c r="F1837" s="16"/>
      <c r="G1837" s="16"/>
      <c r="H1837" s="16" t="str">
        <f ca="1">IFERROR(__xludf.DUMMYFUNCTION("""COMPUTED_VALUE"""),".")</f>
        <v>.</v>
      </c>
    </row>
    <row r="1838" spans="1:8" ht="12.5">
      <c r="A1838" s="24"/>
      <c r="B1838" s="17"/>
      <c r="C1838" s="24"/>
      <c r="D1838" s="16"/>
      <c r="E1838" s="16"/>
      <c r="F1838" s="16"/>
      <c r="G1838" s="16"/>
      <c r="H1838" s="16" t="str">
        <f ca="1">IFERROR(__xludf.DUMMYFUNCTION("""COMPUTED_VALUE"""),".")</f>
        <v>.</v>
      </c>
    </row>
    <row r="1839" spans="1:8" ht="12.5">
      <c r="A1839" s="24"/>
      <c r="B1839" s="17"/>
      <c r="C1839" s="24"/>
      <c r="D1839" s="16"/>
      <c r="E1839" s="16"/>
      <c r="F1839" s="16"/>
      <c r="G1839" s="16"/>
      <c r="H1839" s="16" t="str">
        <f ca="1">IFERROR(__xludf.DUMMYFUNCTION("""COMPUTED_VALUE"""),".")</f>
        <v>.</v>
      </c>
    </row>
    <row r="1840" spans="1:8" ht="12.5">
      <c r="A1840" s="24"/>
      <c r="B1840" s="17"/>
      <c r="C1840" s="24"/>
      <c r="D1840" s="16"/>
      <c r="E1840" s="16"/>
      <c r="F1840" s="16"/>
      <c r="G1840" s="16"/>
      <c r="H1840" s="16" t="str">
        <f ca="1">IFERROR(__xludf.DUMMYFUNCTION("""COMPUTED_VALUE"""),".")</f>
        <v>.</v>
      </c>
    </row>
    <row r="1841" spans="1:8" ht="12.5">
      <c r="A1841" s="24"/>
      <c r="B1841" s="17"/>
      <c r="C1841" s="24"/>
      <c r="D1841" s="16"/>
      <c r="E1841" s="16"/>
      <c r="F1841" s="16"/>
      <c r="G1841" s="16"/>
      <c r="H1841" s="16" t="str">
        <f ca="1">IFERROR(__xludf.DUMMYFUNCTION("""COMPUTED_VALUE"""),".")</f>
        <v>.</v>
      </c>
    </row>
    <row r="1842" spans="1:8" ht="12.5">
      <c r="A1842" s="24"/>
      <c r="B1842" s="17"/>
      <c r="C1842" s="24"/>
      <c r="D1842" s="16"/>
      <c r="E1842" s="16"/>
      <c r="F1842" s="16"/>
      <c r="G1842" s="16"/>
      <c r="H1842" s="16" t="str">
        <f ca="1">IFERROR(__xludf.DUMMYFUNCTION("""COMPUTED_VALUE"""),".")</f>
        <v>.</v>
      </c>
    </row>
    <row r="1843" spans="1:8" ht="12.5">
      <c r="A1843" s="24"/>
      <c r="B1843" s="17"/>
      <c r="C1843" s="24"/>
      <c r="D1843" s="16"/>
      <c r="E1843" s="16"/>
      <c r="F1843" s="16"/>
      <c r="G1843" s="16"/>
      <c r="H1843" s="16" t="str">
        <f ca="1">IFERROR(__xludf.DUMMYFUNCTION("""COMPUTED_VALUE"""),".")</f>
        <v>.</v>
      </c>
    </row>
    <row r="1844" spans="1:8" ht="12.5">
      <c r="A1844" s="24"/>
      <c r="B1844" s="17"/>
      <c r="C1844" s="24"/>
      <c r="D1844" s="16"/>
      <c r="E1844" s="16"/>
      <c r="F1844" s="16"/>
      <c r="G1844" s="16"/>
      <c r="H1844" s="16" t="str">
        <f ca="1">IFERROR(__xludf.DUMMYFUNCTION("""COMPUTED_VALUE"""),".")</f>
        <v>.</v>
      </c>
    </row>
    <row r="1845" spans="1:8" ht="12.5">
      <c r="A1845" s="24"/>
      <c r="B1845" s="17"/>
      <c r="C1845" s="24"/>
      <c r="D1845" s="16"/>
      <c r="E1845" s="16"/>
      <c r="F1845" s="16"/>
      <c r="G1845" s="16"/>
      <c r="H1845" s="16" t="str">
        <f ca="1">IFERROR(__xludf.DUMMYFUNCTION("""COMPUTED_VALUE"""),".")</f>
        <v>.</v>
      </c>
    </row>
    <row r="1846" spans="1:8" ht="12.5">
      <c r="A1846" s="24"/>
      <c r="B1846" s="17"/>
      <c r="C1846" s="24"/>
      <c r="D1846" s="16"/>
      <c r="E1846" s="16"/>
      <c r="F1846" s="16"/>
      <c r="G1846" s="16"/>
      <c r="H1846" s="16" t="str">
        <f ca="1">IFERROR(__xludf.DUMMYFUNCTION("""COMPUTED_VALUE"""),".")</f>
        <v>.</v>
      </c>
    </row>
    <row r="1847" spans="1:8" ht="12.5">
      <c r="A1847" s="24"/>
      <c r="B1847" s="17"/>
      <c r="C1847" s="24"/>
      <c r="D1847" s="16"/>
      <c r="E1847" s="16"/>
      <c r="F1847" s="16"/>
      <c r="G1847" s="16"/>
      <c r="H1847" s="16" t="str">
        <f ca="1">IFERROR(__xludf.DUMMYFUNCTION("""COMPUTED_VALUE"""),".")</f>
        <v>.</v>
      </c>
    </row>
    <row r="1848" spans="1:8" ht="12.5">
      <c r="A1848" s="24"/>
      <c r="B1848" s="17"/>
      <c r="C1848" s="24"/>
      <c r="D1848" s="16"/>
      <c r="E1848" s="16"/>
      <c r="F1848" s="16"/>
      <c r="G1848" s="16"/>
      <c r="H1848" s="16" t="str">
        <f ca="1">IFERROR(__xludf.DUMMYFUNCTION("""COMPUTED_VALUE"""),".")</f>
        <v>.</v>
      </c>
    </row>
    <row r="1849" spans="1:8" ht="12.5">
      <c r="A1849" s="24"/>
      <c r="B1849" s="17"/>
      <c r="C1849" s="24"/>
      <c r="D1849" s="16"/>
      <c r="E1849" s="16"/>
      <c r="F1849" s="16"/>
      <c r="G1849" s="16"/>
      <c r="H1849" s="16" t="str">
        <f ca="1">IFERROR(__xludf.DUMMYFUNCTION("""COMPUTED_VALUE"""),".")</f>
        <v>.</v>
      </c>
    </row>
    <row r="1850" spans="1:8" ht="12.5">
      <c r="A1850" s="24"/>
      <c r="B1850" s="17"/>
      <c r="C1850" s="24"/>
      <c r="D1850" s="16"/>
      <c r="E1850" s="16"/>
      <c r="F1850" s="16"/>
      <c r="G1850" s="16"/>
      <c r="H1850" s="16" t="str">
        <f ca="1">IFERROR(__xludf.DUMMYFUNCTION("""COMPUTED_VALUE"""),".")</f>
        <v>.</v>
      </c>
    </row>
    <row r="1851" spans="1:8" ht="12.5">
      <c r="A1851" s="24"/>
      <c r="B1851" s="17"/>
      <c r="C1851" s="24"/>
      <c r="D1851" s="16"/>
      <c r="E1851" s="16"/>
      <c r="F1851" s="16"/>
      <c r="G1851" s="16"/>
      <c r="H1851" s="16" t="str">
        <f ca="1">IFERROR(__xludf.DUMMYFUNCTION("""COMPUTED_VALUE"""),".")</f>
        <v>.</v>
      </c>
    </row>
    <row r="1852" spans="1:8" ht="12.5">
      <c r="A1852" s="24"/>
      <c r="B1852" s="17"/>
      <c r="C1852" s="24"/>
      <c r="D1852" s="16"/>
      <c r="E1852" s="16"/>
      <c r="F1852" s="16"/>
      <c r="G1852" s="16"/>
      <c r="H1852" s="16" t="str">
        <f ca="1">IFERROR(__xludf.DUMMYFUNCTION("""COMPUTED_VALUE"""),".")</f>
        <v>.</v>
      </c>
    </row>
    <row r="1853" spans="1:8" ht="12.5">
      <c r="A1853" s="24"/>
      <c r="B1853" s="17"/>
      <c r="C1853" s="24"/>
      <c r="D1853" s="16"/>
      <c r="E1853" s="16"/>
      <c r="F1853" s="16"/>
      <c r="G1853" s="16"/>
      <c r="H1853" s="16" t="str">
        <f ca="1">IFERROR(__xludf.DUMMYFUNCTION("""COMPUTED_VALUE"""),".")</f>
        <v>.</v>
      </c>
    </row>
    <row r="1854" spans="1:8" ht="12.5">
      <c r="A1854" s="24"/>
      <c r="B1854" s="17"/>
      <c r="C1854" s="24"/>
      <c r="D1854" s="16"/>
      <c r="E1854" s="16"/>
      <c r="F1854" s="16"/>
      <c r="G1854" s="16"/>
      <c r="H1854" s="16" t="str">
        <f ca="1">IFERROR(__xludf.DUMMYFUNCTION("""COMPUTED_VALUE"""),".")</f>
        <v>.</v>
      </c>
    </row>
    <row r="1855" spans="1:8" ht="12.5">
      <c r="A1855" s="24"/>
      <c r="B1855" s="17"/>
      <c r="C1855" s="24"/>
      <c r="D1855" s="16"/>
      <c r="E1855" s="16"/>
      <c r="F1855" s="16"/>
      <c r="G1855" s="16"/>
      <c r="H1855" s="16" t="str">
        <f ca="1">IFERROR(__xludf.DUMMYFUNCTION("""COMPUTED_VALUE"""),".")</f>
        <v>.</v>
      </c>
    </row>
    <row r="1856" spans="1:8" ht="12.5">
      <c r="A1856" s="24"/>
      <c r="B1856" s="17"/>
      <c r="C1856" s="24"/>
      <c r="D1856" s="16"/>
      <c r="E1856" s="16"/>
      <c r="F1856" s="16"/>
      <c r="G1856" s="16"/>
      <c r="H1856" s="16" t="str">
        <f ca="1">IFERROR(__xludf.DUMMYFUNCTION("""COMPUTED_VALUE"""),".")</f>
        <v>.</v>
      </c>
    </row>
    <row r="1857" spans="1:8" ht="12.5">
      <c r="A1857" s="24"/>
      <c r="B1857" s="17"/>
      <c r="C1857" s="24"/>
      <c r="D1857" s="16"/>
      <c r="E1857" s="16"/>
      <c r="F1857" s="16"/>
      <c r="G1857" s="16"/>
      <c r="H1857" s="16" t="str">
        <f ca="1">IFERROR(__xludf.DUMMYFUNCTION("""COMPUTED_VALUE"""),".")</f>
        <v>.</v>
      </c>
    </row>
    <row r="1858" spans="1:8" ht="12.5">
      <c r="A1858" s="24"/>
      <c r="B1858" s="17"/>
      <c r="C1858" s="24"/>
      <c r="D1858" s="16"/>
      <c r="E1858" s="16"/>
      <c r="F1858" s="16"/>
      <c r="G1858" s="16"/>
      <c r="H1858" s="16" t="str">
        <f ca="1">IFERROR(__xludf.DUMMYFUNCTION("""COMPUTED_VALUE"""),".")</f>
        <v>.</v>
      </c>
    </row>
    <row r="1859" spans="1:8" ht="12.5">
      <c r="A1859" s="24"/>
      <c r="B1859" s="17"/>
      <c r="C1859" s="24"/>
      <c r="D1859" s="16"/>
      <c r="E1859" s="16"/>
      <c r="F1859" s="16"/>
      <c r="G1859" s="16"/>
      <c r="H1859" s="16" t="str">
        <f ca="1">IFERROR(__xludf.DUMMYFUNCTION("""COMPUTED_VALUE"""),".")</f>
        <v>.</v>
      </c>
    </row>
    <row r="1860" spans="1:8" ht="12.5">
      <c r="A1860" s="24"/>
      <c r="B1860" s="17"/>
      <c r="C1860" s="24"/>
      <c r="D1860" s="16"/>
      <c r="E1860" s="16"/>
      <c r="F1860" s="16"/>
      <c r="G1860" s="16"/>
      <c r="H1860" s="16" t="str">
        <f ca="1">IFERROR(__xludf.DUMMYFUNCTION("""COMPUTED_VALUE"""),".")</f>
        <v>.</v>
      </c>
    </row>
    <row r="1861" spans="1:8" ht="12.5">
      <c r="A1861" s="24"/>
      <c r="B1861" s="17"/>
      <c r="C1861" s="24"/>
      <c r="D1861" s="16"/>
      <c r="E1861" s="16"/>
      <c r="F1861" s="16"/>
      <c r="G1861" s="16"/>
      <c r="H1861" s="16" t="str">
        <f ca="1">IFERROR(__xludf.DUMMYFUNCTION("""COMPUTED_VALUE"""),".")</f>
        <v>.</v>
      </c>
    </row>
    <row r="1862" spans="1:8" ht="12.5">
      <c r="A1862" s="24"/>
      <c r="B1862" s="17"/>
      <c r="C1862" s="24"/>
      <c r="D1862" s="16"/>
      <c r="E1862" s="16"/>
      <c r="F1862" s="16"/>
      <c r="G1862" s="16"/>
      <c r="H1862" s="16" t="str">
        <f ca="1">IFERROR(__xludf.DUMMYFUNCTION("""COMPUTED_VALUE"""),".")</f>
        <v>.</v>
      </c>
    </row>
    <row r="1863" spans="1:8" ht="12.5">
      <c r="A1863" s="24"/>
      <c r="B1863" s="17"/>
      <c r="C1863" s="24"/>
      <c r="D1863" s="16"/>
      <c r="E1863" s="16"/>
      <c r="F1863" s="16"/>
      <c r="G1863" s="16"/>
      <c r="H1863" s="16" t="str">
        <f ca="1">IFERROR(__xludf.DUMMYFUNCTION("""COMPUTED_VALUE"""),".")</f>
        <v>.</v>
      </c>
    </row>
    <row r="1864" spans="1:8" ht="12.5">
      <c r="A1864" s="24"/>
      <c r="B1864" s="17"/>
      <c r="C1864" s="24"/>
      <c r="D1864" s="16"/>
      <c r="E1864" s="16"/>
      <c r="F1864" s="16"/>
      <c r="G1864" s="16"/>
      <c r="H1864" s="16" t="str">
        <f ca="1">IFERROR(__xludf.DUMMYFUNCTION("""COMPUTED_VALUE"""),".")</f>
        <v>.</v>
      </c>
    </row>
    <row r="1865" spans="1:8" ht="12.5">
      <c r="A1865" s="24"/>
      <c r="B1865" s="17"/>
      <c r="C1865" s="24"/>
      <c r="D1865" s="16"/>
      <c r="E1865" s="16"/>
      <c r="F1865" s="16"/>
      <c r="G1865" s="16"/>
      <c r="H1865" s="16" t="str">
        <f ca="1">IFERROR(__xludf.DUMMYFUNCTION("""COMPUTED_VALUE"""),".")</f>
        <v>.</v>
      </c>
    </row>
    <row r="1866" spans="1:8" ht="12.5">
      <c r="A1866" s="24"/>
      <c r="B1866" s="17"/>
      <c r="C1866" s="24"/>
      <c r="D1866" s="16"/>
      <c r="E1866" s="16"/>
      <c r="F1866" s="16"/>
      <c r="G1866" s="16"/>
      <c r="H1866" s="16" t="str">
        <f ca="1">IFERROR(__xludf.DUMMYFUNCTION("""COMPUTED_VALUE"""),".")</f>
        <v>.</v>
      </c>
    </row>
    <row r="1867" spans="1:8" ht="12.5">
      <c r="A1867" s="24"/>
      <c r="B1867" s="17"/>
      <c r="C1867" s="24"/>
      <c r="D1867" s="16"/>
      <c r="E1867" s="16"/>
      <c r="F1867" s="16"/>
      <c r="G1867" s="16"/>
      <c r="H1867" s="16" t="str">
        <f ca="1">IFERROR(__xludf.DUMMYFUNCTION("""COMPUTED_VALUE"""),".")</f>
        <v>.</v>
      </c>
    </row>
    <row r="1868" spans="1:8" ht="12.5">
      <c r="A1868" s="24"/>
      <c r="B1868" s="17"/>
      <c r="C1868" s="24"/>
      <c r="D1868" s="16"/>
      <c r="E1868" s="16"/>
      <c r="F1868" s="16"/>
      <c r="G1868" s="16"/>
      <c r="H1868" s="16" t="str">
        <f ca="1">IFERROR(__xludf.DUMMYFUNCTION("""COMPUTED_VALUE"""),".")</f>
        <v>.</v>
      </c>
    </row>
    <row r="1869" spans="1:8" ht="12.5">
      <c r="A1869" s="24"/>
      <c r="B1869" s="17"/>
      <c r="C1869" s="24"/>
      <c r="D1869" s="16"/>
      <c r="E1869" s="16"/>
      <c r="F1869" s="16"/>
      <c r="G1869" s="16"/>
      <c r="H1869" s="16" t="str">
        <f ca="1">IFERROR(__xludf.DUMMYFUNCTION("""COMPUTED_VALUE"""),".")</f>
        <v>.</v>
      </c>
    </row>
    <row r="1870" spans="1:8" ht="12.5">
      <c r="A1870" s="24"/>
      <c r="B1870" s="17"/>
      <c r="C1870" s="24"/>
      <c r="D1870" s="16"/>
      <c r="E1870" s="16"/>
      <c r="F1870" s="16"/>
      <c r="G1870" s="16"/>
      <c r="H1870" s="16" t="str">
        <f ca="1">IFERROR(__xludf.DUMMYFUNCTION("""COMPUTED_VALUE"""),".")</f>
        <v>.</v>
      </c>
    </row>
    <row r="1871" spans="1:8" ht="12.5">
      <c r="A1871" s="24"/>
      <c r="B1871" s="17"/>
      <c r="C1871" s="24"/>
      <c r="D1871" s="16"/>
      <c r="E1871" s="16"/>
      <c r="F1871" s="16"/>
      <c r="G1871" s="16"/>
      <c r="H1871" s="16" t="str">
        <f ca="1">IFERROR(__xludf.DUMMYFUNCTION("""COMPUTED_VALUE"""),".")</f>
        <v>.</v>
      </c>
    </row>
    <row r="1872" spans="1:8" ht="12.5">
      <c r="A1872" s="24"/>
      <c r="B1872" s="17"/>
      <c r="C1872" s="24"/>
      <c r="D1872" s="16"/>
      <c r="E1872" s="16"/>
      <c r="F1872" s="16"/>
      <c r="G1872" s="16"/>
      <c r="H1872" s="16" t="str">
        <f ca="1">IFERROR(__xludf.DUMMYFUNCTION("""COMPUTED_VALUE"""),".")</f>
        <v>.</v>
      </c>
    </row>
    <row r="1873" spans="1:8" ht="12.5">
      <c r="A1873" s="24"/>
      <c r="B1873" s="17"/>
      <c r="C1873" s="24"/>
      <c r="D1873" s="16"/>
      <c r="E1873" s="16"/>
      <c r="F1873" s="16"/>
      <c r="G1873" s="16"/>
      <c r="H1873" s="16" t="str">
        <f ca="1">IFERROR(__xludf.DUMMYFUNCTION("""COMPUTED_VALUE"""),".")</f>
        <v>.</v>
      </c>
    </row>
    <row r="1874" spans="1:8" ht="12.5">
      <c r="A1874" s="24"/>
      <c r="B1874" s="17"/>
      <c r="C1874" s="24"/>
      <c r="D1874" s="16"/>
      <c r="E1874" s="16"/>
      <c r="F1874" s="16"/>
      <c r="G1874" s="16"/>
      <c r="H1874" s="16" t="str">
        <f ca="1">IFERROR(__xludf.DUMMYFUNCTION("""COMPUTED_VALUE"""),".")</f>
        <v>.</v>
      </c>
    </row>
    <row r="1875" spans="1:8" ht="12.5">
      <c r="A1875" s="24"/>
      <c r="B1875" s="17"/>
      <c r="C1875" s="24"/>
      <c r="D1875" s="16"/>
      <c r="E1875" s="16"/>
      <c r="F1875" s="16"/>
      <c r="G1875" s="16"/>
      <c r="H1875" s="16" t="str">
        <f ca="1">IFERROR(__xludf.DUMMYFUNCTION("""COMPUTED_VALUE"""),".")</f>
        <v>.</v>
      </c>
    </row>
    <row r="1876" spans="1:8" ht="12.5">
      <c r="A1876" s="24"/>
      <c r="B1876" s="17"/>
      <c r="C1876" s="24"/>
      <c r="D1876" s="16"/>
      <c r="E1876" s="16"/>
      <c r="F1876" s="16"/>
      <c r="G1876" s="16"/>
      <c r="H1876" s="16" t="str">
        <f ca="1">IFERROR(__xludf.DUMMYFUNCTION("""COMPUTED_VALUE"""),".")</f>
        <v>.</v>
      </c>
    </row>
    <row r="1877" spans="1:8" ht="12.5">
      <c r="A1877" s="24"/>
      <c r="B1877" s="17"/>
      <c r="C1877" s="24"/>
      <c r="D1877" s="16"/>
      <c r="E1877" s="16"/>
      <c r="F1877" s="16"/>
      <c r="G1877" s="16"/>
      <c r="H1877" s="16" t="str">
        <f ca="1">IFERROR(__xludf.DUMMYFUNCTION("""COMPUTED_VALUE"""),".")</f>
        <v>.</v>
      </c>
    </row>
    <row r="1878" spans="1:8" ht="12.5">
      <c r="A1878" s="24"/>
      <c r="B1878" s="17"/>
      <c r="C1878" s="24"/>
      <c r="D1878" s="16"/>
      <c r="E1878" s="16"/>
      <c r="F1878" s="16"/>
      <c r="G1878" s="16"/>
      <c r="H1878" s="16" t="str">
        <f ca="1">IFERROR(__xludf.DUMMYFUNCTION("""COMPUTED_VALUE"""),".")</f>
        <v>.</v>
      </c>
    </row>
    <row r="1879" spans="1:8" ht="12.5">
      <c r="A1879" s="24"/>
      <c r="B1879" s="17"/>
      <c r="C1879" s="24"/>
      <c r="D1879" s="16"/>
      <c r="E1879" s="16"/>
      <c r="F1879" s="16"/>
      <c r="G1879" s="16"/>
      <c r="H1879" s="16" t="str">
        <f ca="1">IFERROR(__xludf.DUMMYFUNCTION("""COMPUTED_VALUE"""),".")</f>
        <v>.</v>
      </c>
    </row>
    <row r="1880" spans="1:8" ht="12.5">
      <c r="A1880" s="24"/>
      <c r="B1880" s="17"/>
      <c r="C1880" s="24"/>
      <c r="D1880" s="16"/>
      <c r="E1880" s="16"/>
      <c r="F1880" s="16"/>
      <c r="G1880" s="16"/>
      <c r="H1880" s="16" t="str">
        <f ca="1">IFERROR(__xludf.DUMMYFUNCTION("""COMPUTED_VALUE"""),".")</f>
        <v>.</v>
      </c>
    </row>
    <row r="1881" spans="1:8" ht="12.5">
      <c r="A1881" s="24"/>
      <c r="B1881" s="17"/>
      <c r="C1881" s="24"/>
      <c r="D1881" s="16"/>
      <c r="E1881" s="16"/>
      <c r="F1881" s="16"/>
      <c r="G1881" s="16"/>
      <c r="H1881" s="16" t="str">
        <f ca="1">IFERROR(__xludf.DUMMYFUNCTION("""COMPUTED_VALUE"""),".")</f>
        <v>.</v>
      </c>
    </row>
    <row r="1882" spans="1:8" ht="12.5">
      <c r="A1882" s="24"/>
      <c r="B1882" s="17"/>
      <c r="C1882" s="24"/>
      <c r="D1882" s="16"/>
      <c r="E1882" s="16"/>
      <c r="F1882" s="16"/>
      <c r="G1882" s="16"/>
      <c r="H1882" s="16" t="str">
        <f ca="1">IFERROR(__xludf.DUMMYFUNCTION("""COMPUTED_VALUE"""),".")</f>
        <v>.</v>
      </c>
    </row>
    <row r="1883" spans="1:8" ht="12.5">
      <c r="A1883" s="24"/>
      <c r="B1883" s="17"/>
      <c r="C1883" s="24"/>
      <c r="D1883" s="16"/>
      <c r="E1883" s="16"/>
      <c r="F1883" s="16"/>
      <c r="G1883" s="16"/>
      <c r="H1883" s="16" t="str">
        <f ca="1">IFERROR(__xludf.DUMMYFUNCTION("""COMPUTED_VALUE"""),".")</f>
        <v>.</v>
      </c>
    </row>
    <row r="1884" spans="1:8" ht="12.5">
      <c r="A1884" s="24"/>
      <c r="B1884" s="17"/>
      <c r="C1884" s="24"/>
      <c r="D1884" s="16"/>
      <c r="E1884" s="16"/>
      <c r="F1884" s="16"/>
      <c r="G1884" s="16"/>
      <c r="H1884" s="16" t="str">
        <f ca="1">IFERROR(__xludf.DUMMYFUNCTION("""COMPUTED_VALUE"""),".")</f>
        <v>.</v>
      </c>
    </row>
    <row r="1885" spans="1:8" ht="12.5">
      <c r="A1885" s="24"/>
      <c r="B1885" s="17"/>
      <c r="C1885" s="24"/>
      <c r="D1885" s="16"/>
      <c r="E1885" s="16"/>
      <c r="F1885" s="16"/>
      <c r="G1885" s="16"/>
      <c r="H1885" s="16" t="str">
        <f ca="1">IFERROR(__xludf.DUMMYFUNCTION("""COMPUTED_VALUE"""),".")</f>
        <v>.</v>
      </c>
    </row>
    <row r="1886" spans="1:8" ht="12.5">
      <c r="A1886" s="24"/>
      <c r="B1886" s="17"/>
      <c r="C1886" s="24"/>
      <c r="D1886" s="16"/>
      <c r="E1886" s="16"/>
      <c r="F1886" s="16"/>
      <c r="G1886" s="16"/>
      <c r="H1886" s="16" t="str">
        <f ca="1">IFERROR(__xludf.DUMMYFUNCTION("""COMPUTED_VALUE"""),".")</f>
        <v>.</v>
      </c>
    </row>
    <row r="1887" spans="1:8" ht="12.5">
      <c r="A1887" s="24"/>
      <c r="B1887" s="17"/>
      <c r="C1887" s="24"/>
      <c r="D1887" s="16"/>
      <c r="E1887" s="16"/>
      <c r="F1887" s="16"/>
      <c r="G1887" s="16"/>
      <c r="H1887" s="16" t="str">
        <f ca="1">IFERROR(__xludf.DUMMYFUNCTION("""COMPUTED_VALUE"""),".")</f>
        <v>.</v>
      </c>
    </row>
    <row r="1888" spans="1:8" ht="12.5">
      <c r="A1888" s="24"/>
      <c r="B1888" s="17"/>
      <c r="C1888" s="24"/>
      <c r="D1888" s="16"/>
      <c r="E1888" s="16"/>
      <c r="F1888" s="16"/>
      <c r="G1888" s="16"/>
      <c r="H1888" s="16" t="str">
        <f ca="1">IFERROR(__xludf.DUMMYFUNCTION("""COMPUTED_VALUE"""),".")</f>
        <v>.</v>
      </c>
    </row>
    <row r="1889" spans="1:8" ht="12.5">
      <c r="A1889" s="24"/>
      <c r="B1889" s="17"/>
      <c r="C1889" s="24"/>
      <c r="D1889" s="16"/>
      <c r="E1889" s="16"/>
      <c r="F1889" s="16"/>
      <c r="G1889" s="16"/>
      <c r="H1889" s="16" t="str">
        <f ca="1">IFERROR(__xludf.DUMMYFUNCTION("""COMPUTED_VALUE"""),".")</f>
        <v>.</v>
      </c>
    </row>
    <row r="1890" spans="1:8" ht="12.5">
      <c r="A1890" s="24"/>
      <c r="B1890" s="17"/>
      <c r="C1890" s="24"/>
      <c r="D1890" s="16"/>
      <c r="E1890" s="16"/>
      <c r="F1890" s="16"/>
      <c r="G1890" s="16"/>
      <c r="H1890" s="16"/>
    </row>
    <row r="1891" spans="1:8" ht="12.5">
      <c r="A1891" s="24"/>
      <c r="B1891" s="17"/>
      <c r="C1891" s="24"/>
      <c r="D1891" s="16"/>
      <c r="E1891" s="16"/>
      <c r="F1891" s="16"/>
      <c r="G1891" s="16"/>
      <c r="H1891" s="16"/>
    </row>
    <row r="1892" spans="1:8" ht="12.5">
      <c r="A1892" s="24"/>
      <c r="B1892" s="17"/>
      <c r="C1892" s="24"/>
      <c r="D1892" s="16"/>
      <c r="E1892" s="16"/>
      <c r="F1892" s="16"/>
      <c r="G1892" s="16"/>
      <c r="H1892" s="16"/>
    </row>
    <row r="1893" spans="1:8" ht="12.5">
      <c r="A1893" s="24"/>
      <c r="B1893" s="17"/>
      <c r="C1893" s="24"/>
      <c r="D1893" s="16"/>
      <c r="E1893" s="16"/>
      <c r="F1893" s="16"/>
      <c r="G1893" s="16"/>
      <c r="H1893" s="16"/>
    </row>
    <row r="1894" spans="1:8" ht="12.5">
      <c r="A1894" s="24"/>
      <c r="B1894" s="17"/>
      <c r="C1894" s="24"/>
      <c r="D1894" s="16"/>
      <c r="E1894" s="16"/>
      <c r="F1894" s="16"/>
      <c r="G1894" s="16"/>
      <c r="H1894" s="16"/>
    </row>
    <row r="1895" spans="1:8" ht="12.5">
      <c r="A1895" s="24"/>
      <c r="B1895" s="17"/>
      <c r="C1895" s="24"/>
      <c r="D1895" s="16"/>
      <c r="E1895" s="16"/>
      <c r="F1895" s="16"/>
      <c r="G1895" s="16"/>
      <c r="H1895" s="16"/>
    </row>
    <row r="1896" spans="1:8" ht="12.5">
      <c r="A1896" s="24"/>
      <c r="B1896" s="17"/>
      <c r="C1896" s="24"/>
      <c r="D1896" s="16"/>
      <c r="E1896" s="16"/>
      <c r="F1896" s="16"/>
      <c r="G1896" s="16"/>
      <c r="H1896" s="16"/>
    </row>
    <row r="1897" spans="1:8" ht="12.5">
      <c r="A1897" s="24"/>
      <c r="B1897" s="17"/>
      <c r="C1897" s="24"/>
      <c r="D1897" s="16"/>
      <c r="E1897" s="16"/>
      <c r="F1897" s="16"/>
      <c r="G1897" s="16"/>
      <c r="H1897" s="16"/>
    </row>
    <row r="1898" spans="1:8" ht="12.5">
      <c r="A1898" s="24"/>
      <c r="B1898" s="17"/>
      <c r="C1898" s="24"/>
      <c r="D1898" s="16"/>
      <c r="E1898" s="16"/>
      <c r="F1898" s="16"/>
      <c r="G1898" s="16"/>
      <c r="H1898" s="16"/>
    </row>
    <row r="1899" spans="1:8" ht="12.5">
      <c r="A1899" s="24"/>
      <c r="B1899" s="17"/>
      <c r="C1899" s="24"/>
      <c r="D1899" s="16"/>
      <c r="E1899" s="16"/>
      <c r="F1899" s="16"/>
      <c r="G1899" s="16"/>
      <c r="H1899" s="16"/>
    </row>
    <row r="1900" spans="1:8" ht="12.5">
      <c r="A1900" s="24"/>
      <c r="B1900" s="17"/>
      <c r="C1900" s="24"/>
      <c r="D1900" s="16"/>
      <c r="E1900" s="16"/>
      <c r="F1900" s="16"/>
      <c r="G1900" s="16"/>
      <c r="H1900" s="16"/>
    </row>
    <row r="1901" spans="1:8" ht="12.5">
      <c r="A1901" s="24"/>
      <c r="B1901" s="17"/>
      <c r="C1901" s="24"/>
      <c r="D1901" s="16"/>
      <c r="E1901" s="16"/>
      <c r="F1901" s="16"/>
      <c r="G1901" s="16"/>
      <c r="H1901" s="16"/>
    </row>
    <row r="1902" spans="1:8" ht="12.5">
      <c r="A1902" s="24"/>
      <c r="B1902" s="17"/>
      <c r="C1902" s="24"/>
      <c r="D1902" s="16"/>
      <c r="E1902" s="16"/>
      <c r="F1902" s="16"/>
      <c r="G1902" s="16"/>
      <c r="H1902" s="16"/>
    </row>
    <row r="1903" spans="1:8" ht="12.5">
      <c r="A1903" s="24"/>
      <c r="B1903" s="17"/>
      <c r="C1903" s="24"/>
      <c r="D1903" s="16"/>
      <c r="E1903" s="16"/>
      <c r="F1903" s="16"/>
      <c r="G1903" s="16"/>
      <c r="H1903" s="16"/>
    </row>
    <row r="1904" spans="1:8" ht="12.5">
      <c r="A1904" s="24"/>
      <c r="B1904" s="17"/>
      <c r="C1904" s="24"/>
      <c r="D1904" s="16"/>
      <c r="E1904" s="16"/>
      <c r="F1904" s="16"/>
      <c r="G1904" s="16"/>
      <c r="H1904" s="16"/>
    </row>
    <row r="1905" spans="1:8" ht="12.5">
      <c r="A1905" s="24"/>
      <c r="B1905" s="17"/>
      <c r="C1905" s="24"/>
      <c r="D1905" s="16"/>
      <c r="E1905" s="16"/>
      <c r="F1905" s="16"/>
      <c r="G1905" s="16"/>
      <c r="H1905" s="16"/>
    </row>
    <row r="1906" spans="1:8" ht="12.5">
      <c r="A1906" s="24"/>
      <c r="B1906" s="17"/>
      <c r="C1906" s="24"/>
      <c r="D1906" s="16"/>
      <c r="E1906" s="16"/>
      <c r="F1906" s="16"/>
      <c r="G1906" s="16"/>
      <c r="H1906" s="16"/>
    </row>
    <row r="1907" spans="1:8" ht="12.5">
      <c r="A1907" s="24"/>
      <c r="B1907" s="17"/>
      <c r="C1907" s="24"/>
      <c r="D1907" s="16"/>
      <c r="E1907" s="16"/>
      <c r="F1907" s="16"/>
      <c r="G1907" s="16"/>
      <c r="H1907" s="16"/>
    </row>
    <row r="1908" spans="1:8" ht="12.5">
      <c r="A1908" s="24"/>
      <c r="B1908" s="17"/>
      <c r="C1908" s="24"/>
      <c r="D1908" s="16"/>
      <c r="E1908" s="16"/>
      <c r="F1908" s="16"/>
      <c r="G1908" s="16"/>
      <c r="H1908" s="16"/>
    </row>
    <row r="1909" spans="1:8" ht="12.5">
      <c r="A1909" s="24"/>
      <c r="B1909" s="17"/>
      <c r="C1909" s="24"/>
      <c r="D1909" s="16"/>
      <c r="E1909" s="16"/>
      <c r="F1909" s="16"/>
      <c r="G1909" s="16"/>
      <c r="H1909" s="16"/>
    </row>
    <row r="1910" spans="1:8" ht="12.5">
      <c r="A1910" s="24"/>
      <c r="B1910" s="17"/>
      <c r="C1910" s="24"/>
      <c r="D1910" s="16"/>
      <c r="E1910" s="37" t="str">
        <f ca="1">IFERROR(__xludf.DUMMYFUNCTION("IMPORTRANGE(""https://docs.google.com/spreadsheets/d/1j3wuAsomSoba3uI7FtX65a8g1SYzCxRLjfLmktezMO8/edit#gid=1404531132"",""#23 Marcos Gobbi!A11:A80"")"),"CODI")</f>
        <v>CODI</v>
      </c>
      <c r="F1910" s="37" t="str">
        <f ca="1">IFERROR(__xludf.DUMMYFUNCTION("IMPORTRANGE(""https://docs.google.com/spreadsheets/d/1j3wuAsomSoba3uI7FtX65a8g1SYzCxRLjfLmktezMO8/edit#gid=1404531132"",""#23 Marcos Gobbi!I11:K80"")"),"Expense Type")</f>
        <v>Expense Type</v>
      </c>
      <c r="G1910" s="16" t="str">
        <f ca="1">IFERROR(__xludf.DUMMYFUNCTION("""COMPUTED_VALUE"""),"DESCRIPCION DEL GASTO")</f>
        <v>DESCRIPCION DEL GASTO</v>
      </c>
      <c r="H1910" s="16" t="str">
        <f ca="1">IFERROR(__xludf.DUMMYFUNCTION("""COMPUTED_VALUE"""),"FOLIO FACTURA")</f>
        <v>FOLIO FACTURA</v>
      </c>
    </row>
    <row r="1911" spans="1:8" ht="12.5">
      <c r="A1911" s="24"/>
      <c r="B1911" s="17"/>
      <c r="C1911" s="24"/>
      <c r="D1911" s="16"/>
      <c r="E1911" s="16" t="str">
        <f ca="1">IFERROR(__xludf.DUMMYFUNCTION("""COMPUTED_VALUE"""),"#N/A")</f>
        <v>#N/A</v>
      </c>
      <c r="F1911" s="16" t="str">
        <f ca="1">IFERROR(__xludf.DUMMYFUNCTION("""COMPUTED_VALUE"""),"G&amp;A expenses")</f>
        <v>G&amp;A expenses</v>
      </c>
      <c r="G1911" s="16"/>
      <c r="H1911" s="16" t="str">
        <f ca="1">IFERROR(__xludf.DUMMYFUNCTION("""COMPUTED_VALUE"""),".")</f>
        <v>.</v>
      </c>
    </row>
    <row r="1912" spans="1:8" ht="12.5">
      <c r="A1912" s="24"/>
      <c r="B1912" s="17"/>
      <c r="C1912" s="24"/>
      <c r="D1912" s="16"/>
      <c r="E1912" s="16"/>
      <c r="F1912" s="16" t="str">
        <f ca="1">IFERROR(__xludf.DUMMYFUNCTION("""COMPUTED_VALUE"""),"G&amp;A expenses")</f>
        <v>G&amp;A expenses</v>
      </c>
      <c r="G1912" s="16"/>
      <c r="H1912" s="16" t="str">
        <f ca="1">IFERROR(__xludf.DUMMYFUNCTION("""COMPUTED_VALUE"""),".")</f>
        <v>.</v>
      </c>
    </row>
    <row r="1913" spans="1:8" ht="12.5">
      <c r="A1913" s="24"/>
      <c r="B1913" s="17"/>
      <c r="C1913" s="24"/>
      <c r="D1913" s="16"/>
      <c r="E1913" s="16"/>
      <c r="F1913" s="16" t="str">
        <f ca="1">IFERROR(__xludf.DUMMYFUNCTION("""COMPUTED_VALUE"""),"G&amp;A expenses")</f>
        <v>G&amp;A expenses</v>
      </c>
      <c r="G1913" s="16"/>
      <c r="H1913" s="16"/>
    </row>
    <row r="1914" spans="1:8" ht="12.5">
      <c r="A1914" s="24"/>
      <c r="B1914" s="17"/>
      <c r="C1914" s="24"/>
      <c r="D1914" s="16"/>
      <c r="E1914" s="16"/>
      <c r="F1914" s="16" t="str">
        <f ca="1">IFERROR(__xludf.DUMMYFUNCTION("""COMPUTED_VALUE"""),"G&amp;A expenses")</f>
        <v>G&amp;A expenses</v>
      </c>
      <c r="G1914" s="16"/>
      <c r="H1914" s="16"/>
    </row>
    <row r="1915" spans="1:8" ht="12.5">
      <c r="A1915" s="24"/>
      <c r="B1915" s="17"/>
      <c r="C1915" s="24"/>
      <c r="D1915" s="16"/>
      <c r="E1915" s="16"/>
      <c r="F1915" s="16" t="str">
        <f ca="1">IFERROR(__xludf.DUMMYFUNCTION("""COMPUTED_VALUE"""),"G&amp;A expenses")</f>
        <v>G&amp;A expenses</v>
      </c>
      <c r="G1915" s="16"/>
      <c r="H1915" s="16"/>
    </row>
    <row r="1916" spans="1:8" ht="12.5">
      <c r="A1916" s="24"/>
      <c r="B1916" s="17"/>
      <c r="C1916" s="24"/>
      <c r="D1916" s="16"/>
      <c r="E1916" s="16"/>
      <c r="F1916" s="16" t="str">
        <f ca="1">IFERROR(__xludf.DUMMYFUNCTION("""COMPUTED_VALUE"""),"G&amp;A expenses")</f>
        <v>G&amp;A expenses</v>
      </c>
      <c r="G1916" s="16"/>
      <c r="H1916" s="16"/>
    </row>
    <row r="1917" spans="1:8" ht="12.5">
      <c r="A1917" s="24"/>
      <c r="B1917" s="17"/>
      <c r="C1917" s="24"/>
      <c r="D1917" s="16"/>
      <c r="E1917" s="16"/>
      <c r="F1917" s="16" t="str">
        <f ca="1">IFERROR(__xludf.DUMMYFUNCTION("""COMPUTED_VALUE"""),"G&amp;A expenses")</f>
        <v>G&amp;A expenses</v>
      </c>
      <c r="G1917" s="16"/>
      <c r="H1917" s="16"/>
    </row>
    <row r="1918" spans="1:8" ht="12.5">
      <c r="A1918" s="24"/>
      <c r="B1918" s="17"/>
      <c r="C1918" s="24"/>
      <c r="D1918" s="16"/>
      <c r="E1918" s="16"/>
      <c r="F1918" s="16" t="str">
        <f ca="1">IFERROR(__xludf.DUMMYFUNCTION("""COMPUTED_VALUE"""),"G&amp;A expenses")</f>
        <v>G&amp;A expenses</v>
      </c>
      <c r="G1918" s="16"/>
      <c r="H1918" s="16"/>
    </row>
    <row r="1919" spans="1:8" ht="12.5">
      <c r="A1919" s="24"/>
      <c r="B1919" s="17"/>
      <c r="C1919" s="24"/>
      <c r="D1919" s="16"/>
      <c r="E1919" s="16"/>
      <c r="F1919" s="16" t="str">
        <f ca="1">IFERROR(__xludf.DUMMYFUNCTION("""COMPUTED_VALUE"""),"G&amp;A expenses")</f>
        <v>G&amp;A expenses</v>
      </c>
      <c r="G1919" s="16"/>
      <c r="H1919" s="16" t="str">
        <f ca="1">IFERROR(__xludf.DUMMYFUNCTION("""COMPUTED_VALUE"""),".")</f>
        <v>.</v>
      </c>
    </row>
    <row r="1920" spans="1:8" ht="12.5">
      <c r="A1920" s="24"/>
      <c r="B1920" s="17"/>
      <c r="C1920" s="24"/>
      <c r="D1920" s="16"/>
      <c r="E1920" s="16"/>
      <c r="F1920" s="16" t="str">
        <f ca="1">IFERROR(__xludf.DUMMYFUNCTION("""COMPUTED_VALUE"""),"G&amp;A expenses")</f>
        <v>G&amp;A expenses</v>
      </c>
      <c r="G1920" s="16"/>
      <c r="H1920" s="16" t="str">
        <f ca="1">IFERROR(__xludf.DUMMYFUNCTION("""COMPUTED_VALUE"""),".")</f>
        <v>.</v>
      </c>
    </row>
    <row r="1921" spans="1:8" ht="12.5">
      <c r="A1921" s="24"/>
      <c r="B1921" s="17"/>
      <c r="C1921" s="24"/>
      <c r="D1921" s="16"/>
      <c r="E1921" s="16"/>
      <c r="F1921" s="16" t="str">
        <f ca="1">IFERROR(__xludf.DUMMYFUNCTION("""COMPUTED_VALUE"""),"G&amp;A expenses")</f>
        <v>G&amp;A expenses</v>
      </c>
      <c r="G1921" s="16"/>
      <c r="H1921" s="16" t="str">
        <f ca="1">IFERROR(__xludf.DUMMYFUNCTION("""COMPUTED_VALUE"""),".")</f>
        <v>.</v>
      </c>
    </row>
    <row r="1922" spans="1:8" ht="12.5">
      <c r="A1922" s="24"/>
      <c r="B1922" s="17"/>
      <c r="C1922" s="24"/>
      <c r="D1922" s="16"/>
      <c r="E1922" s="16"/>
      <c r="F1922" s="16" t="str">
        <f ca="1">IFERROR(__xludf.DUMMYFUNCTION("""COMPUTED_VALUE"""),"G&amp;A expenses")</f>
        <v>G&amp;A expenses</v>
      </c>
      <c r="G1922" s="16"/>
      <c r="H1922" s="16" t="str">
        <f ca="1">IFERROR(__xludf.DUMMYFUNCTION("""COMPUTED_VALUE"""),".")</f>
        <v>.</v>
      </c>
    </row>
    <row r="1923" spans="1:8" ht="12.5">
      <c r="A1923" s="24"/>
      <c r="B1923" s="17"/>
      <c r="C1923" s="24"/>
      <c r="D1923" s="16"/>
      <c r="E1923" s="16"/>
      <c r="F1923" s="16"/>
      <c r="G1923" s="16"/>
      <c r="H1923" s="16" t="str">
        <f ca="1">IFERROR(__xludf.DUMMYFUNCTION("""COMPUTED_VALUE"""),".")</f>
        <v>.</v>
      </c>
    </row>
    <row r="1924" spans="1:8" ht="12.5">
      <c r="A1924" s="24"/>
      <c r="B1924" s="17"/>
      <c r="C1924" s="24"/>
      <c r="D1924" s="16"/>
      <c r="E1924" s="16"/>
      <c r="F1924" s="16"/>
      <c r="G1924" s="16"/>
      <c r="H1924" s="16" t="str">
        <f ca="1">IFERROR(__xludf.DUMMYFUNCTION("""COMPUTED_VALUE"""),".")</f>
        <v>.</v>
      </c>
    </row>
    <row r="1925" spans="1:8" ht="12.5">
      <c r="A1925" s="24"/>
      <c r="B1925" s="17"/>
      <c r="C1925" s="24"/>
      <c r="D1925" s="16"/>
      <c r="E1925" s="16"/>
      <c r="F1925" s="16"/>
      <c r="G1925" s="16"/>
      <c r="H1925" s="16" t="str">
        <f ca="1">IFERROR(__xludf.DUMMYFUNCTION("""COMPUTED_VALUE"""),".")</f>
        <v>.</v>
      </c>
    </row>
    <row r="1926" spans="1:8" ht="12.5">
      <c r="A1926" s="24"/>
      <c r="B1926" s="17"/>
      <c r="C1926" s="24"/>
      <c r="D1926" s="16"/>
      <c r="E1926" s="16"/>
      <c r="F1926" s="16"/>
      <c r="G1926" s="16"/>
      <c r="H1926" s="16" t="str">
        <f ca="1">IFERROR(__xludf.DUMMYFUNCTION("""COMPUTED_VALUE"""),".")</f>
        <v>.</v>
      </c>
    </row>
    <row r="1927" spans="1:8" ht="12.5">
      <c r="A1927" s="24"/>
      <c r="B1927" s="17"/>
      <c r="C1927" s="24"/>
      <c r="D1927" s="16"/>
      <c r="E1927" s="16"/>
      <c r="F1927" s="16"/>
      <c r="G1927" s="16"/>
      <c r="H1927" s="16" t="str">
        <f ca="1">IFERROR(__xludf.DUMMYFUNCTION("""COMPUTED_VALUE"""),".")</f>
        <v>.</v>
      </c>
    </row>
    <row r="1928" spans="1:8" ht="12.5">
      <c r="A1928" s="24"/>
      <c r="B1928" s="17"/>
      <c r="C1928" s="24"/>
      <c r="D1928" s="16"/>
      <c r="E1928" s="16"/>
      <c r="F1928" s="16"/>
      <c r="G1928" s="16"/>
      <c r="H1928" s="16" t="str">
        <f ca="1">IFERROR(__xludf.DUMMYFUNCTION("""COMPUTED_VALUE"""),".")</f>
        <v>.</v>
      </c>
    </row>
    <row r="1929" spans="1:8" ht="12.5">
      <c r="A1929" s="24"/>
      <c r="B1929" s="17"/>
      <c r="C1929" s="24"/>
      <c r="D1929" s="16"/>
      <c r="E1929" s="16"/>
      <c r="F1929" s="16"/>
      <c r="G1929" s="16"/>
      <c r="H1929" s="16" t="str">
        <f ca="1">IFERROR(__xludf.DUMMYFUNCTION("""COMPUTED_VALUE"""),".")</f>
        <v>.</v>
      </c>
    </row>
    <row r="1930" spans="1:8" ht="12.5">
      <c r="A1930" s="24"/>
      <c r="B1930" s="17"/>
      <c r="C1930" s="24"/>
      <c r="D1930" s="16"/>
      <c r="E1930" s="16"/>
      <c r="F1930" s="16"/>
      <c r="G1930" s="16"/>
      <c r="H1930" s="16" t="str">
        <f ca="1">IFERROR(__xludf.DUMMYFUNCTION("""COMPUTED_VALUE"""),".")</f>
        <v>.</v>
      </c>
    </row>
    <row r="1931" spans="1:8" ht="12.5">
      <c r="A1931" s="24"/>
      <c r="B1931" s="17"/>
      <c r="C1931" s="24"/>
      <c r="D1931" s="16"/>
      <c r="E1931" s="16"/>
      <c r="F1931" s="16"/>
      <c r="G1931" s="16"/>
      <c r="H1931" s="16" t="str">
        <f ca="1">IFERROR(__xludf.DUMMYFUNCTION("""COMPUTED_VALUE"""),".")</f>
        <v>.</v>
      </c>
    </row>
    <row r="1932" spans="1:8" ht="12.5">
      <c r="A1932" s="24"/>
      <c r="B1932" s="17"/>
      <c r="C1932" s="24"/>
      <c r="D1932" s="16"/>
      <c r="E1932" s="16"/>
      <c r="F1932" s="16"/>
      <c r="G1932" s="16"/>
      <c r="H1932" s="16" t="str">
        <f ca="1">IFERROR(__xludf.DUMMYFUNCTION("""COMPUTED_VALUE"""),".")</f>
        <v>.</v>
      </c>
    </row>
    <row r="1933" spans="1:8" ht="12.5">
      <c r="A1933" s="24"/>
      <c r="B1933" s="17"/>
      <c r="C1933" s="24"/>
      <c r="D1933" s="16"/>
      <c r="E1933" s="16"/>
      <c r="F1933" s="16"/>
      <c r="G1933" s="16"/>
      <c r="H1933" s="16" t="str">
        <f ca="1">IFERROR(__xludf.DUMMYFUNCTION("""COMPUTED_VALUE"""),".")</f>
        <v>.</v>
      </c>
    </row>
    <row r="1934" spans="1:8" ht="12.5">
      <c r="A1934" s="24"/>
      <c r="B1934" s="17"/>
      <c r="C1934" s="24"/>
      <c r="D1934" s="16"/>
      <c r="E1934" s="16"/>
      <c r="F1934" s="16"/>
      <c r="G1934" s="16"/>
      <c r="H1934" s="16" t="str">
        <f ca="1">IFERROR(__xludf.DUMMYFUNCTION("""COMPUTED_VALUE"""),".")</f>
        <v>.</v>
      </c>
    </row>
    <row r="1935" spans="1:8" ht="12.5">
      <c r="A1935" s="24"/>
      <c r="B1935" s="17"/>
      <c r="C1935" s="24"/>
      <c r="D1935" s="16"/>
      <c r="E1935" s="16"/>
      <c r="F1935" s="16"/>
      <c r="G1935" s="16"/>
      <c r="H1935" s="16" t="str">
        <f ca="1">IFERROR(__xludf.DUMMYFUNCTION("""COMPUTED_VALUE"""),".")</f>
        <v>.</v>
      </c>
    </row>
    <row r="1936" spans="1:8" ht="12.5">
      <c r="A1936" s="24"/>
      <c r="B1936" s="17"/>
      <c r="C1936" s="24"/>
      <c r="D1936" s="16"/>
      <c r="E1936" s="16"/>
      <c r="F1936" s="16"/>
      <c r="G1936" s="16"/>
      <c r="H1936" s="16"/>
    </row>
    <row r="1937" spans="1:8" ht="12.5">
      <c r="A1937" s="24"/>
      <c r="B1937" s="17"/>
      <c r="C1937" s="24"/>
      <c r="D1937" s="16"/>
      <c r="E1937" s="16"/>
      <c r="F1937" s="16"/>
      <c r="G1937" s="16"/>
      <c r="H1937" s="16" t="str">
        <f ca="1">IFERROR(__xludf.DUMMYFUNCTION("""COMPUTED_VALUE"""),".")</f>
        <v>.</v>
      </c>
    </row>
    <row r="1938" spans="1:8" ht="12.5">
      <c r="A1938" s="24"/>
      <c r="B1938" s="17"/>
      <c r="C1938" s="24"/>
      <c r="D1938" s="16"/>
      <c r="E1938" s="16"/>
      <c r="F1938" s="16"/>
      <c r="G1938" s="16"/>
      <c r="H1938" s="16" t="str">
        <f ca="1">IFERROR(__xludf.DUMMYFUNCTION("""COMPUTED_VALUE"""),".")</f>
        <v>.</v>
      </c>
    </row>
    <row r="1939" spans="1:8" ht="12.5">
      <c r="A1939" s="24"/>
      <c r="B1939" s="17"/>
      <c r="C1939" s="24"/>
      <c r="D1939" s="16"/>
      <c r="E1939" s="16"/>
      <c r="F1939" s="16"/>
      <c r="G1939" s="16"/>
      <c r="H1939" s="16" t="str">
        <f ca="1">IFERROR(__xludf.DUMMYFUNCTION("""COMPUTED_VALUE"""),".")</f>
        <v>.</v>
      </c>
    </row>
    <row r="1940" spans="1:8" ht="12.5">
      <c r="A1940" s="24"/>
      <c r="B1940" s="17"/>
      <c r="C1940" s="24"/>
      <c r="D1940" s="16"/>
      <c r="E1940" s="16"/>
      <c r="F1940" s="16"/>
      <c r="G1940" s="16"/>
      <c r="H1940" s="16" t="str">
        <f ca="1">IFERROR(__xludf.DUMMYFUNCTION("""COMPUTED_VALUE"""),".")</f>
        <v>.</v>
      </c>
    </row>
    <row r="1941" spans="1:8" ht="12.5">
      <c r="A1941" s="24"/>
      <c r="B1941" s="17"/>
      <c r="C1941" s="24"/>
      <c r="D1941" s="16"/>
      <c r="E1941" s="16"/>
      <c r="F1941" s="16"/>
      <c r="G1941" s="16"/>
      <c r="H1941" s="16" t="str">
        <f ca="1">IFERROR(__xludf.DUMMYFUNCTION("""COMPUTED_VALUE"""),".")</f>
        <v>.</v>
      </c>
    </row>
    <row r="1942" spans="1:8" ht="12.5">
      <c r="A1942" s="24"/>
      <c r="B1942" s="17"/>
      <c r="C1942" s="24"/>
      <c r="D1942" s="16"/>
      <c r="E1942" s="16"/>
      <c r="F1942" s="16"/>
      <c r="G1942" s="16"/>
      <c r="H1942" s="16" t="str">
        <f ca="1">IFERROR(__xludf.DUMMYFUNCTION("""COMPUTED_VALUE"""),".")</f>
        <v>.</v>
      </c>
    </row>
    <row r="1943" spans="1:8" ht="12.5">
      <c r="A1943" s="24"/>
      <c r="B1943" s="17"/>
      <c r="C1943" s="24"/>
      <c r="D1943" s="16"/>
      <c r="E1943" s="16"/>
      <c r="F1943" s="16"/>
      <c r="G1943" s="16"/>
      <c r="H1943" s="16" t="str">
        <f ca="1">IFERROR(__xludf.DUMMYFUNCTION("""COMPUTED_VALUE"""),".")</f>
        <v>.</v>
      </c>
    </row>
    <row r="1944" spans="1:8" ht="12.5">
      <c r="A1944" s="24"/>
      <c r="B1944" s="17"/>
      <c r="C1944" s="24"/>
      <c r="D1944" s="16"/>
      <c r="E1944" s="16"/>
      <c r="F1944" s="16"/>
      <c r="G1944" s="16"/>
      <c r="H1944" s="16" t="str">
        <f ca="1">IFERROR(__xludf.DUMMYFUNCTION("""COMPUTED_VALUE"""),".")</f>
        <v>.</v>
      </c>
    </row>
    <row r="1945" spans="1:8" ht="12.5">
      <c r="A1945" s="24"/>
      <c r="B1945" s="17"/>
      <c r="C1945" s="24"/>
      <c r="D1945" s="16"/>
      <c r="E1945" s="16"/>
      <c r="F1945" s="16"/>
      <c r="G1945" s="16"/>
      <c r="H1945" s="16" t="str">
        <f ca="1">IFERROR(__xludf.DUMMYFUNCTION("""COMPUTED_VALUE"""),".")</f>
        <v>.</v>
      </c>
    </row>
    <row r="1946" spans="1:8" ht="12.5">
      <c r="A1946" s="24"/>
      <c r="B1946" s="17"/>
      <c r="C1946" s="24"/>
      <c r="D1946" s="16"/>
      <c r="E1946" s="16"/>
      <c r="F1946" s="16"/>
      <c r="G1946" s="16"/>
      <c r="H1946" s="16" t="str">
        <f ca="1">IFERROR(__xludf.DUMMYFUNCTION("""COMPUTED_VALUE"""),".")</f>
        <v>.</v>
      </c>
    </row>
    <row r="1947" spans="1:8" ht="12.5">
      <c r="A1947" s="24"/>
      <c r="B1947" s="17"/>
      <c r="C1947" s="24"/>
      <c r="D1947" s="16"/>
      <c r="E1947" s="16"/>
      <c r="F1947" s="16"/>
      <c r="G1947" s="16"/>
      <c r="H1947" s="16" t="str">
        <f ca="1">IFERROR(__xludf.DUMMYFUNCTION("""COMPUTED_VALUE"""),".")</f>
        <v>.</v>
      </c>
    </row>
    <row r="1948" spans="1:8" ht="12.5">
      <c r="A1948" s="24"/>
      <c r="B1948" s="17"/>
      <c r="C1948" s="24"/>
      <c r="D1948" s="16"/>
      <c r="E1948" s="16"/>
      <c r="F1948" s="16"/>
      <c r="G1948" s="16"/>
      <c r="H1948" s="16" t="str">
        <f ca="1">IFERROR(__xludf.DUMMYFUNCTION("""COMPUTED_VALUE"""),".")</f>
        <v>.</v>
      </c>
    </row>
    <row r="1949" spans="1:8" ht="12.5">
      <c r="A1949" s="24"/>
      <c r="B1949" s="17"/>
      <c r="C1949" s="24"/>
      <c r="D1949" s="16"/>
      <c r="E1949" s="16"/>
      <c r="F1949" s="16"/>
      <c r="G1949" s="16"/>
      <c r="H1949" s="16" t="str">
        <f ca="1">IFERROR(__xludf.DUMMYFUNCTION("""COMPUTED_VALUE"""),".")</f>
        <v>.</v>
      </c>
    </row>
    <row r="1950" spans="1:8" ht="12.5">
      <c r="A1950" s="24"/>
      <c r="B1950" s="17"/>
      <c r="C1950" s="24"/>
      <c r="D1950" s="16"/>
      <c r="E1950" s="16"/>
      <c r="F1950" s="16"/>
      <c r="G1950" s="16"/>
      <c r="H1950" s="16" t="str">
        <f ca="1">IFERROR(__xludf.DUMMYFUNCTION("""COMPUTED_VALUE"""),".")</f>
        <v>.</v>
      </c>
    </row>
    <row r="1951" spans="1:8" ht="12.5">
      <c r="A1951" s="24"/>
      <c r="B1951" s="17"/>
      <c r="C1951" s="24"/>
      <c r="D1951" s="16"/>
      <c r="E1951" s="16"/>
      <c r="F1951" s="16"/>
      <c r="G1951" s="16"/>
      <c r="H1951" s="16" t="str">
        <f ca="1">IFERROR(__xludf.DUMMYFUNCTION("""COMPUTED_VALUE"""),".")</f>
        <v>.</v>
      </c>
    </row>
    <row r="1952" spans="1:8" ht="12.5">
      <c r="A1952" s="24"/>
      <c r="B1952" s="17"/>
      <c r="C1952" s="24"/>
      <c r="D1952" s="16"/>
      <c r="E1952" s="16"/>
      <c r="F1952" s="16"/>
      <c r="G1952" s="16"/>
      <c r="H1952" s="16" t="str">
        <f ca="1">IFERROR(__xludf.DUMMYFUNCTION("""COMPUTED_VALUE"""),".")</f>
        <v>.</v>
      </c>
    </row>
    <row r="1953" spans="1:8" ht="12.5">
      <c r="A1953" s="24"/>
      <c r="B1953" s="17"/>
      <c r="C1953" s="24"/>
      <c r="D1953" s="16"/>
      <c r="E1953" s="16"/>
      <c r="F1953" s="16"/>
      <c r="G1953" s="16"/>
      <c r="H1953" s="16" t="str">
        <f ca="1">IFERROR(__xludf.DUMMYFUNCTION("""COMPUTED_VALUE"""),".")</f>
        <v>.</v>
      </c>
    </row>
    <row r="1954" spans="1:8" ht="12.5">
      <c r="A1954" s="24"/>
      <c r="B1954" s="17"/>
      <c r="C1954" s="24"/>
      <c r="D1954" s="16"/>
      <c r="E1954" s="16"/>
      <c r="F1954" s="16"/>
      <c r="G1954" s="16"/>
      <c r="H1954" s="16" t="str">
        <f ca="1">IFERROR(__xludf.DUMMYFUNCTION("""COMPUTED_VALUE"""),".")</f>
        <v>.</v>
      </c>
    </row>
    <row r="1955" spans="1:8" ht="12.5">
      <c r="A1955" s="24"/>
      <c r="B1955" s="17"/>
      <c r="C1955" s="24"/>
      <c r="D1955" s="16"/>
      <c r="E1955" s="16"/>
      <c r="F1955" s="16"/>
      <c r="G1955" s="16"/>
      <c r="H1955" s="16" t="str">
        <f ca="1">IFERROR(__xludf.DUMMYFUNCTION("""COMPUTED_VALUE"""),".")</f>
        <v>.</v>
      </c>
    </row>
    <row r="1956" spans="1:8" ht="12.5">
      <c r="A1956" s="24"/>
      <c r="B1956" s="17"/>
      <c r="C1956" s="24"/>
      <c r="D1956" s="16"/>
      <c r="E1956" s="16"/>
      <c r="F1956" s="16"/>
      <c r="G1956" s="16"/>
      <c r="H1956" s="16" t="str">
        <f ca="1">IFERROR(__xludf.DUMMYFUNCTION("""COMPUTED_VALUE"""),".")</f>
        <v>.</v>
      </c>
    </row>
    <row r="1957" spans="1:8" ht="12.5">
      <c r="A1957" s="24"/>
      <c r="B1957" s="17"/>
      <c r="C1957" s="24"/>
      <c r="D1957" s="16"/>
      <c r="E1957" s="16"/>
      <c r="F1957" s="16"/>
      <c r="G1957" s="16"/>
      <c r="H1957" s="16" t="str">
        <f ca="1">IFERROR(__xludf.DUMMYFUNCTION("""COMPUTED_VALUE"""),".")</f>
        <v>.</v>
      </c>
    </row>
    <row r="1958" spans="1:8" ht="12.5">
      <c r="A1958" s="24"/>
      <c r="B1958" s="17"/>
      <c r="C1958" s="24"/>
      <c r="D1958" s="16"/>
      <c r="E1958" s="16"/>
      <c r="F1958" s="16"/>
      <c r="G1958" s="16"/>
      <c r="H1958" s="16" t="str">
        <f ca="1">IFERROR(__xludf.DUMMYFUNCTION("""COMPUTED_VALUE"""),".")</f>
        <v>.</v>
      </c>
    </row>
    <row r="1959" spans="1:8" ht="12.5">
      <c r="A1959" s="24"/>
      <c r="B1959" s="17"/>
      <c r="C1959" s="24"/>
      <c r="D1959" s="16"/>
      <c r="E1959" s="16"/>
      <c r="F1959" s="16"/>
      <c r="G1959" s="16"/>
      <c r="H1959" s="16" t="str">
        <f ca="1">IFERROR(__xludf.DUMMYFUNCTION("""COMPUTED_VALUE"""),".")</f>
        <v>.</v>
      </c>
    </row>
    <row r="1960" spans="1:8" ht="12.5">
      <c r="A1960" s="24"/>
      <c r="B1960" s="17"/>
      <c r="C1960" s="24"/>
      <c r="D1960" s="16"/>
      <c r="E1960" s="16"/>
      <c r="F1960" s="16"/>
      <c r="G1960" s="16"/>
      <c r="H1960" s="16" t="str">
        <f ca="1">IFERROR(__xludf.DUMMYFUNCTION("""COMPUTED_VALUE"""),".")</f>
        <v>.</v>
      </c>
    </row>
    <row r="1961" spans="1:8" ht="12.5">
      <c r="A1961" s="24"/>
      <c r="B1961" s="17"/>
      <c r="C1961" s="24"/>
      <c r="D1961" s="16"/>
      <c r="E1961" s="16"/>
      <c r="F1961" s="16"/>
      <c r="G1961" s="16"/>
      <c r="H1961" s="16" t="str">
        <f ca="1">IFERROR(__xludf.DUMMYFUNCTION("""COMPUTED_VALUE"""),".")</f>
        <v>.</v>
      </c>
    </row>
    <row r="1962" spans="1:8" ht="12.5">
      <c r="A1962" s="24"/>
      <c r="B1962" s="17"/>
      <c r="C1962" s="24"/>
      <c r="D1962" s="16"/>
      <c r="E1962" s="16"/>
      <c r="F1962" s="16"/>
      <c r="G1962" s="16"/>
      <c r="H1962" s="16" t="str">
        <f ca="1">IFERROR(__xludf.DUMMYFUNCTION("""COMPUTED_VALUE"""),".")</f>
        <v>.</v>
      </c>
    </row>
    <row r="1963" spans="1:8" ht="12.5">
      <c r="A1963" s="24"/>
      <c r="B1963" s="17"/>
      <c r="C1963" s="24"/>
      <c r="D1963" s="16"/>
      <c r="E1963" s="16"/>
      <c r="F1963" s="16"/>
      <c r="G1963" s="16"/>
      <c r="H1963" s="16" t="str">
        <f ca="1">IFERROR(__xludf.DUMMYFUNCTION("""COMPUTED_VALUE"""),".")</f>
        <v>.</v>
      </c>
    </row>
    <row r="1964" spans="1:8" ht="12.5">
      <c r="A1964" s="24"/>
      <c r="B1964" s="17"/>
      <c r="C1964" s="24"/>
      <c r="D1964" s="16"/>
      <c r="E1964" s="16"/>
      <c r="F1964" s="16"/>
      <c r="G1964" s="16"/>
      <c r="H1964" s="16" t="str">
        <f ca="1">IFERROR(__xludf.DUMMYFUNCTION("""COMPUTED_VALUE"""),".")</f>
        <v>.</v>
      </c>
    </row>
    <row r="1965" spans="1:8" ht="12.5">
      <c r="A1965" s="24"/>
      <c r="B1965" s="17"/>
      <c r="C1965" s="24"/>
      <c r="D1965" s="16"/>
      <c r="E1965" s="16"/>
      <c r="F1965" s="16"/>
      <c r="G1965" s="16"/>
      <c r="H1965" s="16" t="str">
        <f ca="1">IFERROR(__xludf.DUMMYFUNCTION("""COMPUTED_VALUE"""),".")</f>
        <v>.</v>
      </c>
    </row>
    <row r="1966" spans="1:8" ht="12.5">
      <c r="A1966" s="24"/>
      <c r="B1966" s="17"/>
      <c r="C1966" s="24"/>
      <c r="D1966" s="16"/>
      <c r="E1966" s="16"/>
      <c r="F1966" s="16"/>
      <c r="G1966" s="16"/>
      <c r="H1966" s="16" t="str">
        <f ca="1">IFERROR(__xludf.DUMMYFUNCTION("""COMPUTED_VALUE"""),".")</f>
        <v>.</v>
      </c>
    </row>
    <row r="1967" spans="1:8" ht="12.5">
      <c r="A1967" s="24"/>
      <c r="B1967" s="17"/>
      <c r="C1967" s="24"/>
      <c r="D1967" s="16"/>
      <c r="E1967" s="16"/>
      <c r="F1967" s="16"/>
      <c r="G1967" s="16"/>
      <c r="H1967" s="16" t="str">
        <f ca="1">IFERROR(__xludf.DUMMYFUNCTION("""COMPUTED_VALUE"""),".")</f>
        <v>.</v>
      </c>
    </row>
    <row r="1968" spans="1:8" ht="12.5">
      <c r="A1968" s="24"/>
      <c r="B1968" s="17"/>
      <c r="C1968" s="24"/>
      <c r="D1968" s="16"/>
      <c r="E1968" s="16"/>
      <c r="F1968" s="16"/>
      <c r="G1968" s="16"/>
      <c r="H1968" s="16" t="str">
        <f ca="1">IFERROR(__xludf.DUMMYFUNCTION("""COMPUTED_VALUE"""),".")</f>
        <v>.</v>
      </c>
    </row>
    <row r="1969" spans="1:8" ht="12.5">
      <c r="A1969" s="24"/>
      <c r="B1969" s="17"/>
      <c r="C1969" s="24"/>
      <c r="D1969" s="16"/>
      <c r="E1969" s="16"/>
      <c r="F1969" s="16"/>
      <c r="G1969" s="16"/>
      <c r="H1969" s="16" t="str">
        <f ca="1">IFERROR(__xludf.DUMMYFUNCTION("""COMPUTED_VALUE"""),".")</f>
        <v>.</v>
      </c>
    </row>
    <row r="1970" spans="1:8" ht="12.5">
      <c r="A1970" s="24"/>
      <c r="B1970" s="17"/>
      <c r="C1970" s="24"/>
      <c r="D1970" s="16"/>
      <c r="E1970" s="16"/>
      <c r="F1970" s="16"/>
      <c r="G1970" s="16"/>
      <c r="H1970" s="16" t="str">
        <f ca="1">IFERROR(__xludf.DUMMYFUNCTION("""COMPUTED_VALUE"""),".")</f>
        <v>.</v>
      </c>
    </row>
    <row r="1971" spans="1:8" ht="12.5">
      <c r="A1971" s="24"/>
      <c r="B1971" s="17"/>
      <c r="C1971" s="24"/>
      <c r="D1971" s="16"/>
      <c r="E1971" s="16"/>
      <c r="F1971" s="16"/>
      <c r="G1971" s="16"/>
      <c r="H1971" s="16" t="str">
        <f ca="1">IFERROR(__xludf.DUMMYFUNCTION("""COMPUTED_VALUE"""),".")</f>
        <v>.</v>
      </c>
    </row>
    <row r="1972" spans="1:8" ht="12.5">
      <c r="A1972" s="24"/>
      <c r="B1972" s="17"/>
      <c r="C1972" s="24"/>
      <c r="D1972" s="16"/>
      <c r="E1972" s="16"/>
      <c r="F1972" s="16"/>
      <c r="G1972" s="16"/>
      <c r="H1972" s="16" t="str">
        <f ca="1">IFERROR(__xludf.DUMMYFUNCTION("""COMPUTED_VALUE"""),".")</f>
        <v>.</v>
      </c>
    </row>
    <row r="1973" spans="1:8" ht="12.5">
      <c r="A1973" s="24"/>
      <c r="B1973" s="17"/>
      <c r="C1973" s="24"/>
      <c r="D1973" s="16"/>
      <c r="E1973" s="16"/>
      <c r="F1973" s="16"/>
      <c r="G1973" s="16"/>
      <c r="H1973" s="16" t="str">
        <f ca="1">IFERROR(__xludf.DUMMYFUNCTION("""COMPUTED_VALUE"""),".")</f>
        <v>.</v>
      </c>
    </row>
    <row r="1974" spans="1:8" ht="12.5">
      <c r="A1974" s="24"/>
      <c r="B1974" s="17"/>
      <c r="C1974" s="24"/>
      <c r="D1974" s="16"/>
      <c r="E1974" s="16"/>
      <c r="F1974" s="16"/>
      <c r="G1974" s="16"/>
      <c r="H1974" s="16" t="str">
        <f ca="1">IFERROR(__xludf.DUMMYFUNCTION("""COMPUTED_VALUE"""),".")</f>
        <v>.</v>
      </c>
    </row>
    <row r="1975" spans="1:8" ht="12.5">
      <c r="A1975" s="24"/>
      <c r="B1975" s="17"/>
      <c r="C1975" s="24"/>
      <c r="D1975" s="16"/>
      <c r="E1975" s="16"/>
      <c r="F1975" s="16"/>
      <c r="G1975" s="16"/>
      <c r="H1975" s="16" t="str">
        <f ca="1">IFERROR(__xludf.DUMMYFUNCTION("""COMPUTED_VALUE"""),".")</f>
        <v>.</v>
      </c>
    </row>
    <row r="1976" spans="1:8" ht="12.5">
      <c r="A1976" s="24"/>
      <c r="B1976" s="17"/>
      <c r="C1976" s="24"/>
      <c r="D1976" s="16"/>
      <c r="E1976" s="16"/>
      <c r="F1976" s="16"/>
      <c r="G1976" s="16"/>
      <c r="H1976" s="16" t="str">
        <f ca="1">IFERROR(__xludf.DUMMYFUNCTION("""COMPUTED_VALUE"""),".")</f>
        <v>.</v>
      </c>
    </row>
    <row r="1977" spans="1:8" ht="12.5">
      <c r="A1977" s="24"/>
      <c r="B1977" s="17"/>
      <c r="C1977" s="24"/>
      <c r="D1977" s="16"/>
      <c r="E1977" s="16"/>
      <c r="F1977" s="16"/>
      <c r="G1977" s="16"/>
      <c r="H1977" s="16" t="str">
        <f ca="1">IFERROR(__xludf.DUMMYFUNCTION("""COMPUTED_VALUE"""),".")</f>
        <v>.</v>
      </c>
    </row>
    <row r="1978" spans="1:8" ht="12.5">
      <c r="A1978" s="24"/>
      <c r="B1978" s="17"/>
      <c r="C1978" s="24"/>
      <c r="D1978" s="16"/>
      <c r="E1978" s="16"/>
      <c r="F1978" s="16"/>
      <c r="G1978" s="16"/>
      <c r="H1978" s="16" t="str">
        <f ca="1">IFERROR(__xludf.DUMMYFUNCTION("""COMPUTED_VALUE"""),".")</f>
        <v>.</v>
      </c>
    </row>
    <row r="1979" spans="1:8" ht="12.5">
      <c r="A1979" s="24"/>
      <c r="B1979" s="17"/>
      <c r="C1979" s="24"/>
      <c r="D1979" s="16"/>
      <c r="E1979" s="16"/>
      <c r="F1979" s="16"/>
      <c r="G1979" s="16"/>
      <c r="H1979" s="16" t="str">
        <f ca="1">IFERROR(__xludf.DUMMYFUNCTION("""COMPUTED_VALUE"""),".")</f>
        <v>.</v>
      </c>
    </row>
    <row r="1980" spans="1:8" ht="12.5">
      <c r="A1980" s="24"/>
      <c r="B1980" s="17"/>
      <c r="C1980" s="24"/>
      <c r="D1980" s="16"/>
      <c r="E1980" s="16"/>
      <c r="F1980" s="16"/>
      <c r="G1980" s="16"/>
      <c r="H1980" s="16"/>
    </row>
    <row r="1981" spans="1:8" ht="12.5">
      <c r="A1981" s="24"/>
      <c r="B1981" s="17"/>
      <c r="C1981" s="24"/>
      <c r="D1981" s="16"/>
      <c r="E1981" s="16"/>
      <c r="F1981" s="16"/>
      <c r="G1981" s="16"/>
      <c r="H1981" s="16"/>
    </row>
    <row r="1982" spans="1:8" ht="12.5">
      <c r="A1982" s="24"/>
      <c r="B1982" s="17"/>
      <c r="C1982" s="24"/>
      <c r="D1982" s="16"/>
      <c r="E1982" s="16"/>
      <c r="F1982" s="16"/>
      <c r="G1982" s="16"/>
      <c r="H1982" s="16"/>
    </row>
    <row r="1983" spans="1:8" ht="12.5">
      <c r="A1983" s="24"/>
      <c r="B1983" s="17"/>
      <c r="C1983" s="24"/>
      <c r="D1983" s="16"/>
      <c r="E1983" s="16"/>
      <c r="F1983" s="16"/>
      <c r="G1983" s="16"/>
      <c r="H1983" s="16"/>
    </row>
    <row r="1984" spans="1:8" ht="12.5">
      <c r="A1984" s="24"/>
      <c r="B1984" s="17"/>
      <c r="C1984" s="24"/>
      <c r="D1984" s="16"/>
      <c r="E1984" s="16"/>
      <c r="F1984" s="16"/>
      <c r="G1984" s="16"/>
      <c r="H1984" s="16"/>
    </row>
    <row r="1985" spans="1:8" ht="12.5">
      <c r="A1985" s="24"/>
      <c r="B1985" s="17"/>
      <c r="C1985" s="24"/>
      <c r="D1985" s="16"/>
      <c r="E1985" s="16"/>
      <c r="F1985" s="16"/>
      <c r="G1985" s="16"/>
      <c r="H1985" s="16"/>
    </row>
    <row r="1986" spans="1:8" ht="12.5">
      <c r="A1986" s="24"/>
      <c r="B1986" s="17"/>
      <c r="C1986" s="24"/>
      <c r="D1986" s="16"/>
      <c r="E1986" s="16"/>
      <c r="F1986" s="16"/>
      <c r="G1986" s="16"/>
      <c r="H1986" s="16"/>
    </row>
    <row r="1987" spans="1:8" ht="12.5">
      <c r="A1987" s="24"/>
      <c r="B1987" s="17"/>
      <c r="C1987" s="24"/>
      <c r="D1987" s="16"/>
      <c r="E1987" s="16"/>
      <c r="F1987" s="16"/>
      <c r="G1987" s="16"/>
      <c r="H1987" s="16"/>
    </row>
    <row r="1988" spans="1:8" ht="12.5">
      <c r="A1988" s="24"/>
      <c r="B1988" s="17"/>
      <c r="C1988" s="24"/>
      <c r="D1988" s="16"/>
      <c r="E1988" s="16"/>
      <c r="F1988" s="16"/>
      <c r="G1988" s="16"/>
      <c r="H1988" s="16"/>
    </row>
    <row r="1989" spans="1:8" ht="12.5">
      <c r="A1989" s="24"/>
      <c r="B1989" s="17"/>
      <c r="C1989" s="24"/>
      <c r="D1989" s="16"/>
      <c r="E1989" s="16"/>
      <c r="F1989" s="16"/>
      <c r="G1989" s="16"/>
      <c r="H1989" s="16"/>
    </row>
    <row r="1990" spans="1:8" ht="12.5">
      <c r="A1990" s="24"/>
      <c r="B1990" s="17"/>
      <c r="C1990" s="24"/>
      <c r="D1990" s="16"/>
      <c r="E1990" s="16"/>
      <c r="F1990" s="16"/>
      <c r="G1990" s="16"/>
      <c r="H1990" s="16"/>
    </row>
    <row r="1991" spans="1:8" ht="12.5">
      <c r="A1991" s="24"/>
      <c r="B1991" s="17"/>
      <c r="C1991" s="24"/>
      <c r="D1991" s="16"/>
      <c r="E1991" s="16"/>
      <c r="F1991" s="16"/>
      <c r="G1991" s="16"/>
      <c r="H1991" s="16"/>
    </row>
    <row r="1992" spans="1:8" ht="12.5">
      <c r="A1992" s="24"/>
      <c r="B1992" s="17"/>
      <c r="C1992" s="24"/>
      <c r="D1992" s="16"/>
      <c r="E1992" s="16"/>
      <c r="F1992" s="16"/>
      <c r="G1992" s="16"/>
      <c r="H1992" s="16"/>
    </row>
    <row r="1993" spans="1:8" ht="12.5">
      <c r="A1993" s="24"/>
      <c r="B1993" s="17"/>
      <c r="C1993" s="24"/>
      <c r="D1993" s="16"/>
      <c r="E1993" s="16"/>
      <c r="F1993" s="16"/>
      <c r="G1993" s="16"/>
      <c r="H1993" s="16"/>
    </row>
    <row r="1994" spans="1:8" ht="12.5">
      <c r="A1994" s="24"/>
      <c r="B1994" s="17"/>
      <c r="C1994" s="24"/>
      <c r="D1994" s="16"/>
      <c r="E1994" s="16"/>
      <c r="F1994" s="16"/>
      <c r="G1994" s="16"/>
      <c r="H1994" s="16"/>
    </row>
    <row r="1995" spans="1:8" ht="12.5">
      <c r="A1995" s="24"/>
      <c r="B1995" s="17"/>
      <c r="C1995" s="24"/>
      <c r="D1995" s="16"/>
      <c r="E1995" s="16"/>
      <c r="F1995" s="16"/>
      <c r="G1995" s="16"/>
      <c r="H1995" s="16"/>
    </row>
    <row r="1996" spans="1:8" ht="12.5">
      <c r="A1996" s="24"/>
      <c r="B1996" s="17"/>
      <c r="C1996" s="24"/>
      <c r="D1996" s="16"/>
      <c r="E1996" s="16"/>
      <c r="F1996" s="16"/>
      <c r="G1996" s="16"/>
      <c r="H1996" s="16"/>
    </row>
    <row r="1997" spans="1:8" ht="12.5">
      <c r="A1997" s="24"/>
      <c r="B1997" s="17"/>
      <c r="C1997" s="24"/>
      <c r="D1997" s="16"/>
      <c r="E1997" s="16"/>
      <c r="F1997" s="16"/>
      <c r="G1997" s="16"/>
      <c r="H1997" s="16"/>
    </row>
    <row r="1998" spans="1:8" ht="12.5">
      <c r="A1998" s="24"/>
      <c r="B1998" s="17"/>
      <c r="C1998" s="24"/>
      <c r="D1998" s="16"/>
      <c r="E1998" s="16"/>
      <c r="F1998" s="16"/>
      <c r="G1998" s="16"/>
      <c r="H1998" s="16"/>
    </row>
    <row r="1999" spans="1:8" ht="12.5">
      <c r="A1999" s="24"/>
      <c r="B1999" s="17"/>
      <c r="C1999" s="24"/>
      <c r="D1999" s="16"/>
      <c r="E1999" s="16"/>
      <c r="F1999" s="16"/>
      <c r="G1999" s="16"/>
      <c r="H1999" s="16"/>
    </row>
    <row r="2000" spans="1:8" ht="12.5">
      <c r="A2000" s="24"/>
      <c r="B2000" s="17"/>
      <c r="C2000" s="24"/>
      <c r="D2000" s="16"/>
      <c r="E2000" s="16"/>
      <c r="F2000" s="16"/>
      <c r="G2000" s="16"/>
      <c r="H2000" s="16"/>
    </row>
    <row r="2001" spans="1:8" ht="12.5">
      <c r="A2001" s="24"/>
      <c r="B2001" s="17"/>
      <c r="C2001" s="24"/>
      <c r="D2001" s="16"/>
      <c r="E2001" s="16"/>
      <c r="F2001" s="16"/>
      <c r="G2001" s="16"/>
      <c r="H2001" s="16"/>
    </row>
    <row r="2002" spans="1:8" ht="12.5">
      <c r="A2002" s="24"/>
      <c r="B2002" s="17"/>
      <c r="C2002" s="24"/>
      <c r="D2002" s="16"/>
      <c r="E2002" s="16"/>
      <c r="F2002" s="16"/>
      <c r="G2002" s="16"/>
      <c r="H2002" s="16"/>
    </row>
    <row r="2003" spans="1:8" ht="12.5">
      <c r="A2003" s="24"/>
      <c r="B2003" s="17"/>
      <c r="C2003" s="24"/>
      <c r="D2003" s="16"/>
      <c r="E2003" s="16"/>
      <c r="F2003" s="16"/>
      <c r="G2003" s="16"/>
      <c r="H2003" s="16"/>
    </row>
    <row r="2004" spans="1:8" ht="12.5">
      <c r="A2004" s="24"/>
      <c r="B2004" s="17"/>
      <c r="C2004" s="24"/>
      <c r="D2004" s="16"/>
      <c r="E2004" s="16"/>
      <c r="F2004" s="16"/>
      <c r="G2004" s="16"/>
      <c r="H2004" s="16"/>
    </row>
    <row r="2005" spans="1:8" ht="12.5">
      <c r="A2005" s="24"/>
      <c r="B2005" s="17"/>
      <c r="C2005" s="24"/>
      <c r="D2005" s="16"/>
      <c r="E2005" s="16"/>
      <c r="F2005" s="16"/>
      <c r="G2005" s="16"/>
      <c r="H2005" s="16"/>
    </row>
    <row r="2006" spans="1:8" ht="12.5">
      <c r="A2006" s="24"/>
      <c r="B2006" s="17"/>
      <c r="C2006" s="24"/>
      <c r="D2006" s="16"/>
      <c r="E2006" s="16"/>
      <c r="F2006" s="16"/>
      <c r="G2006" s="16"/>
      <c r="H2006" s="16"/>
    </row>
    <row r="2007" spans="1:8" ht="12.5">
      <c r="A2007" s="24"/>
      <c r="B2007" s="17"/>
      <c r="C2007" s="24"/>
      <c r="D2007" s="16"/>
      <c r="E2007" s="16"/>
      <c r="F2007" s="16"/>
      <c r="G2007" s="16"/>
      <c r="H2007" s="16"/>
    </row>
    <row r="2008" spans="1:8" ht="12.5">
      <c r="A2008" s="24"/>
      <c r="B2008" s="17"/>
      <c r="C2008" s="24"/>
      <c r="D2008" s="16"/>
      <c r="E2008" s="16"/>
      <c r="F2008" s="16"/>
      <c r="G2008" s="16"/>
      <c r="H2008" s="16"/>
    </row>
    <row r="2009" spans="1:8" ht="12.5">
      <c r="A2009" s="24"/>
      <c r="B2009" s="17"/>
      <c r="C2009" s="24"/>
      <c r="D2009" s="16"/>
      <c r="E2009" s="16"/>
      <c r="F2009" s="16"/>
      <c r="G2009" s="16"/>
      <c r="H2009" s="16"/>
    </row>
    <row r="2010" spans="1:8" ht="12.5">
      <c r="A2010" s="24"/>
      <c r="B2010" s="17"/>
      <c r="C2010" s="24"/>
      <c r="D2010" s="16"/>
      <c r="E2010" s="16"/>
      <c r="F2010" s="16"/>
      <c r="G2010" s="16"/>
      <c r="H2010" s="16"/>
    </row>
    <row r="2011" spans="1:8" ht="12.5">
      <c r="A2011" s="24"/>
      <c r="B2011" s="17"/>
      <c r="C2011" s="24"/>
      <c r="D2011" s="16"/>
      <c r="E2011" s="16"/>
      <c r="F2011" s="16"/>
      <c r="G2011" s="16"/>
      <c r="H2011" s="16"/>
    </row>
    <row r="2012" spans="1:8" ht="12.5">
      <c r="A2012" s="24"/>
      <c r="B2012" s="17"/>
      <c r="C2012" s="24"/>
      <c r="D2012" s="16"/>
      <c r="E2012" s="16"/>
      <c r="F2012" s="16"/>
      <c r="G2012" s="16"/>
      <c r="H2012" s="16"/>
    </row>
    <row r="2013" spans="1:8" ht="12.5">
      <c r="A2013" s="24"/>
      <c r="B2013" s="17"/>
      <c r="C2013" s="24"/>
      <c r="D2013" s="16"/>
      <c r="E2013" s="16"/>
      <c r="F2013" s="16"/>
      <c r="G2013" s="16"/>
      <c r="H2013" s="16"/>
    </row>
    <row r="2014" spans="1:8" ht="12.5">
      <c r="A2014" s="24"/>
      <c r="B2014" s="17"/>
      <c r="C2014" s="24"/>
      <c r="D2014" s="16"/>
      <c r="E2014" s="16"/>
      <c r="F2014" s="16"/>
      <c r="G2014" s="16"/>
      <c r="H2014" s="16"/>
    </row>
    <row r="2015" spans="1:8" ht="12.5">
      <c r="A2015" s="24"/>
      <c r="B2015" s="17"/>
      <c r="C2015" s="24"/>
      <c r="D2015" s="16"/>
      <c r="E2015" s="16"/>
      <c r="F2015" s="16"/>
      <c r="G2015" s="16"/>
      <c r="H2015" s="16"/>
    </row>
    <row r="2016" spans="1:8" ht="12.5">
      <c r="A2016" s="24"/>
      <c r="B2016" s="17"/>
      <c r="C2016" s="24"/>
      <c r="D2016" s="16"/>
      <c r="E2016" s="16"/>
      <c r="F2016" s="16"/>
      <c r="G2016" s="16"/>
      <c r="H2016" s="16"/>
    </row>
    <row r="2017" spans="1:8" ht="12.5">
      <c r="A2017" s="24"/>
      <c r="B2017" s="17"/>
      <c r="C2017" s="24"/>
      <c r="D2017" s="16"/>
      <c r="E2017" s="16"/>
      <c r="F2017" s="16"/>
      <c r="G2017" s="16"/>
      <c r="H2017" s="16"/>
    </row>
    <row r="2018" spans="1:8" ht="12.5">
      <c r="A2018" s="24"/>
      <c r="B2018" s="17"/>
      <c r="C2018" s="24"/>
      <c r="D2018" s="16"/>
      <c r="E2018" s="16"/>
      <c r="F2018" s="16"/>
      <c r="G2018" s="16"/>
      <c r="H2018" s="16"/>
    </row>
    <row r="2019" spans="1:8" ht="12.5">
      <c r="A2019" s="24"/>
      <c r="B2019" s="17"/>
      <c r="C2019" s="24"/>
      <c r="D2019" s="16"/>
      <c r="E2019" s="16"/>
      <c r="F2019" s="16"/>
      <c r="G2019" s="16"/>
      <c r="H2019" s="16"/>
    </row>
    <row r="2020" spans="1:8" ht="12.5">
      <c r="A2020" s="24"/>
      <c r="B2020" s="17"/>
      <c r="C2020" s="24"/>
      <c r="D2020" s="16"/>
      <c r="E2020" s="16"/>
      <c r="F2020" s="16"/>
      <c r="G2020" s="16"/>
      <c r="H2020" s="16"/>
    </row>
    <row r="2021" spans="1:8" ht="12.5">
      <c r="A2021" s="24"/>
      <c r="B2021" s="17"/>
      <c r="C2021" s="24"/>
      <c r="D2021" s="16"/>
      <c r="E2021" s="16"/>
      <c r="F2021" s="16"/>
      <c r="G2021" s="16"/>
      <c r="H2021" s="16"/>
    </row>
    <row r="2022" spans="1:8" ht="12.5">
      <c r="A2022" s="24"/>
      <c r="B2022" s="17"/>
      <c r="C2022" s="24"/>
      <c r="D2022" s="16"/>
      <c r="E2022" s="16"/>
      <c r="F2022" s="16"/>
      <c r="G2022" s="16"/>
      <c r="H2022" s="16"/>
    </row>
    <row r="2023" spans="1:8" ht="12.5">
      <c r="A2023" s="24"/>
      <c r="B2023" s="17"/>
      <c r="C2023" s="24"/>
      <c r="D2023" s="16"/>
      <c r="E2023" s="16"/>
      <c r="F2023" s="16"/>
      <c r="G2023" s="16"/>
      <c r="H2023" s="16"/>
    </row>
    <row r="2024" spans="1:8" ht="12.5">
      <c r="A2024" s="24"/>
      <c r="B2024" s="17"/>
      <c r="C2024" s="24"/>
      <c r="D2024" s="16"/>
      <c r="E2024" s="16"/>
      <c r="F2024" s="16"/>
      <c r="G2024" s="16"/>
      <c r="H2024" s="16"/>
    </row>
    <row r="2025" spans="1:8" ht="12.5">
      <c r="A2025" s="24"/>
      <c r="B2025" s="17"/>
      <c r="C2025" s="24"/>
      <c r="D2025" s="16"/>
      <c r="E2025" s="16"/>
      <c r="F2025" s="16"/>
      <c r="G2025" s="16"/>
      <c r="H2025" s="16"/>
    </row>
    <row r="2026" spans="1:8" ht="12.5">
      <c r="A2026" s="24"/>
      <c r="B2026" s="17"/>
      <c r="C2026" s="24"/>
      <c r="D2026" s="16"/>
      <c r="E2026" s="16"/>
      <c r="F2026" s="16"/>
      <c r="G2026" s="16"/>
      <c r="H2026" s="16"/>
    </row>
    <row r="2027" spans="1:8" ht="12.5">
      <c r="A2027" s="24"/>
      <c r="B2027" s="17"/>
      <c r="C2027" s="24"/>
      <c r="D2027" s="16"/>
      <c r="E2027" s="16"/>
      <c r="F2027" s="16"/>
      <c r="G2027" s="16"/>
      <c r="H2027" s="16"/>
    </row>
    <row r="2028" spans="1:8" ht="12.5">
      <c r="A2028" s="24"/>
      <c r="B2028" s="17"/>
      <c r="C2028" s="24"/>
      <c r="D2028" s="16"/>
      <c r="E2028" s="16"/>
      <c r="F2028" s="16"/>
      <c r="G2028" s="16"/>
      <c r="H2028" s="16"/>
    </row>
    <row r="2029" spans="1:8" ht="12.5">
      <c r="A2029" s="24"/>
      <c r="B2029" s="17"/>
      <c r="C2029" s="24"/>
      <c r="D2029" s="16"/>
      <c r="E2029" s="16"/>
      <c r="F2029" s="16"/>
      <c r="G2029" s="16"/>
      <c r="H2029" s="16"/>
    </row>
    <row r="2030" spans="1:8" ht="12.5">
      <c r="A2030" s="24"/>
      <c r="B2030" s="17"/>
      <c r="C2030" s="24"/>
      <c r="D2030" s="16"/>
      <c r="E2030" s="16"/>
      <c r="F2030" s="16"/>
      <c r="G2030" s="16"/>
      <c r="H2030" s="16"/>
    </row>
    <row r="2031" spans="1:8" ht="12.5">
      <c r="A2031" s="24"/>
      <c r="B2031" s="17"/>
      <c r="C2031" s="24"/>
      <c r="D2031" s="16"/>
      <c r="E2031" s="16"/>
      <c r="F2031" s="16"/>
      <c r="G2031" s="16"/>
      <c r="H2031" s="16"/>
    </row>
    <row r="2032" spans="1:8" ht="12.5">
      <c r="A2032" s="24"/>
      <c r="B2032" s="17"/>
      <c r="C2032" s="24"/>
      <c r="D2032" s="16"/>
      <c r="E2032" s="16"/>
      <c r="F2032" s="16"/>
      <c r="G2032" s="16"/>
      <c r="H2032" s="16"/>
    </row>
    <row r="2033" spans="1:8" ht="12.5">
      <c r="A2033" s="24"/>
      <c r="B2033" s="17"/>
      <c r="C2033" s="24"/>
      <c r="D2033" s="16"/>
      <c r="E2033" s="16"/>
      <c r="F2033" s="16"/>
      <c r="G2033" s="16"/>
      <c r="H2033" s="16"/>
    </row>
    <row r="2034" spans="1:8" ht="12.5">
      <c r="A2034" s="24"/>
      <c r="B2034" s="17"/>
      <c r="C2034" s="24"/>
      <c r="D2034" s="16"/>
      <c r="E2034" s="16"/>
      <c r="F2034" s="16"/>
      <c r="G2034" s="16"/>
      <c r="H2034" s="16"/>
    </row>
    <row r="2035" spans="1:8" ht="12.5">
      <c r="A2035" s="24"/>
      <c r="B2035" s="17"/>
      <c r="C2035" s="24"/>
      <c r="D2035" s="16"/>
      <c r="E2035" s="16"/>
      <c r="F2035" s="16"/>
      <c r="G2035" s="16"/>
      <c r="H2035" s="16"/>
    </row>
    <row r="2036" spans="1:8" ht="12.5">
      <c r="A2036" s="24"/>
      <c r="B2036" s="17"/>
      <c r="C2036" s="24"/>
      <c r="D2036" s="16"/>
      <c r="E2036" s="16"/>
      <c r="F2036" s="16"/>
      <c r="G2036" s="16"/>
      <c r="H2036" s="16"/>
    </row>
    <row r="2037" spans="1:8" ht="12.5">
      <c r="A2037" s="24"/>
      <c r="B2037" s="17"/>
      <c r="C2037" s="24"/>
      <c r="D2037" s="16"/>
      <c r="E2037" s="16"/>
      <c r="F2037" s="16"/>
      <c r="G2037" s="16"/>
      <c r="H2037" s="16"/>
    </row>
    <row r="2038" spans="1:8" ht="12.5">
      <c r="A2038" s="24"/>
      <c r="B2038" s="17"/>
      <c r="C2038" s="24"/>
      <c r="D2038" s="16"/>
      <c r="E2038" s="16"/>
      <c r="F2038" s="16"/>
      <c r="G2038" s="16"/>
      <c r="H2038" s="16"/>
    </row>
    <row r="2039" spans="1:8" ht="12.5">
      <c r="A2039" s="24"/>
      <c r="B2039" s="17"/>
      <c r="C2039" s="24"/>
      <c r="D2039" s="16"/>
      <c r="E2039" s="16"/>
      <c r="F2039" s="16"/>
      <c r="G2039" s="16"/>
      <c r="H2039" s="16"/>
    </row>
    <row r="2040" spans="1:8" ht="12.5">
      <c r="A2040" s="24"/>
      <c r="B2040" s="17"/>
      <c r="C2040" s="24"/>
      <c r="D2040" s="16"/>
      <c r="E2040" s="16"/>
      <c r="F2040" s="16"/>
      <c r="G2040" s="16"/>
      <c r="H2040" s="16"/>
    </row>
    <row r="2041" spans="1:8" ht="12.5">
      <c r="A2041" s="24"/>
      <c r="B2041" s="17"/>
      <c r="C2041" s="24"/>
      <c r="D2041" s="16"/>
      <c r="E2041" s="16"/>
      <c r="F2041" s="16"/>
      <c r="G2041" s="16"/>
      <c r="H2041" s="16"/>
    </row>
    <row r="2042" spans="1:8" ht="12.5">
      <c r="A2042" s="24"/>
      <c r="B2042" s="17"/>
      <c r="C2042" s="24"/>
      <c r="D2042" s="16"/>
      <c r="E2042" s="16"/>
      <c r="F2042" s="16"/>
      <c r="G2042" s="16"/>
      <c r="H2042" s="16"/>
    </row>
    <row r="2043" spans="1:8" ht="12.5">
      <c r="A2043" s="24"/>
      <c r="B2043" s="17"/>
      <c r="C2043" s="24"/>
      <c r="D2043" s="16"/>
      <c r="E2043" s="16"/>
      <c r="F2043" s="16"/>
      <c r="G2043" s="16"/>
      <c r="H2043" s="16"/>
    </row>
    <row r="2044" spans="1:8" ht="12.5">
      <c r="A2044" s="24"/>
      <c r="B2044" s="17"/>
      <c r="C2044" s="24"/>
      <c r="D2044" s="16"/>
      <c r="E2044" s="16"/>
      <c r="F2044" s="16"/>
      <c r="G2044" s="16"/>
      <c r="H2044" s="16"/>
    </row>
    <row r="2045" spans="1:8" ht="12.5">
      <c r="A2045" s="24"/>
      <c r="B2045" s="17"/>
      <c r="C2045" s="24"/>
      <c r="D2045" s="16"/>
      <c r="E2045" s="16"/>
      <c r="F2045" s="16"/>
      <c r="G2045" s="16"/>
      <c r="H2045" s="16"/>
    </row>
    <row r="2046" spans="1:8" ht="12.5">
      <c r="A2046" s="24"/>
      <c r="B2046" s="17"/>
      <c r="C2046" s="24"/>
      <c r="D2046" s="16"/>
      <c r="E2046" s="16"/>
      <c r="F2046" s="16"/>
      <c r="G2046" s="16"/>
      <c r="H2046" s="16"/>
    </row>
    <row r="2047" spans="1:8" ht="12.5">
      <c r="A2047" s="24"/>
      <c r="B2047" s="17"/>
      <c r="C2047" s="24"/>
      <c r="D2047" s="16"/>
      <c r="E2047" s="16"/>
      <c r="F2047" s="16"/>
      <c r="G2047" s="16"/>
      <c r="H2047" s="16"/>
    </row>
    <row r="2048" spans="1:8" ht="12.5">
      <c r="A2048" s="24"/>
      <c r="B2048" s="17"/>
      <c r="C2048" s="24"/>
      <c r="D2048" s="16"/>
      <c r="E2048" s="16"/>
      <c r="F2048" s="16"/>
      <c r="G2048" s="16"/>
      <c r="H2048" s="16"/>
    </row>
    <row r="2049" spans="1:8" ht="12.5">
      <c r="A2049" s="24"/>
      <c r="B2049" s="17"/>
      <c r="C2049" s="24"/>
      <c r="D2049" s="16"/>
      <c r="E2049" s="16"/>
      <c r="F2049" s="16"/>
      <c r="G2049" s="16"/>
      <c r="H2049" s="16"/>
    </row>
    <row r="2050" spans="1:8" ht="12.5">
      <c r="A2050" s="24"/>
      <c r="B2050" s="17"/>
      <c r="C2050" s="24"/>
      <c r="D2050" s="16"/>
      <c r="E2050" s="16"/>
      <c r="F2050" s="16"/>
      <c r="G2050" s="16"/>
      <c r="H2050" s="16"/>
    </row>
    <row r="2051" spans="1:8" ht="12.5">
      <c r="A2051" s="24"/>
      <c r="B2051" s="17"/>
      <c r="C2051" s="24"/>
      <c r="D2051" s="16"/>
      <c r="E2051" s="16"/>
      <c r="F2051" s="16"/>
      <c r="G2051" s="16"/>
      <c r="H2051" s="16"/>
    </row>
    <row r="2052" spans="1:8" ht="12.5">
      <c r="A2052" s="24"/>
      <c r="B2052" s="17"/>
      <c r="C2052" s="24"/>
      <c r="D2052" s="16"/>
      <c r="E2052" s="16"/>
      <c r="F2052" s="16"/>
      <c r="G2052" s="16"/>
      <c r="H2052" s="16"/>
    </row>
    <row r="2053" spans="1:8" ht="12.5">
      <c r="A2053" s="24"/>
      <c r="B2053" s="17"/>
      <c r="C2053" s="24"/>
      <c r="D2053" s="16"/>
      <c r="E2053" s="16"/>
      <c r="F2053" s="16"/>
      <c r="G2053" s="16"/>
      <c r="H2053" s="16"/>
    </row>
    <row r="2054" spans="1:8" ht="12.5">
      <c r="A2054" s="24"/>
      <c r="B2054" s="17"/>
      <c r="C2054" s="24"/>
      <c r="D2054" s="16"/>
      <c r="E2054" s="16"/>
      <c r="F2054" s="16"/>
      <c r="G2054" s="16"/>
      <c r="H2054" s="16"/>
    </row>
    <row r="2055" spans="1:8" ht="12.5">
      <c r="A2055" s="24"/>
      <c r="B2055" s="17"/>
      <c r="C2055" s="24"/>
      <c r="D2055" s="16"/>
      <c r="E2055" s="16"/>
      <c r="F2055" s="16"/>
      <c r="G2055" s="16"/>
      <c r="H2055" s="16"/>
    </row>
    <row r="2056" spans="1:8" ht="12.5">
      <c r="A2056" s="24"/>
      <c r="B2056" s="17"/>
      <c r="C2056" s="24"/>
      <c r="D2056" s="16"/>
      <c r="E2056" s="16"/>
      <c r="F2056" s="16"/>
      <c r="G2056" s="16"/>
      <c r="H2056" s="16"/>
    </row>
    <row r="2057" spans="1:8" ht="12.5">
      <c r="A2057" s="24"/>
      <c r="B2057" s="17"/>
      <c r="C2057" s="24"/>
      <c r="D2057" s="16"/>
      <c r="E2057" s="16"/>
      <c r="F2057" s="16"/>
      <c r="G2057" s="16"/>
      <c r="H2057" s="16"/>
    </row>
    <row r="2058" spans="1:8" ht="12.5">
      <c r="A2058" s="24"/>
      <c r="B2058" s="17"/>
      <c r="C2058" s="24"/>
      <c r="D2058" s="16"/>
      <c r="E2058" s="16"/>
      <c r="F2058" s="16"/>
      <c r="G2058" s="16"/>
      <c r="H2058" s="16"/>
    </row>
    <row r="2059" spans="1:8" ht="12.5">
      <c r="A2059" s="24"/>
      <c r="B2059" s="17"/>
      <c r="C2059" s="24"/>
      <c r="D2059" s="16"/>
      <c r="E2059" s="16"/>
      <c r="F2059" s="16"/>
      <c r="G2059" s="16"/>
      <c r="H2059" s="16"/>
    </row>
    <row r="2060" spans="1:8" ht="12.5">
      <c r="A2060" s="24"/>
      <c r="B2060" s="17"/>
      <c r="C2060" s="24"/>
      <c r="D2060" s="16"/>
      <c r="E2060" s="16"/>
      <c r="F2060" s="16"/>
      <c r="G2060" s="16"/>
      <c r="H2060" s="16"/>
    </row>
    <row r="2061" spans="1:8" ht="12.5">
      <c r="A2061" s="24"/>
      <c r="B2061" s="17"/>
      <c r="C2061" s="24"/>
      <c r="D2061" s="16"/>
      <c r="E2061" s="16"/>
      <c r="F2061" s="16"/>
      <c r="G2061" s="16"/>
      <c r="H2061" s="16"/>
    </row>
    <row r="2062" spans="1:8" ht="12.5">
      <c r="A2062" s="24"/>
      <c r="B2062" s="17"/>
      <c r="C2062" s="24"/>
      <c r="D2062" s="16"/>
      <c r="E2062" s="16"/>
      <c r="F2062" s="16"/>
      <c r="G2062" s="16"/>
      <c r="H2062" s="16"/>
    </row>
    <row r="2063" spans="1:8" ht="12.5">
      <c r="A2063" s="24"/>
      <c r="B2063" s="17"/>
      <c r="C2063" s="24"/>
      <c r="D2063" s="16"/>
      <c r="E2063" s="16"/>
      <c r="F2063" s="16"/>
      <c r="G2063" s="16"/>
      <c r="H2063" s="16"/>
    </row>
    <row r="2064" spans="1:8" ht="12.5">
      <c r="A2064" s="24"/>
      <c r="B2064" s="17"/>
      <c r="C2064" s="24"/>
      <c r="D2064" s="16"/>
      <c r="E2064" s="16"/>
      <c r="F2064" s="16"/>
      <c r="G2064" s="16"/>
      <c r="H2064" s="16"/>
    </row>
    <row r="2065" spans="1:8" ht="12.5">
      <c r="A2065" s="24"/>
      <c r="B2065" s="17"/>
      <c r="C2065" s="24"/>
      <c r="D2065" s="16"/>
      <c r="E2065" s="16"/>
      <c r="F2065" s="16"/>
      <c r="G2065" s="16"/>
      <c r="H2065" s="16"/>
    </row>
    <row r="2066" spans="1:8" ht="12.5">
      <c r="A2066" s="24"/>
      <c r="B2066" s="17"/>
      <c r="C2066" s="24"/>
      <c r="D2066" s="16"/>
      <c r="E2066" s="16"/>
      <c r="F2066" s="16"/>
      <c r="G2066" s="16"/>
      <c r="H2066" s="16"/>
    </row>
    <row r="2067" spans="1:8" ht="12.5">
      <c r="A2067" s="24"/>
      <c r="B2067" s="17"/>
      <c r="C2067" s="24"/>
      <c r="D2067" s="16"/>
      <c r="E2067" s="16"/>
      <c r="F2067" s="16"/>
      <c r="G2067" s="16"/>
      <c r="H2067" s="16"/>
    </row>
    <row r="2068" spans="1:8" ht="12.5">
      <c r="A2068" s="24"/>
      <c r="B2068" s="17"/>
      <c r="C2068" s="24"/>
      <c r="D2068" s="16"/>
      <c r="E2068" s="16"/>
      <c r="F2068" s="16"/>
      <c r="G2068" s="16"/>
      <c r="H2068" s="16"/>
    </row>
    <row r="2069" spans="1:8" ht="12.5">
      <c r="A2069" s="24"/>
      <c r="B2069" s="17"/>
      <c r="C2069" s="24"/>
      <c r="D2069" s="16"/>
      <c r="E2069" s="16"/>
      <c r="F2069" s="16"/>
      <c r="G2069" s="16"/>
      <c r="H2069" s="16"/>
    </row>
    <row r="2070" spans="1:8" ht="12.5">
      <c r="A2070" s="24"/>
      <c r="B2070" s="17"/>
      <c r="C2070" s="24"/>
      <c r="D2070" s="16"/>
      <c r="E2070" s="16"/>
      <c r="F2070" s="16"/>
      <c r="G2070" s="16"/>
      <c r="H2070" s="16"/>
    </row>
    <row r="2071" spans="1:8" ht="12.5">
      <c r="A2071" s="24"/>
      <c r="B2071" s="17"/>
      <c r="C2071" s="24"/>
      <c r="D2071" s="16"/>
      <c r="E2071" s="16"/>
      <c r="F2071" s="16"/>
      <c r="G2071" s="16"/>
      <c r="H2071" s="16"/>
    </row>
    <row r="2072" spans="1:8" ht="12.5">
      <c r="A2072" s="24"/>
      <c r="B2072" s="17"/>
      <c r="C2072" s="24"/>
      <c r="D2072" s="16"/>
      <c r="E2072" s="16"/>
      <c r="F2072" s="16"/>
      <c r="G2072" s="16"/>
      <c r="H2072" s="16"/>
    </row>
    <row r="2073" spans="1:8" ht="12.5">
      <c r="A2073" s="24"/>
      <c r="B2073" s="17"/>
      <c r="C2073" s="24"/>
      <c r="D2073" s="16"/>
      <c r="E2073" s="16"/>
      <c r="F2073" s="16"/>
      <c r="G2073" s="16"/>
      <c r="H2073" s="16"/>
    </row>
    <row r="2074" spans="1:8" ht="12.5">
      <c r="A2074" s="24"/>
      <c r="B2074" s="17"/>
      <c r="C2074" s="24"/>
      <c r="D2074" s="16"/>
      <c r="E2074" s="16"/>
      <c r="F2074" s="16"/>
      <c r="G2074" s="16"/>
      <c r="H2074" s="16"/>
    </row>
    <row r="2075" spans="1:8" ht="12.5">
      <c r="A2075" s="24"/>
      <c r="B2075" s="17"/>
      <c r="C2075" s="24"/>
      <c r="D2075" s="16"/>
      <c r="E2075" s="16"/>
      <c r="F2075" s="16"/>
      <c r="G2075" s="16"/>
      <c r="H2075" s="16"/>
    </row>
    <row r="2076" spans="1:8" ht="12.5">
      <c r="A2076" s="24"/>
      <c r="B2076" s="17"/>
      <c r="C2076" s="24"/>
      <c r="D2076" s="16"/>
      <c r="E2076" s="16"/>
      <c r="F2076" s="16"/>
      <c r="G2076" s="16"/>
      <c r="H2076" s="16"/>
    </row>
    <row r="2077" spans="1:8" ht="12.5">
      <c r="A2077" s="24"/>
      <c r="B2077" s="17"/>
      <c r="C2077" s="24"/>
      <c r="D2077" s="16"/>
      <c r="E2077" s="16"/>
      <c r="F2077" s="16"/>
      <c r="G2077" s="16"/>
      <c r="H2077" s="16"/>
    </row>
    <row r="2078" spans="1:8" ht="12.5">
      <c r="A2078" s="24"/>
      <c r="B2078" s="17"/>
      <c r="C2078" s="24"/>
      <c r="D2078" s="16"/>
      <c r="E2078" s="16"/>
      <c r="F2078" s="16"/>
      <c r="G2078" s="16"/>
      <c r="H2078" s="16"/>
    </row>
    <row r="2079" spans="1:8" ht="12.5">
      <c r="A2079" s="24"/>
      <c r="B2079" s="17"/>
      <c r="C2079" s="24"/>
      <c r="D2079" s="16"/>
      <c r="E2079" s="16"/>
      <c r="F2079" s="16"/>
      <c r="G2079" s="16"/>
      <c r="H2079" s="16"/>
    </row>
    <row r="2080" spans="1:8" ht="12.5">
      <c r="A2080" s="24"/>
      <c r="B2080" s="17"/>
      <c r="C2080" s="24"/>
      <c r="D2080" s="16"/>
      <c r="E2080" s="16"/>
      <c r="F2080" s="16"/>
      <c r="G2080" s="16"/>
      <c r="H2080" s="16"/>
    </row>
    <row r="2081" spans="1:8" ht="12.5">
      <c r="A2081" s="24"/>
      <c r="B2081" s="17"/>
      <c r="C2081" s="24"/>
      <c r="D2081" s="16"/>
      <c r="E2081" s="16"/>
      <c r="F2081" s="16"/>
      <c r="G2081" s="16"/>
      <c r="H2081" s="16"/>
    </row>
    <row r="2082" spans="1:8" ht="12.5">
      <c r="A2082" s="24"/>
      <c r="B2082" s="17"/>
      <c r="C2082" s="24"/>
      <c r="D2082" s="16"/>
      <c r="E2082" s="16"/>
      <c r="F2082" s="16"/>
      <c r="G2082" s="16"/>
      <c r="H2082" s="16"/>
    </row>
    <row r="2083" spans="1:8" ht="12.5">
      <c r="A2083" s="24"/>
      <c r="B2083" s="17"/>
      <c r="C2083" s="24"/>
      <c r="D2083" s="16"/>
      <c r="E2083" s="16"/>
      <c r="F2083" s="16"/>
      <c r="G2083" s="16"/>
      <c r="H2083" s="16"/>
    </row>
    <row r="2084" spans="1:8" ht="12.5">
      <c r="A2084" s="24"/>
      <c r="B2084" s="17"/>
      <c r="C2084" s="24"/>
      <c r="D2084" s="16"/>
      <c r="E2084" s="16"/>
      <c r="F2084" s="16"/>
      <c r="G2084" s="16"/>
      <c r="H2084" s="16"/>
    </row>
    <row r="2085" spans="1:8" ht="12.5">
      <c r="A2085" s="24"/>
      <c r="B2085" s="17"/>
      <c r="C2085" s="24"/>
      <c r="D2085" s="16"/>
      <c r="E2085" s="16"/>
      <c r="F2085" s="16"/>
      <c r="G2085" s="16"/>
      <c r="H2085" s="16"/>
    </row>
    <row r="2086" spans="1:8" ht="12.5">
      <c r="A2086" s="24"/>
      <c r="B2086" s="17"/>
      <c r="C2086" s="24"/>
      <c r="D2086" s="16"/>
      <c r="E2086" s="16"/>
      <c r="F2086" s="16"/>
      <c r="G2086" s="16"/>
      <c r="H2086" s="16"/>
    </row>
    <row r="2087" spans="1:8" ht="12.5">
      <c r="A2087" s="24"/>
      <c r="B2087" s="17"/>
      <c r="C2087" s="24"/>
      <c r="D2087" s="16"/>
      <c r="E2087" s="16"/>
      <c r="F2087" s="16"/>
      <c r="G2087" s="16"/>
      <c r="H2087" s="16"/>
    </row>
    <row r="2088" spans="1:8" ht="12.5">
      <c r="A2088" s="24"/>
      <c r="B2088" s="17"/>
      <c r="C2088" s="24"/>
      <c r="D2088" s="16"/>
      <c r="E2088" s="16"/>
      <c r="F2088" s="16"/>
      <c r="G2088" s="16"/>
      <c r="H2088" s="16"/>
    </row>
    <row r="2089" spans="1:8" ht="12.5">
      <c r="A2089" s="24"/>
      <c r="B2089" s="17"/>
      <c r="C2089" s="24"/>
      <c r="D2089" s="16"/>
      <c r="E2089" s="16"/>
      <c r="F2089" s="16"/>
      <c r="G2089" s="16"/>
      <c r="H2089" s="16"/>
    </row>
    <row r="2090" spans="1:8" ht="12.5">
      <c r="A2090" s="24"/>
      <c r="B2090" s="17"/>
      <c r="C2090" s="24"/>
      <c r="D2090" s="16"/>
      <c r="E2090" s="16"/>
      <c r="F2090" s="16"/>
      <c r="G2090" s="16"/>
      <c r="H2090" s="16"/>
    </row>
    <row r="2091" spans="1:8" ht="12.5">
      <c r="A2091" s="24"/>
      <c r="B2091" s="17"/>
      <c r="C2091" s="24"/>
      <c r="D2091" s="16"/>
      <c r="E2091" s="16"/>
      <c r="F2091" s="16"/>
      <c r="G2091" s="16"/>
      <c r="H2091" s="16"/>
    </row>
    <row r="2092" spans="1:8" ht="12.5">
      <c r="A2092" s="24"/>
      <c r="B2092" s="17"/>
      <c r="C2092" s="24"/>
      <c r="D2092" s="16"/>
      <c r="E2092" s="16"/>
      <c r="F2092" s="16"/>
      <c r="G2092" s="16"/>
      <c r="H2092" s="16"/>
    </row>
    <row r="2093" spans="1:8" ht="12.5">
      <c r="A2093" s="24"/>
      <c r="B2093" s="17"/>
      <c r="C2093" s="24"/>
      <c r="D2093" s="16"/>
      <c r="E2093" s="16"/>
      <c r="F2093" s="16"/>
      <c r="G2093" s="16"/>
      <c r="H2093" s="16"/>
    </row>
    <row r="2094" spans="1:8" ht="12.5">
      <c r="A2094" s="24"/>
      <c r="B2094" s="17"/>
      <c r="C2094" s="24"/>
      <c r="D2094" s="16"/>
      <c r="E2094" s="16"/>
      <c r="F2094" s="16"/>
      <c r="G2094" s="16"/>
      <c r="H2094" s="16"/>
    </row>
    <row r="2095" spans="1:8" ht="12.5">
      <c r="A2095" s="24"/>
      <c r="B2095" s="17"/>
      <c r="C2095" s="24"/>
      <c r="D2095" s="16"/>
      <c r="E2095" s="16"/>
      <c r="F2095" s="16"/>
      <c r="G2095" s="16"/>
      <c r="H2095" s="16"/>
    </row>
    <row r="2096" spans="1:8" ht="12.5">
      <c r="A2096" s="24"/>
      <c r="B2096" s="17"/>
      <c r="C2096" s="24"/>
      <c r="D2096" s="16"/>
      <c r="E2096" s="16"/>
      <c r="F2096" s="16"/>
      <c r="G2096" s="16"/>
      <c r="H2096" s="16"/>
    </row>
    <row r="2097" spans="1:8" ht="12.5">
      <c r="A2097" s="24"/>
      <c r="B2097" s="17"/>
      <c r="C2097" s="24"/>
      <c r="D2097" s="16"/>
      <c r="E2097" s="16"/>
      <c r="F2097" s="16"/>
      <c r="G2097" s="16"/>
      <c r="H2097" s="16"/>
    </row>
    <row r="2098" spans="1:8" ht="12.5">
      <c r="A2098" s="24"/>
      <c r="B2098" s="17"/>
      <c r="C2098" s="24"/>
      <c r="D2098" s="16"/>
      <c r="E2098" s="16"/>
      <c r="F2098" s="16"/>
      <c r="G2098" s="16"/>
      <c r="H2098" s="16"/>
    </row>
    <row r="2099" spans="1:8" ht="12.5">
      <c r="A2099" s="24"/>
      <c r="B2099" s="17"/>
      <c r="C2099" s="24"/>
      <c r="D2099" s="16"/>
      <c r="E2099" s="16"/>
      <c r="F2099" s="16"/>
      <c r="G2099" s="16"/>
      <c r="H2099" s="16"/>
    </row>
    <row r="2100" spans="1:8" ht="12.5">
      <c r="A2100" s="24"/>
      <c r="B2100" s="17"/>
      <c r="C2100" s="24"/>
      <c r="D2100" s="16"/>
      <c r="E2100" s="16"/>
      <c r="F2100" s="16"/>
      <c r="G2100" s="16"/>
      <c r="H2100" s="16"/>
    </row>
    <row r="2101" spans="1:8" ht="12.5">
      <c r="A2101" s="24"/>
      <c r="B2101" s="17"/>
      <c r="C2101" s="24"/>
      <c r="D2101" s="16"/>
      <c r="E2101" s="16"/>
      <c r="F2101" s="16"/>
      <c r="G2101" s="16"/>
      <c r="H2101" s="16"/>
    </row>
    <row r="2102" spans="1:8" ht="12.5">
      <c r="A2102" s="24"/>
      <c r="B2102" s="17"/>
      <c r="C2102" s="24"/>
      <c r="D2102" s="16"/>
      <c r="E2102" s="16"/>
      <c r="F2102" s="16"/>
      <c r="G2102" s="16"/>
      <c r="H2102" s="16"/>
    </row>
    <row r="2103" spans="1:8" ht="12.5">
      <c r="A2103" s="24"/>
      <c r="B2103" s="17"/>
      <c r="C2103" s="24"/>
      <c r="D2103" s="16"/>
      <c r="E2103" s="16"/>
      <c r="F2103" s="16"/>
      <c r="G2103" s="16"/>
      <c r="H2103" s="16"/>
    </row>
    <row r="2104" spans="1:8" ht="12.5">
      <c r="A2104" s="24"/>
      <c r="B2104" s="17"/>
      <c r="C2104" s="24"/>
      <c r="D2104" s="16"/>
      <c r="E2104" s="16"/>
      <c r="F2104" s="16"/>
      <c r="G2104" s="16"/>
      <c r="H2104" s="16"/>
    </row>
    <row r="2105" spans="1:8" ht="12.5">
      <c r="A2105" s="24"/>
      <c r="B2105" s="17"/>
      <c r="C2105" s="24"/>
      <c r="D2105" s="16"/>
      <c r="E2105" s="16"/>
      <c r="F2105" s="16"/>
      <c r="G2105" s="16"/>
      <c r="H2105" s="16"/>
    </row>
    <row r="2106" spans="1:8" ht="12.5">
      <c r="A2106" s="24"/>
      <c r="B2106" s="17"/>
      <c r="C2106" s="24"/>
      <c r="D2106" s="16"/>
      <c r="E2106" s="16"/>
      <c r="F2106" s="16"/>
      <c r="G2106" s="16"/>
      <c r="H2106" s="16"/>
    </row>
    <row r="2107" spans="1:8" ht="12.5">
      <c r="A2107" s="24"/>
      <c r="B2107" s="17"/>
      <c r="C2107" s="24"/>
      <c r="D2107" s="16"/>
      <c r="E2107" s="16"/>
      <c r="F2107" s="16"/>
      <c r="G2107" s="16"/>
      <c r="H2107" s="16"/>
    </row>
    <row r="2108" spans="1:8" ht="12.5">
      <c r="A2108" s="24"/>
      <c r="B2108" s="17"/>
      <c r="C2108" s="24"/>
      <c r="D2108" s="16"/>
      <c r="E2108" s="16"/>
      <c r="F2108" s="16"/>
      <c r="G2108" s="16"/>
      <c r="H2108" s="16"/>
    </row>
    <row r="2109" spans="1:8" ht="12.5">
      <c r="A2109" s="24"/>
      <c r="B2109" s="17"/>
      <c r="C2109" s="24"/>
      <c r="D2109" s="16"/>
      <c r="E2109" s="16"/>
      <c r="F2109" s="16"/>
      <c r="G2109" s="16"/>
      <c r="H2109" s="16"/>
    </row>
    <row r="2110" spans="1:8" ht="12.5">
      <c r="A2110" s="24"/>
      <c r="B2110" s="17"/>
      <c r="C2110" s="24"/>
      <c r="D2110" s="16"/>
      <c r="E2110" s="16"/>
      <c r="F2110" s="16"/>
      <c r="G2110" s="16"/>
      <c r="H2110" s="16"/>
    </row>
    <row r="2111" spans="1:8" ht="12.5">
      <c r="A2111" s="24"/>
      <c r="B2111" s="17"/>
      <c r="C2111" s="24"/>
      <c r="D2111" s="16"/>
      <c r="E2111" s="16"/>
      <c r="F2111" s="16"/>
      <c r="G2111" s="16"/>
      <c r="H2111" s="16"/>
    </row>
    <row r="2112" spans="1:8" ht="12.5">
      <c r="A2112" s="24"/>
      <c r="B2112" s="17"/>
      <c r="C2112" s="24"/>
      <c r="D2112" s="16"/>
      <c r="E2112" s="16"/>
      <c r="F2112" s="16"/>
      <c r="G2112" s="16"/>
      <c r="H2112" s="16"/>
    </row>
    <row r="2113" spans="1:8" ht="12.5">
      <c r="A2113" s="24"/>
      <c r="B2113" s="17"/>
      <c r="C2113" s="24"/>
      <c r="D2113" s="16"/>
      <c r="E2113" s="16"/>
      <c r="F2113" s="16"/>
      <c r="G2113" s="16"/>
      <c r="H2113" s="16"/>
    </row>
    <row r="2114" spans="1:8" ht="12.5">
      <c r="A2114" s="24"/>
      <c r="B2114" s="17"/>
      <c r="C2114" s="24"/>
      <c r="D2114" s="16"/>
      <c r="E2114" s="16"/>
      <c r="F2114" s="16"/>
      <c r="G2114" s="16"/>
      <c r="H2114" s="16"/>
    </row>
    <row r="2115" spans="1:8" ht="12.5">
      <c r="A2115" s="24"/>
      <c r="B2115" s="17"/>
      <c r="C2115" s="24"/>
      <c r="D2115" s="16"/>
      <c r="E2115" s="16"/>
      <c r="F2115" s="16"/>
      <c r="G2115" s="16"/>
      <c r="H2115" s="16"/>
    </row>
    <row r="2116" spans="1:8" ht="12.5">
      <c r="A2116" s="24"/>
      <c r="B2116" s="17"/>
      <c r="C2116" s="24"/>
      <c r="D2116" s="16"/>
      <c r="E2116" s="16"/>
      <c r="F2116" s="16"/>
      <c r="G2116" s="16"/>
      <c r="H2116" s="16"/>
    </row>
    <row r="2117" spans="1:8" ht="12.5">
      <c r="A2117" s="24"/>
      <c r="B2117" s="17"/>
      <c r="C2117" s="24"/>
      <c r="D2117" s="16"/>
      <c r="E2117" s="16"/>
      <c r="F2117" s="16"/>
      <c r="G2117" s="16"/>
      <c r="H2117" s="16"/>
    </row>
    <row r="2118" spans="1:8" ht="12.5">
      <c r="A2118" s="24"/>
      <c r="B2118" s="17"/>
      <c r="C2118" s="24"/>
      <c r="D2118" s="16"/>
      <c r="E2118" s="16"/>
      <c r="F2118" s="16"/>
      <c r="G2118" s="16"/>
      <c r="H2118" s="16"/>
    </row>
    <row r="2119" spans="1:8" ht="12.5">
      <c r="A2119" s="24"/>
      <c r="B2119" s="17"/>
      <c r="C2119" s="24"/>
      <c r="D2119" s="16"/>
      <c r="E2119" s="16"/>
      <c r="F2119" s="16"/>
      <c r="G2119" s="16"/>
      <c r="H2119" s="16"/>
    </row>
    <row r="2120" spans="1:8" ht="12.5">
      <c r="A2120" s="24"/>
      <c r="B2120" s="17"/>
      <c r="C2120" s="24"/>
      <c r="D2120" s="16"/>
      <c r="E2120" s="16"/>
      <c r="F2120" s="16"/>
      <c r="G2120" s="16"/>
      <c r="H2120" s="16"/>
    </row>
    <row r="2121" spans="1:8" ht="12.5">
      <c r="A2121" s="24"/>
      <c r="B2121" s="17"/>
      <c r="C2121" s="24"/>
      <c r="D2121" s="16"/>
      <c r="E2121" s="16"/>
      <c r="F2121" s="16"/>
      <c r="G2121" s="16"/>
      <c r="H2121" s="16"/>
    </row>
    <row r="2122" spans="1:8" ht="12.5">
      <c r="A2122" s="24"/>
      <c r="B2122" s="17"/>
      <c r="C2122" s="24"/>
      <c r="D2122" s="16"/>
      <c r="E2122" s="16"/>
      <c r="F2122" s="16"/>
      <c r="G2122" s="16"/>
      <c r="H2122" s="16"/>
    </row>
    <row r="2123" spans="1:8" ht="12.5">
      <c r="A2123" s="24"/>
      <c r="B2123" s="17"/>
      <c r="C2123" s="24"/>
      <c r="D2123" s="16"/>
      <c r="E2123" s="16"/>
      <c r="F2123" s="16"/>
      <c r="G2123" s="16"/>
      <c r="H2123" s="16"/>
    </row>
    <row r="2124" spans="1:8" ht="12.5">
      <c r="A2124" s="24"/>
      <c r="B2124" s="17"/>
      <c r="C2124" s="24"/>
      <c r="D2124" s="16"/>
      <c r="E2124" s="16"/>
      <c r="F2124" s="16"/>
      <c r="G2124" s="16"/>
      <c r="H2124" s="16"/>
    </row>
    <row r="2125" spans="1:8" ht="12.5">
      <c r="A2125" s="24"/>
      <c r="B2125" s="17"/>
      <c r="C2125" s="24"/>
      <c r="D2125" s="16"/>
      <c r="E2125" s="16"/>
      <c r="F2125" s="16"/>
      <c r="G2125" s="16"/>
      <c r="H2125" s="16"/>
    </row>
    <row r="2126" spans="1:8" ht="12.5">
      <c r="A2126" s="24"/>
      <c r="B2126" s="17"/>
      <c r="C2126" s="24"/>
      <c r="D2126" s="16"/>
      <c r="E2126" s="16"/>
      <c r="F2126" s="16"/>
      <c r="G2126" s="16"/>
      <c r="H2126" s="16"/>
    </row>
    <row r="2127" spans="1:8" ht="12.5">
      <c r="A2127" s="24"/>
      <c r="B2127" s="17"/>
      <c r="C2127" s="24"/>
      <c r="D2127" s="16"/>
      <c r="E2127" s="16"/>
      <c r="F2127" s="16"/>
      <c r="G2127" s="16"/>
      <c r="H2127" s="16"/>
    </row>
    <row r="2128" spans="1:8" ht="12.5">
      <c r="A2128" s="24"/>
      <c r="B2128" s="17"/>
      <c r="C2128" s="24"/>
      <c r="D2128" s="16"/>
      <c r="E2128" s="16"/>
      <c r="F2128" s="16"/>
      <c r="G2128" s="16"/>
      <c r="H2128" s="16"/>
    </row>
    <row r="2129" spans="1:8" ht="12.5">
      <c r="A2129" s="24"/>
      <c r="B2129" s="17"/>
      <c r="C2129" s="24"/>
      <c r="D2129" s="16"/>
      <c r="E2129" s="16"/>
      <c r="F2129" s="16"/>
      <c r="G2129" s="16"/>
      <c r="H2129" s="16"/>
    </row>
    <row r="2130" spans="1:8" ht="12.5">
      <c r="A2130" s="24"/>
      <c r="B2130" s="17"/>
      <c r="C2130" s="24"/>
      <c r="D2130" s="16"/>
      <c r="E2130" s="16"/>
      <c r="F2130" s="16"/>
      <c r="G2130" s="16"/>
      <c r="H2130" s="16"/>
    </row>
    <row r="2131" spans="1:8" ht="12.5">
      <c r="A2131" s="24"/>
      <c r="B2131" s="17"/>
      <c r="C2131" s="24"/>
      <c r="D2131" s="16"/>
      <c r="E2131" s="16"/>
      <c r="F2131" s="16"/>
      <c r="G2131" s="16"/>
      <c r="H2131" s="16"/>
    </row>
    <row r="2132" spans="1:8" ht="12.5">
      <c r="A2132" s="24"/>
      <c r="B2132" s="17"/>
      <c r="C2132" s="24"/>
      <c r="D2132" s="16"/>
      <c r="E2132" s="16"/>
      <c r="F2132" s="16"/>
      <c r="G2132" s="16"/>
      <c r="H2132" s="16"/>
    </row>
    <row r="2133" spans="1:8" ht="12.5">
      <c r="A2133" s="24"/>
      <c r="B2133" s="17"/>
      <c r="C2133" s="24"/>
      <c r="D2133" s="16"/>
      <c r="E2133" s="16"/>
      <c r="F2133" s="16"/>
      <c r="G2133" s="16"/>
      <c r="H2133" s="16"/>
    </row>
    <row r="2134" spans="1:8" ht="12.5">
      <c r="A2134" s="24"/>
      <c r="B2134" s="17"/>
      <c r="C2134" s="24"/>
      <c r="D2134" s="16"/>
      <c r="E2134" s="16"/>
      <c r="F2134" s="16"/>
      <c r="G2134" s="16"/>
      <c r="H2134" s="16"/>
    </row>
    <row r="2135" spans="1:8" ht="12.5">
      <c r="A2135" s="24"/>
      <c r="B2135" s="17"/>
      <c r="C2135" s="24"/>
      <c r="D2135" s="16"/>
      <c r="E2135" s="16"/>
      <c r="F2135" s="16"/>
      <c r="G2135" s="16"/>
      <c r="H2135" s="16"/>
    </row>
    <row r="2136" spans="1:8" ht="12.5">
      <c r="A2136" s="24"/>
      <c r="B2136" s="17"/>
      <c r="C2136" s="24"/>
      <c r="D2136" s="16"/>
      <c r="E2136" s="16"/>
      <c r="F2136" s="16"/>
      <c r="G2136" s="16"/>
      <c r="H2136" s="16"/>
    </row>
    <row r="2137" spans="1:8" ht="12.5">
      <c r="A2137" s="24"/>
      <c r="B2137" s="17"/>
      <c r="C2137" s="24"/>
      <c r="D2137" s="16"/>
      <c r="E2137" s="16"/>
      <c r="F2137" s="16"/>
      <c r="G2137" s="16"/>
      <c r="H2137" s="16"/>
    </row>
    <row r="2138" spans="1:8" ht="12.5">
      <c r="A2138" s="24"/>
      <c r="B2138" s="17"/>
      <c r="C2138" s="24"/>
      <c r="D2138" s="16"/>
      <c r="E2138" s="16"/>
      <c r="F2138" s="16"/>
      <c r="G2138" s="16"/>
      <c r="H2138" s="16"/>
    </row>
    <row r="2139" spans="1:8" ht="12.5">
      <c r="A2139" s="24"/>
      <c r="B2139" s="17"/>
      <c r="C2139" s="24"/>
      <c r="D2139" s="16"/>
      <c r="E2139" s="16"/>
      <c r="F2139" s="16"/>
      <c r="G2139" s="16"/>
      <c r="H2139" s="16"/>
    </row>
    <row r="2140" spans="1:8" ht="12.5">
      <c r="A2140" s="24"/>
      <c r="B2140" s="17"/>
      <c r="C2140" s="24"/>
      <c r="D2140" s="16"/>
      <c r="E2140" s="16"/>
      <c r="F2140" s="16"/>
      <c r="G2140" s="16"/>
      <c r="H2140" s="16"/>
    </row>
    <row r="2141" spans="1:8" ht="12.5">
      <c r="A2141" s="24"/>
      <c r="B2141" s="17"/>
      <c r="C2141" s="24"/>
      <c r="D2141" s="16"/>
      <c r="E2141" s="16"/>
      <c r="F2141" s="16"/>
      <c r="G2141" s="16"/>
      <c r="H2141" s="16"/>
    </row>
    <row r="2142" spans="1:8" ht="12.5">
      <c r="A2142" s="24"/>
      <c r="B2142" s="17"/>
      <c r="C2142" s="24"/>
      <c r="D2142" s="16"/>
      <c r="E2142" s="16"/>
      <c r="F2142" s="16"/>
      <c r="G2142" s="16"/>
      <c r="H2142" s="16"/>
    </row>
    <row r="2143" spans="1:8" ht="12.5">
      <c r="A2143" s="24"/>
      <c r="B2143" s="17"/>
      <c r="C2143" s="24"/>
      <c r="D2143" s="16"/>
      <c r="E2143" s="16"/>
      <c r="F2143" s="16"/>
      <c r="G2143" s="16"/>
      <c r="H2143" s="16"/>
    </row>
    <row r="2144" spans="1:8" ht="12.5">
      <c r="A2144" s="24"/>
      <c r="B2144" s="17"/>
      <c r="C2144" s="24"/>
      <c r="D2144" s="16"/>
      <c r="E2144" s="16"/>
      <c r="F2144" s="16"/>
      <c r="G2144" s="16"/>
      <c r="H2144" s="16"/>
    </row>
    <row r="2145" spans="1:8" ht="12.5">
      <c r="A2145" s="24"/>
      <c r="B2145" s="17"/>
      <c r="C2145" s="24"/>
      <c r="D2145" s="16"/>
      <c r="E2145" s="16"/>
      <c r="F2145" s="16"/>
      <c r="G2145" s="16"/>
      <c r="H2145" s="16"/>
    </row>
    <row r="2146" spans="1:8" ht="12.5">
      <c r="A2146" s="24"/>
      <c r="B2146" s="17"/>
      <c r="C2146" s="24"/>
      <c r="D2146" s="16"/>
      <c r="E2146" s="16"/>
      <c r="F2146" s="16"/>
      <c r="G2146" s="16"/>
      <c r="H2146" s="16"/>
    </row>
    <row r="2147" spans="1:8" ht="12.5">
      <c r="A2147" s="24"/>
      <c r="B2147" s="17"/>
      <c r="C2147" s="24"/>
      <c r="D2147" s="16"/>
      <c r="E2147" s="16"/>
      <c r="F2147" s="16"/>
      <c r="G2147" s="16"/>
      <c r="H2147" s="16"/>
    </row>
    <row r="2148" spans="1:8" ht="12.5">
      <c r="A2148" s="24"/>
      <c r="B2148" s="17"/>
      <c r="C2148" s="24"/>
      <c r="D2148" s="16"/>
      <c r="E2148" s="16"/>
      <c r="F2148" s="16"/>
      <c r="G2148" s="16"/>
      <c r="H2148" s="16"/>
    </row>
    <row r="2149" spans="1:8" ht="12.5">
      <c r="A2149" s="24"/>
      <c r="B2149" s="17"/>
      <c r="C2149" s="24"/>
      <c r="D2149" s="16"/>
      <c r="E2149" s="16"/>
      <c r="F2149" s="16"/>
      <c r="G2149" s="16"/>
      <c r="H2149" s="16"/>
    </row>
    <row r="2150" spans="1:8" ht="12.5">
      <c r="A2150" s="24"/>
      <c r="B2150" s="17"/>
      <c r="C2150" s="24"/>
      <c r="D2150" s="16"/>
      <c r="E2150" s="16"/>
      <c r="F2150" s="16"/>
      <c r="G2150" s="16"/>
      <c r="H2150" s="16"/>
    </row>
    <row r="2151" spans="1:8" ht="12.5">
      <c r="A2151" s="24"/>
      <c r="B2151" s="17"/>
      <c r="C2151" s="24"/>
      <c r="D2151" s="16"/>
      <c r="E2151" s="16"/>
      <c r="F2151" s="16"/>
      <c r="G2151" s="16"/>
      <c r="H2151" s="16"/>
    </row>
    <row r="2152" spans="1:8" ht="12.5">
      <c r="A2152" s="24"/>
      <c r="B2152" s="17"/>
      <c r="C2152" s="24"/>
      <c r="D2152" s="16"/>
      <c r="E2152" s="16"/>
      <c r="F2152" s="16"/>
      <c r="G2152" s="16"/>
      <c r="H2152" s="16"/>
    </row>
    <row r="2153" spans="1:8" ht="12.5">
      <c r="A2153" s="24"/>
      <c r="B2153" s="17"/>
      <c r="C2153" s="24"/>
      <c r="D2153" s="16"/>
      <c r="E2153" s="16"/>
      <c r="F2153" s="16"/>
      <c r="G2153" s="16"/>
      <c r="H2153" s="16"/>
    </row>
    <row r="2154" spans="1:8" ht="12.5">
      <c r="A2154" s="24"/>
      <c r="B2154" s="17"/>
      <c r="C2154" s="24"/>
      <c r="D2154" s="16"/>
      <c r="E2154" s="16"/>
      <c r="F2154" s="16"/>
      <c r="G2154" s="16"/>
      <c r="H2154" s="16"/>
    </row>
    <row r="2155" spans="1:8" ht="12.5">
      <c r="A2155" s="24"/>
      <c r="B2155" s="17"/>
      <c r="C2155" s="24"/>
      <c r="D2155" s="16"/>
      <c r="E2155" s="16"/>
      <c r="F2155" s="16"/>
      <c r="G2155" s="16"/>
      <c r="H2155" s="16"/>
    </row>
    <row r="2156" spans="1:8" ht="12.5">
      <c r="A2156" s="24"/>
      <c r="B2156" s="17"/>
      <c r="C2156" s="24"/>
      <c r="D2156" s="16"/>
      <c r="E2156" s="16"/>
      <c r="F2156" s="16"/>
      <c r="G2156" s="16"/>
      <c r="H2156" s="16"/>
    </row>
    <row r="2157" spans="1:8" ht="12.5">
      <c r="A2157" s="24"/>
      <c r="B2157" s="17"/>
      <c r="C2157" s="24"/>
      <c r="D2157" s="16"/>
      <c r="E2157" s="16"/>
      <c r="F2157" s="16"/>
      <c r="G2157" s="16"/>
      <c r="H2157" s="16"/>
    </row>
    <row r="2158" spans="1:8" ht="12.5">
      <c r="A2158" s="24"/>
      <c r="B2158" s="17"/>
      <c r="C2158" s="24"/>
      <c r="D2158" s="16"/>
      <c r="E2158" s="16"/>
      <c r="F2158" s="16"/>
      <c r="G2158" s="16"/>
      <c r="H2158" s="16"/>
    </row>
    <row r="2159" spans="1:8" ht="12.5">
      <c r="A2159" s="24"/>
      <c r="B2159" s="17"/>
      <c r="C2159" s="24"/>
      <c r="D2159" s="16"/>
      <c r="E2159" s="16"/>
      <c r="F2159" s="16"/>
      <c r="G2159" s="16"/>
      <c r="H2159" s="16"/>
    </row>
    <row r="2160" spans="1:8" ht="12.5">
      <c r="A2160" s="24"/>
      <c r="B2160" s="17"/>
      <c r="C2160" s="24"/>
      <c r="D2160" s="16"/>
      <c r="E2160" s="16"/>
      <c r="F2160" s="16"/>
      <c r="G2160" s="16"/>
      <c r="H2160" s="16"/>
    </row>
    <row r="2161" spans="1:8" ht="12.5">
      <c r="A2161" s="24"/>
      <c r="B2161" s="17"/>
      <c r="C2161" s="24"/>
      <c r="D2161" s="16"/>
      <c r="E2161" s="16"/>
      <c r="F2161" s="16"/>
      <c r="G2161" s="16"/>
      <c r="H2161" s="16"/>
    </row>
    <row r="2162" spans="1:8" ht="12.5">
      <c r="A2162" s="24"/>
      <c r="B2162" s="17"/>
      <c r="C2162" s="24"/>
      <c r="D2162" s="16"/>
      <c r="E2162" s="16"/>
      <c r="F2162" s="16"/>
      <c r="G2162" s="16"/>
      <c r="H2162" s="16"/>
    </row>
    <row r="2163" spans="1:8" ht="12.5">
      <c r="A2163" s="24"/>
      <c r="B2163" s="17"/>
      <c r="C2163" s="24"/>
      <c r="D2163" s="16"/>
      <c r="E2163" s="16"/>
      <c r="F2163" s="16"/>
      <c r="G2163" s="16"/>
      <c r="H2163" s="16"/>
    </row>
    <row r="2164" spans="1:8" ht="12.5">
      <c r="A2164" s="24"/>
      <c r="B2164" s="17"/>
      <c r="C2164" s="24"/>
      <c r="D2164" s="16"/>
      <c r="E2164" s="16"/>
      <c r="F2164" s="16"/>
      <c r="G2164" s="16"/>
      <c r="H2164" s="16"/>
    </row>
    <row r="2165" spans="1:8" ht="12.5">
      <c r="A2165" s="24"/>
      <c r="B2165" s="17"/>
      <c r="C2165" s="24"/>
      <c r="D2165" s="16"/>
      <c r="E2165" s="16"/>
      <c r="F2165" s="16"/>
      <c r="G2165" s="16"/>
      <c r="H2165" s="16"/>
    </row>
    <row r="2166" spans="1:8" ht="12.5">
      <c r="A2166" s="24"/>
      <c r="B2166" s="17"/>
      <c r="C2166" s="24"/>
      <c r="D2166" s="16"/>
      <c r="E2166" s="16"/>
      <c r="F2166" s="16"/>
      <c r="G2166" s="16"/>
      <c r="H2166" s="16"/>
    </row>
    <row r="2167" spans="1:8" ht="12.5">
      <c r="A2167" s="24"/>
      <c r="B2167" s="17"/>
      <c r="C2167" s="24"/>
      <c r="D2167" s="16"/>
      <c r="E2167" s="16"/>
      <c r="F2167" s="16"/>
      <c r="G2167" s="16"/>
      <c r="H2167" s="16"/>
    </row>
    <row r="2168" spans="1:8" ht="12.5">
      <c r="A2168" s="24"/>
      <c r="B2168" s="17"/>
      <c r="C2168" s="24"/>
      <c r="D2168" s="16"/>
      <c r="E2168" s="16"/>
      <c r="F2168" s="16"/>
      <c r="G2168" s="16"/>
      <c r="H2168" s="16"/>
    </row>
    <row r="2169" spans="1:8" ht="12.5">
      <c r="A2169" s="24"/>
      <c r="B2169" s="17"/>
      <c r="C2169" s="24"/>
      <c r="D2169" s="16"/>
      <c r="E2169" s="16"/>
      <c r="F2169" s="16"/>
      <c r="G2169" s="16"/>
      <c r="H2169" s="16"/>
    </row>
    <row r="2170" spans="1:8" ht="12.5">
      <c r="A2170" s="24"/>
      <c r="B2170" s="17"/>
      <c r="C2170" s="24"/>
      <c r="D2170" s="16"/>
      <c r="E2170" s="16"/>
      <c r="F2170" s="16"/>
      <c r="G2170" s="16"/>
      <c r="H2170" s="16"/>
    </row>
    <row r="2171" spans="1:8" ht="12.5">
      <c r="A2171" s="24"/>
      <c r="B2171" s="17"/>
      <c r="C2171" s="24"/>
      <c r="D2171" s="16"/>
      <c r="E2171" s="16"/>
      <c r="F2171" s="16"/>
      <c r="G2171" s="16"/>
      <c r="H2171" s="16"/>
    </row>
    <row r="2172" spans="1:8" ht="12.5">
      <c r="A2172" s="24"/>
      <c r="B2172" s="17"/>
      <c r="C2172" s="24"/>
      <c r="D2172" s="16"/>
      <c r="E2172" s="16"/>
      <c r="F2172" s="16"/>
      <c r="G2172" s="16"/>
      <c r="H2172" s="16"/>
    </row>
    <row r="2173" spans="1:8" ht="12.5">
      <c r="A2173" s="24"/>
      <c r="B2173" s="17"/>
      <c r="C2173" s="24"/>
      <c r="D2173" s="16"/>
      <c r="E2173" s="16"/>
      <c r="F2173" s="16"/>
      <c r="G2173" s="16"/>
      <c r="H2173" s="16"/>
    </row>
    <row r="2174" spans="1:8" ht="12.5">
      <c r="A2174" s="24"/>
      <c r="B2174" s="17"/>
      <c r="C2174" s="24"/>
      <c r="D2174" s="16"/>
      <c r="E2174" s="16"/>
      <c r="F2174" s="16"/>
      <c r="G2174" s="16"/>
      <c r="H2174" s="16"/>
    </row>
    <row r="2175" spans="1:8" ht="12.5">
      <c r="A2175" s="24"/>
      <c r="B2175" s="17"/>
      <c r="C2175" s="24"/>
      <c r="D2175" s="16"/>
      <c r="E2175" s="16"/>
      <c r="F2175" s="16"/>
      <c r="G2175" s="16"/>
      <c r="H2175" s="16"/>
    </row>
    <row r="2176" spans="1:8" ht="12.5">
      <c r="A2176" s="24"/>
      <c r="B2176" s="17"/>
      <c r="C2176" s="24"/>
      <c r="D2176" s="16"/>
      <c r="E2176" s="16"/>
      <c r="F2176" s="16"/>
      <c r="G2176" s="16"/>
      <c r="H2176" s="16"/>
    </row>
    <row r="2177" spans="1:8" ht="12.5">
      <c r="A2177" s="24"/>
      <c r="B2177" s="17"/>
      <c r="C2177" s="24"/>
      <c r="D2177" s="16"/>
      <c r="E2177" s="16"/>
      <c r="F2177" s="16"/>
      <c r="G2177" s="16"/>
      <c r="H2177" s="16"/>
    </row>
    <row r="2178" spans="1:8" ht="12.5">
      <c r="A2178" s="24"/>
      <c r="B2178" s="17"/>
      <c r="C2178" s="24"/>
      <c r="D2178" s="16"/>
      <c r="E2178" s="16"/>
      <c r="F2178" s="16"/>
      <c r="G2178" s="16"/>
      <c r="H2178" s="16"/>
    </row>
    <row r="2179" spans="1:8" ht="12.5">
      <c r="A2179" s="24"/>
      <c r="B2179" s="17"/>
      <c r="C2179" s="24"/>
      <c r="D2179" s="16"/>
      <c r="E2179" s="16"/>
      <c r="F2179" s="16"/>
      <c r="G2179" s="16"/>
      <c r="H2179" s="16"/>
    </row>
    <row r="2180" spans="1:8" ht="12.5">
      <c r="A2180" s="24"/>
      <c r="B2180" s="17"/>
      <c r="C2180" s="24"/>
      <c r="D2180" s="16"/>
      <c r="E2180" s="16"/>
      <c r="F2180" s="16"/>
      <c r="G2180" s="16"/>
      <c r="H2180" s="16"/>
    </row>
    <row r="2181" spans="1:8" ht="12.5">
      <c r="A2181" s="24"/>
      <c r="B2181" s="17"/>
      <c r="C2181" s="24"/>
      <c r="D2181" s="16"/>
      <c r="E2181" s="16"/>
      <c r="F2181" s="16"/>
      <c r="G2181" s="16"/>
      <c r="H2181" s="16"/>
    </row>
    <row r="2182" spans="1:8" ht="12.5">
      <c r="A2182" s="24"/>
      <c r="B2182" s="17"/>
      <c r="C2182" s="24"/>
      <c r="D2182" s="16"/>
      <c r="E2182" s="16"/>
      <c r="F2182" s="16"/>
      <c r="G2182" s="16"/>
      <c r="H2182" s="16"/>
    </row>
    <row r="2183" spans="1:8" ht="12.5">
      <c r="A2183" s="24"/>
      <c r="B2183" s="17"/>
      <c r="C2183" s="24"/>
      <c r="D2183" s="16"/>
      <c r="E2183" s="16"/>
      <c r="F2183" s="16"/>
      <c r="G2183" s="16"/>
      <c r="H2183" s="16"/>
    </row>
    <row r="2184" spans="1:8" ht="12.5">
      <c r="A2184" s="24"/>
      <c r="B2184" s="17"/>
      <c r="C2184" s="24"/>
      <c r="D2184" s="16"/>
      <c r="E2184" s="16"/>
      <c r="F2184" s="16"/>
      <c r="G2184" s="16"/>
      <c r="H2184" s="16"/>
    </row>
    <row r="2185" spans="1:8" ht="12.5">
      <c r="A2185" s="24"/>
      <c r="B2185" s="17"/>
      <c r="C2185" s="24"/>
      <c r="D2185" s="16"/>
      <c r="E2185" s="16"/>
      <c r="F2185" s="16"/>
      <c r="G2185" s="16"/>
      <c r="H2185" s="16"/>
    </row>
    <row r="2186" spans="1:8" ht="12.5">
      <c r="A2186" s="24"/>
      <c r="B2186" s="17"/>
      <c r="C2186" s="24"/>
      <c r="D2186" s="16"/>
      <c r="E2186" s="16"/>
      <c r="F2186" s="16"/>
      <c r="G2186" s="16"/>
      <c r="H2186" s="16"/>
    </row>
    <row r="2187" spans="1:8" ht="12.5">
      <c r="A2187" s="24"/>
      <c r="B2187" s="17"/>
      <c r="C2187" s="24"/>
      <c r="D2187" s="16"/>
      <c r="E2187" s="16"/>
      <c r="F2187" s="16"/>
      <c r="G2187" s="16"/>
      <c r="H2187" s="16"/>
    </row>
    <row r="2188" spans="1:8" ht="12.5">
      <c r="A2188" s="24"/>
      <c r="B2188" s="17"/>
      <c r="C2188" s="24"/>
      <c r="D2188" s="16"/>
      <c r="E2188" s="16"/>
      <c r="F2188" s="16"/>
      <c r="G2188" s="16"/>
      <c r="H2188" s="16"/>
    </row>
    <row r="2189" spans="1:8" ht="12.5">
      <c r="A2189" s="24"/>
      <c r="B2189" s="17"/>
      <c r="C2189" s="24"/>
      <c r="D2189" s="16"/>
      <c r="E2189" s="16"/>
      <c r="F2189" s="16"/>
      <c r="G2189" s="16"/>
      <c r="H2189" s="16"/>
    </row>
    <row r="2190" spans="1:8" ht="12.5">
      <c r="A2190" s="24"/>
      <c r="B2190" s="17"/>
      <c r="C2190" s="24"/>
      <c r="D2190" s="16"/>
      <c r="E2190" s="16"/>
      <c r="F2190" s="16"/>
      <c r="G2190" s="16"/>
      <c r="H2190" s="16"/>
    </row>
    <row r="2191" spans="1:8" ht="12.5">
      <c r="A2191" s="24"/>
      <c r="B2191" s="17"/>
      <c r="C2191" s="24"/>
      <c r="D2191" s="16"/>
      <c r="E2191" s="16"/>
      <c r="F2191" s="16"/>
      <c r="G2191" s="16"/>
      <c r="H2191" s="16"/>
    </row>
    <row r="2192" spans="1:8" ht="12.5">
      <c r="A2192" s="24"/>
      <c r="B2192" s="17"/>
      <c r="C2192" s="24"/>
      <c r="D2192" s="16"/>
      <c r="E2192" s="16"/>
      <c r="F2192" s="16"/>
      <c r="G2192" s="16"/>
      <c r="H2192" s="16"/>
    </row>
    <row r="2193" spans="1:8" ht="12.5">
      <c r="A2193" s="24"/>
      <c r="B2193" s="17"/>
      <c r="C2193" s="24"/>
      <c r="D2193" s="16"/>
      <c r="E2193" s="16"/>
      <c r="F2193" s="16"/>
      <c r="G2193" s="16"/>
      <c r="H2193" s="16"/>
    </row>
    <row r="2194" spans="1:8" ht="12.5">
      <c r="A2194" s="24"/>
      <c r="B2194" s="17"/>
      <c r="C2194" s="24"/>
      <c r="D2194" s="16"/>
      <c r="E2194" s="16"/>
      <c r="F2194" s="16"/>
      <c r="G2194" s="16"/>
      <c r="H2194" s="16"/>
    </row>
    <row r="2195" spans="1:8" ht="12.5">
      <c r="A2195" s="24"/>
      <c r="B2195" s="17"/>
      <c r="C2195" s="24"/>
      <c r="D2195" s="16"/>
      <c r="E2195" s="16"/>
      <c r="F2195" s="16"/>
      <c r="G2195" s="16"/>
      <c r="H2195" s="16"/>
    </row>
    <row r="2196" spans="1:8" ht="12.5">
      <c r="A2196" s="24"/>
      <c r="B2196" s="17"/>
      <c r="C2196" s="24"/>
      <c r="D2196" s="16"/>
      <c r="E2196" s="16"/>
      <c r="F2196" s="16"/>
      <c r="G2196" s="16"/>
      <c r="H2196" s="16"/>
    </row>
    <row r="2197" spans="1:8" ht="12.5">
      <c r="A2197" s="24"/>
      <c r="B2197" s="17"/>
      <c r="C2197" s="24"/>
      <c r="D2197" s="16"/>
      <c r="E2197" s="16"/>
      <c r="F2197" s="16"/>
      <c r="G2197" s="16"/>
      <c r="H2197" s="16"/>
    </row>
    <row r="2198" spans="1:8" ht="12.5">
      <c r="A2198" s="24"/>
      <c r="B2198" s="17"/>
      <c r="C2198" s="24"/>
      <c r="D2198" s="16"/>
      <c r="E2198" s="16"/>
      <c r="F2198" s="16"/>
      <c r="G2198" s="16"/>
      <c r="H2198" s="16"/>
    </row>
    <row r="2199" spans="1:8" ht="12.5">
      <c r="A2199" s="24"/>
      <c r="B2199" s="17"/>
      <c r="C2199" s="24"/>
      <c r="D2199" s="16"/>
      <c r="E2199" s="16"/>
      <c r="F2199" s="16"/>
      <c r="G2199" s="16"/>
      <c r="H2199" s="16"/>
    </row>
    <row r="2200" spans="1:8" ht="12.5">
      <c r="A2200" s="24"/>
      <c r="B2200" s="17"/>
      <c r="C2200" s="24"/>
      <c r="D2200" s="16"/>
      <c r="E2200" s="16"/>
      <c r="F2200" s="16"/>
      <c r="G2200" s="16"/>
      <c r="H2200" s="16"/>
    </row>
    <row r="2201" spans="1:8" ht="12.5">
      <c r="A2201" s="24"/>
      <c r="B2201" s="17"/>
      <c r="C2201" s="24"/>
      <c r="D2201" s="16"/>
      <c r="E2201" s="16"/>
      <c r="F2201" s="16"/>
      <c r="G2201" s="16"/>
      <c r="H2201" s="16"/>
    </row>
    <row r="2202" spans="1:8" ht="12.5">
      <c r="A2202" s="24"/>
      <c r="B2202" s="17"/>
      <c r="C2202" s="24"/>
      <c r="D2202" s="16"/>
      <c r="E2202" s="16"/>
      <c r="F2202" s="16"/>
      <c r="G2202" s="16"/>
      <c r="H2202" s="16"/>
    </row>
    <row r="2203" spans="1:8" ht="12.5">
      <c r="A2203" s="24"/>
      <c r="B2203" s="17"/>
      <c r="C2203" s="24"/>
      <c r="D2203" s="16"/>
      <c r="E2203" s="16"/>
      <c r="F2203" s="16"/>
      <c r="G2203" s="16"/>
      <c r="H2203" s="16"/>
    </row>
    <row r="2204" spans="1:8" ht="12.5">
      <c r="A2204" s="24"/>
      <c r="B2204" s="17"/>
      <c r="C2204" s="24"/>
      <c r="D2204" s="16"/>
      <c r="E2204" s="16"/>
      <c r="F2204" s="16"/>
      <c r="G2204" s="16"/>
      <c r="H2204" s="16"/>
    </row>
    <row r="2205" spans="1:8" ht="12.5">
      <c r="A2205" s="24"/>
      <c r="B2205" s="17"/>
      <c r="C2205" s="24"/>
      <c r="D2205" s="16"/>
      <c r="E2205" s="16"/>
      <c r="F2205" s="16"/>
      <c r="G2205" s="16"/>
      <c r="H2205" s="16"/>
    </row>
    <row r="2206" spans="1:8" ht="12.5">
      <c r="A2206" s="24"/>
      <c r="B2206" s="17"/>
      <c r="C2206" s="24"/>
      <c r="D2206" s="16"/>
      <c r="E2206" s="16"/>
      <c r="F2206" s="16"/>
      <c r="G2206" s="16"/>
      <c r="H2206" s="16"/>
    </row>
    <row r="2207" spans="1:8" ht="12.5">
      <c r="A2207" s="24"/>
      <c r="B2207" s="17"/>
      <c r="C2207" s="24"/>
      <c r="D2207" s="16"/>
      <c r="E2207" s="16"/>
      <c r="F2207" s="16"/>
      <c r="G2207" s="16"/>
      <c r="H2207" s="16"/>
    </row>
    <row r="2208" spans="1:8" ht="12.5">
      <c r="A2208" s="24"/>
      <c r="B2208" s="17"/>
      <c r="C2208" s="24"/>
      <c r="D2208" s="16"/>
      <c r="E2208" s="16"/>
      <c r="F2208" s="16"/>
      <c r="G2208" s="16"/>
      <c r="H2208" s="16"/>
    </row>
    <row r="2209" spans="1:8" ht="12.5">
      <c r="A2209" s="24"/>
      <c r="B2209" s="17"/>
      <c r="C2209" s="24"/>
      <c r="D2209" s="16"/>
      <c r="E2209" s="16"/>
      <c r="F2209" s="16"/>
      <c r="G2209" s="16"/>
      <c r="H2209" s="16"/>
    </row>
    <row r="2210" spans="1:8" ht="12.5">
      <c r="A2210" s="24"/>
      <c r="B2210" s="17"/>
      <c r="C2210" s="24"/>
      <c r="D2210" s="16"/>
      <c r="E2210" s="16"/>
      <c r="F2210" s="16"/>
      <c r="G2210" s="16"/>
      <c r="H2210" s="16"/>
    </row>
    <row r="2211" spans="1:8" ht="12.5">
      <c r="A2211" s="24"/>
      <c r="B2211" s="17"/>
      <c r="C2211" s="24"/>
      <c r="D2211" s="16"/>
      <c r="E2211" s="16"/>
      <c r="F2211" s="16"/>
      <c r="G2211" s="16"/>
      <c r="H2211" s="16"/>
    </row>
    <row r="2212" spans="1:8" ht="12.5">
      <c r="A2212" s="24"/>
      <c r="B2212" s="17"/>
      <c r="C2212" s="24"/>
      <c r="D2212" s="16"/>
      <c r="E2212" s="16"/>
      <c r="F2212" s="16"/>
      <c r="G2212" s="16"/>
      <c r="H2212" s="16"/>
    </row>
    <row r="2213" spans="1:8" ht="12.5">
      <c r="A2213" s="24"/>
      <c r="B2213" s="17"/>
      <c r="C2213" s="24"/>
      <c r="D2213" s="16"/>
      <c r="E2213" s="16"/>
      <c r="F2213" s="16"/>
      <c r="G2213" s="16"/>
      <c r="H2213" s="16"/>
    </row>
    <row r="2214" spans="1:8" ht="12.5">
      <c r="A2214" s="24"/>
      <c r="B2214" s="17"/>
      <c r="C2214" s="24"/>
      <c r="D2214" s="16"/>
      <c r="E2214" s="16"/>
      <c r="F2214" s="16"/>
      <c r="G2214" s="16"/>
      <c r="H2214" s="16"/>
    </row>
    <row r="2215" spans="1:8" ht="12.5">
      <c r="A2215" s="24"/>
      <c r="B2215" s="17"/>
      <c r="C2215" s="24"/>
      <c r="D2215" s="16"/>
      <c r="E2215" s="16"/>
      <c r="F2215" s="16"/>
      <c r="G2215" s="16"/>
      <c r="H2215" s="16"/>
    </row>
    <row r="2216" spans="1:8" ht="12.5">
      <c r="A2216" s="24"/>
      <c r="B2216" s="17"/>
      <c r="C2216" s="24"/>
      <c r="D2216" s="16"/>
      <c r="E2216" s="16"/>
      <c r="F2216" s="16"/>
      <c r="G2216" s="16"/>
      <c r="H2216" s="16"/>
    </row>
    <row r="2217" spans="1:8" ht="12.5">
      <c r="A2217" s="24"/>
      <c r="B2217" s="17"/>
      <c r="C2217" s="24"/>
      <c r="D2217" s="16"/>
      <c r="E2217" s="16"/>
      <c r="F2217" s="16"/>
      <c r="G2217" s="16"/>
      <c r="H2217" s="16"/>
    </row>
    <row r="2218" spans="1:8" ht="12.5">
      <c r="A2218" s="24"/>
      <c r="B2218" s="17"/>
      <c r="C2218" s="24"/>
      <c r="D2218" s="16"/>
      <c r="E2218" s="16"/>
      <c r="F2218" s="16"/>
      <c r="G2218" s="16"/>
      <c r="H2218" s="16"/>
    </row>
    <row r="2219" spans="1:8" ht="12.5">
      <c r="A2219" s="24"/>
      <c r="B2219" s="17"/>
      <c r="C2219" s="24"/>
      <c r="D2219" s="16"/>
      <c r="E2219" s="16"/>
      <c r="F2219" s="16"/>
      <c r="G2219" s="16"/>
      <c r="H2219" s="16"/>
    </row>
    <row r="2220" spans="1:8" ht="12.5">
      <c r="A2220" s="24"/>
      <c r="B2220" s="17"/>
      <c r="C2220" s="24"/>
      <c r="D2220" s="16"/>
      <c r="E2220" s="16"/>
      <c r="F2220" s="16"/>
      <c r="G2220" s="16"/>
      <c r="H2220" s="16"/>
    </row>
    <row r="2221" spans="1:8" ht="12.5">
      <c r="A2221" s="24"/>
      <c r="B2221" s="17"/>
      <c r="C2221" s="24"/>
      <c r="D2221" s="16"/>
      <c r="E2221" s="16"/>
      <c r="F2221" s="16"/>
      <c r="G2221" s="16"/>
      <c r="H2221" s="16"/>
    </row>
    <row r="2222" spans="1:8" ht="12.5">
      <c r="A2222" s="24"/>
      <c r="B2222" s="17"/>
      <c r="C2222" s="24"/>
      <c r="D2222" s="16"/>
      <c r="E2222" s="16"/>
      <c r="F2222" s="16"/>
      <c r="G2222" s="16"/>
      <c r="H2222" s="16"/>
    </row>
    <row r="2223" spans="1:8" ht="12.5">
      <c r="A2223" s="24"/>
      <c r="B2223" s="17"/>
      <c r="C2223" s="24"/>
      <c r="D2223" s="16"/>
      <c r="E2223" s="16"/>
      <c r="F2223" s="16"/>
      <c r="G2223" s="16"/>
      <c r="H2223" s="16"/>
    </row>
    <row r="2224" spans="1:8" ht="12.5">
      <c r="A2224" s="24"/>
      <c r="B2224" s="17"/>
      <c r="C2224" s="24"/>
      <c r="D2224" s="16"/>
      <c r="E2224" s="16"/>
      <c r="F2224" s="16"/>
      <c r="G2224" s="16"/>
      <c r="H2224" s="16"/>
    </row>
    <row r="2225" spans="1:8" ht="12.5">
      <c r="A2225" s="24"/>
      <c r="B2225" s="17"/>
      <c r="C2225" s="24"/>
      <c r="D2225" s="16"/>
      <c r="E2225" s="16"/>
      <c r="F2225" s="16"/>
      <c r="G2225" s="16"/>
      <c r="H2225" s="16"/>
    </row>
    <row r="2226" spans="1:8" ht="12.5">
      <c r="A2226" s="24"/>
      <c r="B2226" s="17"/>
      <c r="C2226" s="24"/>
      <c r="D2226" s="16"/>
      <c r="E2226" s="16"/>
      <c r="F2226" s="16"/>
      <c r="G2226" s="16"/>
      <c r="H2226" s="16"/>
    </row>
    <row r="2227" spans="1:8" ht="12.5">
      <c r="A2227" s="24"/>
      <c r="B2227" s="17"/>
      <c r="C2227" s="24"/>
      <c r="D2227" s="16"/>
      <c r="E2227" s="16"/>
      <c r="F2227" s="16"/>
      <c r="G2227" s="16"/>
      <c r="H2227" s="16"/>
    </row>
    <row r="2228" spans="1:8" ht="12.5">
      <c r="A2228" s="24"/>
      <c r="B2228" s="17"/>
      <c r="C2228" s="24"/>
      <c r="D2228" s="16"/>
      <c r="E2228" s="16"/>
      <c r="F2228" s="16"/>
      <c r="G2228" s="16"/>
      <c r="H2228" s="16"/>
    </row>
    <row r="2229" spans="1:8" ht="12.5">
      <c r="A2229" s="24"/>
      <c r="B2229" s="17"/>
      <c r="C2229" s="24"/>
      <c r="D2229" s="16"/>
      <c r="E2229" s="16"/>
      <c r="F2229" s="16"/>
      <c r="G2229" s="16"/>
      <c r="H2229" s="16"/>
    </row>
    <row r="2230" spans="1:8" ht="12.5">
      <c r="A2230" s="24"/>
      <c r="B2230" s="17"/>
      <c r="C2230" s="24"/>
      <c r="D2230" s="16"/>
      <c r="E2230" s="16"/>
      <c r="F2230" s="16"/>
      <c r="G2230" s="16"/>
      <c r="H2230" s="16"/>
    </row>
    <row r="2231" spans="1:8" ht="12.5">
      <c r="A2231" s="24"/>
      <c r="B2231" s="17"/>
      <c r="C2231" s="24"/>
      <c r="D2231" s="16"/>
      <c r="E2231" s="16"/>
      <c r="F2231" s="16"/>
      <c r="G2231" s="16"/>
      <c r="H2231" s="16"/>
    </row>
    <row r="2232" spans="1:8" ht="12.5">
      <c r="A2232" s="24"/>
      <c r="B2232" s="17"/>
      <c r="C2232" s="24"/>
      <c r="D2232" s="16"/>
      <c r="E2232" s="16"/>
      <c r="F2232" s="16"/>
      <c r="G2232" s="16"/>
      <c r="H2232" s="16"/>
    </row>
    <row r="2233" spans="1:8" ht="12.5">
      <c r="A2233" s="24"/>
      <c r="B2233" s="17"/>
      <c r="C2233" s="24"/>
      <c r="D2233" s="16"/>
      <c r="E2233" s="16"/>
      <c r="F2233" s="16"/>
      <c r="G2233" s="16"/>
      <c r="H2233" s="16"/>
    </row>
    <row r="2234" spans="1:8" ht="12.5">
      <c r="A2234" s="24"/>
      <c r="B2234" s="17"/>
      <c r="C2234" s="24"/>
      <c r="D2234" s="16"/>
      <c r="E2234" s="16"/>
      <c r="F2234" s="16"/>
      <c r="G2234" s="16"/>
      <c r="H2234" s="16"/>
    </row>
    <row r="2235" spans="1:8" ht="12.5">
      <c r="A2235" s="24"/>
      <c r="B2235" s="17"/>
      <c r="C2235" s="24"/>
      <c r="D2235" s="16"/>
      <c r="E2235" s="16"/>
      <c r="F2235" s="16"/>
      <c r="G2235" s="16"/>
      <c r="H2235" s="16"/>
    </row>
    <row r="2236" spans="1:8" ht="12.5">
      <c r="A2236" s="24"/>
      <c r="B2236" s="17"/>
      <c r="C2236" s="24"/>
      <c r="D2236" s="16"/>
      <c r="E2236" s="16"/>
      <c r="F2236" s="16"/>
      <c r="G2236" s="16"/>
      <c r="H2236" s="16"/>
    </row>
    <row r="2237" spans="1:8" ht="12.5">
      <c r="A2237" s="24"/>
      <c r="B2237" s="17"/>
      <c r="C2237" s="24"/>
      <c r="D2237" s="16"/>
      <c r="E2237" s="16"/>
      <c r="F2237" s="16"/>
      <c r="G2237" s="16"/>
      <c r="H2237" s="16"/>
    </row>
    <row r="2238" spans="1:8" ht="12.5">
      <c r="A2238" s="24"/>
      <c r="B2238" s="17"/>
      <c r="C2238" s="24"/>
      <c r="D2238" s="16"/>
      <c r="E2238" s="16"/>
      <c r="F2238" s="16"/>
      <c r="G2238" s="16"/>
      <c r="H2238" s="16"/>
    </row>
    <row r="2239" spans="1:8" ht="12.5">
      <c r="A2239" s="24"/>
      <c r="B2239" s="17"/>
      <c r="C2239" s="24"/>
      <c r="D2239" s="16"/>
      <c r="E2239" s="16"/>
      <c r="F2239" s="16"/>
      <c r="G2239" s="16"/>
      <c r="H2239" s="16"/>
    </row>
    <row r="2240" spans="1:8" ht="12.5">
      <c r="A2240" s="24"/>
      <c r="B2240" s="17"/>
      <c r="C2240" s="24"/>
      <c r="D2240" s="16"/>
      <c r="E2240" s="16"/>
      <c r="F2240" s="16"/>
      <c r="G2240" s="16"/>
      <c r="H2240" s="16"/>
    </row>
    <row r="2241" spans="1:8" ht="12.5">
      <c r="A2241" s="24"/>
      <c r="B2241" s="17"/>
      <c r="C2241" s="24"/>
      <c r="D2241" s="16"/>
      <c r="E2241" s="16"/>
      <c r="F2241" s="16"/>
      <c r="G2241" s="16"/>
      <c r="H2241" s="16"/>
    </row>
    <row r="2242" spans="1:8" ht="12.5">
      <c r="A2242" s="24"/>
      <c r="B2242" s="17"/>
      <c r="C2242" s="24"/>
      <c r="D2242" s="16"/>
      <c r="E2242" s="16"/>
      <c r="F2242" s="16"/>
      <c r="G2242" s="16"/>
      <c r="H2242" s="16"/>
    </row>
    <row r="2243" spans="1:8" ht="12.5">
      <c r="A2243" s="24"/>
      <c r="B2243" s="17"/>
      <c r="C2243" s="24"/>
      <c r="D2243" s="16"/>
      <c r="E2243" s="16"/>
      <c r="F2243" s="16"/>
      <c r="G2243" s="16"/>
      <c r="H2243" s="16"/>
    </row>
    <row r="2244" spans="1:8" ht="12.5">
      <c r="A2244" s="24"/>
      <c r="B2244" s="17"/>
      <c r="C2244" s="24"/>
      <c r="D2244" s="16"/>
      <c r="E2244" s="16"/>
      <c r="F2244" s="16"/>
      <c r="G2244" s="16"/>
      <c r="H2244" s="16"/>
    </row>
    <row r="2245" spans="1:8" ht="12.5">
      <c r="A2245" s="24"/>
      <c r="B2245" s="17"/>
      <c r="C2245" s="24"/>
      <c r="D2245" s="16"/>
      <c r="E2245" s="16"/>
      <c r="F2245" s="16"/>
      <c r="G2245" s="16"/>
      <c r="H2245" s="16"/>
    </row>
    <row r="2246" spans="1:8" ht="12.5">
      <c r="A2246" s="24"/>
      <c r="B2246" s="17"/>
      <c r="C2246" s="24"/>
      <c r="D2246" s="16"/>
      <c r="E2246" s="16"/>
      <c r="F2246" s="16"/>
      <c r="G2246" s="16"/>
      <c r="H2246" s="16"/>
    </row>
    <row r="2247" spans="1:8" ht="12.5">
      <c r="A2247" s="24"/>
      <c r="B2247" s="17"/>
      <c r="C2247" s="24"/>
      <c r="D2247" s="16"/>
      <c r="E2247" s="16"/>
      <c r="F2247" s="16"/>
      <c r="G2247" s="16"/>
      <c r="H2247" s="16"/>
    </row>
    <row r="2248" spans="1:8" ht="12.5">
      <c r="A2248" s="24"/>
      <c r="B2248" s="17"/>
      <c r="C2248" s="24"/>
      <c r="D2248" s="16"/>
      <c r="E2248" s="16"/>
      <c r="F2248" s="16"/>
      <c r="G2248" s="16"/>
      <c r="H2248" s="16"/>
    </row>
    <row r="2249" spans="1:8" ht="12.5">
      <c r="A2249" s="24"/>
      <c r="B2249" s="17"/>
      <c r="C2249" s="24"/>
      <c r="D2249" s="16"/>
      <c r="E2249" s="16"/>
      <c r="F2249" s="16"/>
      <c r="G2249" s="16"/>
      <c r="H2249" s="16"/>
    </row>
    <row r="2250" spans="1:8" ht="12.5">
      <c r="A2250" s="24"/>
      <c r="B2250" s="17"/>
      <c r="C2250" s="24"/>
      <c r="D2250" s="16"/>
      <c r="E2250" s="16"/>
      <c r="F2250" s="16"/>
      <c r="G2250" s="16"/>
      <c r="H2250" s="16"/>
    </row>
    <row r="2251" spans="1:8" ht="12.5">
      <c r="A2251" s="24"/>
      <c r="B2251" s="17"/>
      <c r="C2251" s="24"/>
      <c r="D2251" s="16"/>
      <c r="E2251" s="16"/>
      <c r="F2251" s="16"/>
      <c r="G2251" s="16"/>
      <c r="H2251" s="16"/>
    </row>
    <row r="2252" spans="1:8" ht="12.5">
      <c r="A2252" s="24"/>
      <c r="B2252" s="17"/>
      <c r="C2252" s="24"/>
      <c r="D2252" s="16"/>
      <c r="E2252" s="16"/>
      <c r="F2252" s="16"/>
      <c r="G2252" s="16"/>
      <c r="H2252" s="16"/>
    </row>
    <row r="2253" spans="1:8" ht="12.5">
      <c r="A2253" s="24"/>
      <c r="B2253" s="17"/>
      <c r="C2253" s="24"/>
      <c r="D2253" s="16"/>
      <c r="E2253" s="16"/>
      <c r="F2253" s="16"/>
      <c r="G2253" s="16"/>
      <c r="H2253" s="16"/>
    </row>
    <row r="2254" spans="1:8" ht="12.5">
      <c r="A2254" s="24"/>
      <c r="B2254" s="17"/>
      <c r="C2254" s="24"/>
      <c r="D2254" s="16"/>
      <c r="E2254" s="16"/>
      <c r="F2254" s="16"/>
      <c r="G2254" s="16"/>
      <c r="H2254" s="16"/>
    </row>
    <row r="2255" spans="1:8" ht="12.5">
      <c r="A2255" s="24"/>
      <c r="B2255" s="17"/>
      <c r="C2255" s="24"/>
      <c r="D2255" s="16"/>
      <c r="E2255" s="16"/>
      <c r="F2255" s="16"/>
      <c r="G2255" s="16"/>
      <c r="H2255" s="16"/>
    </row>
    <row r="2256" spans="1:8" ht="12.5">
      <c r="A2256" s="24"/>
      <c r="B2256" s="17"/>
      <c r="C2256" s="24"/>
      <c r="D2256" s="16"/>
      <c r="E2256" s="16"/>
      <c r="F2256" s="16"/>
      <c r="G2256" s="16"/>
      <c r="H2256" s="16"/>
    </row>
    <row r="2257" spans="1:8" ht="12.5">
      <c r="A2257" s="24"/>
      <c r="B2257" s="17"/>
      <c r="C2257" s="24"/>
      <c r="D2257" s="16"/>
      <c r="E2257" s="16"/>
      <c r="F2257" s="16"/>
      <c r="G2257" s="16"/>
      <c r="H2257" s="16"/>
    </row>
    <row r="2258" spans="1:8" ht="12.5">
      <c r="A2258" s="24"/>
      <c r="B2258" s="17"/>
      <c r="C2258" s="24"/>
      <c r="D2258" s="16"/>
      <c r="E2258" s="16"/>
      <c r="F2258" s="16"/>
      <c r="G2258" s="16"/>
      <c r="H2258" s="16"/>
    </row>
    <row r="2259" spans="1:8" ht="12.5">
      <c r="A2259" s="24"/>
      <c r="B2259" s="17"/>
      <c r="C2259" s="24"/>
      <c r="D2259" s="16"/>
      <c r="E2259" s="16"/>
      <c r="F2259" s="16"/>
      <c r="G2259" s="16"/>
      <c r="H2259" s="16"/>
    </row>
    <row r="2260" spans="1:8" ht="12.5">
      <c r="A2260" s="24"/>
      <c r="B2260" s="17"/>
      <c r="C2260" s="24"/>
      <c r="D2260" s="16"/>
      <c r="E2260" s="16"/>
      <c r="F2260" s="16"/>
      <c r="G2260" s="16"/>
      <c r="H2260" s="16"/>
    </row>
    <row r="2261" spans="1:8" ht="12.5">
      <c r="A2261" s="24"/>
      <c r="B2261" s="17"/>
      <c r="C2261" s="24"/>
      <c r="D2261" s="16"/>
      <c r="E2261" s="16"/>
      <c r="F2261" s="16"/>
      <c r="G2261" s="16"/>
      <c r="H2261" s="16"/>
    </row>
    <row r="2262" spans="1:8" ht="12.5">
      <c r="A2262" s="24"/>
      <c r="B2262" s="17"/>
      <c r="C2262" s="24"/>
      <c r="D2262" s="16"/>
      <c r="E2262" s="16"/>
      <c r="F2262" s="16"/>
      <c r="G2262" s="16"/>
      <c r="H2262" s="16"/>
    </row>
    <row r="2263" spans="1:8" ht="12.5">
      <c r="A2263" s="24"/>
      <c r="B2263" s="17"/>
      <c r="C2263" s="24"/>
      <c r="D2263" s="16"/>
      <c r="E2263" s="16"/>
      <c r="F2263" s="16"/>
      <c r="G2263" s="16"/>
      <c r="H2263" s="16"/>
    </row>
    <row r="2264" spans="1:8" ht="12.5">
      <c r="A2264" s="24"/>
      <c r="B2264" s="17"/>
      <c r="C2264" s="24"/>
      <c r="D2264" s="16"/>
      <c r="E2264" s="16"/>
      <c r="F2264" s="16"/>
      <c r="G2264" s="16"/>
      <c r="H2264" s="16"/>
    </row>
    <row r="2265" spans="1:8" ht="12.5">
      <c r="A2265" s="24"/>
      <c r="B2265" s="17"/>
      <c r="C2265" s="24"/>
      <c r="D2265" s="16"/>
      <c r="E2265" s="16"/>
      <c r="F2265" s="16"/>
      <c r="G2265" s="16"/>
      <c r="H2265" s="16"/>
    </row>
    <row r="2266" spans="1:8" ht="12.5">
      <c r="A2266" s="24"/>
      <c r="B2266" s="17"/>
      <c r="C2266" s="24"/>
      <c r="D2266" s="16"/>
      <c r="E2266" s="16"/>
      <c r="F2266" s="16"/>
      <c r="G2266" s="16"/>
      <c r="H2266" s="16"/>
    </row>
    <row r="2267" spans="1:8" ht="12.5">
      <c r="A2267" s="24"/>
      <c r="B2267" s="17"/>
      <c r="C2267" s="24"/>
      <c r="D2267" s="16"/>
      <c r="E2267" s="16"/>
      <c r="F2267" s="16"/>
      <c r="G2267" s="16"/>
      <c r="H2267" s="16"/>
    </row>
    <row r="2268" spans="1:8" ht="12.5">
      <c r="A2268" s="24"/>
      <c r="B2268" s="17"/>
      <c r="C2268" s="24"/>
      <c r="D2268" s="16"/>
      <c r="E2268" s="16"/>
      <c r="F2268" s="16"/>
      <c r="G2268" s="16"/>
      <c r="H2268" s="16"/>
    </row>
    <row r="2269" spans="1:8" ht="12.5">
      <c r="A2269" s="24"/>
      <c r="B2269" s="17"/>
      <c r="C2269" s="24"/>
      <c r="D2269" s="16"/>
      <c r="E2269" s="16"/>
      <c r="F2269" s="16"/>
      <c r="G2269" s="16"/>
      <c r="H2269" s="16"/>
    </row>
    <row r="2270" spans="1:8" ht="12.5">
      <c r="A2270" s="24"/>
      <c r="B2270" s="17"/>
      <c r="C2270" s="24"/>
      <c r="D2270" s="16"/>
      <c r="E2270" s="16"/>
      <c r="F2270" s="16"/>
      <c r="G2270" s="16"/>
      <c r="H2270" s="16"/>
    </row>
    <row r="2271" spans="1:8" ht="12.5">
      <c r="A2271" s="24"/>
      <c r="B2271" s="17"/>
      <c r="C2271" s="24"/>
      <c r="D2271" s="16"/>
      <c r="E2271" s="16"/>
      <c r="F2271" s="16"/>
      <c r="G2271" s="16"/>
      <c r="H2271" s="16"/>
    </row>
    <row r="2272" spans="1:8" ht="12.5">
      <c r="A2272" s="24"/>
      <c r="B2272" s="17"/>
      <c r="C2272" s="24"/>
      <c r="D2272" s="16"/>
      <c r="E2272" s="16"/>
      <c r="F2272" s="16"/>
      <c r="G2272" s="16"/>
      <c r="H2272" s="16"/>
    </row>
    <row r="2273" spans="1:8" ht="12.5">
      <c r="A2273" s="24"/>
      <c r="B2273" s="17"/>
      <c r="C2273" s="24"/>
      <c r="D2273" s="16"/>
      <c r="E2273" s="16"/>
      <c r="F2273" s="16"/>
      <c r="G2273" s="16"/>
      <c r="H2273" s="16"/>
    </row>
    <row r="2274" spans="1:8" ht="12.5">
      <c r="A2274" s="24"/>
      <c r="B2274" s="17"/>
      <c r="C2274" s="24"/>
      <c r="D2274" s="16"/>
      <c r="E2274" s="16"/>
      <c r="F2274" s="16"/>
      <c r="G2274" s="16"/>
      <c r="H2274" s="16"/>
    </row>
    <row r="2275" spans="1:8" ht="12.5">
      <c r="A2275" s="24"/>
      <c r="B2275" s="17"/>
      <c r="C2275" s="24"/>
      <c r="D2275" s="16"/>
      <c r="E2275" s="16"/>
      <c r="F2275" s="16"/>
      <c r="G2275" s="16"/>
      <c r="H2275" s="16"/>
    </row>
    <row r="2276" spans="1:8" ht="12.5">
      <c r="A2276" s="24"/>
      <c r="B2276" s="17"/>
      <c r="C2276" s="24"/>
      <c r="D2276" s="16"/>
      <c r="E2276" s="16"/>
      <c r="F2276" s="16"/>
      <c r="G2276" s="16"/>
      <c r="H2276" s="16"/>
    </row>
    <row r="2277" spans="1:8" ht="12.5">
      <c r="A2277" s="24"/>
      <c r="B2277" s="17"/>
      <c r="C2277" s="24"/>
      <c r="D2277" s="16"/>
      <c r="E2277" s="16"/>
      <c r="F2277" s="16"/>
      <c r="G2277" s="16"/>
      <c r="H2277" s="16"/>
    </row>
    <row r="2278" spans="1:8" ht="12.5">
      <c r="A2278" s="24"/>
      <c r="B2278" s="17"/>
      <c r="C2278" s="24"/>
      <c r="D2278" s="16"/>
      <c r="E2278" s="16"/>
      <c r="F2278" s="16"/>
      <c r="G2278" s="16"/>
      <c r="H2278" s="16"/>
    </row>
    <row r="2279" spans="1:8" ht="12.5">
      <c r="A2279" s="24"/>
      <c r="B2279" s="17"/>
      <c r="C2279" s="24"/>
      <c r="D2279" s="16"/>
      <c r="E2279" s="16"/>
      <c r="F2279" s="16"/>
      <c r="G2279" s="16"/>
      <c r="H2279" s="16"/>
    </row>
    <row r="2280" spans="1:8" ht="12.5">
      <c r="A2280" s="24"/>
      <c r="B2280" s="17"/>
      <c r="C2280" s="24"/>
      <c r="D2280" s="16"/>
      <c r="E2280" s="16"/>
      <c r="F2280" s="16"/>
      <c r="G2280" s="16"/>
      <c r="H2280" s="16"/>
    </row>
    <row r="2281" spans="1:8" ht="12.5">
      <c r="A2281" s="24"/>
      <c r="B2281" s="17"/>
      <c r="C2281" s="24"/>
      <c r="D2281" s="16"/>
      <c r="E2281" s="16"/>
      <c r="F2281" s="16"/>
      <c r="G2281" s="16"/>
      <c r="H2281" s="16"/>
    </row>
    <row r="2282" spans="1:8" ht="12.5">
      <c r="A2282" s="24"/>
      <c r="B2282" s="17"/>
      <c r="C2282" s="24"/>
      <c r="D2282" s="16"/>
      <c r="E2282" s="16"/>
      <c r="F2282" s="16"/>
      <c r="G2282" s="16"/>
      <c r="H2282" s="16"/>
    </row>
    <row r="2283" spans="1:8" ht="12.5">
      <c r="A2283" s="24"/>
      <c r="B2283" s="17"/>
      <c r="C2283" s="24"/>
      <c r="D2283" s="16"/>
      <c r="E2283" s="16"/>
      <c r="F2283" s="16"/>
      <c r="G2283" s="16"/>
      <c r="H2283" s="16"/>
    </row>
    <row r="2284" spans="1:8" ht="12.5">
      <c r="A2284" s="24"/>
      <c r="B2284" s="17"/>
      <c r="C2284" s="24"/>
      <c r="D2284" s="16"/>
      <c r="E2284" s="16"/>
      <c r="F2284" s="16"/>
      <c r="G2284" s="16"/>
      <c r="H2284" s="16"/>
    </row>
    <row r="2285" spans="1:8" ht="12.5">
      <c r="A2285" s="24"/>
      <c r="B2285" s="17"/>
      <c r="C2285" s="24"/>
      <c r="D2285" s="16"/>
      <c r="E2285" s="16"/>
      <c r="F2285" s="16"/>
      <c r="G2285" s="16"/>
      <c r="H2285" s="16"/>
    </row>
    <row r="2286" spans="1:8" ht="12.5">
      <c r="A2286" s="24"/>
      <c r="B2286" s="17"/>
      <c r="C2286" s="24"/>
      <c r="D2286" s="16"/>
      <c r="E2286" s="16"/>
      <c r="F2286" s="16"/>
      <c r="G2286" s="16"/>
      <c r="H2286" s="16"/>
    </row>
    <row r="2287" spans="1:8" ht="12.5">
      <c r="A2287" s="24"/>
      <c r="B2287" s="17"/>
      <c r="C2287" s="24"/>
      <c r="D2287" s="16"/>
      <c r="E2287" s="16"/>
      <c r="F2287" s="16"/>
      <c r="G2287" s="16"/>
      <c r="H2287" s="16"/>
    </row>
    <row r="2288" spans="1:8" ht="12.5">
      <c r="A2288" s="24"/>
      <c r="B2288" s="17"/>
      <c r="C2288" s="24"/>
      <c r="D2288" s="16"/>
      <c r="E2288" s="16"/>
      <c r="F2288" s="16"/>
      <c r="G2288" s="16"/>
      <c r="H2288" s="16"/>
    </row>
    <row r="2289" spans="1:8" ht="12.5">
      <c r="A2289" s="24"/>
      <c r="B2289" s="17"/>
      <c r="C2289" s="24"/>
      <c r="D2289" s="16"/>
      <c r="E2289" s="16"/>
      <c r="F2289" s="16"/>
      <c r="G2289" s="16"/>
      <c r="H2289" s="16"/>
    </row>
    <row r="2290" spans="1:8" ht="12.5">
      <c r="A2290" s="24"/>
      <c r="B2290" s="17"/>
      <c r="C2290" s="24"/>
      <c r="D2290" s="16"/>
      <c r="E2290" s="16"/>
      <c r="F2290" s="16"/>
      <c r="G2290" s="16"/>
      <c r="H2290" s="16"/>
    </row>
    <row r="2291" spans="1:8" ht="12.5">
      <c r="A2291" s="24"/>
      <c r="B2291" s="17"/>
      <c r="C2291" s="24"/>
      <c r="D2291" s="16"/>
      <c r="E2291" s="16"/>
      <c r="F2291" s="16"/>
      <c r="G2291" s="16"/>
      <c r="H2291" s="16"/>
    </row>
    <row r="2292" spans="1:8" ht="12.5">
      <c r="A2292" s="24"/>
      <c r="B2292" s="17"/>
      <c r="C2292" s="24"/>
      <c r="D2292" s="16"/>
      <c r="E2292" s="16"/>
      <c r="F2292" s="16"/>
      <c r="G2292" s="16"/>
      <c r="H2292" s="16"/>
    </row>
    <row r="2293" spans="1:8" ht="12.5">
      <c r="A2293" s="24"/>
      <c r="B2293" s="17"/>
      <c r="C2293" s="24"/>
      <c r="D2293" s="16"/>
      <c r="E2293" s="16"/>
      <c r="F2293" s="16"/>
      <c r="G2293" s="16"/>
      <c r="H2293" s="16"/>
    </row>
    <row r="2294" spans="1:8" ht="12.5">
      <c r="A2294" s="24"/>
      <c r="B2294" s="17"/>
      <c r="C2294" s="24"/>
      <c r="D2294" s="16"/>
      <c r="E2294" s="16"/>
      <c r="F2294" s="16"/>
      <c r="G2294" s="16"/>
      <c r="H2294" s="16"/>
    </row>
    <row r="2295" spans="1:8" ht="12.5">
      <c r="A2295" s="24"/>
      <c r="B2295" s="17"/>
      <c r="C2295" s="24"/>
      <c r="D2295" s="16"/>
      <c r="E2295" s="16"/>
      <c r="F2295" s="16"/>
      <c r="G2295" s="16"/>
      <c r="H2295" s="16"/>
    </row>
    <row r="2296" spans="1:8" ht="12.5">
      <c r="A2296" s="24"/>
      <c r="B2296" s="17"/>
      <c r="C2296" s="24"/>
      <c r="D2296" s="16"/>
      <c r="E2296" s="16"/>
      <c r="F2296" s="16"/>
      <c r="G2296" s="16"/>
      <c r="H2296" s="16"/>
    </row>
    <row r="2297" spans="1:8" ht="12.5">
      <c r="A2297" s="24"/>
      <c r="B2297" s="17"/>
      <c r="C2297" s="24"/>
      <c r="D2297" s="16"/>
      <c r="E2297" s="16"/>
      <c r="F2297" s="16"/>
      <c r="G2297" s="16"/>
      <c r="H2297" s="16"/>
    </row>
    <row r="2298" spans="1:8" ht="12.5">
      <c r="A2298" s="24"/>
      <c r="B2298" s="17"/>
      <c r="C2298" s="24"/>
      <c r="D2298" s="16"/>
      <c r="E2298" s="16"/>
      <c r="F2298" s="16"/>
      <c r="G2298" s="16"/>
      <c r="H2298" s="16"/>
    </row>
    <row r="2299" spans="1:8" ht="12.5">
      <c r="A2299" s="24"/>
      <c r="B2299" s="17"/>
      <c r="C2299" s="24"/>
      <c r="D2299" s="16"/>
      <c r="E2299" s="16"/>
      <c r="F2299" s="16"/>
      <c r="G2299" s="16"/>
      <c r="H2299" s="16"/>
    </row>
    <row r="2300" spans="1:8" ht="12.5">
      <c r="A2300" s="24"/>
      <c r="B2300" s="17"/>
      <c r="C2300" s="24"/>
      <c r="D2300" s="16"/>
      <c r="E2300" s="16"/>
      <c r="F2300" s="16"/>
      <c r="G2300" s="16"/>
      <c r="H2300" s="16"/>
    </row>
    <row r="2301" spans="1:8" ht="12.5">
      <c r="A2301" s="24"/>
      <c r="B2301" s="17"/>
      <c r="C2301" s="24"/>
      <c r="D2301" s="16"/>
      <c r="E2301" s="16"/>
      <c r="F2301" s="16"/>
      <c r="G2301" s="16"/>
      <c r="H2301" s="16"/>
    </row>
    <row r="2302" spans="1:8" ht="12.5">
      <c r="A2302" s="24"/>
      <c r="B2302" s="17"/>
      <c r="C2302" s="24"/>
      <c r="D2302" s="16"/>
      <c r="E2302" s="16"/>
      <c r="F2302" s="16"/>
      <c r="G2302" s="16"/>
      <c r="H2302" s="16"/>
    </row>
    <row r="2303" spans="1:8" ht="12.5">
      <c r="A2303" s="24"/>
      <c r="B2303" s="17"/>
      <c r="C2303" s="24"/>
      <c r="D2303" s="16"/>
      <c r="E2303" s="16"/>
      <c r="F2303" s="16"/>
      <c r="G2303" s="16"/>
      <c r="H2303" s="16"/>
    </row>
    <row r="2304" spans="1:8" ht="12.5">
      <c r="A2304" s="24"/>
      <c r="B2304" s="17"/>
      <c r="C2304" s="24"/>
      <c r="D2304" s="16"/>
      <c r="E2304" s="16"/>
      <c r="F2304" s="16"/>
      <c r="G2304" s="16"/>
      <c r="H2304" s="16"/>
    </row>
    <row r="2305" spans="1:8" ht="12.5">
      <c r="A2305" s="24"/>
      <c r="B2305" s="17"/>
      <c r="C2305" s="24"/>
      <c r="D2305" s="16"/>
      <c r="E2305" s="16"/>
      <c r="F2305" s="16"/>
      <c r="G2305" s="16"/>
      <c r="H2305" s="16"/>
    </row>
    <row r="2306" spans="1:8" ht="12.5">
      <c r="A2306" s="24"/>
      <c r="B2306" s="17"/>
      <c r="C2306" s="24"/>
      <c r="D2306" s="16"/>
      <c r="E2306" s="16"/>
      <c r="F2306" s="16"/>
      <c r="G2306" s="16"/>
      <c r="H2306" s="16"/>
    </row>
    <row r="2307" spans="1:8" ht="12.5">
      <c r="A2307" s="24"/>
      <c r="B2307" s="17"/>
      <c r="C2307" s="24"/>
      <c r="D2307" s="16"/>
      <c r="E2307" s="16"/>
      <c r="F2307" s="16"/>
      <c r="G2307" s="16"/>
      <c r="H2307" s="16"/>
    </row>
    <row r="2308" spans="1:8" ht="12.5">
      <c r="A2308" s="24"/>
      <c r="B2308" s="17"/>
      <c r="C2308" s="24"/>
      <c r="D2308" s="16"/>
      <c r="E2308" s="16"/>
      <c r="F2308" s="16"/>
      <c r="G2308" s="16"/>
      <c r="H2308" s="16"/>
    </row>
    <row r="2309" spans="1:8" ht="12.5">
      <c r="A2309" s="24"/>
      <c r="B2309" s="17"/>
      <c r="C2309" s="24"/>
      <c r="D2309" s="16"/>
      <c r="E2309" s="16"/>
      <c r="F2309" s="16"/>
      <c r="G2309" s="16"/>
      <c r="H2309" s="16"/>
    </row>
    <row r="2310" spans="1:8" ht="12.5">
      <c r="A2310" s="24"/>
      <c r="B2310" s="17"/>
      <c r="C2310" s="24"/>
      <c r="D2310" s="16"/>
      <c r="E2310" s="16"/>
      <c r="F2310" s="16"/>
      <c r="G2310" s="16"/>
      <c r="H2310" s="16"/>
    </row>
    <row r="2311" spans="1:8" ht="12.5">
      <c r="A2311" s="24"/>
      <c r="B2311" s="17"/>
      <c r="C2311" s="24"/>
      <c r="D2311" s="16"/>
      <c r="E2311" s="16"/>
      <c r="F2311" s="16"/>
      <c r="G2311" s="16"/>
      <c r="H2311" s="16"/>
    </row>
    <row r="2312" spans="1:8" ht="12.5">
      <c r="A2312" s="24"/>
      <c r="B2312" s="17"/>
      <c r="C2312" s="24"/>
      <c r="D2312" s="16"/>
      <c r="E2312" s="16"/>
      <c r="F2312" s="16"/>
      <c r="G2312" s="16"/>
      <c r="H2312" s="16"/>
    </row>
    <row r="2313" spans="1:8" ht="12.5">
      <c r="A2313" s="24"/>
      <c r="B2313" s="17"/>
      <c r="C2313" s="24"/>
      <c r="D2313" s="16"/>
      <c r="E2313" s="16"/>
      <c r="F2313" s="16"/>
      <c r="G2313" s="16"/>
      <c r="H2313" s="16"/>
    </row>
    <row r="2314" spans="1:8" ht="12.5">
      <c r="A2314" s="24"/>
      <c r="B2314" s="17"/>
      <c r="C2314" s="24"/>
      <c r="D2314" s="16"/>
      <c r="E2314" s="16"/>
      <c r="F2314" s="16"/>
      <c r="G2314" s="16"/>
      <c r="H2314" s="16"/>
    </row>
    <row r="2315" spans="1:8" ht="12.5">
      <c r="A2315" s="24"/>
      <c r="B2315" s="17"/>
      <c r="C2315" s="24"/>
      <c r="D2315" s="16"/>
      <c r="E2315" s="16"/>
      <c r="F2315" s="16"/>
      <c r="G2315" s="16"/>
      <c r="H2315" s="16"/>
    </row>
    <row r="2316" spans="1:8" ht="12.5">
      <c r="A2316" s="24"/>
      <c r="B2316" s="17"/>
      <c r="C2316" s="24"/>
      <c r="D2316" s="16"/>
      <c r="E2316" s="16"/>
      <c r="F2316" s="16"/>
      <c r="G2316" s="16"/>
      <c r="H2316" s="16"/>
    </row>
    <row r="2317" spans="1:8" ht="12.5">
      <c r="A2317" s="24"/>
      <c r="B2317" s="17"/>
      <c r="C2317" s="24"/>
      <c r="D2317" s="16"/>
      <c r="E2317" s="16"/>
      <c r="F2317" s="16"/>
      <c r="G2317" s="16"/>
      <c r="H2317" s="16"/>
    </row>
    <row r="2318" spans="1:8" ht="12.5">
      <c r="A2318" s="24"/>
      <c r="B2318" s="17"/>
      <c r="C2318" s="24"/>
      <c r="D2318" s="16"/>
      <c r="E2318" s="16"/>
      <c r="F2318" s="16"/>
      <c r="G2318" s="16"/>
      <c r="H2318" s="16"/>
    </row>
    <row r="2319" spans="1:8" ht="12.5">
      <c r="A2319" s="24"/>
      <c r="B2319" s="17"/>
      <c r="C2319" s="24"/>
      <c r="D2319" s="16"/>
      <c r="E2319" s="16"/>
      <c r="F2319" s="16"/>
      <c r="G2319" s="16"/>
      <c r="H2319" s="16"/>
    </row>
    <row r="2320" spans="1:8" ht="12.5">
      <c r="A2320" s="24"/>
      <c r="B2320" s="17"/>
      <c r="C2320" s="24"/>
      <c r="D2320" s="16"/>
      <c r="E2320" s="16"/>
      <c r="F2320" s="16"/>
      <c r="G2320" s="16"/>
      <c r="H2320" s="16"/>
    </row>
    <row r="2321" spans="1:8" ht="12.5">
      <c r="A2321" s="24"/>
      <c r="B2321" s="17"/>
      <c r="C2321" s="24"/>
      <c r="D2321" s="16"/>
      <c r="E2321" s="16"/>
      <c r="F2321" s="16"/>
      <c r="G2321" s="16"/>
      <c r="H2321" s="16"/>
    </row>
    <row r="2322" spans="1:8" ht="12.5">
      <c r="A2322" s="24"/>
      <c r="B2322" s="17"/>
      <c r="C2322" s="24"/>
      <c r="D2322" s="16"/>
      <c r="E2322" s="16"/>
      <c r="F2322" s="16"/>
      <c r="G2322" s="16"/>
      <c r="H2322" s="16"/>
    </row>
    <row r="2323" spans="1:8" ht="12.5">
      <c r="A2323" s="24"/>
      <c r="B2323" s="17"/>
      <c r="C2323" s="24"/>
      <c r="D2323" s="16"/>
      <c r="E2323" s="16"/>
      <c r="F2323" s="16"/>
      <c r="G2323" s="16"/>
      <c r="H2323" s="16"/>
    </row>
    <row r="2324" spans="1:8" ht="12.5">
      <c r="A2324" s="24"/>
      <c r="B2324" s="17"/>
      <c r="C2324" s="24"/>
      <c r="D2324" s="16"/>
      <c r="E2324" s="16"/>
      <c r="F2324" s="16"/>
      <c r="G2324" s="16"/>
      <c r="H2324" s="16"/>
    </row>
    <row r="2325" spans="1:8" ht="12.5">
      <c r="A2325" s="24"/>
      <c r="B2325" s="17"/>
      <c r="C2325" s="24"/>
      <c r="D2325" s="16"/>
      <c r="E2325" s="16"/>
      <c r="F2325" s="16"/>
      <c r="G2325" s="16"/>
      <c r="H2325" s="16"/>
    </row>
    <row r="2326" spans="1:8" ht="12.5">
      <c r="A2326" s="24"/>
      <c r="B2326" s="17"/>
      <c r="C2326" s="24"/>
      <c r="D2326" s="16"/>
      <c r="E2326" s="16"/>
      <c r="F2326" s="16"/>
      <c r="G2326" s="16"/>
      <c r="H2326" s="16"/>
    </row>
    <row r="2327" spans="1:8" ht="12.5">
      <c r="A2327" s="24"/>
      <c r="B2327" s="17"/>
      <c r="C2327" s="24"/>
      <c r="D2327" s="16"/>
      <c r="E2327" s="16"/>
      <c r="F2327" s="16"/>
      <c r="G2327" s="16"/>
      <c r="H2327" s="16"/>
    </row>
    <row r="2328" spans="1:8" ht="12.5">
      <c r="A2328" s="24"/>
      <c r="B2328" s="17"/>
      <c r="C2328" s="24"/>
      <c r="D2328" s="16"/>
      <c r="E2328" s="16"/>
      <c r="F2328" s="16"/>
      <c r="G2328" s="16"/>
      <c r="H2328" s="16"/>
    </row>
    <row r="2329" spans="1:8" ht="12.5">
      <c r="A2329" s="24"/>
      <c r="B2329" s="17"/>
      <c r="C2329" s="24"/>
      <c r="D2329" s="16"/>
      <c r="E2329" s="16"/>
      <c r="F2329" s="16"/>
      <c r="G2329" s="16"/>
      <c r="H2329" s="16"/>
    </row>
    <row r="2330" spans="1:8" ht="12.5">
      <c r="A2330" s="24"/>
      <c r="B2330" s="17"/>
      <c r="C2330" s="24"/>
      <c r="D2330" s="16"/>
      <c r="E2330" s="16"/>
      <c r="F2330" s="16"/>
      <c r="G2330" s="16"/>
      <c r="H2330" s="16"/>
    </row>
    <row r="2331" spans="1:8" ht="12.5">
      <c r="A2331" s="24"/>
      <c r="B2331" s="17"/>
      <c r="C2331" s="24"/>
      <c r="D2331" s="16"/>
      <c r="E2331" s="16"/>
      <c r="F2331" s="16"/>
      <c r="G2331" s="16"/>
      <c r="H2331" s="16"/>
    </row>
    <row r="2332" spans="1:8" ht="12.5">
      <c r="A2332" s="24"/>
      <c r="B2332" s="17"/>
      <c r="C2332" s="24"/>
      <c r="D2332" s="16"/>
      <c r="E2332" s="16"/>
      <c r="F2332" s="16"/>
      <c r="G2332" s="16"/>
      <c r="H2332" s="16"/>
    </row>
    <row r="2333" spans="1:8" ht="12.5">
      <c r="A2333" s="24"/>
      <c r="B2333" s="17"/>
      <c r="C2333" s="24"/>
      <c r="D2333" s="16"/>
      <c r="E2333" s="16"/>
      <c r="F2333" s="16"/>
      <c r="G2333" s="16"/>
      <c r="H2333" s="16"/>
    </row>
    <row r="2334" spans="1:8" ht="12.5">
      <c r="A2334" s="24"/>
      <c r="B2334" s="17"/>
      <c r="C2334" s="24"/>
      <c r="D2334" s="16"/>
      <c r="E2334" s="16"/>
      <c r="F2334" s="16"/>
      <c r="G2334" s="16"/>
      <c r="H2334" s="16"/>
    </row>
    <row r="2335" spans="1:8" ht="12.5">
      <c r="A2335" s="24"/>
      <c r="B2335" s="17"/>
      <c r="C2335" s="24"/>
      <c r="D2335" s="16"/>
      <c r="E2335" s="16"/>
      <c r="F2335" s="16"/>
      <c r="G2335" s="16"/>
      <c r="H2335" s="16"/>
    </row>
    <row r="2336" spans="1:8" ht="12.5">
      <c r="A2336" s="24"/>
      <c r="B2336" s="17"/>
      <c r="C2336" s="24"/>
      <c r="D2336" s="16"/>
      <c r="E2336" s="16"/>
      <c r="F2336" s="16"/>
      <c r="G2336" s="16"/>
      <c r="H2336" s="16"/>
    </row>
    <row r="2337" spans="1:8" ht="12.5">
      <c r="A2337" s="24"/>
      <c r="B2337" s="17"/>
      <c r="C2337" s="24"/>
      <c r="D2337" s="16"/>
      <c r="E2337" s="16"/>
      <c r="F2337" s="16"/>
      <c r="G2337" s="16"/>
      <c r="H2337" s="16"/>
    </row>
    <row r="2338" spans="1:8" ht="12.5">
      <c r="A2338" s="24"/>
      <c r="B2338" s="17"/>
      <c r="C2338" s="24"/>
      <c r="D2338" s="16"/>
      <c r="E2338" s="16"/>
      <c r="F2338" s="16"/>
      <c r="G2338" s="16"/>
      <c r="H2338" s="16"/>
    </row>
    <row r="2339" spans="1:8" ht="12.5">
      <c r="A2339" s="24"/>
      <c r="B2339" s="17"/>
      <c r="C2339" s="24"/>
      <c r="D2339" s="16"/>
      <c r="E2339" s="16"/>
      <c r="F2339" s="16"/>
      <c r="G2339" s="16"/>
      <c r="H2339" s="16"/>
    </row>
    <row r="2340" spans="1:8" ht="12.5">
      <c r="A2340" s="24"/>
      <c r="B2340" s="17"/>
      <c r="C2340" s="24"/>
      <c r="D2340" s="16"/>
      <c r="E2340" s="16"/>
      <c r="F2340" s="16"/>
      <c r="G2340" s="16"/>
      <c r="H2340" s="16"/>
    </row>
    <row r="2341" spans="1:8" ht="12.5">
      <c r="A2341" s="24"/>
      <c r="B2341" s="17"/>
      <c r="C2341" s="24"/>
      <c r="D2341" s="16"/>
      <c r="E2341" s="16"/>
      <c r="F2341" s="16"/>
      <c r="G2341" s="16"/>
      <c r="H2341" s="16"/>
    </row>
    <row r="2342" spans="1:8" ht="12.5">
      <c r="A2342" s="24"/>
      <c r="B2342" s="17"/>
      <c r="C2342" s="24"/>
      <c r="D2342" s="16"/>
      <c r="E2342" s="16"/>
      <c r="F2342" s="16"/>
      <c r="G2342" s="16"/>
      <c r="H2342" s="16"/>
    </row>
    <row r="2343" spans="1:8" ht="12.5">
      <c r="A2343" s="24"/>
      <c r="B2343" s="17"/>
      <c r="C2343" s="24"/>
      <c r="D2343" s="16"/>
      <c r="E2343" s="16"/>
      <c r="F2343" s="16"/>
      <c r="G2343" s="16"/>
      <c r="H2343" s="16"/>
    </row>
    <row r="2344" spans="1:8" ht="12.5">
      <c r="A2344" s="24"/>
      <c r="B2344" s="17"/>
      <c r="C2344" s="24"/>
      <c r="D2344" s="16"/>
      <c r="E2344" s="16"/>
      <c r="F2344" s="16"/>
      <c r="G2344" s="16"/>
      <c r="H2344" s="16"/>
    </row>
    <row r="2345" spans="1:8" ht="12.5">
      <c r="A2345" s="24"/>
      <c r="B2345" s="17"/>
      <c r="C2345" s="24"/>
      <c r="D2345" s="16"/>
      <c r="E2345" s="16"/>
      <c r="F2345" s="16"/>
      <c r="G2345" s="16"/>
      <c r="H2345" s="16"/>
    </row>
    <row r="2346" spans="1:8" ht="12.5">
      <c r="A2346" s="24"/>
      <c r="B2346" s="17"/>
      <c r="C2346" s="24"/>
      <c r="D2346" s="16"/>
      <c r="E2346" s="16"/>
      <c r="F2346" s="16"/>
      <c r="G2346" s="16"/>
      <c r="H2346" s="16"/>
    </row>
    <row r="2347" spans="1:8" ht="12.5">
      <c r="A2347" s="24"/>
      <c r="B2347" s="17"/>
      <c r="C2347" s="24"/>
      <c r="D2347" s="16"/>
      <c r="E2347" s="16"/>
      <c r="F2347" s="16"/>
      <c r="G2347" s="16"/>
      <c r="H2347" s="16"/>
    </row>
    <row r="2348" spans="1:8" ht="12.5">
      <c r="A2348" s="24"/>
      <c r="B2348" s="17"/>
      <c r="C2348" s="24"/>
      <c r="D2348" s="16"/>
      <c r="E2348" s="16"/>
      <c r="F2348" s="16"/>
      <c r="G2348" s="16"/>
      <c r="H2348" s="16"/>
    </row>
    <row r="2349" spans="1:8" ht="12.5">
      <c r="A2349" s="24"/>
      <c r="B2349" s="17"/>
      <c r="C2349" s="24"/>
      <c r="D2349" s="16"/>
      <c r="E2349" s="16"/>
      <c r="F2349" s="16"/>
      <c r="G2349" s="16"/>
      <c r="H2349" s="16"/>
    </row>
    <row r="2350" spans="1:8" ht="12.5">
      <c r="A2350" s="24"/>
      <c r="B2350" s="17"/>
      <c r="C2350" s="24"/>
      <c r="D2350" s="16"/>
      <c r="E2350" s="16"/>
      <c r="F2350" s="16"/>
      <c r="G2350" s="16"/>
      <c r="H2350" s="16"/>
    </row>
    <row r="2351" spans="1:8" ht="12.5">
      <c r="A2351" s="24"/>
      <c r="B2351" s="17"/>
      <c r="C2351" s="24"/>
      <c r="D2351" s="16"/>
      <c r="E2351" s="16"/>
      <c r="F2351" s="16"/>
      <c r="G2351" s="16"/>
      <c r="H2351" s="16"/>
    </row>
    <row r="2352" spans="1:8" ht="12.5">
      <c r="A2352" s="24"/>
      <c r="B2352" s="17"/>
      <c r="C2352" s="24"/>
      <c r="D2352" s="16"/>
      <c r="E2352" s="16"/>
      <c r="F2352" s="16"/>
      <c r="G2352" s="16"/>
      <c r="H2352" s="16"/>
    </row>
    <row r="2353" spans="1:8" ht="12.5">
      <c r="A2353" s="24"/>
      <c r="B2353" s="17"/>
      <c r="C2353" s="24"/>
      <c r="D2353" s="16"/>
      <c r="E2353" s="16"/>
      <c r="F2353" s="16"/>
      <c r="G2353" s="16"/>
      <c r="H2353" s="16"/>
    </row>
    <row r="2354" spans="1:8" ht="12.5">
      <c r="A2354" s="24"/>
      <c r="B2354" s="17"/>
      <c r="C2354" s="24"/>
      <c r="D2354" s="16"/>
      <c r="E2354" s="16"/>
      <c r="F2354" s="16"/>
      <c r="G2354" s="16"/>
      <c r="H2354" s="16"/>
    </row>
    <row r="2355" spans="1:8" ht="12.5">
      <c r="A2355" s="24"/>
      <c r="B2355" s="17"/>
      <c r="C2355" s="24"/>
      <c r="D2355" s="16"/>
      <c r="E2355" s="16"/>
      <c r="F2355" s="16"/>
      <c r="G2355" s="16"/>
      <c r="H2355" s="16"/>
    </row>
    <row r="2356" spans="1:8" ht="12.5">
      <c r="A2356" s="24"/>
      <c r="B2356" s="17"/>
      <c r="C2356" s="24"/>
      <c r="D2356" s="16"/>
      <c r="E2356" s="16"/>
      <c r="F2356" s="16"/>
      <c r="G2356" s="16"/>
      <c r="H2356" s="16"/>
    </row>
    <row r="2357" spans="1:8" ht="12.5">
      <c r="A2357" s="24"/>
      <c r="B2357" s="17"/>
      <c r="C2357" s="24"/>
      <c r="D2357" s="16"/>
      <c r="E2357" s="16"/>
      <c r="F2357" s="16"/>
      <c r="G2357" s="16"/>
      <c r="H2357" s="16"/>
    </row>
    <row r="2358" spans="1:8" ht="12.5">
      <c r="A2358" s="24"/>
      <c r="B2358" s="17"/>
      <c r="C2358" s="24"/>
      <c r="D2358" s="16"/>
      <c r="E2358" s="16"/>
      <c r="F2358" s="16"/>
      <c r="G2358" s="16"/>
      <c r="H2358" s="16"/>
    </row>
    <row r="2359" spans="1:8" ht="12.5">
      <c r="A2359" s="24"/>
      <c r="B2359" s="17"/>
      <c r="C2359" s="24"/>
      <c r="D2359" s="16"/>
      <c r="E2359" s="16"/>
      <c r="F2359" s="16"/>
      <c r="G2359" s="16"/>
      <c r="H2359" s="16"/>
    </row>
    <row r="2360" spans="1:8" ht="12.5">
      <c r="A2360" s="24"/>
      <c r="B2360" s="17"/>
      <c r="C2360" s="24"/>
      <c r="D2360" s="16"/>
      <c r="E2360" s="16"/>
      <c r="F2360" s="16"/>
      <c r="G2360" s="16"/>
      <c r="H2360" s="16"/>
    </row>
    <row r="2361" spans="1:8" ht="12.5">
      <c r="A2361" s="24"/>
      <c r="B2361" s="17"/>
      <c r="C2361" s="24"/>
      <c r="D2361" s="16"/>
      <c r="E2361" s="16"/>
      <c r="F2361" s="16"/>
      <c r="G2361" s="16"/>
      <c r="H2361" s="16"/>
    </row>
    <row r="2362" spans="1:8" ht="12.5">
      <c r="A2362" s="24"/>
      <c r="B2362" s="17"/>
      <c r="C2362" s="24"/>
      <c r="D2362" s="16"/>
      <c r="E2362" s="16"/>
      <c r="F2362" s="16"/>
      <c r="G2362" s="16"/>
      <c r="H2362" s="16"/>
    </row>
    <row r="2363" spans="1:8" ht="12.5">
      <c r="A2363" s="24"/>
      <c r="B2363" s="17"/>
      <c r="C2363" s="24"/>
      <c r="D2363" s="16"/>
      <c r="E2363" s="16"/>
      <c r="F2363" s="16"/>
      <c r="G2363" s="16"/>
      <c r="H2363" s="16"/>
    </row>
    <row r="2364" spans="1:8" ht="12.5">
      <c r="A2364" s="24"/>
      <c r="B2364" s="17"/>
      <c r="C2364" s="24"/>
      <c r="D2364" s="16"/>
      <c r="E2364" s="16"/>
      <c r="F2364" s="16"/>
      <c r="G2364" s="16"/>
      <c r="H2364" s="16"/>
    </row>
    <row r="2365" spans="1:8" ht="12.5">
      <c r="A2365" s="24"/>
      <c r="B2365" s="17"/>
      <c r="C2365" s="24"/>
      <c r="D2365" s="16"/>
      <c r="E2365" s="16"/>
      <c r="F2365" s="16"/>
      <c r="G2365" s="16"/>
      <c r="H2365" s="16"/>
    </row>
    <row r="2366" spans="1:8" ht="12.5">
      <c r="A2366" s="24"/>
      <c r="B2366" s="17"/>
      <c r="C2366" s="24"/>
      <c r="D2366" s="16"/>
      <c r="E2366" s="16"/>
      <c r="F2366" s="16"/>
      <c r="G2366" s="16"/>
      <c r="H2366" s="16"/>
    </row>
    <row r="2367" spans="1:8" ht="12.5">
      <c r="A2367" s="24"/>
      <c r="B2367" s="17"/>
      <c r="C2367" s="24"/>
      <c r="D2367" s="16"/>
      <c r="E2367" s="16"/>
      <c r="F2367" s="16"/>
      <c r="G2367" s="16"/>
      <c r="H2367" s="16"/>
    </row>
    <row r="2368" spans="1:8" ht="12.5">
      <c r="A2368" s="24"/>
      <c r="B2368" s="17"/>
      <c r="C2368" s="24"/>
      <c r="D2368" s="16"/>
      <c r="E2368" s="16"/>
      <c r="F2368" s="16"/>
      <c r="G2368" s="16"/>
      <c r="H2368" s="16"/>
    </row>
    <row r="2369" spans="1:8" ht="12.5">
      <c r="A2369" s="24"/>
      <c r="B2369" s="17"/>
      <c r="C2369" s="24"/>
      <c r="D2369" s="16"/>
      <c r="E2369" s="16"/>
      <c r="F2369" s="16"/>
      <c r="G2369" s="16"/>
      <c r="H2369" s="16"/>
    </row>
    <row r="2370" spans="1:8" ht="12.5">
      <c r="A2370" s="24"/>
      <c r="B2370" s="17"/>
      <c r="C2370" s="24"/>
      <c r="D2370" s="16"/>
      <c r="E2370" s="16"/>
      <c r="F2370" s="16"/>
      <c r="G2370" s="16"/>
      <c r="H2370" s="16"/>
    </row>
    <row r="2371" spans="1:8" ht="12.5">
      <c r="A2371" s="24"/>
      <c r="B2371" s="17"/>
      <c r="C2371" s="24"/>
      <c r="D2371" s="16"/>
      <c r="E2371" s="16"/>
      <c r="F2371" s="16"/>
      <c r="G2371" s="16"/>
      <c r="H2371" s="16"/>
    </row>
    <row r="2372" spans="1:8" ht="12.5">
      <c r="A2372" s="24"/>
      <c r="B2372" s="17"/>
      <c r="C2372" s="24"/>
      <c r="D2372" s="16"/>
      <c r="E2372" s="16"/>
      <c r="F2372" s="16"/>
      <c r="G2372" s="16"/>
      <c r="H2372" s="16"/>
    </row>
    <row r="2373" spans="1:8" ht="12.5">
      <c r="A2373" s="24"/>
      <c r="B2373" s="17"/>
      <c r="C2373" s="24"/>
      <c r="D2373" s="16"/>
      <c r="E2373" s="16"/>
      <c r="F2373" s="16"/>
      <c r="G2373" s="16"/>
      <c r="H2373" s="16"/>
    </row>
    <row r="2374" spans="1:8" ht="12.5">
      <c r="A2374" s="24"/>
      <c r="B2374" s="17"/>
      <c r="C2374" s="24"/>
      <c r="D2374" s="16"/>
      <c r="E2374" s="16"/>
      <c r="F2374" s="16"/>
      <c r="G2374" s="16"/>
      <c r="H2374" s="16"/>
    </row>
    <row r="2375" spans="1:8" ht="12.5">
      <c r="A2375" s="24"/>
      <c r="B2375" s="17"/>
      <c r="C2375" s="24"/>
      <c r="D2375" s="16"/>
      <c r="E2375" s="16"/>
      <c r="F2375" s="16"/>
      <c r="G2375" s="16"/>
      <c r="H2375" s="16"/>
    </row>
    <row r="2376" spans="1:8" ht="12.5">
      <c r="A2376" s="24"/>
      <c r="B2376" s="17"/>
      <c r="C2376" s="24"/>
      <c r="D2376" s="16"/>
      <c r="E2376" s="16"/>
      <c r="F2376" s="16"/>
      <c r="G2376" s="16"/>
      <c r="H2376" s="16"/>
    </row>
    <row r="2377" spans="1:8" ht="12.5">
      <c r="A2377" s="24"/>
      <c r="B2377" s="17"/>
      <c r="C2377" s="24"/>
      <c r="D2377" s="16"/>
      <c r="E2377" s="16"/>
      <c r="F2377" s="16"/>
      <c r="G2377" s="16"/>
      <c r="H2377" s="16"/>
    </row>
    <row r="2378" spans="1:8" ht="12.5">
      <c r="A2378" s="24"/>
      <c r="B2378" s="17"/>
      <c r="C2378" s="24"/>
      <c r="D2378" s="16"/>
      <c r="E2378" s="16"/>
      <c r="F2378" s="16"/>
      <c r="G2378" s="16"/>
      <c r="H2378" s="16"/>
    </row>
    <row r="2379" spans="1:8" ht="12.5">
      <c r="A2379" s="24"/>
      <c r="B2379" s="17"/>
      <c r="C2379" s="24"/>
      <c r="D2379" s="16"/>
      <c r="E2379" s="16"/>
      <c r="F2379" s="16"/>
      <c r="G2379" s="16"/>
      <c r="H2379" s="16"/>
    </row>
    <row r="2380" spans="1:8" ht="12.5">
      <c r="A2380" s="24"/>
      <c r="B2380" s="17"/>
      <c r="C2380" s="24"/>
      <c r="D2380" s="16"/>
      <c r="E2380" s="16"/>
      <c r="F2380" s="16"/>
      <c r="G2380" s="16"/>
      <c r="H2380" s="16"/>
    </row>
    <row r="2381" spans="1:8" ht="12.5">
      <c r="A2381" s="24"/>
      <c r="B2381" s="17"/>
      <c r="C2381" s="24"/>
      <c r="D2381" s="16"/>
      <c r="E2381" s="16"/>
      <c r="F2381" s="16"/>
      <c r="G2381" s="16"/>
      <c r="H2381" s="16"/>
    </row>
    <row r="2382" spans="1:8" ht="12.5">
      <c r="A2382" s="24"/>
      <c r="B2382" s="17"/>
      <c r="C2382" s="24"/>
      <c r="D2382" s="16"/>
      <c r="E2382" s="16"/>
      <c r="F2382" s="16"/>
      <c r="G2382" s="16"/>
      <c r="H2382" s="16"/>
    </row>
    <row r="2383" spans="1:8" ht="12.5">
      <c r="A2383" s="24"/>
      <c r="B2383" s="17"/>
      <c r="C2383" s="24"/>
      <c r="D2383" s="16"/>
      <c r="E2383" s="16"/>
      <c r="F2383" s="16"/>
      <c r="G2383" s="16"/>
      <c r="H2383" s="16"/>
    </row>
    <row r="2384" spans="1:8" ht="12.5">
      <c r="A2384" s="24"/>
      <c r="B2384" s="17"/>
      <c r="C2384" s="24"/>
      <c r="D2384" s="16"/>
      <c r="E2384" s="16"/>
      <c r="F2384" s="16"/>
      <c r="G2384" s="16"/>
      <c r="H2384" s="16"/>
    </row>
    <row r="2385" spans="1:8" ht="12.5">
      <c r="A2385" s="24"/>
      <c r="B2385" s="17"/>
      <c r="C2385" s="24"/>
      <c r="D2385" s="16"/>
      <c r="E2385" s="16"/>
      <c r="F2385" s="16"/>
      <c r="G2385" s="16"/>
      <c r="H2385" s="16"/>
    </row>
    <row r="2386" spans="1:8" ht="12.5">
      <c r="A2386" s="24"/>
      <c r="B2386" s="17"/>
      <c r="C2386" s="24"/>
      <c r="D2386" s="16"/>
      <c r="E2386" s="16"/>
      <c r="F2386" s="16"/>
      <c r="G2386" s="16"/>
      <c r="H2386" s="16"/>
    </row>
    <row r="2387" spans="1:8" ht="12.5">
      <c r="A2387" s="24"/>
      <c r="B2387" s="17"/>
      <c r="C2387" s="24"/>
      <c r="D2387" s="16"/>
      <c r="E2387" s="16"/>
      <c r="F2387" s="16"/>
      <c r="G2387" s="16"/>
      <c r="H2387" s="16"/>
    </row>
    <row r="2388" spans="1:8" ht="12.5">
      <c r="A2388" s="24"/>
      <c r="B2388" s="17"/>
      <c r="C2388" s="24"/>
      <c r="D2388" s="16"/>
      <c r="E2388" s="16"/>
      <c r="F2388" s="16"/>
      <c r="G2388" s="16"/>
      <c r="H2388" s="16"/>
    </row>
    <row r="2389" spans="1:8" ht="12.5">
      <c r="A2389" s="24"/>
      <c r="B2389" s="17"/>
      <c r="C2389" s="24"/>
      <c r="D2389" s="16"/>
      <c r="E2389" s="16"/>
      <c r="F2389" s="16"/>
      <c r="G2389" s="16"/>
      <c r="H2389" s="16"/>
    </row>
    <row r="2390" spans="1:8" ht="12.5">
      <c r="A2390" s="24"/>
      <c r="B2390" s="17"/>
      <c r="C2390" s="24"/>
      <c r="D2390" s="16"/>
      <c r="E2390" s="16"/>
      <c r="F2390" s="16"/>
      <c r="G2390" s="16"/>
      <c r="H2390" s="16"/>
    </row>
    <row r="2391" spans="1:8" ht="12.5">
      <c r="A2391" s="24"/>
      <c r="B2391" s="17"/>
      <c r="C2391" s="24"/>
      <c r="D2391" s="16"/>
      <c r="E2391" s="16"/>
      <c r="F2391" s="16"/>
      <c r="G2391" s="16"/>
      <c r="H2391" s="16"/>
    </row>
    <row r="2392" spans="1:8" ht="12.5">
      <c r="A2392" s="24"/>
      <c r="B2392" s="17"/>
      <c r="C2392" s="24"/>
      <c r="D2392" s="16"/>
      <c r="E2392" s="16"/>
      <c r="F2392" s="16"/>
      <c r="G2392" s="16"/>
      <c r="H2392" s="16"/>
    </row>
    <row r="2393" spans="1:8" ht="12.5">
      <c r="A2393" s="24"/>
      <c r="B2393" s="17"/>
      <c r="C2393" s="24"/>
      <c r="D2393" s="16"/>
      <c r="E2393" s="16"/>
      <c r="F2393" s="16"/>
      <c r="G2393" s="16"/>
      <c r="H2393" s="16"/>
    </row>
    <row r="2394" spans="1:8" ht="12.5">
      <c r="A2394" s="24"/>
      <c r="B2394" s="17"/>
      <c r="C2394" s="24"/>
      <c r="D2394" s="16"/>
      <c r="E2394" s="16"/>
      <c r="F2394" s="16"/>
      <c r="G2394" s="16"/>
      <c r="H2394" s="16"/>
    </row>
    <row r="2395" spans="1:8" ht="12.5">
      <c r="A2395" s="24"/>
      <c r="B2395" s="17"/>
      <c r="C2395" s="24"/>
      <c r="D2395" s="16"/>
      <c r="E2395" s="16"/>
      <c r="F2395" s="16"/>
      <c r="G2395" s="16"/>
      <c r="H2395" s="16"/>
    </row>
    <row r="2396" spans="1:8" ht="12.5">
      <c r="A2396" s="24"/>
      <c r="B2396" s="17"/>
      <c r="C2396" s="24"/>
      <c r="D2396" s="16"/>
      <c r="E2396" s="16"/>
      <c r="F2396" s="16"/>
      <c r="G2396" s="16"/>
      <c r="H2396" s="16"/>
    </row>
    <row r="2397" spans="1:8" ht="12.5">
      <c r="A2397" s="24"/>
      <c r="B2397" s="17"/>
      <c r="C2397" s="24"/>
      <c r="D2397" s="16"/>
      <c r="E2397" s="16"/>
      <c r="F2397" s="16"/>
      <c r="G2397" s="16"/>
      <c r="H2397" s="16"/>
    </row>
    <row r="2398" spans="1:8" ht="12.5">
      <c r="A2398" s="24"/>
      <c r="B2398" s="17"/>
      <c r="C2398" s="24"/>
      <c r="D2398" s="16"/>
      <c r="E2398" s="16"/>
      <c r="F2398" s="16"/>
      <c r="G2398" s="16"/>
      <c r="H2398" s="16"/>
    </row>
    <row r="2399" spans="1:8" ht="12.5">
      <c r="A2399" s="24"/>
      <c r="B2399" s="17"/>
      <c r="C2399" s="24"/>
      <c r="D2399" s="16"/>
      <c r="E2399" s="16"/>
      <c r="F2399" s="16"/>
      <c r="G2399" s="16"/>
      <c r="H2399" s="16"/>
    </row>
    <row r="2400" spans="1:8" ht="12.5">
      <c r="A2400" s="24"/>
      <c r="B2400" s="17"/>
      <c r="C2400" s="24"/>
      <c r="D2400" s="16"/>
      <c r="E2400" s="16"/>
      <c r="F2400" s="16"/>
      <c r="G2400" s="16"/>
      <c r="H2400" s="16"/>
    </row>
    <row r="2401" spans="1:8" ht="12.5">
      <c r="A2401" s="24"/>
      <c r="B2401" s="17"/>
      <c r="C2401" s="24"/>
      <c r="D2401" s="16"/>
      <c r="E2401" s="16"/>
      <c r="F2401" s="16"/>
      <c r="G2401" s="16"/>
      <c r="H2401" s="16"/>
    </row>
    <row r="2402" spans="1:8" ht="12.5">
      <c r="A2402" s="24"/>
      <c r="B2402" s="17"/>
      <c r="C2402" s="24"/>
      <c r="D2402" s="16"/>
      <c r="E2402" s="16"/>
      <c r="F2402" s="16"/>
      <c r="G2402" s="16"/>
      <c r="H2402" s="16"/>
    </row>
    <row r="2403" spans="1:8" ht="12.5">
      <c r="A2403" s="24"/>
      <c r="B2403" s="17"/>
      <c r="C2403" s="24"/>
      <c r="D2403" s="16"/>
      <c r="E2403" s="16"/>
      <c r="F2403" s="16"/>
      <c r="G2403" s="16"/>
      <c r="H2403" s="16"/>
    </row>
    <row r="2404" spans="1:8" ht="12.5">
      <c r="A2404" s="24"/>
      <c r="B2404" s="17"/>
      <c r="C2404" s="24"/>
      <c r="D2404" s="16"/>
      <c r="E2404" s="16"/>
      <c r="F2404" s="16"/>
      <c r="G2404" s="16"/>
      <c r="H2404" s="16"/>
    </row>
    <row r="2405" spans="1:8" ht="12.5">
      <c r="A2405" s="24"/>
      <c r="B2405" s="17"/>
      <c r="C2405" s="24"/>
      <c r="D2405" s="16"/>
      <c r="E2405" s="16"/>
      <c r="F2405" s="16"/>
      <c r="G2405" s="16"/>
      <c r="H2405" s="16"/>
    </row>
    <row r="2406" spans="1:8" ht="12.5">
      <c r="A2406" s="24"/>
      <c r="B2406" s="17"/>
      <c r="C2406" s="24"/>
      <c r="D2406" s="16"/>
      <c r="E2406" s="16"/>
      <c r="F2406" s="16"/>
      <c r="G2406" s="16"/>
      <c r="H2406" s="16"/>
    </row>
    <row r="2407" spans="1:8" ht="12.5">
      <c r="A2407" s="24"/>
      <c r="B2407" s="17"/>
      <c r="C2407" s="24"/>
      <c r="D2407" s="16"/>
      <c r="E2407" s="16"/>
      <c r="F2407" s="16"/>
      <c r="G2407" s="16"/>
      <c r="H2407" s="16"/>
    </row>
    <row r="2408" spans="1:8" ht="12.5">
      <c r="A2408" s="24"/>
      <c r="B2408" s="17"/>
      <c r="C2408" s="24"/>
      <c r="D2408" s="16"/>
      <c r="E2408" s="16"/>
      <c r="F2408" s="16"/>
      <c r="G2408" s="16"/>
      <c r="H2408" s="16"/>
    </row>
    <row r="2409" spans="1:8" ht="12.5">
      <c r="A2409" s="24"/>
      <c r="B2409" s="17"/>
      <c r="C2409" s="24"/>
      <c r="D2409" s="16"/>
      <c r="E2409" s="16"/>
      <c r="F2409" s="16"/>
      <c r="G2409" s="16"/>
      <c r="H2409" s="16"/>
    </row>
    <row r="2410" spans="1:8" ht="12.5">
      <c r="A2410" s="24"/>
      <c r="B2410" s="17"/>
      <c r="C2410" s="24"/>
      <c r="D2410" s="16"/>
      <c r="E2410" s="16"/>
      <c r="F2410" s="16"/>
      <c r="G2410" s="16"/>
      <c r="H2410" s="16"/>
    </row>
    <row r="2411" spans="1:8" ht="12.5">
      <c r="A2411" s="24"/>
      <c r="B2411" s="17"/>
      <c r="C2411" s="24"/>
      <c r="D2411" s="16"/>
      <c r="E2411" s="16"/>
      <c r="F2411" s="16"/>
      <c r="G2411" s="16"/>
      <c r="H2411" s="16"/>
    </row>
    <row r="2412" spans="1:8" ht="12.5">
      <c r="A2412" s="24"/>
      <c r="B2412" s="17"/>
      <c r="C2412" s="24"/>
      <c r="D2412" s="16"/>
      <c r="E2412" s="16"/>
      <c r="F2412" s="16"/>
      <c r="G2412" s="16"/>
      <c r="H2412" s="16"/>
    </row>
    <row r="2413" spans="1:8" ht="12.5">
      <c r="A2413" s="24"/>
      <c r="B2413" s="17"/>
      <c r="C2413" s="24"/>
      <c r="D2413" s="16"/>
      <c r="E2413" s="16"/>
      <c r="F2413" s="16"/>
      <c r="G2413" s="16"/>
      <c r="H2413" s="16"/>
    </row>
    <row r="2414" spans="1:8" ht="12.5">
      <c r="A2414" s="24"/>
      <c r="B2414" s="17"/>
      <c r="C2414" s="24"/>
      <c r="D2414" s="16"/>
      <c r="E2414" s="16"/>
      <c r="F2414" s="16"/>
      <c r="G2414" s="16"/>
      <c r="H2414" s="16"/>
    </row>
    <row r="2415" spans="1:8" ht="12.5">
      <c r="A2415" s="24"/>
      <c r="B2415" s="17"/>
      <c r="C2415" s="24"/>
      <c r="D2415" s="16"/>
      <c r="E2415" s="16"/>
      <c r="F2415" s="16"/>
      <c r="G2415" s="16"/>
      <c r="H2415" s="16"/>
    </row>
    <row r="2416" spans="1:8" ht="12.5">
      <c r="A2416" s="24"/>
      <c r="B2416" s="17"/>
      <c r="C2416" s="24"/>
      <c r="D2416" s="16"/>
      <c r="E2416" s="16"/>
      <c r="F2416" s="16"/>
      <c r="G2416" s="16"/>
      <c r="H2416" s="16"/>
    </row>
    <row r="2417" spans="1:8" ht="12.5">
      <c r="A2417" s="24"/>
      <c r="B2417" s="17"/>
      <c r="C2417" s="24"/>
      <c r="D2417" s="16"/>
      <c r="E2417" s="16"/>
      <c r="F2417" s="16"/>
      <c r="G2417" s="16"/>
      <c r="H2417" s="16"/>
    </row>
    <row r="2418" spans="1:8" ht="12.5">
      <c r="A2418" s="24"/>
      <c r="B2418" s="17"/>
      <c r="C2418" s="24"/>
      <c r="D2418" s="16"/>
      <c r="E2418" s="16"/>
      <c r="F2418" s="16"/>
      <c r="G2418" s="16"/>
      <c r="H2418" s="16"/>
    </row>
    <row r="2419" spans="1:8" ht="12.5">
      <c r="A2419" s="24"/>
      <c r="B2419" s="17"/>
      <c r="C2419" s="24"/>
      <c r="D2419" s="16"/>
      <c r="E2419" s="16"/>
      <c r="F2419" s="16"/>
      <c r="G2419" s="16"/>
      <c r="H2419" s="16"/>
    </row>
    <row r="2420" spans="1:8" ht="12.5">
      <c r="A2420" s="24"/>
      <c r="B2420" s="17"/>
      <c r="C2420" s="24"/>
      <c r="D2420" s="16"/>
      <c r="E2420" s="16"/>
      <c r="F2420" s="16"/>
      <c r="G2420" s="16"/>
      <c r="H2420" s="16"/>
    </row>
    <row r="2421" spans="1:8" ht="12.5">
      <c r="A2421" s="24"/>
      <c r="B2421" s="17"/>
      <c r="C2421" s="24"/>
      <c r="D2421" s="16"/>
      <c r="E2421" s="16"/>
      <c r="F2421" s="16"/>
      <c r="G2421" s="16"/>
      <c r="H2421" s="16"/>
    </row>
    <row r="2422" spans="1:8" ht="12.5">
      <c r="A2422" s="24"/>
      <c r="B2422" s="17"/>
      <c r="C2422" s="24"/>
      <c r="D2422" s="16"/>
      <c r="E2422" s="16"/>
      <c r="F2422" s="16"/>
      <c r="G2422" s="16"/>
      <c r="H2422" s="16"/>
    </row>
    <row r="2423" spans="1:8" ht="12.5">
      <c r="A2423" s="24"/>
      <c r="B2423" s="17"/>
      <c r="C2423" s="24"/>
      <c r="D2423" s="16"/>
      <c r="E2423" s="16"/>
      <c r="F2423" s="16"/>
      <c r="G2423" s="16"/>
      <c r="H2423" s="16"/>
    </row>
    <row r="2424" spans="1:8" ht="12.5">
      <c r="A2424" s="24"/>
      <c r="B2424" s="17"/>
      <c r="C2424" s="24"/>
      <c r="D2424" s="16"/>
      <c r="E2424" s="16"/>
      <c r="F2424" s="16"/>
      <c r="G2424" s="16"/>
      <c r="H2424" s="16"/>
    </row>
    <row r="2425" spans="1:8" ht="12.5">
      <c r="A2425" s="24"/>
      <c r="B2425" s="17"/>
      <c r="C2425" s="24"/>
      <c r="D2425" s="16"/>
      <c r="E2425" s="16"/>
      <c r="F2425" s="16"/>
      <c r="G2425" s="16"/>
      <c r="H2425" s="16"/>
    </row>
    <row r="2426" spans="1:8" ht="12.5">
      <c r="A2426" s="24"/>
      <c r="B2426" s="17"/>
      <c r="C2426" s="24"/>
      <c r="D2426" s="16"/>
      <c r="E2426" s="16"/>
      <c r="F2426" s="16"/>
      <c r="G2426" s="16"/>
      <c r="H2426" s="16"/>
    </row>
    <row r="2427" spans="1:8" ht="12.5">
      <c r="A2427" s="24"/>
      <c r="B2427" s="17"/>
      <c r="C2427" s="24"/>
      <c r="D2427" s="16"/>
      <c r="E2427" s="16"/>
      <c r="F2427" s="16"/>
      <c r="G2427" s="16"/>
      <c r="H2427" s="16"/>
    </row>
    <row r="2428" spans="1:8" ht="12.5">
      <c r="A2428" s="24"/>
      <c r="B2428" s="17"/>
      <c r="C2428" s="24"/>
      <c r="D2428" s="16"/>
      <c r="E2428" s="16"/>
      <c r="F2428" s="16"/>
      <c r="G2428" s="16"/>
      <c r="H2428" s="16"/>
    </row>
    <row r="2429" spans="1:8" ht="12.5">
      <c r="A2429" s="24"/>
      <c r="B2429" s="17"/>
      <c r="C2429" s="24"/>
      <c r="D2429" s="16"/>
      <c r="E2429" s="16"/>
      <c r="F2429" s="16"/>
      <c r="G2429" s="16"/>
      <c r="H2429" s="16"/>
    </row>
    <row r="2430" spans="1:8" ht="12.5">
      <c r="A2430" s="24"/>
      <c r="B2430" s="17"/>
      <c r="C2430" s="24"/>
      <c r="D2430" s="16"/>
      <c r="E2430" s="16"/>
      <c r="F2430" s="16"/>
      <c r="G2430" s="16"/>
      <c r="H2430" s="16"/>
    </row>
    <row r="2431" spans="1:8" ht="12.5">
      <c r="A2431" s="24"/>
      <c r="B2431" s="17"/>
      <c r="C2431" s="24"/>
      <c r="D2431" s="16"/>
      <c r="E2431" s="16"/>
      <c r="F2431" s="16"/>
      <c r="G2431" s="16"/>
      <c r="H2431" s="16"/>
    </row>
    <row r="2432" spans="1:8" ht="12.5">
      <c r="A2432" s="24"/>
      <c r="B2432" s="17"/>
      <c r="C2432" s="24"/>
      <c r="D2432" s="16"/>
      <c r="E2432" s="16"/>
      <c r="F2432" s="16"/>
      <c r="G2432" s="16"/>
      <c r="H2432" s="16"/>
    </row>
    <row r="2433" spans="1:8" ht="12.5">
      <c r="A2433" s="24"/>
      <c r="B2433" s="17"/>
      <c r="C2433" s="24"/>
      <c r="D2433" s="16"/>
      <c r="E2433" s="16"/>
      <c r="F2433" s="16"/>
      <c r="G2433" s="16"/>
      <c r="H2433" s="16"/>
    </row>
    <row r="2434" spans="1:8" ht="12.5">
      <c r="A2434" s="24"/>
      <c r="B2434" s="17"/>
      <c r="C2434" s="24"/>
      <c r="D2434" s="16"/>
      <c r="E2434" s="16"/>
      <c r="F2434" s="16"/>
      <c r="G2434" s="16"/>
      <c r="H2434" s="16"/>
    </row>
    <row r="2435" spans="1:8" ht="12.5">
      <c r="A2435" s="24"/>
      <c r="B2435" s="17"/>
      <c r="C2435" s="24"/>
      <c r="D2435" s="16"/>
      <c r="E2435" s="16"/>
      <c r="F2435" s="16"/>
      <c r="G2435" s="16"/>
      <c r="H2435" s="16"/>
    </row>
    <row r="2436" spans="1:8" ht="12.5">
      <c r="A2436" s="24"/>
      <c r="B2436" s="17"/>
      <c r="C2436" s="24"/>
      <c r="D2436" s="16"/>
      <c r="E2436" s="16"/>
      <c r="F2436" s="16"/>
      <c r="G2436" s="16"/>
      <c r="H2436" s="16"/>
    </row>
    <row r="2437" spans="1:8" ht="12.5">
      <c r="A2437" s="24"/>
      <c r="B2437" s="17"/>
      <c r="C2437" s="24"/>
      <c r="D2437" s="16"/>
      <c r="E2437" s="16"/>
      <c r="F2437" s="16"/>
      <c r="G2437" s="16"/>
      <c r="H2437" s="16"/>
    </row>
    <row r="2438" spans="1:8" ht="12.5">
      <c r="A2438" s="24"/>
      <c r="B2438" s="17"/>
      <c r="C2438" s="24"/>
      <c r="D2438" s="16"/>
      <c r="E2438" s="16"/>
      <c r="F2438" s="16"/>
      <c r="G2438" s="16"/>
      <c r="H2438" s="16"/>
    </row>
    <row r="2439" spans="1:8" ht="12.5">
      <c r="A2439" s="24"/>
      <c r="B2439" s="17"/>
      <c r="C2439" s="24"/>
      <c r="D2439" s="16"/>
      <c r="E2439" s="16"/>
      <c r="F2439" s="16"/>
      <c r="G2439" s="16"/>
      <c r="H2439" s="16"/>
    </row>
    <row r="2440" spans="1:8" ht="12.5">
      <c r="A2440" s="24"/>
      <c r="B2440" s="17"/>
      <c r="C2440" s="24"/>
      <c r="D2440" s="16"/>
      <c r="E2440" s="16"/>
      <c r="F2440" s="16"/>
      <c r="G2440" s="16"/>
      <c r="H2440" s="16"/>
    </row>
    <row r="2441" spans="1:8" ht="12.5">
      <c r="A2441" s="24"/>
      <c r="B2441" s="17"/>
      <c r="C2441" s="24"/>
      <c r="D2441" s="16"/>
      <c r="E2441" s="16"/>
      <c r="F2441" s="16"/>
      <c r="G2441" s="16"/>
      <c r="H2441" s="16"/>
    </row>
    <row r="2442" spans="1:8" ht="12.5">
      <c r="A2442" s="24"/>
      <c r="B2442" s="17"/>
      <c r="C2442" s="24"/>
      <c r="D2442" s="16"/>
      <c r="E2442" s="16"/>
      <c r="F2442" s="16"/>
      <c r="G2442" s="16"/>
      <c r="H2442" s="16"/>
    </row>
    <row r="2443" spans="1:8" ht="12.5">
      <c r="A2443" s="24"/>
      <c r="B2443" s="17"/>
      <c r="C2443" s="24"/>
      <c r="D2443" s="16"/>
      <c r="E2443" s="16"/>
      <c r="F2443" s="16"/>
      <c r="G2443" s="16"/>
      <c r="H2443" s="16"/>
    </row>
    <row r="2444" spans="1:8" ht="12.5">
      <c r="A2444" s="24"/>
      <c r="B2444" s="17"/>
      <c r="C2444" s="24"/>
      <c r="D2444" s="16"/>
      <c r="E2444" s="16"/>
      <c r="F2444" s="16"/>
      <c r="G2444" s="16"/>
      <c r="H2444" s="16"/>
    </row>
    <row r="2445" spans="1:8" ht="12.5">
      <c r="A2445" s="24"/>
      <c r="B2445" s="17"/>
      <c r="C2445" s="24"/>
      <c r="D2445" s="16"/>
      <c r="E2445" s="16"/>
      <c r="F2445" s="16"/>
      <c r="G2445" s="16"/>
      <c r="H2445" s="16"/>
    </row>
    <row r="2446" spans="1:8" ht="12.5">
      <c r="A2446" s="24"/>
      <c r="B2446" s="17"/>
      <c r="C2446" s="24"/>
      <c r="D2446" s="16"/>
      <c r="E2446" s="16"/>
      <c r="F2446" s="16"/>
      <c r="G2446" s="16"/>
      <c r="H2446" s="16"/>
    </row>
    <row r="2447" spans="1:8" ht="12.5">
      <c r="A2447" s="24"/>
      <c r="B2447" s="17"/>
      <c r="C2447" s="24"/>
      <c r="D2447" s="16"/>
      <c r="E2447" s="16"/>
      <c r="F2447" s="16"/>
      <c r="G2447" s="16"/>
      <c r="H2447" s="16"/>
    </row>
    <row r="2448" spans="1:8" ht="12.5">
      <c r="A2448" s="24"/>
      <c r="B2448" s="17"/>
      <c r="C2448" s="24"/>
      <c r="D2448" s="16"/>
      <c r="E2448" s="16"/>
      <c r="F2448" s="16"/>
      <c r="G2448" s="16"/>
      <c r="H2448" s="16"/>
    </row>
    <row r="2449" spans="1:8" ht="12.5">
      <c r="A2449" s="24"/>
      <c r="B2449" s="17"/>
      <c r="C2449" s="24"/>
      <c r="D2449" s="16"/>
      <c r="E2449" s="16"/>
      <c r="F2449" s="16"/>
      <c r="G2449" s="16"/>
      <c r="H2449" s="16"/>
    </row>
    <row r="2450" spans="1:8" ht="12.5">
      <c r="A2450" s="24"/>
      <c r="B2450" s="17"/>
      <c r="C2450" s="24"/>
      <c r="D2450" s="16"/>
      <c r="E2450" s="16"/>
      <c r="F2450" s="16"/>
      <c r="G2450" s="16"/>
      <c r="H2450" s="16"/>
    </row>
    <row r="2451" spans="1:8" ht="12.5">
      <c r="A2451" s="24"/>
      <c r="B2451" s="17"/>
      <c r="C2451" s="24"/>
      <c r="D2451" s="16"/>
      <c r="E2451" s="16"/>
      <c r="F2451" s="16"/>
      <c r="G2451" s="16"/>
      <c r="H2451" s="16"/>
    </row>
    <row r="2452" spans="1:8" ht="12.5">
      <c r="A2452" s="24"/>
      <c r="B2452" s="17"/>
      <c r="C2452" s="24"/>
      <c r="D2452" s="16"/>
      <c r="E2452" s="16"/>
      <c r="F2452" s="16"/>
      <c r="G2452" s="16"/>
      <c r="H2452" s="16"/>
    </row>
    <row r="2453" spans="1:8" ht="12.5">
      <c r="A2453" s="24"/>
      <c r="B2453" s="17"/>
      <c r="C2453" s="24"/>
      <c r="D2453" s="16"/>
      <c r="E2453" s="16"/>
      <c r="F2453" s="16"/>
      <c r="G2453" s="16"/>
      <c r="H2453" s="16"/>
    </row>
    <row r="2454" spans="1:8" ht="12.5">
      <c r="A2454" s="24"/>
      <c r="B2454" s="17"/>
      <c r="C2454" s="24"/>
      <c r="D2454" s="16"/>
      <c r="E2454" s="16"/>
      <c r="F2454" s="16"/>
      <c r="G2454" s="16"/>
      <c r="H2454" s="16"/>
    </row>
    <row r="2455" spans="1:8" ht="12.5">
      <c r="A2455" s="24"/>
      <c r="B2455" s="17"/>
      <c r="C2455" s="24"/>
      <c r="D2455" s="16"/>
      <c r="E2455" s="16"/>
      <c r="F2455" s="16"/>
      <c r="G2455" s="16"/>
      <c r="H2455" s="16"/>
    </row>
    <row r="2456" spans="1:8" ht="12.5">
      <c r="A2456" s="24"/>
      <c r="B2456" s="17"/>
      <c r="C2456" s="24"/>
      <c r="D2456" s="16"/>
      <c r="E2456" s="16"/>
      <c r="F2456" s="16"/>
      <c r="G2456" s="16"/>
      <c r="H2456" s="16"/>
    </row>
    <row r="2457" spans="1:8" ht="12.5">
      <c r="A2457" s="24"/>
      <c r="B2457" s="17"/>
      <c r="C2457" s="24"/>
      <c r="D2457" s="16"/>
      <c r="E2457" s="16"/>
      <c r="F2457" s="16"/>
      <c r="G2457" s="16"/>
      <c r="H2457" s="16"/>
    </row>
    <row r="2458" spans="1:8" ht="12.5">
      <c r="A2458" s="24"/>
      <c r="B2458" s="17"/>
      <c r="C2458" s="24"/>
      <c r="D2458" s="16"/>
      <c r="E2458" s="16"/>
      <c r="F2458" s="16"/>
      <c r="G2458" s="16"/>
      <c r="H2458" s="16"/>
    </row>
    <row r="2459" spans="1:8" ht="12.5">
      <c r="A2459" s="24"/>
      <c r="B2459" s="17"/>
      <c r="C2459" s="24"/>
      <c r="D2459" s="16"/>
      <c r="E2459" s="16"/>
      <c r="F2459" s="16"/>
      <c r="G2459" s="16"/>
      <c r="H2459" s="16"/>
    </row>
    <row r="2460" spans="1:8" ht="12.5">
      <c r="A2460" s="24"/>
      <c r="B2460" s="17"/>
      <c r="C2460" s="24"/>
      <c r="D2460" s="16"/>
      <c r="E2460" s="16"/>
      <c r="F2460" s="16"/>
      <c r="G2460" s="16"/>
      <c r="H2460" s="16"/>
    </row>
    <row r="2461" spans="1:8" ht="12.5">
      <c r="A2461" s="24"/>
      <c r="B2461" s="17"/>
      <c r="C2461" s="24"/>
      <c r="D2461" s="16"/>
      <c r="E2461" s="16"/>
      <c r="F2461" s="16"/>
      <c r="G2461" s="16"/>
      <c r="H2461" s="16"/>
    </row>
    <row r="2462" spans="1:8" ht="12.5">
      <c r="A2462" s="24"/>
      <c r="B2462" s="17"/>
      <c r="C2462" s="24"/>
      <c r="D2462" s="16"/>
      <c r="E2462" s="16"/>
      <c r="F2462" s="16"/>
      <c r="G2462" s="16"/>
      <c r="H2462" s="16"/>
    </row>
    <row r="2463" spans="1:8" ht="12.5">
      <c r="A2463" s="24"/>
      <c r="B2463" s="17"/>
      <c r="C2463" s="24"/>
      <c r="D2463" s="16"/>
      <c r="E2463" s="16"/>
      <c r="F2463" s="16"/>
      <c r="G2463" s="16"/>
      <c r="H2463" s="16"/>
    </row>
    <row r="2464" spans="1:8" ht="12.5">
      <c r="A2464" s="24"/>
      <c r="B2464" s="17"/>
      <c r="C2464" s="24"/>
      <c r="D2464" s="16"/>
      <c r="E2464" s="16"/>
      <c r="F2464" s="16"/>
      <c r="G2464" s="16"/>
      <c r="H2464" s="16"/>
    </row>
    <row r="2465" spans="1:8" ht="12.5">
      <c r="A2465" s="24"/>
      <c r="B2465" s="17"/>
      <c r="C2465" s="24"/>
      <c r="D2465" s="16"/>
      <c r="E2465" s="16"/>
      <c r="F2465" s="16"/>
      <c r="G2465" s="16"/>
      <c r="H2465" s="16"/>
    </row>
    <row r="2466" spans="1:8" ht="12.5">
      <c r="A2466" s="24"/>
      <c r="B2466" s="17"/>
      <c r="C2466" s="24"/>
      <c r="D2466" s="16"/>
      <c r="E2466" s="16"/>
      <c r="F2466" s="16"/>
      <c r="G2466" s="16"/>
      <c r="H2466" s="16"/>
    </row>
    <row r="2467" spans="1:8" ht="12.5">
      <c r="A2467" s="24"/>
      <c r="B2467" s="17"/>
      <c r="C2467" s="24"/>
      <c r="D2467" s="16"/>
      <c r="E2467" s="16"/>
      <c r="F2467" s="16"/>
      <c r="G2467" s="16"/>
      <c r="H2467" s="16"/>
    </row>
    <row r="2468" spans="1:8" ht="12.5">
      <c r="A2468" s="24"/>
      <c r="B2468" s="17"/>
      <c r="C2468" s="24"/>
      <c r="D2468" s="16"/>
      <c r="E2468" s="16"/>
      <c r="F2468" s="16"/>
      <c r="G2468" s="16"/>
      <c r="H2468" s="16"/>
    </row>
    <row r="2469" spans="1:8" ht="12.5">
      <c r="A2469" s="24"/>
      <c r="B2469" s="17"/>
      <c r="C2469" s="24"/>
      <c r="D2469" s="16"/>
      <c r="E2469" s="16"/>
      <c r="F2469" s="16"/>
      <c r="G2469" s="16"/>
      <c r="H2469" s="16"/>
    </row>
    <row r="2470" spans="1:8" ht="12.5">
      <c r="A2470" s="24"/>
      <c r="B2470" s="17"/>
      <c r="C2470" s="24"/>
      <c r="D2470" s="16"/>
      <c r="E2470" s="16"/>
      <c r="F2470" s="16"/>
      <c r="G2470" s="16"/>
      <c r="H2470" s="16"/>
    </row>
    <row r="2471" spans="1:8" ht="12.5">
      <c r="A2471" s="24"/>
      <c r="B2471" s="17"/>
      <c r="C2471" s="24"/>
      <c r="D2471" s="16"/>
      <c r="E2471" s="16"/>
      <c r="F2471" s="16"/>
      <c r="G2471" s="16"/>
      <c r="H2471" s="16"/>
    </row>
    <row r="2472" spans="1:8" ht="12.5">
      <c r="A2472" s="24"/>
      <c r="B2472" s="17"/>
      <c r="C2472" s="24"/>
      <c r="D2472" s="16"/>
      <c r="E2472" s="16"/>
      <c r="F2472" s="16"/>
      <c r="G2472" s="16"/>
      <c r="H2472" s="16"/>
    </row>
    <row r="2473" spans="1:8" ht="12.5">
      <c r="A2473" s="24"/>
      <c r="B2473" s="17"/>
      <c r="C2473" s="24"/>
      <c r="D2473" s="16"/>
      <c r="E2473" s="16"/>
      <c r="F2473" s="16"/>
      <c r="G2473" s="16"/>
      <c r="H2473" s="16"/>
    </row>
    <row r="2474" spans="1:8" ht="12.5">
      <c r="A2474" s="24"/>
      <c r="B2474" s="17"/>
      <c r="C2474" s="24"/>
      <c r="D2474" s="16"/>
      <c r="E2474" s="16"/>
      <c r="F2474" s="16"/>
      <c r="G2474" s="16"/>
      <c r="H2474" s="16"/>
    </row>
    <row r="2475" spans="1:8" ht="12.5">
      <c r="A2475" s="24"/>
      <c r="B2475" s="17"/>
      <c r="C2475" s="24"/>
      <c r="D2475" s="16"/>
      <c r="E2475" s="16"/>
      <c r="F2475" s="16"/>
      <c r="G2475" s="16"/>
      <c r="H2475" s="16"/>
    </row>
    <row r="2476" spans="1:8" ht="12.5">
      <c r="A2476" s="24"/>
      <c r="B2476" s="17"/>
      <c r="C2476" s="24"/>
      <c r="D2476" s="16"/>
      <c r="E2476" s="16"/>
      <c r="F2476" s="16"/>
      <c r="G2476" s="16"/>
      <c r="H2476" s="16"/>
    </row>
    <row r="2477" spans="1:8" ht="12.5">
      <c r="A2477" s="24"/>
      <c r="B2477" s="17"/>
      <c r="C2477" s="24"/>
      <c r="D2477" s="16"/>
      <c r="E2477" s="16"/>
      <c r="F2477" s="16"/>
      <c r="G2477" s="16"/>
      <c r="H2477" s="16"/>
    </row>
    <row r="2478" spans="1:8" ht="12.5">
      <c r="A2478" s="24"/>
      <c r="B2478" s="17"/>
      <c r="C2478" s="24"/>
      <c r="D2478" s="16"/>
      <c r="E2478" s="16"/>
      <c r="F2478" s="16"/>
      <c r="G2478" s="16"/>
      <c r="H2478" s="16"/>
    </row>
    <row r="2479" spans="1:8" ht="12.5">
      <c r="A2479" s="24"/>
      <c r="B2479" s="17"/>
      <c r="C2479" s="24"/>
      <c r="D2479" s="16"/>
      <c r="E2479" s="16"/>
      <c r="F2479" s="16"/>
      <c r="G2479" s="16"/>
      <c r="H2479" s="16"/>
    </row>
    <row r="2480" spans="1:8" ht="12.5">
      <c r="A2480" s="24"/>
      <c r="B2480" s="17"/>
      <c r="C2480" s="24"/>
      <c r="D2480" s="16"/>
      <c r="E2480" s="16"/>
      <c r="F2480" s="16"/>
      <c r="G2480" s="16"/>
      <c r="H2480" s="16"/>
    </row>
    <row r="2481" spans="1:8" ht="12.5">
      <c r="A2481" s="24"/>
      <c r="B2481" s="17"/>
      <c r="C2481" s="24"/>
      <c r="D2481" s="16"/>
      <c r="E2481" s="16"/>
      <c r="F2481" s="16"/>
      <c r="G2481" s="16"/>
      <c r="H2481" s="16"/>
    </row>
    <row r="2482" spans="1:8" ht="12.5">
      <c r="A2482" s="24"/>
      <c r="B2482" s="17"/>
      <c r="C2482" s="24"/>
      <c r="D2482" s="16"/>
      <c r="E2482" s="16"/>
      <c r="F2482" s="16"/>
      <c r="G2482" s="16"/>
      <c r="H2482" s="16"/>
    </row>
    <row r="2483" spans="1:8" ht="12.5">
      <c r="A2483" s="24"/>
      <c r="B2483" s="17"/>
      <c r="C2483" s="24"/>
      <c r="D2483" s="16"/>
      <c r="E2483" s="16"/>
      <c r="F2483" s="16"/>
      <c r="G2483" s="16"/>
      <c r="H2483" s="16"/>
    </row>
    <row r="2484" spans="1:8" ht="12.5">
      <c r="A2484" s="24"/>
      <c r="B2484" s="17"/>
      <c r="C2484" s="24"/>
      <c r="D2484" s="16"/>
      <c r="E2484" s="16"/>
      <c r="F2484" s="16"/>
      <c r="G2484" s="16"/>
      <c r="H2484" s="16"/>
    </row>
    <row r="2485" spans="1:8" ht="12.5">
      <c r="A2485" s="24"/>
      <c r="B2485" s="17"/>
      <c r="C2485" s="24"/>
      <c r="D2485" s="16"/>
      <c r="E2485" s="16"/>
      <c r="F2485" s="16"/>
      <c r="G2485" s="16"/>
      <c r="H2485" s="16"/>
    </row>
    <row r="2486" spans="1:8" ht="12.5">
      <c r="A2486" s="24"/>
      <c r="B2486" s="17"/>
      <c r="C2486" s="24"/>
      <c r="D2486" s="16"/>
      <c r="E2486" s="16"/>
      <c r="F2486" s="16"/>
      <c r="G2486" s="16"/>
      <c r="H2486" s="16"/>
    </row>
    <row r="2487" spans="1:8" ht="12.5">
      <c r="A2487" s="24"/>
      <c r="B2487" s="17"/>
      <c r="C2487" s="24"/>
      <c r="D2487" s="16"/>
      <c r="E2487" s="16"/>
      <c r="F2487" s="16"/>
      <c r="G2487" s="16"/>
      <c r="H2487" s="16"/>
    </row>
    <row r="2488" spans="1:8" ht="12.5">
      <c r="A2488" s="24"/>
      <c r="B2488" s="17"/>
      <c r="C2488" s="24"/>
      <c r="D2488" s="16"/>
      <c r="E2488" s="16"/>
      <c r="F2488" s="16"/>
      <c r="G2488" s="16"/>
      <c r="H2488" s="16"/>
    </row>
    <row r="2489" spans="1:8" ht="12.5">
      <c r="A2489" s="24"/>
      <c r="B2489" s="17"/>
      <c r="C2489" s="24"/>
      <c r="D2489" s="16"/>
      <c r="E2489" s="16"/>
      <c r="F2489" s="16"/>
      <c r="G2489" s="16"/>
      <c r="H2489" s="16"/>
    </row>
    <row r="2490" spans="1:8" ht="12.5">
      <c r="A2490" s="24"/>
      <c r="B2490" s="17"/>
      <c r="C2490" s="24"/>
      <c r="D2490" s="16"/>
      <c r="E2490" s="16"/>
      <c r="F2490" s="16"/>
      <c r="G2490" s="16"/>
      <c r="H2490" s="16"/>
    </row>
    <row r="2491" spans="1:8" ht="12.5">
      <c r="A2491" s="24"/>
      <c r="B2491" s="17"/>
      <c r="C2491" s="24"/>
      <c r="D2491" s="16"/>
      <c r="E2491" s="16"/>
      <c r="F2491" s="16"/>
      <c r="G2491" s="16"/>
      <c r="H2491" s="16"/>
    </row>
    <row r="2492" spans="1:8" ht="12.5">
      <c r="A2492" s="24"/>
      <c r="B2492" s="17"/>
      <c r="C2492" s="24"/>
      <c r="D2492" s="16"/>
      <c r="E2492" s="16"/>
      <c r="F2492" s="16"/>
      <c r="G2492" s="16"/>
      <c r="H2492" s="16"/>
    </row>
    <row r="2493" spans="1:8" ht="12.5">
      <c r="A2493" s="24"/>
      <c r="B2493" s="17"/>
      <c r="C2493" s="24"/>
      <c r="D2493" s="16"/>
      <c r="E2493" s="16"/>
      <c r="F2493" s="16"/>
      <c r="G2493" s="16"/>
      <c r="H2493" s="16"/>
    </row>
    <row r="2494" spans="1:8" ht="12.5">
      <c r="A2494" s="24"/>
      <c r="B2494" s="17"/>
      <c r="C2494" s="24"/>
      <c r="D2494" s="16"/>
      <c r="E2494" s="16"/>
      <c r="F2494" s="16"/>
      <c r="G2494" s="16"/>
      <c r="H2494" s="16"/>
    </row>
    <row r="2495" spans="1:8" ht="12.5">
      <c r="A2495" s="24"/>
      <c r="B2495" s="17"/>
      <c r="C2495" s="24"/>
      <c r="D2495" s="16"/>
      <c r="E2495" s="16"/>
      <c r="F2495" s="16"/>
      <c r="G2495" s="16"/>
      <c r="H2495" s="16"/>
    </row>
    <row r="2496" spans="1:8" ht="12.5">
      <c r="A2496" s="24"/>
      <c r="B2496" s="17"/>
      <c r="C2496" s="24"/>
      <c r="D2496" s="16"/>
      <c r="E2496" s="16"/>
      <c r="F2496" s="16"/>
      <c r="G2496" s="16"/>
      <c r="H2496" s="16"/>
    </row>
    <row r="2497" spans="1:8" ht="12.5">
      <c r="A2497" s="24"/>
      <c r="B2497" s="17"/>
      <c r="C2497" s="24"/>
      <c r="D2497" s="16"/>
      <c r="E2497" s="16"/>
      <c r="F2497" s="16"/>
      <c r="G2497" s="16"/>
      <c r="H2497" s="16"/>
    </row>
    <row r="2498" spans="1:8" ht="12.5">
      <c r="A2498" s="24"/>
      <c r="B2498" s="17"/>
      <c r="C2498" s="24"/>
      <c r="D2498" s="16"/>
      <c r="E2498" s="16"/>
      <c r="F2498" s="16"/>
      <c r="G2498" s="16"/>
      <c r="H2498" s="16"/>
    </row>
    <row r="2499" spans="1:8" ht="12.5">
      <c r="A2499" s="24"/>
      <c r="B2499" s="17"/>
      <c r="C2499" s="24"/>
      <c r="D2499" s="16"/>
      <c r="E2499" s="16"/>
      <c r="F2499" s="16"/>
      <c r="G2499" s="16"/>
      <c r="H2499" s="16"/>
    </row>
    <row r="2500" spans="1:8" ht="12.5">
      <c r="A2500" s="24"/>
      <c r="B2500" s="17"/>
      <c r="C2500" s="24"/>
      <c r="D2500" s="16"/>
      <c r="E2500" s="16"/>
      <c r="F2500" s="16"/>
      <c r="G2500" s="16"/>
      <c r="H2500" s="16"/>
    </row>
    <row r="2501" spans="1:8" ht="12.5">
      <c r="A2501" s="24"/>
      <c r="B2501" s="17"/>
      <c r="C2501" s="24"/>
      <c r="D2501" s="16"/>
      <c r="E2501" s="16"/>
      <c r="F2501" s="16"/>
      <c r="G2501" s="16"/>
      <c r="H2501" s="16"/>
    </row>
    <row r="2502" spans="1:8" ht="12.5">
      <c r="A2502" s="24"/>
      <c r="B2502" s="17"/>
      <c r="C2502" s="24"/>
      <c r="D2502" s="16"/>
      <c r="E2502" s="16"/>
      <c r="F2502" s="16"/>
      <c r="G2502" s="16"/>
      <c r="H2502" s="16"/>
    </row>
    <row r="2503" spans="1:8" ht="12.5">
      <c r="A2503" s="24"/>
      <c r="B2503" s="17"/>
      <c r="C2503" s="24"/>
      <c r="D2503" s="16"/>
      <c r="E2503" s="16"/>
      <c r="F2503" s="16"/>
      <c r="G2503" s="16"/>
      <c r="H2503" s="16"/>
    </row>
    <row r="2504" spans="1:8" ht="12.5">
      <c r="A2504" s="24"/>
      <c r="B2504" s="17"/>
      <c r="C2504" s="24"/>
      <c r="D2504" s="16"/>
      <c r="E2504" s="16"/>
      <c r="F2504" s="16"/>
      <c r="G2504" s="16"/>
      <c r="H2504" s="16"/>
    </row>
    <row r="2505" spans="1:8" ht="12.5">
      <c r="A2505" s="24"/>
      <c r="B2505" s="17"/>
      <c r="C2505" s="24"/>
      <c r="D2505" s="16"/>
      <c r="E2505" s="16"/>
      <c r="F2505" s="16"/>
      <c r="G2505" s="16"/>
      <c r="H2505" s="16"/>
    </row>
    <row r="2506" spans="1:8" ht="12.5">
      <c r="A2506" s="24"/>
      <c r="B2506" s="17"/>
      <c r="C2506" s="24"/>
      <c r="D2506" s="16"/>
      <c r="E2506" s="16"/>
      <c r="F2506" s="16"/>
      <c r="G2506" s="16"/>
      <c r="H2506" s="16"/>
    </row>
    <row r="2507" spans="1:8" ht="12.5">
      <c r="A2507" s="24"/>
      <c r="B2507" s="17"/>
      <c r="C2507" s="24"/>
      <c r="D2507" s="16"/>
      <c r="E2507" s="16"/>
      <c r="F2507" s="16"/>
      <c r="G2507" s="16"/>
      <c r="H2507" s="16"/>
    </row>
    <row r="2508" spans="1:8" ht="12.5">
      <c r="A2508" s="24"/>
      <c r="B2508" s="17"/>
      <c r="C2508" s="24"/>
      <c r="D2508" s="16"/>
      <c r="E2508" s="16"/>
      <c r="F2508" s="16"/>
      <c r="G2508" s="16"/>
      <c r="H2508" s="16"/>
    </row>
    <row r="2509" spans="1:8" ht="12.5">
      <c r="A2509" s="24"/>
      <c r="B2509" s="17"/>
      <c r="C2509" s="24"/>
      <c r="D2509" s="16"/>
      <c r="E2509" s="16"/>
      <c r="F2509" s="16"/>
      <c r="G2509" s="16"/>
      <c r="H2509" s="16"/>
    </row>
    <row r="2510" spans="1:8" ht="12.5">
      <c r="A2510" s="24"/>
      <c r="B2510" s="17"/>
      <c r="C2510" s="24"/>
      <c r="D2510" s="16"/>
      <c r="E2510" s="16"/>
      <c r="F2510" s="16"/>
      <c r="G2510" s="16"/>
      <c r="H2510" s="16"/>
    </row>
    <row r="2511" spans="1:8" ht="12.5">
      <c r="A2511" s="24"/>
      <c r="B2511" s="17"/>
      <c r="C2511" s="24"/>
      <c r="D2511" s="16"/>
      <c r="E2511" s="16"/>
      <c r="F2511" s="16"/>
      <c r="G2511" s="16"/>
      <c r="H2511" s="16"/>
    </row>
    <row r="2512" spans="1:8" ht="12.5">
      <c r="A2512" s="24"/>
      <c r="B2512" s="17"/>
      <c r="C2512" s="24"/>
      <c r="D2512" s="16"/>
      <c r="E2512" s="16"/>
      <c r="F2512" s="16"/>
      <c r="G2512" s="16"/>
      <c r="H2512" s="16"/>
    </row>
    <row r="2513" spans="1:8" ht="12.5">
      <c r="A2513" s="24"/>
      <c r="B2513" s="17"/>
      <c r="C2513" s="24"/>
      <c r="D2513" s="16"/>
      <c r="E2513" s="16"/>
      <c r="F2513" s="16"/>
      <c r="G2513" s="16"/>
      <c r="H2513" s="16"/>
    </row>
    <row r="2514" spans="1:8" ht="12.5">
      <c r="A2514" s="24"/>
      <c r="B2514" s="17"/>
      <c r="C2514" s="24"/>
      <c r="D2514" s="16"/>
      <c r="E2514" s="16"/>
      <c r="F2514" s="16"/>
      <c r="G2514" s="16"/>
      <c r="H2514" s="16"/>
    </row>
    <row r="2515" spans="1:8" ht="12.5">
      <c r="A2515" s="24"/>
      <c r="B2515" s="17"/>
      <c r="C2515" s="24"/>
      <c r="D2515" s="16"/>
      <c r="E2515" s="16"/>
      <c r="F2515" s="16"/>
      <c r="G2515" s="16"/>
      <c r="H2515" s="16"/>
    </row>
    <row r="2516" spans="1:8" ht="12.5">
      <c r="A2516" s="24"/>
      <c r="B2516" s="17"/>
      <c r="C2516" s="24"/>
      <c r="D2516" s="16"/>
      <c r="E2516" s="16"/>
      <c r="F2516" s="16"/>
      <c r="G2516" s="16"/>
      <c r="H2516" s="16"/>
    </row>
    <row r="2517" spans="1:8" ht="12.5">
      <c r="A2517" s="24"/>
      <c r="B2517" s="17"/>
      <c r="C2517" s="24"/>
      <c r="D2517" s="16"/>
      <c r="E2517" s="16"/>
      <c r="F2517" s="16"/>
      <c r="G2517" s="16"/>
      <c r="H2517" s="16"/>
    </row>
    <row r="2518" spans="1:8" ht="12.5">
      <c r="A2518" s="24"/>
      <c r="B2518" s="17"/>
      <c r="C2518" s="24"/>
      <c r="D2518" s="16"/>
      <c r="E2518" s="16"/>
      <c r="F2518" s="16"/>
      <c r="G2518" s="16"/>
      <c r="H2518" s="16"/>
    </row>
    <row r="2519" spans="1:8" ht="12.5">
      <c r="A2519" s="24"/>
      <c r="B2519" s="17"/>
      <c r="C2519" s="24"/>
      <c r="D2519" s="16"/>
      <c r="E2519" s="16"/>
      <c r="F2519" s="16"/>
      <c r="G2519" s="16"/>
      <c r="H2519" s="16"/>
    </row>
    <row r="2520" spans="1:8" ht="12.5">
      <c r="A2520" s="24"/>
      <c r="B2520" s="17"/>
      <c r="C2520" s="24"/>
      <c r="D2520" s="16"/>
      <c r="E2520" s="16"/>
      <c r="F2520" s="16"/>
      <c r="G2520" s="16"/>
      <c r="H2520" s="16"/>
    </row>
    <row r="2521" spans="1:8" ht="12.5">
      <c r="A2521" s="24"/>
      <c r="B2521" s="17"/>
      <c r="C2521" s="24"/>
      <c r="D2521" s="16"/>
      <c r="E2521" s="16"/>
      <c r="F2521" s="16"/>
      <c r="G2521" s="16"/>
      <c r="H2521" s="16"/>
    </row>
    <row r="2522" spans="1:8" ht="12.5">
      <c r="A2522" s="24"/>
      <c r="B2522" s="17"/>
      <c r="C2522" s="24"/>
      <c r="D2522" s="16"/>
      <c r="E2522" s="16"/>
      <c r="F2522" s="16"/>
      <c r="G2522" s="16"/>
      <c r="H2522" s="16"/>
    </row>
    <row r="2523" spans="1:8" ht="12.5">
      <c r="A2523" s="24"/>
      <c r="B2523" s="17"/>
      <c r="C2523" s="24"/>
      <c r="D2523" s="16"/>
      <c r="E2523" s="16"/>
      <c r="F2523" s="16"/>
      <c r="G2523" s="16"/>
      <c r="H2523" s="16"/>
    </row>
    <row r="2524" spans="1:8" ht="12.5">
      <c r="A2524" s="24"/>
      <c r="B2524" s="17"/>
      <c r="C2524" s="24"/>
      <c r="D2524" s="16"/>
      <c r="E2524" s="16"/>
      <c r="F2524" s="16"/>
      <c r="G2524" s="16"/>
      <c r="H2524" s="16"/>
    </row>
    <row r="2525" spans="1:8" ht="12.5">
      <c r="A2525" s="24"/>
      <c r="B2525" s="17"/>
      <c r="C2525" s="24"/>
      <c r="D2525" s="16"/>
      <c r="E2525" s="16"/>
      <c r="F2525" s="16"/>
      <c r="G2525" s="16"/>
      <c r="H2525" s="16"/>
    </row>
    <row r="2526" spans="1:8" ht="12.5">
      <c r="A2526" s="24"/>
      <c r="B2526" s="17"/>
      <c r="C2526" s="24"/>
      <c r="D2526" s="16"/>
      <c r="E2526" s="16"/>
      <c r="F2526" s="16"/>
      <c r="G2526" s="16"/>
      <c r="H2526" s="16"/>
    </row>
    <row r="2527" spans="1:8" ht="12.5">
      <c r="A2527" s="24"/>
      <c r="B2527" s="17"/>
      <c r="C2527" s="24"/>
      <c r="D2527" s="16"/>
      <c r="E2527" s="16"/>
      <c r="F2527" s="16"/>
      <c r="G2527" s="16"/>
      <c r="H2527" s="16"/>
    </row>
    <row r="2528" spans="1:8" ht="12.5">
      <c r="A2528" s="24"/>
      <c r="B2528" s="17"/>
      <c r="C2528" s="24"/>
      <c r="D2528" s="16"/>
      <c r="E2528" s="16"/>
      <c r="F2528" s="16"/>
      <c r="G2528" s="16"/>
      <c r="H2528" s="16"/>
    </row>
    <row r="2529" spans="1:8" ht="12.5">
      <c r="A2529" s="24"/>
      <c r="B2529" s="17"/>
      <c r="C2529" s="24"/>
      <c r="D2529" s="16"/>
      <c r="E2529" s="16"/>
      <c r="F2529" s="16"/>
      <c r="G2529" s="16"/>
      <c r="H2529" s="16"/>
    </row>
    <row r="2530" spans="1:8" ht="12.5">
      <c r="A2530" s="24"/>
      <c r="B2530" s="17"/>
      <c r="C2530" s="24"/>
      <c r="D2530" s="16"/>
      <c r="E2530" s="16"/>
      <c r="F2530" s="16"/>
      <c r="G2530" s="16"/>
      <c r="H2530" s="16"/>
    </row>
    <row r="2531" spans="1:8" ht="12.5">
      <c r="A2531" s="24"/>
      <c r="B2531" s="17"/>
      <c r="C2531" s="24"/>
      <c r="D2531" s="16"/>
      <c r="E2531" s="16"/>
      <c r="F2531" s="16"/>
      <c r="G2531" s="16"/>
      <c r="H2531" s="16"/>
    </row>
    <row r="2532" spans="1:8" ht="12.5">
      <c r="A2532" s="24"/>
      <c r="B2532" s="17"/>
      <c r="C2532" s="24"/>
      <c r="D2532" s="16"/>
      <c r="E2532" s="16"/>
      <c r="F2532" s="16"/>
      <c r="G2532" s="16"/>
      <c r="H2532" s="16"/>
    </row>
    <row r="2533" spans="1:8" ht="12.5">
      <c r="A2533" s="24"/>
      <c r="B2533" s="17"/>
      <c r="C2533" s="24"/>
      <c r="D2533" s="16"/>
      <c r="E2533" s="16"/>
      <c r="F2533" s="16"/>
      <c r="G2533" s="16"/>
      <c r="H2533" s="16"/>
    </row>
    <row r="2534" spans="1:8" ht="12.5">
      <c r="A2534" s="24"/>
      <c r="B2534" s="17"/>
      <c r="C2534" s="24"/>
      <c r="D2534" s="16"/>
      <c r="E2534" s="16"/>
      <c r="F2534" s="16"/>
      <c r="G2534" s="16"/>
      <c r="H2534" s="16"/>
    </row>
    <row r="2535" spans="1:8" ht="12.5">
      <c r="A2535" s="24"/>
      <c r="B2535" s="17"/>
      <c r="C2535" s="24"/>
      <c r="D2535" s="16"/>
      <c r="E2535" s="16"/>
      <c r="F2535" s="16"/>
      <c r="G2535" s="16"/>
      <c r="H2535" s="16"/>
    </row>
    <row r="2536" spans="1:8" ht="12.5">
      <c r="A2536" s="24"/>
      <c r="B2536" s="17"/>
      <c r="C2536" s="24"/>
      <c r="D2536" s="16"/>
      <c r="E2536" s="16"/>
      <c r="F2536" s="16"/>
      <c r="G2536" s="16"/>
      <c r="H2536" s="16"/>
    </row>
    <row r="2537" spans="1:8" ht="12.5">
      <c r="A2537" s="24"/>
      <c r="B2537" s="17"/>
      <c r="C2537" s="24"/>
      <c r="D2537" s="16"/>
      <c r="E2537" s="16"/>
      <c r="F2537" s="16"/>
      <c r="G2537" s="16"/>
      <c r="H2537" s="16"/>
    </row>
    <row r="2538" spans="1:8" ht="12.5">
      <c r="A2538" s="24"/>
      <c r="B2538" s="17"/>
      <c r="C2538" s="24"/>
      <c r="D2538" s="16"/>
      <c r="E2538" s="16"/>
      <c r="F2538" s="16"/>
      <c r="G2538" s="16"/>
      <c r="H2538" s="16"/>
    </row>
    <row r="2539" spans="1:8" ht="12.5">
      <c r="A2539" s="24"/>
      <c r="B2539" s="17"/>
      <c r="C2539" s="24"/>
      <c r="D2539" s="16"/>
      <c r="E2539" s="16"/>
      <c r="F2539" s="16"/>
      <c r="G2539" s="16"/>
      <c r="H2539" s="16"/>
    </row>
    <row r="2540" spans="1:8" ht="12.5">
      <c r="A2540" s="24"/>
      <c r="B2540" s="17"/>
      <c r="C2540" s="24"/>
      <c r="D2540" s="16"/>
      <c r="E2540" s="16"/>
      <c r="F2540" s="16"/>
      <c r="G2540" s="16"/>
      <c r="H2540" s="16"/>
    </row>
    <row r="2541" spans="1:8" ht="12.5">
      <c r="A2541" s="24"/>
      <c r="B2541" s="17"/>
      <c r="C2541" s="24"/>
      <c r="D2541" s="16"/>
      <c r="E2541" s="16"/>
      <c r="F2541" s="16"/>
      <c r="G2541" s="16"/>
      <c r="H2541" s="16"/>
    </row>
    <row r="2542" spans="1:8" ht="12.5">
      <c r="A2542" s="24"/>
      <c r="B2542" s="17"/>
      <c r="C2542" s="24"/>
      <c r="D2542" s="16"/>
      <c r="E2542" s="16"/>
      <c r="F2542" s="16"/>
      <c r="G2542" s="16"/>
      <c r="H2542" s="16"/>
    </row>
    <row r="2543" spans="1:8" ht="12.5">
      <c r="A2543" s="24"/>
      <c r="B2543" s="17"/>
      <c r="C2543" s="24"/>
      <c r="D2543" s="16"/>
      <c r="E2543" s="16"/>
      <c r="F2543" s="16"/>
      <c r="G2543" s="16"/>
      <c r="H2543" s="16"/>
    </row>
    <row r="2544" spans="1:8" ht="12.5">
      <c r="A2544" s="24"/>
      <c r="B2544" s="17"/>
      <c r="C2544" s="24"/>
      <c r="D2544" s="16"/>
      <c r="E2544" s="16"/>
      <c r="F2544" s="16"/>
      <c r="G2544" s="16"/>
      <c r="H2544" s="16"/>
    </row>
    <row r="2545" spans="1:8" ht="12.5">
      <c r="A2545" s="24"/>
      <c r="B2545" s="17"/>
      <c r="C2545" s="24"/>
      <c r="D2545" s="16"/>
      <c r="E2545" s="16"/>
      <c r="F2545" s="16"/>
      <c r="G2545" s="16"/>
      <c r="H2545" s="16"/>
    </row>
  </sheetData>
  <autoFilter ref="A1:C42" xr:uid="{00000000-0009-0000-0000-000002000000}"/>
  <hyperlinks>
    <hyperlink ref="H1733" r:id="rId1" display="https://drive.google.com/drive/folders/1tBRPEiGyYMUgsvzRDRDhDGIf_ZAKNFA1?usp=sharing" xr:uid="{00000000-0004-0000-0200-000000000000}"/>
  </hyperlinks>
  <pageMargins left="0.7" right="0.7" top="0.75" bottom="0.75" header="0.3" footer="0.3"/>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10.08984375" customWidth="1"/>
    <col min="3" max="3" width="8.08984375" customWidth="1"/>
    <col min="4" max="4" width="6.90625" customWidth="1"/>
    <col min="5" max="5" width="11.6328125" customWidth="1"/>
    <col min="6" max="6" width="10.08984375" customWidth="1"/>
    <col min="7" max="8" width="25.453125" customWidth="1"/>
    <col min="9" max="10" width="22.08984375" customWidth="1"/>
    <col min="11" max="11" width="14.26953125" customWidth="1"/>
    <col min="12" max="12" width="26.36328125" customWidth="1"/>
    <col min="13" max="13" width="12.08984375" customWidth="1"/>
    <col min="14" max="14" width="9.7265625" customWidth="1"/>
    <col min="15" max="15" width="31.36328125" customWidth="1"/>
  </cols>
  <sheetData>
    <row r="1" spans="1:15" ht="15.75" customHeight="1">
      <c r="A1" s="17"/>
      <c r="B1" s="17"/>
      <c r="C1" s="24"/>
      <c r="D1" s="17"/>
      <c r="E1" s="17"/>
      <c r="F1" s="17"/>
      <c r="G1" s="17"/>
      <c r="H1" s="17"/>
      <c r="I1" s="17"/>
      <c r="J1" s="17"/>
      <c r="K1" s="17"/>
      <c r="L1" s="17"/>
      <c r="M1" s="17"/>
      <c r="N1" s="17"/>
      <c r="O1" s="17"/>
    </row>
    <row r="2" spans="1:15" ht="15.75" customHeight="1">
      <c r="A2" s="143" t="s">
        <v>85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27" t="s">
        <v>1979</v>
      </c>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3">
      <c r="A11" s="77" t="s">
        <v>0</v>
      </c>
      <c r="B11" s="78" t="s">
        <v>1</v>
      </c>
      <c r="C11" s="79" t="s">
        <v>2</v>
      </c>
      <c r="D11" s="80" t="s">
        <v>3</v>
      </c>
      <c r="E11" s="81" t="s">
        <v>4</v>
      </c>
      <c r="F11" s="82" t="s">
        <v>5</v>
      </c>
      <c r="G11" s="83" t="s">
        <v>6</v>
      </c>
      <c r="H11" s="82" t="s">
        <v>7</v>
      </c>
      <c r="I11" s="35" t="s">
        <v>8</v>
      </c>
      <c r="J11" s="35" t="s">
        <v>9</v>
      </c>
      <c r="K11" s="35" t="s">
        <v>10</v>
      </c>
      <c r="L11" s="84"/>
      <c r="M11" s="84"/>
      <c r="N11" s="84"/>
      <c r="O11" s="85"/>
    </row>
    <row r="12" spans="1:15" ht="15.75" customHeight="1">
      <c r="A12" s="17" t="str">
        <f ca="1">IFERROR(__xludf.DUMMYFUNCTION("FILTER('Edo Cta Jeeves Sept'!$A$12:$C$1003,'Edo Cta Jeeves Sept'!$J$12:$J$1003=$A$2)"),"TRX1294")</f>
        <v>TRX1294</v>
      </c>
      <c r="B12" s="86" t="str">
        <f ca="1">IFERROR(__xludf.DUMMYFUNCTION("""COMPUTED_VALUE"""),"#16")</f>
        <v>#16</v>
      </c>
      <c r="C12" s="63">
        <f ca="1">IFERROR(__xludf.DUMMYFUNCTION("""COMPUTED_VALUE"""),46055.4166666666)</f>
        <v>46055.416666666599</v>
      </c>
      <c r="D12" s="65">
        <f ca="1">IFERROR(__xludf.DUMMYFUNCTION("FILTER('Edo Cta Jeeves Sept'!$G$12:$G$1003,'Edo Cta Jeeves Sept'!$J$12:$J$1003=$A$2)"),363.15)</f>
        <v>363.15</v>
      </c>
      <c r="E12" s="17" t="str">
        <f ca="1">IFERROR(__xludf.DUMMYFUNCTION("FILTER('Edo Cta Jeeves Sept'!$I$12:$I$1003,'Edo Cta Jeeves Sept'!$J$12:$J$1003=$A$2)"),"USD")</f>
        <v>USD</v>
      </c>
      <c r="F12" s="17" t="str">
        <f ca="1">IFERROR(__xludf.DUMMYFUNCTION("FILTER('Edo Cta Jeeves Sept'!$J$12:$J$1003,'Edo Cta Jeeves Sept'!$J$12:$J$1003=$A$2)"),"Rogelio Gamez")</f>
        <v>Rogelio Gamez</v>
      </c>
      <c r="G12" s="17" t="str">
        <f ca="1">IFERROR(__xludf.DUMMYFUNCTION("FILTER('Edo Cta Jeeves Sept'!$K$12:$L$1003,'Edo Cta Jeeves Sept'!$J$12:$J$1003=$A$2)"),"OPENAI *CHATGPT SUBSCR SAN FRANCISCO USA")</f>
        <v>OPENAI *CHATGPT SUBSCR SAN FRANCISCO USA</v>
      </c>
      <c r="H12" s="17" t="str">
        <f ca="1">IFERROR(__xludf.DUMMYFUNCTION("""COMPUTED_VALUE"""),"Openai")</f>
        <v>Openai</v>
      </c>
      <c r="I12" s="17" t="str">
        <f ca="1">IFERROR(__xludf.DUMMYFUNCTION("IMPORTRANGE(""https://docs.google.com/spreadsheets/d/1KiyAf9G1I934qnsQjx1_j3_ODcgOAYK2jfwnh8c74JY/edit#gid=1404531132"",""#16 Rogelio!I12:K80"")"),"Tech&amp;Product")</f>
        <v>Tech&amp;Product</v>
      </c>
      <c r="J12" s="17"/>
      <c r="K12" s="17"/>
      <c r="L12" s="87" t="s">
        <v>1983</v>
      </c>
      <c r="M12" s="65">
        <f ca="1">D12+D16+D30+D43</f>
        <v>1310.32</v>
      </c>
      <c r="N12" s="17" t="s">
        <v>1984</v>
      </c>
      <c r="O12" s="87" t="s">
        <v>1983</v>
      </c>
    </row>
    <row r="13" spans="1:15" ht="15.75" customHeight="1">
      <c r="A13" s="17" t="str">
        <f ca="1">IFERROR(__xludf.DUMMYFUNCTION("""COMPUTED_VALUE"""),"TRX1233")</f>
        <v>TRX1233</v>
      </c>
      <c r="B13" s="86" t="str">
        <f ca="1">IFERROR(__xludf.DUMMYFUNCTION("""COMPUTED_VALUE"""),"#16")</f>
        <v>#16</v>
      </c>
      <c r="C13" s="63">
        <f ca="1">IFERROR(__xludf.DUMMYFUNCTION("""COMPUTED_VALUE"""),46058.4166666666)</f>
        <v>46058.416666666599</v>
      </c>
      <c r="D13" s="65">
        <f ca="1">IFERROR(__xludf.DUMMYFUNCTION("""COMPUTED_VALUE"""),6615.11)</f>
        <v>6615.11</v>
      </c>
      <c r="E13" s="17" t="str">
        <f ca="1">IFERROR(__xludf.DUMMYFUNCTION("""COMPUTED_VALUE"""),"MXN")</f>
        <v>MXN</v>
      </c>
      <c r="F13" s="17" t="str">
        <f ca="1">IFERROR(__xludf.DUMMYFUNCTION("""COMPUTED_VALUE"""),"Rogelio Gamez")</f>
        <v>Rogelio Gamez</v>
      </c>
      <c r="G13" s="17" t="str">
        <f ca="1">IFERROR(__xludf.DUMMYFUNCTION("""COMPUTED_VALUE"""),"PAYU   *GOOGLE ADS     MIGUEL HIDALG MEX")</f>
        <v>PAYU   *GOOGLE ADS     MIGUEL HIDALG MEX</v>
      </c>
      <c r="H13" s="17" t="str">
        <f ca="1">IFERROR(__xludf.DUMMYFUNCTION("""COMPUTED_VALUE"""),"Google")</f>
        <v>Google</v>
      </c>
      <c r="I13" s="17" t="str">
        <f ca="1">IFERROR(__xludf.DUMMYFUNCTION("""COMPUTED_VALUE"""),"Sales")</f>
        <v>Sales</v>
      </c>
      <c r="J13" s="17" t="str">
        <f ca="1">IFERROR(__xludf.DUMMYFUNCTION("""COMPUTED_VALUE"""),"Marketing")</f>
        <v>Marketing</v>
      </c>
      <c r="K13" s="17"/>
      <c r="L13" s="87" t="s">
        <v>1983</v>
      </c>
      <c r="M13" s="65">
        <f ca="1">D13+D15+D17+D19+D21+D24+D25+D28+D32+D33+D34+D39+D40+D42+D44+D45</f>
        <v>180252.46000000002</v>
      </c>
      <c r="N13" s="17" t="s">
        <v>1985</v>
      </c>
      <c r="O13" s="17"/>
    </row>
    <row r="14" spans="1:15" ht="15.75" customHeight="1">
      <c r="A14" s="17" t="str">
        <f ca="1">IFERROR(__xludf.DUMMYFUNCTION("""COMPUTED_VALUE"""),"TRX1185")</f>
        <v>TRX1185</v>
      </c>
      <c r="B14" s="86" t="str">
        <f ca="1">IFERROR(__xludf.DUMMYFUNCTION("""COMPUTED_VALUE"""),"#16")</f>
        <v>#16</v>
      </c>
      <c r="C14" s="63">
        <f ca="1">IFERROR(__xludf.DUMMYFUNCTION("""COMPUTED_VALUE"""),46059.4166666666)</f>
        <v>46059.416666666599</v>
      </c>
      <c r="D14" s="65">
        <f ca="1">IFERROR(__xludf.DUMMYFUNCTION("""COMPUTED_VALUE"""),696.88)</f>
        <v>696.88</v>
      </c>
      <c r="E14" s="17" t="str">
        <f ca="1">IFERROR(__xludf.DUMMYFUNCTION("""COMPUTED_VALUE"""),"MXN")</f>
        <v>MXN</v>
      </c>
      <c r="F14" s="17" t="str">
        <f ca="1">IFERROR(__xludf.DUMMYFUNCTION("""COMPUTED_VALUE"""),"Rogelio Gamez")</f>
        <v>Rogelio Gamez</v>
      </c>
      <c r="G14" s="17" t="str">
        <f ca="1">IFERROR(__xludf.DUMMYFUNCTION("""COMPUTED_VALUE"""),"Amazon Mexico          CMX           MEX")</f>
        <v>Amazon Mexico          CMX           MEX</v>
      </c>
      <c r="H14" s="17" t="str">
        <f ca="1">IFERROR(__xludf.DUMMYFUNCTION("""COMPUTED_VALUE"""),"Amazon")</f>
        <v>Amazon</v>
      </c>
      <c r="I14" s="17" t="str">
        <f ca="1">IFERROR(__xludf.DUMMYFUNCTION("""COMPUTED_VALUE"""),"Office expenses")</f>
        <v>Office expenses</v>
      </c>
      <c r="J14" s="17"/>
      <c r="K14" s="17"/>
      <c r="L14" s="87" t="s">
        <v>1983</v>
      </c>
      <c r="M14" s="65">
        <f ca="1">D14+D29+D46</f>
        <v>697.74</v>
      </c>
      <c r="N14" s="17" t="s">
        <v>1986</v>
      </c>
      <c r="O14" s="17"/>
    </row>
    <row r="15" spans="1:15" ht="15.75" customHeight="1">
      <c r="A15" s="17" t="str">
        <f ca="1">IFERROR(__xludf.DUMMYFUNCTION("""COMPUTED_VALUE"""),"TRX1184")</f>
        <v>TRX1184</v>
      </c>
      <c r="B15" s="86" t="str">
        <f ca="1">IFERROR(__xludf.DUMMYFUNCTION("""COMPUTED_VALUE"""),"#16")</f>
        <v>#16</v>
      </c>
      <c r="C15" s="63">
        <f ca="1">IFERROR(__xludf.DUMMYFUNCTION("""COMPUTED_VALUE"""),46059.4166666666)</f>
        <v>46059.416666666599</v>
      </c>
      <c r="D15" s="65">
        <f ca="1">IFERROR(__xludf.DUMMYFUNCTION("""COMPUTED_VALUE"""),903.99)</f>
        <v>903.99</v>
      </c>
      <c r="E15" s="17" t="str">
        <f ca="1">IFERROR(__xludf.DUMMYFUNCTION("""COMPUTED_VALUE"""),"MXN")</f>
        <v>MXN</v>
      </c>
      <c r="F15" s="17" t="str">
        <f ca="1">IFERROR(__xludf.DUMMYFUNCTION("""COMPUTED_VALUE"""),"Rogelio Gamez")</f>
        <v>Rogelio Gamez</v>
      </c>
      <c r="G15" s="17" t="str">
        <f ca="1">IFERROR(__xludf.DUMMYFUNCTION("""COMPUTED_VALUE"""),"Amazon Mexico          CMX           MEX")</f>
        <v>Amazon Mexico          CMX           MEX</v>
      </c>
      <c r="H15" s="17" t="str">
        <f ca="1">IFERROR(__xludf.DUMMYFUNCTION("""COMPUTED_VALUE"""),"Amazon")</f>
        <v>Amazon</v>
      </c>
      <c r="I15" s="17" t="str">
        <f ca="1">IFERROR(__xludf.DUMMYFUNCTION("""COMPUTED_VALUE"""),"Office expenses")</f>
        <v>Office expenses</v>
      </c>
      <c r="J15" s="17"/>
      <c r="K15" s="17"/>
      <c r="L15" s="87" t="s">
        <v>1983</v>
      </c>
      <c r="M15" s="65">
        <f ca="1">D18+D20+D22+D23+D26+D27+D31+D36+D37+D38+D41+D47</f>
        <v>32920</v>
      </c>
      <c r="N15" s="17" t="s">
        <v>1987</v>
      </c>
      <c r="O15" s="17"/>
    </row>
    <row r="16" spans="1:15" ht="15.75" customHeight="1">
      <c r="A16" s="17" t="str">
        <f ca="1">IFERROR(__xludf.DUMMYFUNCTION("""COMPUTED_VALUE"""),"TRX1179")</f>
        <v>TRX1179</v>
      </c>
      <c r="B16" s="86" t="str">
        <f ca="1">IFERROR(__xludf.DUMMYFUNCTION("""COMPUTED_VALUE"""),"#16")</f>
        <v>#16</v>
      </c>
      <c r="C16" s="63">
        <f ca="1">IFERROR(__xludf.DUMMYFUNCTION("""COMPUTED_VALUE"""),46059.4166666666)</f>
        <v>46059.416666666599</v>
      </c>
      <c r="D16" s="17">
        <f ca="1">IFERROR(__xludf.DUMMYFUNCTION("""COMPUTED_VALUE"""),647.17)</f>
        <v>647.16999999999996</v>
      </c>
      <c r="E16" s="17" t="str">
        <f ca="1">IFERROR(__xludf.DUMMYFUNCTION("""COMPUTED_VALUE"""),"MXN")</f>
        <v>MXN</v>
      </c>
      <c r="F16" s="17" t="str">
        <f ca="1">IFERROR(__xludf.DUMMYFUNCTION("""COMPUTED_VALUE"""),"Rogelio Gamez")</f>
        <v>Rogelio Gamez</v>
      </c>
      <c r="G16" s="17" t="str">
        <f ca="1">IFERROR(__xludf.DUMMYFUNCTION("""COMPUTED_VALUE"""),"Amazon Mexico          CMX           MEX")</f>
        <v>Amazon Mexico          CMX           MEX</v>
      </c>
      <c r="H16" s="17" t="str">
        <f ca="1">IFERROR(__xludf.DUMMYFUNCTION("""COMPUTED_VALUE"""),"Amazon")</f>
        <v>Amazon</v>
      </c>
      <c r="I16" s="17" t="str">
        <f ca="1">IFERROR(__xludf.DUMMYFUNCTION("""COMPUTED_VALUE"""),"Tech&amp;Product")</f>
        <v>Tech&amp;Product</v>
      </c>
      <c r="J16" s="17"/>
      <c r="K16" s="17"/>
      <c r="L16" s="87" t="s">
        <v>1983</v>
      </c>
      <c r="M16" s="65"/>
      <c r="N16" s="17" t="s">
        <v>1988</v>
      </c>
      <c r="O16" s="17"/>
    </row>
    <row r="17" spans="1:15" ht="15.75" customHeight="1">
      <c r="A17" s="17" t="str">
        <f ca="1">IFERROR(__xludf.DUMMYFUNCTION("""COMPUTED_VALUE"""),"TRX1177")</f>
        <v>TRX1177</v>
      </c>
      <c r="B17" s="86" t="str">
        <f ca="1">IFERROR(__xludf.DUMMYFUNCTION("""COMPUTED_VALUE"""),"#16")</f>
        <v>#16</v>
      </c>
      <c r="C17" s="63">
        <f ca="1">IFERROR(__xludf.DUMMYFUNCTION("""COMPUTED_VALUE"""),46059.4166666666)</f>
        <v>46059.416666666599</v>
      </c>
      <c r="D17" s="65">
        <f ca="1">IFERROR(__xludf.DUMMYFUNCTION("""COMPUTED_VALUE"""),620.01)</f>
        <v>620.01</v>
      </c>
      <c r="E17" s="17" t="str">
        <f ca="1">IFERROR(__xludf.DUMMYFUNCTION("""COMPUTED_VALUE"""),"MXN")</f>
        <v>MXN</v>
      </c>
      <c r="F17" s="17" t="str">
        <f ca="1">IFERROR(__xludf.DUMMYFUNCTION("""COMPUTED_VALUE"""),"Rogelio Gamez")</f>
        <v>Rogelio Gamez</v>
      </c>
      <c r="G17" s="17" t="str">
        <f ca="1">IFERROR(__xludf.DUMMYFUNCTION("""COMPUTED_VALUE"""),"Amazon Mexico          CMX           MEX")</f>
        <v>Amazon Mexico          CMX           MEX</v>
      </c>
      <c r="H17" s="17" t="str">
        <f ca="1">IFERROR(__xludf.DUMMYFUNCTION("""COMPUTED_VALUE"""),"Amazon")</f>
        <v>Amazon</v>
      </c>
      <c r="I17" s="17" t="str">
        <f ca="1">IFERROR(__xludf.DUMMYFUNCTION("""COMPUTED_VALUE"""),"Office expenses")</f>
        <v>Office expenses</v>
      </c>
      <c r="J17" s="17"/>
      <c r="K17" s="17"/>
      <c r="L17" s="87" t="s">
        <v>1983</v>
      </c>
      <c r="M17" s="17">
        <f>D48+D49+D50</f>
        <v>0</v>
      </c>
      <c r="N17" s="17" t="s">
        <v>1989</v>
      </c>
      <c r="O17" s="17"/>
    </row>
    <row r="18" spans="1:15" ht="15.75" customHeight="1">
      <c r="A18" s="17" t="str">
        <f ca="1">IFERROR(__xludf.DUMMYFUNCTION("""COMPUTED_VALUE"""),"TRX1170")</f>
        <v>TRX1170</v>
      </c>
      <c r="B18" s="86" t="str">
        <f ca="1">IFERROR(__xludf.DUMMYFUNCTION("""COMPUTED_VALUE"""),"#16")</f>
        <v>#16</v>
      </c>
      <c r="C18" s="63">
        <f ca="1">IFERROR(__xludf.DUMMYFUNCTION("""COMPUTED_VALUE"""),46059.4166666666)</f>
        <v>46059.416666666599</v>
      </c>
      <c r="D18" s="65">
        <f ca="1">IFERROR(__xludf.DUMMYFUNCTION("""COMPUTED_VALUE"""),4420)</f>
        <v>4420</v>
      </c>
      <c r="E18" s="17" t="str">
        <f ca="1">IFERROR(__xludf.DUMMYFUNCTION("""COMPUTED_VALUE"""),"MXN")</f>
        <v>MXN</v>
      </c>
      <c r="F18" s="17" t="str">
        <f ca="1">IFERROR(__xludf.DUMMYFUNCTION("""COMPUTED_VALUE"""),"Rogelio Gamez")</f>
        <v>Rogelio Gamez</v>
      </c>
      <c r="G18" s="17" t="str">
        <f ca="1">IFERROR(__xludf.DUMMYFUNCTION("""COMPUTED_VALUE"""),"MERCADOPAGO *FIERCEMX  Ciudad de Mex MEX")</f>
        <v>MERCADOPAGO *FIERCEMX  Ciudad de Mex MEX</v>
      </c>
      <c r="H18" s="17" t="str">
        <f ca="1">IFERROR(__xludf.DUMMYFUNCTION("""COMPUTED_VALUE"""),"Mercadopago")</f>
        <v>Mercadopago</v>
      </c>
      <c r="I18" s="17" t="str">
        <f ca="1">IFERROR(__xludf.DUMMYFUNCTION("""COMPUTED_VALUE"""),"Office expenses")</f>
        <v>Office expenses</v>
      </c>
      <c r="J18" s="17"/>
      <c r="K18" s="17"/>
      <c r="L18" s="87" t="s">
        <v>1983</v>
      </c>
      <c r="M18" s="17"/>
      <c r="N18" s="17"/>
      <c r="O18" s="17"/>
    </row>
    <row r="19" spans="1:15" ht="15.75" customHeight="1">
      <c r="A19" s="17" t="str">
        <f ca="1">IFERROR(__xludf.DUMMYFUNCTION("""COMPUTED_VALUE"""),"TRX1157")</f>
        <v>TRX1157</v>
      </c>
      <c r="B19" s="86" t="str">
        <f ca="1">IFERROR(__xludf.DUMMYFUNCTION("""COMPUTED_VALUE"""),"#16")</f>
        <v>#16</v>
      </c>
      <c r="C19" s="63">
        <f ca="1">IFERROR(__xludf.DUMMYFUNCTION("""COMPUTED_VALUE"""),46059.4173611111)</f>
        <v>46059.417361111096</v>
      </c>
      <c r="D19" s="65">
        <f ca="1">IFERROR(__xludf.DUMMYFUNCTION("""COMPUTED_VALUE"""),8990)</f>
        <v>8990</v>
      </c>
      <c r="E19" s="17" t="str">
        <f ca="1">IFERROR(__xludf.DUMMYFUNCTION("""COMPUTED_VALUE"""),"MXN")</f>
        <v>MXN</v>
      </c>
      <c r="F19" s="17" t="str">
        <f ca="1">IFERROR(__xludf.DUMMYFUNCTION("""COMPUTED_VALUE"""),"Rogelio Gamez")</f>
        <v>Rogelio Gamez</v>
      </c>
      <c r="G19" s="17" t="str">
        <f ca="1">IFERROR(__xludf.DUMMYFUNCTION("""COMPUTED_VALUE"""),"STR*SYNTAGE            CIUDAD DE MEX MEX")</f>
        <v>STR*SYNTAGE            CIUDAD DE MEX MEX</v>
      </c>
      <c r="H19" s="17" t="str">
        <f ca="1">IFERROR(__xludf.DUMMYFUNCTION("""COMPUTED_VALUE"""),"Str Syntage Ciudad De Mex Mex")</f>
        <v>Str Syntage Ciudad De Mex Mex</v>
      </c>
      <c r="I19" s="17" t="str">
        <f ca="1">IFERROR(__xludf.DUMMYFUNCTION("""COMPUTED_VALUE"""),"Office expenses")</f>
        <v>Office expenses</v>
      </c>
      <c r="J19" s="17"/>
      <c r="K19" s="17"/>
      <c r="L19" s="87" t="s">
        <v>1983</v>
      </c>
      <c r="M19" s="17"/>
      <c r="N19" s="17"/>
      <c r="O19" s="17"/>
    </row>
    <row r="20" spans="1:15" ht="12.5">
      <c r="A20" s="17" t="str">
        <f ca="1">IFERROR(__xludf.DUMMYFUNCTION("""COMPUTED_VALUE"""),"TRX1541")</f>
        <v>TRX1541</v>
      </c>
      <c r="B20" s="86" t="str">
        <f ca="1">IFERROR(__xludf.DUMMYFUNCTION("""COMPUTED_VALUE"""),"#16")</f>
        <v>#16</v>
      </c>
      <c r="C20" s="63">
        <f ca="1">IFERROR(__xludf.DUMMYFUNCTION("""COMPUTED_VALUE"""),46061.4173611111)</f>
        <v>46061.417361111096</v>
      </c>
      <c r="D20" s="65">
        <f ca="1">IFERROR(__xludf.DUMMYFUNCTION("""COMPUTED_VALUE"""),17401.35)</f>
        <v>17401.349999999999</v>
      </c>
      <c r="E20" s="17" t="str">
        <f ca="1">IFERROR(__xludf.DUMMYFUNCTION("""COMPUTED_VALUE"""),"USD")</f>
        <v>USD</v>
      </c>
      <c r="F20" s="17" t="str">
        <f ca="1">IFERROR(__xludf.DUMMYFUNCTION("""COMPUTED_VALUE"""),"Rogelio Gamez")</f>
        <v>Rogelio Gamez</v>
      </c>
      <c r="G20" s="17" t="str">
        <f ca="1">IFERROR(__xludf.DUMMYFUNCTION("""COMPUTED_VALUE"""),"NOTION LABS, INC.      SAN FRANCISCO USA")</f>
        <v>NOTION LABS, INC.      SAN FRANCISCO USA</v>
      </c>
      <c r="H20" s="17" t="str">
        <f ca="1">IFERROR(__xludf.DUMMYFUNCTION("""COMPUTED_VALUE"""),"Notion")</f>
        <v>Notion</v>
      </c>
      <c r="I20" s="17" t="str">
        <f ca="1">IFERROR(__xludf.DUMMYFUNCTION("""COMPUTED_VALUE"""),"Office expenses")</f>
        <v>Office expenses</v>
      </c>
      <c r="J20" s="17"/>
      <c r="K20" s="17"/>
      <c r="L20" s="87" t="s">
        <v>1983</v>
      </c>
      <c r="M20" s="65"/>
      <c r="N20" s="17"/>
      <c r="O20" s="17"/>
    </row>
    <row r="21" spans="1:15" ht="12.5">
      <c r="A21" s="17" t="str">
        <f ca="1">IFERROR(__xludf.DUMMYFUNCTION("""COMPUTED_VALUE"""),"TRX1648")</f>
        <v>TRX1648</v>
      </c>
      <c r="B21" s="86" t="str">
        <f ca="1">IFERROR(__xludf.DUMMYFUNCTION("""COMPUTED_VALUE"""),"#16")</f>
        <v>#16</v>
      </c>
      <c r="C21" s="63">
        <f ca="1">IFERROR(__xludf.DUMMYFUNCTION("""COMPUTED_VALUE"""),46061.4173611111)</f>
        <v>46061.417361111096</v>
      </c>
      <c r="D21" s="65">
        <f ca="1">IFERROR(__xludf.DUMMYFUNCTION("""COMPUTED_VALUE"""),151306.79)</f>
        <v>151306.79</v>
      </c>
      <c r="E21" s="17" t="str">
        <f ca="1">IFERROR(__xludf.DUMMYFUNCTION("""COMPUTED_VALUE"""),"USD")</f>
        <v>USD</v>
      </c>
      <c r="F21" s="17" t="str">
        <f ca="1">IFERROR(__xludf.DUMMYFUNCTION("""COMPUTED_VALUE"""),"Rogelio Gamez")</f>
        <v>Rogelio Gamez</v>
      </c>
      <c r="G21" s="17" t="str">
        <f ca="1">IFERROR(__xludf.DUMMYFUNCTION("""COMPUTED_VALUE"""),"Amazon web services    SEATTLE       USA")</f>
        <v>Amazon web services    SEATTLE       USA</v>
      </c>
      <c r="H21" s="17" t="str">
        <f ca="1">IFERROR(__xludf.DUMMYFUNCTION("""COMPUTED_VALUE"""),"Amazon Web Services")</f>
        <v>Amazon Web Services</v>
      </c>
      <c r="I21" s="17" t="str">
        <f ca="1">IFERROR(__xludf.DUMMYFUNCTION("""COMPUTED_VALUE"""),"Sales")</f>
        <v>Sales</v>
      </c>
      <c r="J21" s="17" t="str">
        <f ca="1">IFERROR(__xludf.DUMMYFUNCTION("""COMPUTED_VALUE"""),"Marketing")</f>
        <v>Marketing</v>
      </c>
      <c r="K21" s="17"/>
      <c r="L21" s="87" t="s">
        <v>1983</v>
      </c>
      <c r="M21" s="17"/>
      <c r="N21" s="17"/>
      <c r="O21" s="17"/>
    </row>
    <row r="22" spans="1:15" ht="12.5">
      <c r="A22" s="17" t="str">
        <f ca="1">IFERROR(__xludf.DUMMYFUNCTION("""COMPUTED_VALUE"""),"TRX1277")</f>
        <v>TRX1277</v>
      </c>
      <c r="B22" s="86" t="str">
        <f ca="1">IFERROR(__xludf.DUMMYFUNCTION("""COMPUTED_VALUE"""),"#16")</f>
        <v>#16</v>
      </c>
      <c r="C22" s="63">
        <f ca="1">IFERROR(__xludf.DUMMYFUNCTION("""COMPUTED_VALUE"""),46062.4166666666)</f>
        <v>46062.416666666599</v>
      </c>
      <c r="D22" s="65">
        <f ca="1">IFERROR(__xludf.DUMMYFUNCTION("""COMPUTED_VALUE"""),39)</f>
        <v>39</v>
      </c>
      <c r="E22" s="17" t="str">
        <f ca="1">IFERROR(__xludf.DUMMYFUNCTION("""COMPUTED_VALUE"""),"MXN")</f>
        <v>MXN</v>
      </c>
      <c r="F22" s="17" t="str">
        <f ca="1">IFERROR(__xludf.DUMMYFUNCTION("""COMPUTED_VALUE"""),"Rogelio Gamez")</f>
        <v>Rogelio Gamez</v>
      </c>
      <c r="G22" s="17" t="str">
        <f ca="1">IFERROR(__xludf.DUMMYFUNCTION("""COMPUTED_VALUE"""),"OFFICE DEPOT STAM      TLANEPANTLA E MEX")</f>
        <v>OFFICE DEPOT STAM      TLANEPANTLA E MEX</v>
      </c>
      <c r="H22" s="17" t="str">
        <f ca="1">IFERROR(__xludf.DUMMYFUNCTION("""COMPUTED_VALUE"""),"Office Depot")</f>
        <v>Office Depot</v>
      </c>
      <c r="I22" s="17" t="str">
        <f ca="1">IFERROR(__xludf.DUMMYFUNCTION("""COMPUTED_VALUE"""),"Office expenses")</f>
        <v>Office expenses</v>
      </c>
      <c r="J22" s="17"/>
      <c r="K22" s="17"/>
      <c r="L22" s="87" t="s">
        <v>1983</v>
      </c>
      <c r="M22" s="17"/>
      <c r="N22" s="17"/>
      <c r="O22" s="17"/>
    </row>
    <row r="23" spans="1:15" ht="12.5">
      <c r="A23" s="17" t="str">
        <f ca="1">IFERROR(__xludf.DUMMYFUNCTION("""COMPUTED_VALUE"""),"TRX1426")</f>
        <v>TRX1426</v>
      </c>
      <c r="B23" s="86" t="str">
        <f ca="1">IFERROR(__xludf.DUMMYFUNCTION("""COMPUTED_VALUE"""),"#16")</f>
        <v>#16</v>
      </c>
      <c r="C23" s="63">
        <f ca="1">IFERROR(__xludf.DUMMYFUNCTION("""COMPUTED_VALUE"""),46064.4166666666)</f>
        <v>46064.416666666599</v>
      </c>
      <c r="D23" s="65">
        <f ca="1">IFERROR(__xludf.DUMMYFUNCTION("""COMPUTED_VALUE"""),259.94)</f>
        <v>259.94</v>
      </c>
      <c r="E23" s="17" t="str">
        <f ca="1">IFERROR(__xludf.DUMMYFUNCTION("""COMPUTED_VALUE"""),"MXN")</f>
        <v>MXN</v>
      </c>
      <c r="F23" s="17" t="str">
        <f ca="1">IFERROR(__xludf.DUMMYFUNCTION("""COMPUTED_VALUE"""),"Rogelio Gamez")</f>
        <v>Rogelio Gamez</v>
      </c>
      <c r="G23" s="17" t="str">
        <f ca="1">IFERROR(__xludf.DUMMYFUNCTION("""COMPUTED_VALUE"""),"UBER * PENDING         CMX           MEX")</f>
        <v>UBER * PENDING         CMX           MEX</v>
      </c>
      <c r="H23" s="17" t="str">
        <f ca="1">IFERROR(__xludf.DUMMYFUNCTION("""COMPUTED_VALUE"""),"Uber")</f>
        <v>Uber</v>
      </c>
      <c r="I23" s="17" t="str">
        <f ca="1">IFERROR(__xludf.DUMMYFUNCTION("""COMPUTED_VALUE"""),"G&amp;A expenses")</f>
        <v>G&amp;A expenses</v>
      </c>
      <c r="J23" s="17"/>
      <c r="K23" s="17"/>
      <c r="L23" s="87" t="s">
        <v>1983</v>
      </c>
      <c r="M23" s="17"/>
      <c r="N23" s="17"/>
      <c r="O23" s="17"/>
    </row>
    <row r="24" spans="1:15" ht="12.5">
      <c r="A24" s="17" t="str">
        <f ca="1">IFERROR(__xludf.DUMMYFUNCTION("""COMPUTED_VALUE"""),"TRX1453")</f>
        <v>TRX1453</v>
      </c>
      <c r="B24" s="86" t="str">
        <f ca="1">IFERROR(__xludf.DUMMYFUNCTION("""COMPUTED_VALUE"""),"#16")</f>
        <v>#16</v>
      </c>
      <c r="C24" s="63">
        <f ca="1">IFERROR(__xludf.DUMMYFUNCTION("""COMPUTED_VALUE"""),46065.4166666666)</f>
        <v>46065.416666666599</v>
      </c>
      <c r="D24" s="65">
        <f ca="1">IFERROR(__xludf.DUMMYFUNCTION("""COMPUTED_VALUE"""),179)</f>
        <v>179</v>
      </c>
      <c r="E24" s="17" t="str">
        <f ca="1">IFERROR(__xludf.DUMMYFUNCTION("""COMPUTED_VALUE"""),"MXN")</f>
        <v>MXN</v>
      </c>
      <c r="F24" s="17" t="str">
        <f ca="1">IFERROR(__xludf.DUMMYFUNCTION("""COMPUTED_VALUE"""),"Rogelio Gamez")</f>
        <v>Rogelio Gamez</v>
      </c>
      <c r="G24" s="17" t="str">
        <f ca="1">IFERROR(__xludf.DUMMYFUNCTION("""COMPUTED_VALUE"""),"Amazon Mexico          CMX           MEX")</f>
        <v>Amazon Mexico          CMX           MEX</v>
      </c>
      <c r="H24" s="17" t="str">
        <f ca="1">IFERROR(__xludf.DUMMYFUNCTION("""COMPUTED_VALUE"""),"Amazon")</f>
        <v>Amazon</v>
      </c>
      <c r="I24" s="17" t="str">
        <f ca="1">IFERROR(__xludf.DUMMYFUNCTION("""COMPUTED_VALUE"""),"Office expenses")</f>
        <v>Office expenses</v>
      </c>
      <c r="J24" s="17"/>
      <c r="K24" s="17"/>
      <c r="L24" s="87" t="s">
        <v>1983</v>
      </c>
      <c r="M24" s="17"/>
      <c r="N24" s="17"/>
      <c r="O24" s="17"/>
    </row>
    <row r="25" spans="1:15" ht="12.5">
      <c r="A25" s="17" t="str">
        <f ca="1">IFERROR(__xludf.DUMMYFUNCTION("""COMPUTED_VALUE"""),"TRX1331")</f>
        <v>TRX1331</v>
      </c>
      <c r="B25" s="86" t="str">
        <f ca="1">IFERROR(__xludf.DUMMYFUNCTION("""COMPUTED_VALUE"""),"#16")</f>
        <v>#16</v>
      </c>
      <c r="C25" s="63">
        <f ca="1">IFERROR(__xludf.DUMMYFUNCTION("""COMPUTED_VALUE"""),46065.4166666666)</f>
        <v>46065.416666666599</v>
      </c>
      <c r="D25" s="65">
        <f ca="1">IFERROR(__xludf.DUMMYFUNCTION("""COMPUTED_VALUE"""),939.94)</f>
        <v>939.94</v>
      </c>
      <c r="E25" s="17" t="str">
        <f ca="1">IFERROR(__xludf.DUMMYFUNCTION("""COMPUTED_VALUE"""),"MXN")</f>
        <v>MXN</v>
      </c>
      <c r="F25" s="17" t="str">
        <f ca="1">IFERROR(__xludf.DUMMYFUNCTION("""COMPUTED_VALUE"""),"Rogelio Gamez")</f>
        <v>Rogelio Gamez</v>
      </c>
      <c r="G25" s="17" t="str">
        <f ca="1">IFERROR(__xludf.DUMMYFUNCTION("""COMPUTED_VALUE"""),"Amazon Mexico          CMX           MEX")</f>
        <v>Amazon Mexico          CMX           MEX</v>
      </c>
      <c r="H25" s="17" t="str">
        <f ca="1">IFERROR(__xludf.DUMMYFUNCTION("""COMPUTED_VALUE"""),"Amazon")</f>
        <v>Amazon</v>
      </c>
      <c r="I25" s="17" t="str">
        <f ca="1">IFERROR(__xludf.DUMMYFUNCTION("""COMPUTED_VALUE"""),"G&amp;A expenses")</f>
        <v>G&amp;A expenses</v>
      </c>
      <c r="J25" s="17"/>
      <c r="K25" s="17"/>
      <c r="L25" s="87" t="s">
        <v>1983</v>
      </c>
      <c r="M25" s="17"/>
      <c r="N25" s="17"/>
      <c r="O25" s="17"/>
    </row>
    <row r="26" spans="1:15" ht="12.5">
      <c r="A26" s="17" t="str">
        <f ca="1">IFERROR(__xludf.DUMMYFUNCTION("""COMPUTED_VALUE"""),"TRX1926")</f>
        <v>TRX1926</v>
      </c>
      <c r="B26" s="86" t="str">
        <f ca="1">IFERROR(__xludf.DUMMYFUNCTION("""COMPUTED_VALUE"""),"#16")</f>
        <v>#16</v>
      </c>
      <c r="C26" s="63">
        <f ca="1">IFERROR(__xludf.DUMMYFUNCTION("""COMPUTED_VALUE"""),46065.4166666666)</f>
        <v>46065.416666666599</v>
      </c>
      <c r="D26" s="65">
        <f ca="1">IFERROR(__xludf.DUMMYFUNCTION("""COMPUTED_VALUE"""),499.72)</f>
        <v>499.72</v>
      </c>
      <c r="E26" s="17" t="str">
        <f ca="1">IFERROR(__xludf.DUMMYFUNCTION("""COMPUTED_VALUE"""),"MXN")</f>
        <v>MXN</v>
      </c>
      <c r="F26" s="17" t="str">
        <f ca="1">IFERROR(__xludf.DUMMYFUNCTION("""COMPUTED_VALUE"""),"Rogelio Gamez")</f>
        <v>Rogelio Gamez</v>
      </c>
      <c r="G26" s="17" t="str">
        <f ca="1">IFERROR(__xludf.DUMMYFUNCTION("""COMPUTED_VALUE"""),"Amazon Mexico          CMX           MEX")</f>
        <v>Amazon Mexico          CMX           MEX</v>
      </c>
      <c r="H26" s="17" t="str">
        <f ca="1">IFERROR(__xludf.DUMMYFUNCTION("""COMPUTED_VALUE"""),"Amazon")</f>
        <v>Amazon</v>
      </c>
      <c r="I26" s="17" t="str">
        <f ca="1">IFERROR(__xludf.DUMMYFUNCTION("""COMPUTED_VALUE"""),"Tech&amp;Product")</f>
        <v>Tech&amp;Product</v>
      </c>
      <c r="J26" s="17"/>
      <c r="K26" s="17"/>
      <c r="L26" s="87" t="s">
        <v>1983</v>
      </c>
      <c r="M26" s="17"/>
      <c r="N26" s="17"/>
      <c r="O26" s="17"/>
    </row>
    <row r="27" spans="1:15" ht="12.5">
      <c r="A27" s="17" t="str">
        <f ca="1">IFERROR(__xludf.DUMMYFUNCTION("""COMPUTED_VALUE"""),"TRX1345")</f>
        <v>TRX1345</v>
      </c>
      <c r="B27" s="86" t="str">
        <f ca="1">IFERROR(__xludf.DUMMYFUNCTION("""COMPUTED_VALUE"""),"#16")</f>
        <v>#16</v>
      </c>
      <c r="C27" s="63">
        <f ca="1">IFERROR(__xludf.DUMMYFUNCTION("""COMPUTED_VALUE"""),46065.4166666666)</f>
        <v>46065.416666666599</v>
      </c>
      <c r="D27" s="65">
        <f ca="1">IFERROR(__xludf.DUMMYFUNCTION("""COMPUTED_VALUE"""),299.99)</f>
        <v>299.99</v>
      </c>
      <c r="E27" s="17" t="str">
        <f ca="1">IFERROR(__xludf.DUMMYFUNCTION("""COMPUTED_VALUE"""),"MXN")</f>
        <v>MXN</v>
      </c>
      <c r="F27" s="17" t="str">
        <f ca="1">IFERROR(__xludf.DUMMYFUNCTION("""COMPUTED_VALUE"""),"Rogelio Gamez")</f>
        <v>Rogelio Gamez</v>
      </c>
      <c r="G27" s="17" t="str">
        <f ca="1">IFERROR(__xludf.DUMMYFUNCTION("""COMPUTED_VALUE"""),"Amazon Mexico          CMX           MEX")</f>
        <v>Amazon Mexico          CMX           MEX</v>
      </c>
      <c r="H27" s="17" t="str">
        <f ca="1">IFERROR(__xludf.DUMMYFUNCTION("""COMPUTED_VALUE"""),"Amazon")</f>
        <v>Amazon</v>
      </c>
      <c r="I27" s="17" t="str">
        <f ca="1">IFERROR(__xludf.DUMMYFUNCTION("""COMPUTED_VALUE"""),"Office expenses")</f>
        <v>Office expenses</v>
      </c>
      <c r="J27" s="17"/>
      <c r="K27" s="17"/>
      <c r="L27" s="87" t="s">
        <v>1983</v>
      </c>
      <c r="M27" s="17"/>
      <c r="N27" s="17"/>
      <c r="O27" s="17"/>
    </row>
    <row r="28" spans="1:15" ht="12.5">
      <c r="A28" s="17" t="str">
        <f ca="1">IFERROR(__xludf.DUMMYFUNCTION("""COMPUTED_VALUE"""),"TRX1338")</f>
        <v>TRX1338</v>
      </c>
      <c r="B28" s="86" t="str">
        <f ca="1">IFERROR(__xludf.DUMMYFUNCTION("""COMPUTED_VALUE"""),"#16")</f>
        <v>#16</v>
      </c>
      <c r="C28" s="63">
        <f ca="1">IFERROR(__xludf.DUMMYFUNCTION("""COMPUTED_VALUE"""),46065.4166666666)</f>
        <v>46065.416666666599</v>
      </c>
      <c r="D28" s="65">
        <f ca="1">IFERROR(__xludf.DUMMYFUNCTION("""COMPUTED_VALUE"""),10000)</f>
        <v>10000</v>
      </c>
      <c r="E28" s="17" t="str">
        <f ca="1">IFERROR(__xludf.DUMMYFUNCTION("""COMPUTED_VALUE"""),"MXN")</f>
        <v>MXN</v>
      </c>
      <c r="F28" s="17" t="str">
        <f ca="1">IFERROR(__xludf.DUMMYFUNCTION("""COMPUTED_VALUE"""),"Rogelio Gamez")</f>
        <v>Rogelio Gamez</v>
      </c>
      <c r="G28" s="17" t="str">
        <f ca="1">IFERROR(__xludf.DUMMYFUNCTION("""COMPUTED_VALUE"""),"PAYU   *GOOGLE ADS     MIGUEL HIDALG MEX")</f>
        <v>PAYU   *GOOGLE ADS     MIGUEL HIDALG MEX</v>
      </c>
      <c r="H28" s="17" t="str">
        <f ca="1">IFERROR(__xludf.DUMMYFUNCTION("""COMPUTED_VALUE"""),"Google")</f>
        <v>Google</v>
      </c>
      <c r="I28" s="17" t="str">
        <f ca="1">IFERROR(__xludf.DUMMYFUNCTION("""COMPUTED_VALUE"""),"Tech&amp;Product")</f>
        <v>Tech&amp;Product</v>
      </c>
      <c r="J28" s="17"/>
      <c r="K28" s="17"/>
      <c r="L28" s="87" t="s">
        <v>1983</v>
      </c>
      <c r="M28" s="17"/>
      <c r="N28" s="17"/>
      <c r="O28" s="17"/>
    </row>
    <row r="29" spans="1:15" ht="12.5">
      <c r="A29" s="17" t="str">
        <f ca="1">IFERROR(__xludf.DUMMYFUNCTION("""COMPUTED_VALUE"""),"TRX1265")</f>
        <v>TRX1265</v>
      </c>
      <c r="B29" s="86" t="str">
        <f ca="1">IFERROR(__xludf.DUMMYFUNCTION("""COMPUTED_VALUE"""),"#16")</f>
        <v>#16</v>
      </c>
      <c r="C29" s="63">
        <f ca="1">IFERROR(__xludf.DUMMYFUNCTION("""COMPUTED_VALUE"""),46065.4173611111)</f>
        <v>46065.417361111096</v>
      </c>
      <c r="D29" s="65">
        <f ca="1">IFERROR(__xludf.DUMMYFUNCTION("""COMPUTED_VALUE"""),0.86)</f>
        <v>0.86</v>
      </c>
      <c r="E29" s="17" t="str">
        <f ca="1">IFERROR(__xludf.DUMMYFUNCTION("""COMPUTED_VALUE"""),"MXN")</f>
        <v>MXN</v>
      </c>
      <c r="F29" s="17" t="str">
        <f ca="1">IFERROR(__xludf.DUMMYFUNCTION("""COMPUTED_VALUE"""),"Rogelio Gamez")</f>
        <v>Rogelio Gamez</v>
      </c>
      <c r="G29" s="17" t="str">
        <f ca="1">IFERROR(__xludf.DUMMYFUNCTION("""COMPUTED_VALUE"""),"20260211T04:49:55/Amazon Mexico\AV BLVD MANUEL A CAMACHO\CMX\11510     MEXMEX")</f>
        <v>20260211T04:49:55/Amazon Mexico\AV BLVD MANUEL A CAMACHO\CMX\11510     MEXMEX</v>
      </c>
      <c r="H29" s="17" t="str">
        <f ca="1">IFERROR(__xludf.DUMMYFUNCTION("""COMPUTED_VALUE"""),"Amazon")</f>
        <v>Amazon</v>
      </c>
      <c r="I29" s="17" t="str">
        <f ca="1">IFERROR(__xludf.DUMMYFUNCTION("""COMPUTED_VALUE"""),"Sales")</f>
        <v>Sales</v>
      </c>
      <c r="J29" s="17" t="str">
        <f ca="1">IFERROR(__xludf.DUMMYFUNCTION("""COMPUTED_VALUE"""),"Marketing")</f>
        <v>Marketing</v>
      </c>
      <c r="K29" s="17"/>
      <c r="L29" s="87" t="s">
        <v>1983</v>
      </c>
      <c r="M29" s="17"/>
      <c r="N29" s="17"/>
      <c r="O29" s="17"/>
    </row>
    <row r="30" spans="1:15" ht="12.5">
      <c r="A30" s="17" t="str">
        <f ca="1">IFERROR(__xludf.DUMMYFUNCTION("""COMPUTED_VALUE"""),"TRX1303")</f>
        <v>TRX1303</v>
      </c>
      <c r="B30" s="86" t="str">
        <f ca="1">IFERROR(__xludf.DUMMYFUNCTION("""COMPUTED_VALUE"""),"#16")</f>
        <v>#16</v>
      </c>
      <c r="C30" s="63">
        <f ca="1">IFERROR(__xludf.DUMMYFUNCTION("""COMPUTED_VALUE"""),46072.4173611111)</f>
        <v>46072.417361111096</v>
      </c>
      <c r="D30" s="65">
        <f ca="1">IFERROR(__xludf.DUMMYFUNCTION("""COMPUTED_VALUE"""),300)</f>
        <v>300</v>
      </c>
      <c r="E30" s="17" t="str">
        <f ca="1">IFERROR(__xludf.DUMMYFUNCTION("""COMPUTED_VALUE"""),"MXN")</f>
        <v>MXN</v>
      </c>
      <c r="F30" s="17" t="str">
        <f ca="1">IFERROR(__xludf.DUMMYFUNCTION("""COMPUTED_VALUE"""),"Rogelio Gamez")</f>
        <v>Rogelio Gamez</v>
      </c>
      <c r="G30" s="17" t="str">
        <f ca="1">IFERROR(__xludf.DUMMYFUNCTION("""COMPUTED_VALUE"""),"ABTS 12911 PRADO NORTE CIUDAD DE MEX MEX")</f>
        <v>ABTS 12911 PRADO NORTE CIUDAD DE MEX MEX</v>
      </c>
      <c r="H30" s="17" t="str">
        <f ca="1">IFERROR(__xludf.DUMMYFUNCTION("""COMPUTED_VALUE"""),"Abts Prado Norte Ciudad De Mex Mex")</f>
        <v>Abts Prado Norte Ciudad De Mex Mex</v>
      </c>
      <c r="I30" s="17" t="str">
        <f ca="1">IFERROR(__xludf.DUMMYFUNCTION("""COMPUTED_VALUE"""),"Tech&amp;Product")</f>
        <v>Tech&amp;Product</v>
      </c>
      <c r="J30" s="17"/>
      <c r="K30" s="17"/>
      <c r="L30" s="87" t="s">
        <v>1983</v>
      </c>
      <c r="M30" s="17"/>
      <c r="N30" s="17"/>
      <c r="O30" s="17"/>
    </row>
    <row r="31" spans="1:15" ht="12.5">
      <c r="A31" s="17" t="str">
        <f ca="1">IFERROR(__xludf.DUMMYFUNCTION("""COMPUTED_VALUE"""),"TRX1313")</f>
        <v>TRX1313</v>
      </c>
      <c r="B31" s="86" t="str">
        <f ca="1">IFERROR(__xludf.DUMMYFUNCTION("""COMPUTED_VALUE"""),"#16")</f>
        <v>#16</v>
      </c>
      <c r="C31" s="63">
        <f ca="1">IFERROR(__xludf.DUMMYFUNCTION("""COMPUTED_VALUE"""),46074.4166666666)</f>
        <v>46074.416666666599</v>
      </c>
      <c r="D31" s="65">
        <f ca="1">IFERROR(__xludf.DUMMYFUNCTION("""COMPUTED_VALUE"""),10000)</f>
        <v>10000</v>
      </c>
      <c r="E31" s="17" t="str">
        <f ca="1">IFERROR(__xludf.DUMMYFUNCTION("""COMPUTED_VALUE"""),"MXN")</f>
        <v>MXN</v>
      </c>
      <c r="F31" s="17" t="str">
        <f ca="1">IFERROR(__xludf.DUMMYFUNCTION("""COMPUTED_VALUE"""),"Rogelio Gamez")</f>
        <v>Rogelio Gamez</v>
      </c>
      <c r="G31" s="17" t="str">
        <f ca="1">IFERROR(__xludf.DUMMYFUNCTION("""COMPUTED_VALUE"""),"PAYU   *GOOGLE ADS     MIGUEL HIDALG MEX")</f>
        <v>PAYU   *GOOGLE ADS     MIGUEL HIDALG MEX</v>
      </c>
      <c r="H31" s="17" t="str">
        <f ca="1">IFERROR(__xludf.DUMMYFUNCTION("""COMPUTED_VALUE"""),"Google")</f>
        <v>Google</v>
      </c>
      <c r="I31" s="17" t="str">
        <f ca="1">IFERROR(__xludf.DUMMYFUNCTION("""COMPUTED_VALUE"""),"Office expenses")</f>
        <v>Office expenses</v>
      </c>
      <c r="J31" s="17"/>
      <c r="K31" s="17"/>
      <c r="L31" s="87" t="s">
        <v>1983</v>
      </c>
      <c r="M31" s="17"/>
      <c r="N31" s="17"/>
      <c r="O31" s="17"/>
    </row>
    <row r="32" spans="1:15" ht="12.5">
      <c r="A32" s="17" t="str">
        <f ca="1">IFERROR(__xludf.DUMMYFUNCTION("""COMPUTED_VALUE"""),"TRX1077")</f>
        <v>TRX1077</v>
      </c>
      <c r="B32" s="86" t="str">
        <f ca="1">IFERROR(__xludf.DUMMYFUNCTION("""COMPUTED_VALUE"""),"#16")</f>
        <v>#16</v>
      </c>
      <c r="C32" s="63">
        <f ca="1">IFERROR(__xludf.DUMMYFUNCTION("""COMPUTED_VALUE"""),46075.4173611111)</f>
        <v>46075.417361111096</v>
      </c>
      <c r="D32" s="65">
        <f ca="1">IFERROR(__xludf.DUMMYFUNCTION("""COMPUTED_VALUE"""),377.09)</f>
        <v>377.09</v>
      </c>
      <c r="E32" s="17" t="str">
        <f ca="1">IFERROR(__xludf.DUMMYFUNCTION("""COMPUTED_VALUE"""),"USD")</f>
        <v>USD</v>
      </c>
      <c r="F32" s="17" t="str">
        <f ca="1">IFERROR(__xludf.DUMMYFUNCTION("""COMPUTED_VALUE"""),"Rogelio Gamez")</f>
        <v>Rogelio Gamez</v>
      </c>
      <c r="G32" s="17" t="str">
        <f ca="1">IFERROR(__xludf.DUMMYFUNCTION("""COMPUTED_VALUE"""),"Box_UK                 London        GBR")</f>
        <v>Box_UK                 London        GBR</v>
      </c>
      <c r="H32" s="17" t="str">
        <f ca="1">IFERROR(__xludf.DUMMYFUNCTION("""COMPUTED_VALUE"""),"Box_Uk London")</f>
        <v>Box_Uk London</v>
      </c>
      <c r="I32" s="17" t="str">
        <f ca="1">IFERROR(__xludf.DUMMYFUNCTION("""COMPUTED_VALUE"""),"Tech&amp;Product")</f>
        <v>Tech&amp;Product</v>
      </c>
      <c r="J32" s="17"/>
      <c r="K32" s="17"/>
      <c r="L32" s="87" t="s">
        <v>1983</v>
      </c>
      <c r="M32" s="17"/>
      <c r="N32" s="17"/>
      <c r="O32" s="17"/>
    </row>
    <row r="33" spans="1:15" ht="12.5">
      <c r="A33" s="17" t="str">
        <f ca="1">IFERROR(__xludf.DUMMYFUNCTION("""COMPUTED_VALUE"""),"TRX1097")</f>
        <v>TRX1097</v>
      </c>
      <c r="B33" s="86" t="str">
        <f ca="1">IFERROR(__xludf.DUMMYFUNCTION("""COMPUTED_VALUE"""),"#16")</f>
        <v>#16</v>
      </c>
      <c r="C33" s="63">
        <f ca="1">IFERROR(__xludf.DUMMYFUNCTION("""COMPUTED_VALUE"""),46076.4166666666)</f>
        <v>46076.416666666599</v>
      </c>
      <c r="D33" s="65">
        <f ca="1">IFERROR(__xludf.DUMMYFUNCTION("""COMPUTED_VALUE"""),320.53)</f>
        <v>320.52999999999997</v>
      </c>
      <c r="E33" s="17" t="str">
        <f ca="1">IFERROR(__xludf.DUMMYFUNCTION("""COMPUTED_VALUE"""),"EUR")</f>
        <v>EUR</v>
      </c>
      <c r="F33" s="17" t="str">
        <f ca="1">IFERROR(__xludf.DUMMYFUNCTION("""COMPUTED_VALUE"""),"Rogelio Gamez")</f>
        <v>Rogelio Gamez</v>
      </c>
      <c r="G33" s="17" t="str">
        <f ca="1">IFERROR(__xludf.DUMMYFUNCTION("""COMPUTED_VALUE"""),"WEGLOT                 PARIS         FRA")</f>
        <v>WEGLOT                 PARIS         FRA</v>
      </c>
      <c r="H33" s="17" t="str">
        <f ca="1">IFERROR(__xludf.DUMMYFUNCTION("""COMPUTED_VALUE"""),"Weglot Paris Fra")</f>
        <v>Weglot Paris Fra</v>
      </c>
      <c r="I33" s="17" t="str">
        <f ca="1">IFERROR(__xludf.DUMMYFUNCTION("""COMPUTED_VALUE"""),"Tech&amp;Product")</f>
        <v>Tech&amp;Product</v>
      </c>
      <c r="J33" s="17"/>
      <c r="K33" s="17"/>
      <c r="L33" s="87" t="s">
        <v>1983</v>
      </c>
      <c r="M33" s="17"/>
      <c r="N33" s="17"/>
      <c r="O33" s="17"/>
    </row>
    <row r="34" spans="1:15" ht="12.5">
      <c r="A34" s="17"/>
      <c r="B34" s="24"/>
      <c r="C34" s="24"/>
      <c r="D34" s="17"/>
      <c r="E34" s="17"/>
      <c r="F34" s="17"/>
      <c r="G34" s="17"/>
      <c r="H34" s="17"/>
      <c r="I34" s="17"/>
      <c r="J34" s="17"/>
      <c r="K34" s="17"/>
      <c r="L34" s="87" t="s">
        <v>1983</v>
      </c>
      <c r="M34" s="17"/>
      <c r="N34" s="17"/>
      <c r="O34" s="17"/>
    </row>
    <row r="35" spans="1:15" ht="12.5">
      <c r="A35" s="17"/>
      <c r="B35" s="24"/>
      <c r="C35" s="24"/>
      <c r="D35" s="17"/>
      <c r="E35" s="17"/>
      <c r="F35" s="17"/>
      <c r="G35" s="17"/>
      <c r="H35" s="17"/>
      <c r="I35" s="17"/>
      <c r="J35" s="17"/>
      <c r="K35" s="17"/>
      <c r="L35" s="87" t="s">
        <v>1983</v>
      </c>
      <c r="M35" s="17"/>
      <c r="N35" s="17"/>
      <c r="O35" s="17"/>
    </row>
    <row r="36" spans="1:15" ht="12.5">
      <c r="A36" s="17"/>
      <c r="B36" s="24"/>
      <c r="C36" s="24"/>
      <c r="D36" s="17"/>
      <c r="E36" s="17"/>
      <c r="F36" s="17"/>
      <c r="G36" s="17"/>
      <c r="H36" s="17"/>
      <c r="I36" s="17"/>
      <c r="J36" s="17"/>
      <c r="K36" s="17"/>
      <c r="L36" s="87" t="s">
        <v>1983</v>
      </c>
      <c r="M36" s="17"/>
      <c r="N36" s="17"/>
      <c r="O36" s="17"/>
    </row>
    <row r="37" spans="1:15" ht="12.5">
      <c r="A37" s="17"/>
      <c r="B37" s="24"/>
      <c r="C37" s="24"/>
      <c r="D37" s="17"/>
      <c r="E37" s="17"/>
      <c r="F37" s="17"/>
      <c r="G37" s="17"/>
      <c r="H37" s="17"/>
      <c r="I37" s="17"/>
      <c r="J37" s="17"/>
      <c r="K37" s="17"/>
      <c r="L37" s="87" t="s">
        <v>1983</v>
      </c>
      <c r="M37" s="17"/>
      <c r="N37" s="17"/>
      <c r="O37" s="17"/>
    </row>
    <row r="38" spans="1:15" ht="12.5">
      <c r="A38" s="17"/>
      <c r="B38" s="24"/>
      <c r="C38" s="24"/>
      <c r="D38" s="17"/>
      <c r="E38" s="17"/>
      <c r="F38" s="17"/>
      <c r="G38" s="17"/>
      <c r="H38" s="17"/>
      <c r="I38" s="17"/>
      <c r="J38" s="17"/>
      <c r="K38" s="17"/>
      <c r="L38" s="87" t="s">
        <v>1983</v>
      </c>
      <c r="M38" s="17"/>
      <c r="N38" s="17"/>
      <c r="O38" s="17"/>
    </row>
    <row r="39" spans="1:15" ht="12.5">
      <c r="A39" s="17"/>
      <c r="B39" s="24"/>
      <c r="C39" s="24"/>
      <c r="D39" s="17"/>
      <c r="E39" s="17"/>
      <c r="F39" s="17"/>
      <c r="G39" s="17"/>
      <c r="H39" s="17"/>
      <c r="I39" s="17"/>
      <c r="J39" s="17"/>
      <c r="K39" s="17"/>
      <c r="L39" s="87" t="s">
        <v>1983</v>
      </c>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65">
        <f ca="1">SUM(D12:D39)</f>
        <v>215180.52</v>
      </c>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dataValidations count="1">
    <dataValidation type="list" allowBlank="1" showErrorMessage="1" sqref="O12 L12:L39" xr:uid="{00000000-0002-0000-0300-000000000000}">
      <formula1>#REF!</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19.90625" customWidth="1"/>
    <col min="11" max="11" width="14.26953125" customWidth="1"/>
    <col min="12" max="12" width="8.90625" customWidth="1"/>
    <col min="13" max="13" width="15.632812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80</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Sept'!$A$12:$C$1300,'Edo Cta Jeeves Sept'!$J$12:$J$1300=$A$2)"),"TRX1285")</f>
        <v>TRX1285</v>
      </c>
      <c r="B12" s="86" t="str">
        <f ca="1">IFERROR(__xludf.DUMMYFUNCTION("""COMPUTED_VALUE"""),"#66")</f>
        <v>#66</v>
      </c>
      <c r="C12" s="86">
        <f ca="1">IFERROR(__xludf.DUMMYFUNCTION("""COMPUTED_VALUE"""),46056.4166666666)</f>
        <v>46056.416666666599</v>
      </c>
      <c r="D12" s="65">
        <f ca="1">IFERROR(__xludf.DUMMYFUNCTION("FILTER('Edo Cta Jeeves Sept'!$G$12:$G$1300,'Edo Cta Jeeves Sept'!$J$12:$J$1300=$A$2)"),262)</f>
        <v>262</v>
      </c>
      <c r="E12" s="17" t="str">
        <f ca="1">IFERROR(__xludf.DUMMYFUNCTION("FILTER('Edo Cta Jeeves Sept'!$I$12:$I$1300,'Edo Cta Jeeves Sept'!$J$12:$J$1300=$A$2)"),"MXN")</f>
        <v>MXN</v>
      </c>
      <c r="F12" s="17" t="str">
        <f ca="1">IFERROR(__xludf.DUMMYFUNCTION("FILTER('Edo Cta Jeeves Sept'!$J$12:$J$1300,'Edo Cta Jeeves Sept'!$J$12:$J$1300=$A$2)"),"Erik Castillo")</f>
        <v>Erik Castillo</v>
      </c>
      <c r="G12" s="17" t="str">
        <f ca="1">IFERROR(__xludf.DUMMYFUNCTION("FILTER('Edo Cta Jeeves Sept'!$K$12:$L$1300,'Edo Cta Jeeves Sept'!$J$12:$J$1300=$A$2)"),"HAMBURGUESAS DIANA     TIZAYUCA HGO  MEX")</f>
        <v>HAMBURGUESAS DIANA     TIZAYUCA HGO  MEX</v>
      </c>
      <c r="H12" s="17" t="str">
        <f ca="1">IFERROR(__xludf.DUMMYFUNCTION("""COMPUTED_VALUE"""),"Hamburguesas Diana Tizayuca Hgo Mex")</f>
        <v>Hamburguesas Diana Tizayuca Hgo Mex</v>
      </c>
      <c r="I12" s="17" t="str">
        <f ca="1">IFERROR(__xludf.DUMMYFUNCTION("IMPORTRANGE(""https://docs.google.com/spreadsheets/d/1aTGzFB-yl7NLLZGsUv0J7sE4imi5m82ig-5sf5A7Ros/edit?gid=1404531132#gid=1404531132"",""I12:K80"")"),"Transaction cost")</f>
        <v>Transaction cost</v>
      </c>
      <c r="J12" s="17" t="str">
        <f ca="1">IFERROR(__xludf.DUMMYFUNCTION("""COMPUTED_VALUE"""),"Gasolina")</f>
        <v>Gasolina</v>
      </c>
      <c r="K12" s="17" t="str">
        <f ca="1">IFERROR(__xludf.DUMMYFUNCTION("""COMPUTED_VALUE"""),"A18529")</f>
        <v>A18529</v>
      </c>
      <c r="L12" s="17"/>
      <c r="M12" s="87" t="s">
        <v>1992</v>
      </c>
      <c r="N12" s="17"/>
      <c r="O12" s="17"/>
    </row>
    <row r="13" spans="1:15" ht="15.75" customHeight="1">
      <c r="A13" s="17" t="str">
        <f ca="1">IFERROR(__xludf.DUMMYFUNCTION("""COMPUTED_VALUE"""),"TRX1275")</f>
        <v>TRX1275</v>
      </c>
      <c r="B13" s="86" t="str">
        <f ca="1">IFERROR(__xludf.DUMMYFUNCTION("""COMPUTED_VALUE"""),"#66")</f>
        <v>#66</v>
      </c>
      <c r="C13" s="63">
        <f ca="1">IFERROR(__xludf.DUMMYFUNCTION("""COMPUTED_VALUE"""),46057.4166666666)</f>
        <v>46057.416666666599</v>
      </c>
      <c r="D13" s="65">
        <f ca="1">IFERROR(__xludf.DUMMYFUNCTION("""COMPUTED_VALUE"""),1214.65)</f>
        <v>1214.6500000000001</v>
      </c>
      <c r="E13" s="17" t="str">
        <f ca="1">IFERROR(__xludf.DUMMYFUNCTION("""COMPUTED_VALUE"""),"MXN")</f>
        <v>MXN</v>
      </c>
      <c r="F13" s="17" t="str">
        <f ca="1">IFERROR(__xludf.DUMMYFUNCTION("""COMPUTED_VALUE"""),"Erik Castillo")</f>
        <v>Erik Castillo</v>
      </c>
      <c r="G13" s="17" t="str">
        <f ca="1">IFERROR(__xludf.DUMMYFUNCTION("""COMPUTED_VALUE"""),"ENERGETICOS ZAPATA 4   TIZAYUCA HGO  MEX")</f>
        <v>ENERGETICOS ZAPATA 4   TIZAYUCA HGO  MEX</v>
      </c>
      <c r="H13" s="17" t="str">
        <f ca="1">IFERROR(__xludf.DUMMYFUNCTION("""COMPUTED_VALUE"""),"Energeticos Zapata 4 Tizayuca Hgo Mex")</f>
        <v>Energeticos Zapata 4 Tizayuca Hgo Mex</v>
      </c>
      <c r="I13" s="17" t="str">
        <f ca="1">IFERROR(__xludf.DUMMYFUNCTION("""COMPUTED_VALUE"""),"Transaction cost")</f>
        <v>Transaction cost</v>
      </c>
      <c r="J13" s="17" t="str">
        <f ca="1">IFERROR(__xludf.DUMMYFUNCTION("""COMPUTED_VALUE"""),"Recarga de TAG")</f>
        <v>Recarga de TAG</v>
      </c>
      <c r="K13" s="17" t="str">
        <f ca="1">IFERROR(__xludf.DUMMYFUNCTION("""COMPUTED_VALUE"""),"AAAU-581966")</f>
        <v>AAAU-581966</v>
      </c>
      <c r="L13" s="17"/>
      <c r="M13" s="87" t="s">
        <v>1992</v>
      </c>
      <c r="N13" s="17"/>
      <c r="O13" s="17"/>
    </row>
    <row r="14" spans="1:15" ht="15.75" customHeight="1">
      <c r="A14" s="17" t="str">
        <f ca="1">IFERROR(__xludf.DUMMYFUNCTION("""COMPUTED_VALUE"""),"TRX1903")</f>
        <v>TRX1903</v>
      </c>
      <c r="B14" s="86" t="str">
        <f ca="1">IFERROR(__xludf.DUMMYFUNCTION("""COMPUTED_VALUE"""),"#66")</f>
        <v>#66</v>
      </c>
      <c r="C14" s="63">
        <f ca="1">IFERROR(__xludf.DUMMYFUNCTION("""COMPUTED_VALUE"""),46059.4173611111)</f>
        <v>46059.417361111096</v>
      </c>
      <c r="D14" s="65">
        <f ca="1">IFERROR(__xludf.DUMMYFUNCTION("""COMPUTED_VALUE"""),107.5)</f>
        <v>107.5</v>
      </c>
      <c r="E14" s="17" t="str">
        <f ca="1">IFERROR(__xludf.DUMMYFUNCTION("""COMPUTED_VALUE"""),"MXN")</f>
        <v>MXN</v>
      </c>
      <c r="F14" s="17" t="str">
        <f ca="1">IFERROR(__xludf.DUMMYFUNCTION("""COMPUTED_VALUE"""),"Erik Castillo")</f>
        <v>Erik Castillo</v>
      </c>
      <c r="G14" s="17" t="str">
        <f ca="1">IFERROR(__xludf.DUMMYFUNCTION("""COMPUTED_VALUE"""),"OXXOSAN ANTONIO 17 MEX CUAUTITLAN EM MEX")</f>
        <v>OXXOSAN ANTONIO 17 MEX CUAUTITLAN EM MEX</v>
      </c>
      <c r="H14" s="17" t="str">
        <f ca="1">IFERROR(__xludf.DUMMYFUNCTION("""COMPUTED_VALUE"""),"Oxxosan Antonio 17 Mex Cuautitlan Em Mex")</f>
        <v>Oxxosan Antonio 17 Mex Cuautitlan Em Mex</v>
      </c>
      <c r="I14" s="17" t="str">
        <f ca="1">IFERROR(__xludf.DUMMYFUNCTION("""COMPUTED_VALUE"""),"Transaction cost")</f>
        <v>Transaction cost</v>
      </c>
      <c r="J14" s="17" t="str">
        <f ca="1">IFERROR(__xludf.DUMMYFUNCTION("""COMPUTED_VALUE"""),"Consumo con Personal Creaceric")</f>
        <v>Consumo con Personal Creaceric</v>
      </c>
      <c r="K14" s="17" t="str">
        <f ca="1">IFERROR(__xludf.DUMMYFUNCTION("""COMPUTED_VALUE"""),"DOMBNTAAQH 15621")</f>
        <v>DOMBNTAAQH 15621</v>
      </c>
      <c r="L14" s="17"/>
      <c r="M14" s="87" t="s">
        <v>1992</v>
      </c>
      <c r="N14" s="17"/>
      <c r="O14" s="17"/>
    </row>
    <row r="15" spans="1:15" ht="15.75" customHeight="1">
      <c r="A15" s="17" t="str">
        <f ca="1">IFERROR(__xludf.DUMMYFUNCTION("""COMPUTED_VALUE"""),"TRX1082")</f>
        <v>TRX1082</v>
      </c>
      <c r="B15" s="86" t="str">
        <f ca="1">IFERROR(__xludf.DUMMYFUNCTION("""COMPUTED_VALUE"""),"#66")</f>
        <v>#66</v>
      </c>
      <c r="C15" s="63">
        <f ca="1">IFERROR(__xludf.DUMMYFUNCTION("""COMPUTED_VALUE"""),46060.4166666666)</f>
        <v>46060.416666666599</v>
      </c>
      <c r="D15" s="65">
        <f ca="1">IFERROR(__xludf.DUMMYFUNCTION("""COMPUTED_VALUE"""),295)</f>
        <v>295</v>
      </c>
      <c r="E15" s="17" t="str">
        <f ca="1">IFERROR(__xludf.DUMMYFUNCTION("""COMPUTED_VALUE"""),"MXN")</f>
        <v>MXN</v>
      </c>
      <c r="F15" s="17" t="str">
        <f ca="1">IFERROR(__xludf.DUMMYFUNCTION("""COMPUTED_VALUE"""),"Erik Castillo")</f>
        <v>Erik Castillo</v>
      </c>
      <c r="G15" s="17" t="str">
        <f ca="1">IFERROR(__xludf.DUMMYFUNCTION("""COMPUTED_VALUE"""),"MERCADOPAGO *SELENEGH  Tizayuca      MEX")</f>
        <v>MERCADOPAGO *SELENEGH  Tizayuca      MEX</v>
      </c>
      <c r="H15" s="17" t="str">
        <f ca="1">IFERROR(__xludf.DUMMYFUNCTION("""COMPUTED_VALUE"""),"Mercadopago")</f>
        <v>Mercadopago</v>
      </c>
      <c r="I15" s="17" t="str">
        <f ca="1">IFERROR(__xludf.DUMMYFUNCTION("""COMPUTED_VALUE"""),"Transaction cost")</f>
        <v>Transaction cost</v>
      </c>
      <c r="J15" s="17" t="str">
        <f ca="1">IFERROR(__xludf.DUMMYFUNCTION("""COMPUTED_VALUE"""),"Gasolina entrega de auto rentado")</f>
        <v>Gasolina entrega de auto rentado</v>
      </c>
      <c r="K15" s="17" t="str">
        <f ca="1">IFERROR(__xludf.DUMMYFUNCTION("""COMPUTED_VALUE"""),"A18601")</f>
        <v>A18601</v>
      </c>
      <c r="L15" s="17"/>
      <c r="M15" s="87" t="s">
        <v>1992</v>
      </c>
      <c r="N15" s="17"/>
      <c r="O15" s="17"/>
    </row>
    <row r="16" spans="1:15" ht="15.75" customHeight="1">
      <c r="A16" s="17" t="str">
        <f ca="1">IFERROR(__xludf.DUMMYFUNCTION("""COMPUTED_VALUE"""),"TRX1108")</f>
        <v>TRX1108</v>
      </c>
      <c r="B16" s="86" t="str">
        <f ca="1">IFERROR(__xludf.DUMMYFUNCTION("""COMPUTED_VALUE"""),"#66")</f>
        <v>#66</v>
      </c>
      <c r="C16" s="63">
        <f ca="1">IFERROR(__xludf.DUMMYFUNCTION("""COMPUTED_VALUE"""),46060.4166666666)</f>
        <v>46060.416666666599</v>
      </c>
      <c r="D16" s="65">
        <f ca="1">IFERROR(__xludf.DUMMYFUNCTION("""COMPUTED_VALUE"""),100)</f>
        <v>100</v>
      </c>
      <c r="E16" s="17" t="str">
        <f ca="1">IFERROR(__xludf.DUMMYFUNCTION("""COMPUTED_VALUE"""),"MXN")</f>
        <v>MXN</v>
      </c>
      <c r="F16" s="17" t="str">
        <f ca="1">IFERROR(__xludf.DUMMYFUNCTION("""COMPUTED_VALUE"""),"Erik Castillo")</f>
        <v>Erik Castillo</v>
      </c>
      <c r="G16" s="17" t="str">
        <f ca="1">IFERROR(__xludf.DUMMYFUNCTION("""COMPUTED_VALUE"""),"OXXO EJERCITO          TIZAYUCA HGO  MEX")</f>
        <v>OXXO EJERCITO          TIZAYUCA HGO  MEX</v>
      </c>
      <c r="H16" s="17" t="str">
        <f ca="1">IFERROR(__xludf.DUMMYFUNCTION("""COMPUTED_VALUE"""),"Oxxo")</f>
        <v>Oxxo</v>
      </c>
      <c r="I16" s="17" t="str">
        <f ca="1">IFERROR(__xludf.DUMMYFUNCTION("""COMPUTED_VALUE"""),"Transaction cost")</f>
        <v>Transaction cost</v>
      </c>
      <c r="J16" s="17" t="str">
        <f ca="1">IFERROR(__xludf.DUMMYFUNCTION("""COMPUTED_VALUE"""),"Traslado")</f>
        <v>Traslado</v>
      </c>
      <c r="K16" s="17" t="str">
        <f ca="1">IFERROR(__xludf.DUMMYFUNCTION("""COMPUTED_VALUE"""),"No me facturo")</f>
        <v>No me facturo</v>
      </c>
      <c r="L16" s="17"/>
      <c r="M16" s="87" t="s">
        <v>1992</v>
      </c>
      <c r="N16" s="17"/>
      <c r="O16" s="17"/>
    </row>
    <row r="17" spans="1:15" ht="15.75" customHeight="1">
      <c r="A17" s="17" t="str">
        <f ca="1">IFERROR(__xludf.DUMMYFUNCTION("""COMPUTED_VALUE"""),"TRX1603")</f>
        <v>TRX1603</v>
      </c>
      <c r="B17" s="86" t="str">
        <f ca="1">IFERROR(__xludf.DUMMYFUNCTION("""COMPUTED_VALUE"""),"#66")</f>
        <v>#66</v>
      </c>
      <c r="C17" s="63">
        <f ca="1">IFERROR(__xludf.DUMMYFUNCTION("""COMPUTED_VALUE"""),46060.4173611111)</f>
        <v>46060.417361111096</v>
      </c>
      <c r="D17" s="65">
        <f ca="1">IFERROR(__xludf.DUMMYFUNCTION("""COMPUTED_VALUE"""),375.5)</f>
        <v>375.5</v>
      </c>
      <c r="E17" s="17" t="str">
        <f ca="1">IFERROR(__xludf.DUMMYFUNCTION("""COMPUTED_VALUE"""),"MXN")</f>
        <v>MXN</v>
      </c>
      <c r="F17" s="17" t="str">
        <f ca="1">IFERROR(__xludf.DUMMYFUNCTION("""COMPUTED_VALUE"""),"Erik Castillo")</f>
        <v>Erik Castillo</v>
      </c>
      <c r="G17" s="17" t="str">
        <f ca="1">IFERROR(__xludf.DUMMYFUNCTION("""COMPUTED_VALUE"""),"BGA AURRERA TIZAYUCA   TIZAYUCA HGO  MEX")</f>
        <v>BGA AURRERA TIZAYUCA   TIZAYUCA HGO  MEX</v>
      </c>
      <c r="H17" s="17" t="str">
        <f ca="1">IFERROR(__xludf.DUMMYFUNCTION("""COMPUTED_VALUE"""),"Bga Aurrera Tizayuca Tizayuca Hgo Mex")</f>
        <v>Bga Aurrera Tizayuca Tizayuca Hgo Mex</v>
      </c>
      <c r="I17" s="17" t="str">
        <f ca="1">IFERROR(__xludf.DUMMYFUNCTION("""COMPUTED_VALUE"""),"Transaction cost")</f>
        <v>Transaction cost</v>
      </c>
      <c r="J17" s="17" t="str">
        <f ca="1">IFERROR(__xludf.DUMMYFUNCTION("""COMPUTED_VALUE"""),"Recarga de auto sin renta")</f>
        <v>Recarga de auto sin renta</v>
      </c>
      <c r="K17" s="17" t="str">
        <f ca="1">IFERROR(__xludf.DUMMYFUNCTION("""COMPUTED_VALUE"""),"AAAU-581966")</f>
        <v>AAAU-581966</v>
      </c>
      <c r="L17" s="17"/>
      <c r="M17" s="87" t="s">
        <v>1992</v>
      </c>
      <c r="N17" s="17"/>
      <c r="O17" s="17"/>
    </row>
    <row r="18" spans="1:15" ht="15.75" customHeight="1">
      <c r="A18" s="17" t="str">
        <f ca="1">IFERROR(__xludf.DUMMYFUNCTION("""COMPUTED_VALUE"""),"TRX1660")</f>
        <v>TRX1660</v>
      </c>
      <c r="B18" s="86" t="str">
        <f ca="1">IFERROR(__xludf.DUMMYFUNCTION("""COMPUTED_VALUE"""),"#66")</f>
        <v>#66</v>
      </c>
      <c r="C18" s="63">
        <f ca="1">IFERROR(__xludf.DUMMYFUNCTION("""COMPUTED_VALUE"""),46063.4166666666)</f>
        <v>46063.416666666599</v>
      </c>
      <c r="D18" s="65">
        <f ca="1">IFERROR(__xludf.DUMMYFUNCTION("""COMPUTED_VALUE"""),1386.72)</f>
        <v>1386.72</v>
      </c>
      <c r="E18" s="17" t="str">
        <f ca="1">IFERROR(__xludf.DUMMYFUNCTION("""COMPUTED_VALUE"""),"MXN")</f>
        <v>MXN</v>
      </c>
      <c r="F18" s="17" t="str">
        <f ca="1">IFERROR(__xludf.DUMMYFUNCTION("""COMPUTED_VALUE"""),"Erik Castillo")</f>
        <v>Erik Castillo</v>
      </c>
      <c r="G18" s="17" t="str">
        <f ca="1">IFERROR(__xludf.DUMMYFUNCTION("""COMPUTED_VALUE"""),"ENERGETICOS ZAPATA 1   TIZAYUCA HGO  MEX")</f>
        <v>ENERGETICOS ZAPATA 1   TIZAYUCA HGO  MEX</v>
      </c>
      <c r="H18" s="17" t="str">
        <f ca="1">IFERROR(__xludf.DUMMYFUNCTION("""COMPUTED_VALUE"""),"Energeticos Zapata 1 Tizayuca Hgo Mex")</f>
        <v>Energeticos Zapata 1 Tizayuca Hgo Mex</v>
      </c>
      <c r="I18" s="17" t="str">
        <f ca="1">IFERROR(__xludf.DUMMYFUNCTION("""COMPUTED_VALUE"""),"Transaction cost")</f>
        <v>Transaction cost</v>
      </c>
      <c r="J18" s="17" t="str">
        <f ca="1">IFERROR(__xludf.DUMMYFUNCTION("""COMPUTED_VALUE"""),"Consumo")</f>
        <v>Consumo</v>
      </c>
      <c r="K18" s="17" t="str">
        <f ca="1">IFERROR(__xludf.DUMMYFUNCTION("""COMPUTED_VALUE"""),"ya no alcance a facturar")</f>
        <v>ya no alcance a facturar</v>
      </c>
      <c r="L18" s="17"/>
      <c r="M18" s="87" t="s">
        <v>1992</v>
      </c>
      <c r="N18" s="17"/>
      <c r="O18" s="17"/>
    </row>
    <row r="19" spans="1:15" ht="15.75" customHeight="1">
      <c r="A19" s="17" t="str">
        <f ca="1">IFERROR(__xludf.DUMMYFUNCTION("""COMPUTED_VALUE"""),"TRX1877")</f>
        <v>TRX1877</v>
      </c>
      <c r="B19" s="86" t="str">
        <f ca="1">IFERROR(__xludf.DUMMYFUNCTION("""COMPUTED_VALUE"""),"#66")</f>
        <v>#66</v>
      </c>
      <c r="C19" s="63">
        <f ca="1">IFERROR(__xludf.DUMMYFUNCTION("""COMPUTED_VALUE"""),46063.4166666666)</f>
        <v>46063.416666666599</v>
      </c>
      <c r="D19" s="65">
        <f ca="1">IFERROR(__xludf.DUMMYFUNCTION("""COMPUTED_VALUE"""),469)</f>
        <v>469</v>
      </c>
      <c r="E19" s="17" t="str">
        <f ca="1">IFERROR(__xludf.DUMMYFUNCTION("""COMPUTED_VALUE"""),"MXN")</f>
        <v>MXN</v>
      </c>
      <c r="F19" s="17" t="str">
        <f ca="1">IFERROR(__xludf.DUMMYFUNCTION("""COMPUTED_VALUE"""),"Erik Castillo")</f>
        <v>Erik Castillo</v>
      </c>
      <c r="G19" s="17" t="str">
        <f ca="1">IFERROR(__xludf.DUMMYFUNCTION("""COMPUTED_VALUE"""),"CASHI ECOMMERCE RC     CIUDAD DE MEX MEX")</f>
        <v>CASHI ECOMMERCE RC     CIUDAD DE MEX MEX</v>
      </c>
      <c r="H19" s="17" t="str">
        <f ca="1">IFERROR(__xludf.DUMMYFUNCTION("""COMPUTED_VALUE"""),"Cashi Ecommerce Rc Ciudad De Mex Mex")</f>
        <v>Cashi Ecommerce Rc Ciudad De Mex Mex</v>
      </c>
      <c r="I19" s="17" t="str">
        <f ca="1">IFERROR(__xludf.DUMMYFUNCTION("""COMPUTED_VALUE"""),"Transaction cost")</f>
        <v>Transaction cost</v>
      </c>
      <c r="J19" s="17" t="str">
        <f ca="1">IFERROR(__xludf.DUMMYFUNCTION("""COMPUTED_VALUE"""),"Consumo")</f>
        <v>Consumo</v>
      </c>
      <c r="K19" s="17" t="str">
        <f ca="1">IFERROR(__xludf.DUMMYFUNCTION("""COMPUTED_VALUE"""),"IBABK342054")</f>
        <v>IBABK342054</v>
      </c>
      <c r="L19" s="17"/>
      <c r="M19" s="87" t="s">
        <v>1992</v>
      </c>
      <c r="N19" s="17"/>
      <c r="O19" s="17"/>
    </row>
    <row r="20" spans="1:15" ht="12.5">
      <c r="A20" s="17" t="str">
        <f ca="1">IFERROR(__xludf.DUMMYFUNCTION("""COMPUTED_VALUE"""),"TRX1125")</f>
        <v>TRX1125</v>
      </c>
      <c r="B20" s="86" t="str">
        <f ca="1">IFERROR(__xludf.DUMMYFUNCTION("""COMPUTED_VALUE"""),"#66")</f>
        <v>#66</v>
      </c>
      <c r="C20" s="63">
        <f ca="1">IFERROR(__xludf.DUMMYFUNCTION("""COMPUTED_VALUE"""),46063.4166666666)</f>
        <v>46063.416666666599</v>
      </c>
      <c r="D20" s="65">
        <f ca="1">IFERROR(__xludf.DUMMYFUNCTION("""COMPUTED_VALUE"""),96.5)</f>
        <v>96.5</v>
      </c>
      <c r="E20" s="17" t="str">
        <f ca="1">IFERROR(__xludf.DUMMYFUNCTION("""COMPUTED_VALUE"""),"MXN")</f>
        <v>MXN</v>
      </c>
      <c r="F20" s="17" t="str">
        <f ca="1">IFERROR(__xludf.DUMMYFUNCTION("""COMPUTED_VALUE"""),"Erik Castillo")</f>
        <v>Erik Castillo</v>
      </c>
      <c r="G20" s="17" t="str">
        <f ca="1">IFERROR(__xludf.DUMMYFUNCTION("""COMPUTED_VALUE"""),"OXXO G ZAPATA PAC      TIZAYUCA HGO  MEX")</f>
        <v>OXXO G ZAPATA PAC      TIZAYUCA HGO  MEX</v>
      </c>
      <c r="H20" s="17" t="str">
        <f ca="1">IFERROR(__xludf.DUMMYFUNCTION("""COMPUTED_VALUE"""),"Oxxo")</f>
        <v>Oxxo</v>
      </c>
      <c r="I20" s="17" t="str">
        <f ca="1">IFERROR(__xludf.DUMMYFUNCTION("""COMPUTED_VALUE"""),"Transaction cost")</f>
        <v>Transaction cost</v>
      </c>
      <c r="J20" s="17" t="str">
        <f ca="1">IFERROR(__xludf.DUMMYFUNCTION("""COMPUTED_VALUE"""),"Viaje a Veracruz ida y vuelta ")</f>
        <v xml:space="preserve">Viaje a Veracruz ida y vuelta </v>
      </c>
      <c r="K20" s="17">
        <f ca="1">IFERROR(__xludf.DUMMYFUNCTION("""COMPUTED_VALUE"""),151715038)</f>
        <v>151715038</v>
      </c>
      <c r="L20" s="17"/>
      <c r="M20" s="87" t="s">
        <v>1992</v>
      </c>
      <c r="N20" s="17"/>
      <c r="O20" s="17"/>
    </row>
    <row r="21" spans="1:15" ht="12.5">
      <c r="A21" s="17" t="str">
        <f ca="1">IFERROR(__xludf.DUMMYFUNCTION("""COMPUTED_VALUE"""),"TRX1420")</f>
        <v>TRX1420</v>
      </c>
      <c r="B21" s="86" t="str">
        <f ca="1">IFERROR(__xludf.DUMMYFUNCTION("""COMPUTED_VALUE"""),"#66")</f>
        <v>#66</v>
      </c>
      <c r="C21" s="63">
        <f ca="1">IFERROR(__xludf.DUMMYFUNCTION("""COMPUTED_VALUE"""),46064.4173611111)</f>
        <v>46064.417361111096</v>
      </c>
      <c r="D21" s="65">
        <f ca="1">IFERROR(__xludf.DUMMYFUNCTION("""COMPUTED_VALUE"""),33)</f>
        <v>33</v>
      </c>
      <c r="E21" s="17" t="str">
        <f ca="1">IFERROR(__xludf.DUMMYFUNCTION("""COMPUTED_VALUE"""),"MXN")</f>
        <v>MXN</v>
      </c>
      <c r="F21" s="17" t="str">
        <f ca="1">IFERROR(__xludf.DUMMYFUNCTION("""COMPUTED_VALUE"""),"Erik Castillo")</f>
        <v>Erik Castillo</v>
      </c>
      <c r="G21" s="17" t="str">
        <f ca="1">IFERROR(__xludf.DUMMYFUNCTION("""COMPUTED_VALUE"""),"OXXO G ZAPATA PAC      TIZAYUCA HGO  MEX")</f>
        <v>OXXO G ZAPATA PAC      TIZAYUCA HGO  MEX</v>
      </c>
      <c r="H21" s="17" t="str">
        <f ca="1">IFERROR(__xludf.DUMMYFUNCTION("""COMPUTED_VALUE"""),"Oxxo")</f>
        <v>Oxxo</v>
      </c>
      <c r="I21" s="17" t="str">
        <f ca="1">IFERROR(__xludf.DUMMYFUNCTION("""COMPUTED_VALUE"""),"Transaction cost")</f>
        <v>Transaction cost</v>
      </c>
      <c r="J21" s="17" t="str">
        <f ca="1">IFERROR(__xludf.DUMMYFUNCTION("""COMPUTED_VALUE"""),"Hotel Veracruz")</f>
        <v>Hotel Veracruz</v>
      </c>
      <c r="K21" s="17" t="str">
        <f ca="1">IFERROR(__xludf.DUMMYFUNCTION("""COMPUTED_VALUE"""),"FA9310")</f>
        <v>FA9310</v>
      </c>
      <c r="L21" s="17"/>
      <c r="M21" s="87" t="s">
        <v>1992</v>
      </c>
      <c r="N21" s="17"/>
      <c r="O21" s="17"/>
    </row>
    <row r="22" spans="1:15" ht="12.5">
      <c r="A22" s="17" t="str">
        <f ca="1">IFERROR(__xludf.DUMMYFUNCTION("""COMPUTED_VALUE"""),"TRX1580")</f>
        <v>TRX1580</v>
      </c>
      <c r="B22" s="86" t="str">
        <f ca="1">IFERROR(__xludf.DUMMYFUNCTION("""COMPUTED_VALUE"""),"#66")</f>
        <v>#66</v>
      </c>
      <c r="C22" s="63">
        <f ca="1">IFERROR(__xludf.DUMMYFUNCTION("""COMPUTED_VALUE"""),46064.4173611111)</f>
        <v>46064.417361111096</v>
      </c>
      <c r="D22" s="65">
        <f ca="1">IFERROR(__xludf.DUMMYFUNCTION("""COMPUTED_VALUE"""),1014)</f>
        <v>1014</v>
      </c>
      <c r="E22" s="17" t="str">
        <f ca="1">IFERROR(__xludf.DUMMYFUNCTION("""COMPUTED_VALUE"""),"MXN")</f>
        <v>MXN</v>
      </c>
      <c r="F22" s="17" t="str">
        <f ca="1">IFERROR(__xludf.DUMMYFUNCTION("""COMPUTED_VALUE"""),"Erik Castillo")</f>
        <v>Erik Castillo</v>
      </c>
      <c r="G22" s="17" t="str">
        <f ca="1">IFERROR(__xludf.DUMMYFUNCTION("""COMPUTED_VALUE"""),"OXXO G ZAPATA PAC      TIZAYUCA HGO  MEX")</f>
        <v>OXXO G ZAPATA PAC      TIZAYUCA HGO  MEX</v>
      </c>
      <c r="H22" s="17" t="str">
        <f ca="1">IFERROR(__xludf.DUMMYFUNCTION("""COMPUTED_VALUE"""),"Oxxo")</f>
        <v>Oxxo</v>
      </c>
      <c r="I22" s="17" t="str">
        <f ca="1">IFERROR(__xludf.DUMMYFUNCTION("""COMPUTED_VALUE"""),"Transaction cost")</f>
        <v>Transaction cost</v>
      </c>
      <c r="J22" s="17" t="str">
        <f ca="1">IFERROR(__xludf.DUMMYFUNCTION("""COMPUTED_VALUE"""),"Electrico Vehiculo")</f>
        <v>Electrico Vehiculo</v>
      </c>
      <c r="K22" s="17" t="str">
        <f ca="1">IFERROR(__xludf.DUMMYFUNCTION("""COMPUTED_VALUE"""),"Folia A 24860")</f>
        <v>Folia A 24860</v>
      </c>
      <c r="L22" s="17"/>
      <c r="M22" s="87" t="s">
        <v>1992</v>
      </c>
      <c r="N22" s="17"/>
      <c r="O22" s="17"/>
    </row>
    <row r="23" spans="1:15" ht="12.5">
      <c r="A23" s="17" t="str">
        <f ca="1">IFERROR(__xludf.DUMMYFUNCTION("""COMPUTED_VALUE"""),"TRX1701")</f>
        <v>TRX1701</v>
      </c>
      <c r="B23" s="86" t="str">
        <f ca="1">IFERROR(__xludf.DUMMYFUNCTION("""COMPUTED_VALUE"""),"#66")</f>
        <v>#66</v>
      </c>
      <c r="C23" s="63">
        <f ca="1">IFERROR(__xludf.DUMMYFUNCTION("""COMPUTED_VALUE"""),46065.4173611111)</f>
        <v>46065.417361111096</v>
      </c>
      <c r="D23" s="65">
        <f ca="1">IFERROR(__xludf.DUMMYFUNCTION("""COMPUTED_VALUE"""),350)</f>
        <v>350</v>
      </c>
      <c r="E23" s="17" t="str">
        <f ca="1">IFERROR(__xludf.DUMMYFUNCTION("""COMPUTED_VALUE"""),"MXN")</f>
        <v>MXN</v>
      </c>
      <c r="F23" s="17" t="str">
        <f ca="1">IFERROR(__xludf.DUMMYFUNCTION("""COMPUTED_VALUE"""),"Erik Castillo")</f>
        <v>Erik Castillo</v>
      </c>
      <c r="G23" s="17" t="str">
        <f ca="1">IFERROR(__xludf.DUMMYFUNCTION("""COMPUTED_VALUE"""),"HAMBURGUESAS DIANA     TIZAYUCA HGO  MEX")</f>
        <v>HAMBURGUESAS DIANA     TIZAYUCA HGO  MEX</v>
      </c>
      <c r="H23" s="17" t="str">
        <f ca="1">IFERROR(__xludf.DUMMYFUNCTION("""COMPUTED_VALUE"""),"Hamburguesas Diana Tizayuca Hgo Mex")</f>
        <v>Hamburguesas Diana Tizayuca Hgo Mex</v>
      </c>
      <c r="I23" s="17" t="str">
        <f ca="1">IFERROR(__xludf.DUMMYFUNCTION("""COMPUTED_VALUE"""),"Transaction cost")</f>
        <v>Transaction cost</v>
      </c>
      <c r="J23" s="17" t="str">
        <f ca="1">IFERROR(__xludf.DUMMYFUNCTION("""COMPUTED_VALUE"""),"Seguridad")</f>
        <v>Seguridad</v>
      </c>
      <c r="K23" s="17" t="str">
        <f ca="1">IFERROR(__xludf.DUMMYFUNCTION("""COMPUTED_VALUE"""),"544913E5-5BEB-49F1-A1A4-C7A64C00862C")</f>
        <v>544913E5-5BEB-49F1-A1A4-C7A64C00862C</v>
      </c>
      <c r="L23" s="17"/>
      <c r="M23" s="87" t="s">
        <v>1992</v>
      </c>
      <c r="N23" s="17"/>
      <c r="O23" s="17"/>
    </row>
    <row r="24" spans="1:15" ht="12.5">
      <c r="A24" s="17" t="str">
        <f ca="1">IFERROR(__xludf.DUMMYFUNCTION("""COMPUTED_VALUE"""),"TRX1647")</f>
        <v>TRX1647</v>
      </c>
      <c r="B24" s="86" t="str">
        <f ca="1">IFERROR(__xludf.DUMMYFUNCTION("""COMPUTED_VALUE"""),"#66")</f>
        <v>#66</v>
      </c>
      <c r="C24" s="63">
        <f ca="1">IFERROR(__xludf.DUMMYFUNCTION("""COMPUTED_VALUE"""),46066.4173611111)</f>
        <v>46066.417361111096</v>
      </c>
      <c r="D24" s="65">
        <f ca="1">IFERROR(__xludf.DUMMYFUNCTION("""COMPUTED_VALUE"""),139.7)</f>
        <v>139.69999999999999</v>
      </c>
      <c r="E24" s="17" t="str">
        <f ca="1">IFERROR(__xludf.DUMMYFUNCTION("""COMPUTED_VALUE"""),"MXN")</f>
        <v>MXN</v>
      </c>
      <c r="F24" s="17" t="str">
        <f ca="1">IFERROR(__xludf.DUMMYFUNCTION("""COMPUTED_VALUE"""),"Erik Castillo")</f>
        <v>Erik Castillo</v>
      </c>
      <c r="G24" s="17" t="str">
        <f ca="1">IFERROR(__xludf.DUMMYFUNCTION("""COMPUTED_VALUE"""),"WWO 2269 MP            TIZAYUCA HGO  MEX")</f>
        <v>WWO 2269 MP            TIZAYUCA HGO  MEX</v>
      </c>
      <c r="H24" s="17" t="str">
        <f ca="1">IFERROR(__xludf.DUMMYFUNCTION("""COMPUTED_VALUE"""),"Wwo 2269 Mp Tizayuca Hgo Mex")</f>
        <v>Wwo 2269 Mp Tizayuca Hgo Mex</v>
      </c>
      <c r="I24" s="17" t="str">
        <f ca="1">IFERROR(__xludf.DUMMYFUNCTION("""COMPUTED_VALUE"""),"Transaction cost")</f>
        <v>Transaction cost</v>
      </c>
      <c r="J24" s="17" t="str">
        <f ca="1">IFERROR(__xludf.DUMMYFUNCTION("""COMPUTED_VALUE"""),"Gasolina")</f>
        <v>Gasolina</v>
      </c>
      <c r="K24" s="17" t="str">
        <f ca="1">IFERROR(__xludf.DUMMYFUNCTION("""COMPUTED_VALUE"""),"A18797")</f>
        <v>A18797</v>
      </c>
      <c r="L24" s="17"/>
      <c r="M24" s="87" t="s">
        <v>1992</v>
      </c>
      <c r="N24" s="17"/>
      <c r="O24" s="17"/>
    </row>
    <row r="25" spans="1:15" ht="12.5">
      <c r="A25" s="17" t="str">
        <f ca="1">IFERROR(__xludf.DUMMYFUNCTION("""COMPUTED_VALUE"""),"TRX1498")</f>
        <v>TRX1498</v>
      </c>
      <c r="B25" s="86" t="str">
        <f ca="1">IFERROR(__xludf.DUMMYFUNCTION("""COMPUTED_VALUE"""),"#66")</f>
        <v>#66</v>
      </c>
      <c r="C25" s="63">
        <f ca="1">IFERROR(__xludf.DUMMYFUNCTION("""COMPUTED_VALUE"""),46066.4173611111)</f>
        <v>46066.417361111096</v>
      </c>
      <c r="D25" s="65">
        <f ca="1">IFERROR(__xludf.DUMMYFUNCTION("""COMPUTED_VALUE"""),407.98)</f>
        <v>407.98</v>
      </c>
      <c r="E25" s="17" t="str">
        <f ca="1">IFERROR(__xludf.DUMMYFUNCTION("""COMPUTED_VALUE"""),"MXN")</f>
        <v>MXN</v>
      </c>
      <c r="F25" s="17" t="str">
        <f ca="1">IFERROR(__xludf.DUMMYFUNCTION("""COMPUTED_VALUE"""),"Erik Castillo")</f>
        <v>Erik Castillo</v>
      </c>
      <c r="G25" s="17" t="str">
        <f ca="1">IFERROR(__xludf.DUMMYFUNCTION("""COMPUTED_VALUE"""),"FAR GUAD 2318          TIZAYUCA HGO  MEX")</f>
        <v>FAR GUAD 2318          TIZAYUCA HGO  MEX</v>
      </c>
      <c r="H25" s="17" t="str">
        <f ca="1">IFERROR(__xludf.DUMMYFUNCTION("""COMPUTED_VALUE"""),"Far Guad 2318 Tizayuca Hgo Mex")</f>
        <v>Far Guad 2318 Tizayuca Hgo Mex</v>
      </c>
      <c r="I25" s="17" t="str">
        <f ca="1">IFERROR(__xludf.DUMMYFUNCTION("""COMPUTED_VALUE"""),"Transaction cost")</f>
        <v>Transaction cost</v>
      </c>
      <c r="J25" s="17" t="str">
        <f ca="1">IFERROR(__xludf.DUMMYFUNCTION("""COMPUTED_VALUE"""),"Recarga")</f>
        <v>Recarga</v>
      </c>
      <c r="K25" s="17" t="str">
        <f ca="1">IFERROR(__xludf.DUMMYFUNCTION("""COMPUTED_VALUE"""),"7513083260122161507881")</f>
        <v>7513083260122161507881</v>
      </c>
      <c r="L25" s="17"/>
      <c r="M25" s="87" t="s">
        <v>1992</v>
      </c>
      <c r="N25" s="17"/>
      <c r="O25" s="17"/>
    </row>
    <row r="26" spans="1:15" ht="12.5">
      <c r="A26" s="17" t="str">
        <f ca="1">IFERROR(__xludf.DUMMYFUNCTION("""COMPUTED_VALUE"""),"TRX1294")</f>
        <v>TRX1294</v>
      </c>
      <c r="B26" s="86" t="str">
        <f ca="1">IFERROR(__xludf.DUMMYFUNCTION("""COMPUTED_VALUE"""),"#66")</f>
        <v>#66</v>
      </c>
      <c r="C26" s="63">
        <f ca="1">IFERROR(__xludf.DUMMYFUNCTION("""COMPUTED_VALUE"""),46067.4166666666)</f>
        <v>46067.416666666599</v>
      </c>
      <c r="D26" s="65">
        <f ca="1">IFERROR(__xludf.DUMMYFUNCTION("""COMPUTED_VALUE"""),1480.2)</f>
        <v>1480.2</v>
      </c>
      <c r="E26" s="17" t="str">
        <f ca="1">IFERROR(__xludf.DUMMYFUNCTION("""COMPUTED_VALUE"""),"MXN")</f>
        <v>MXN</v>
      </c>
      <c r="F26" s="17" t="str">
        <f ca="1">IFERROR(__xludf.DUMMYFUNCTION("""COMPUTED_VALUE"""),"Erik Castillo")</f>
        <v>Erik Castillo</v>
      </c>
      <c r="G26" s="17" t="str">
        <f ca="1">IFERROR(__xludf.DUMMYFUNCTION("""COMPUTED_VALUE"""),"ENERGETICOS ZAPATA 3   TIZAYUCA HGO  MEX")</f>
        <v>ENERGETICOS ZAPATA 3   TIZAYUCA HGO  MEX</v>
      </c>
      <c r="H26" s="17" t="str">
        <f ca="1">IFERROR(__xludf.DUMMYFUNCTION("""COMPUTED_VALUE"""),"Energeticos Zapata 3 Tizayuca Hgo Mex")</f>
        <v>Energeticos Zapata 3 Tizayuca Hgo Mex</v>
      </c>
      <c r="I26" s="17" t="str">
        <f ca="1">IFERROR(__xludf.DUMMYFUNCTION("""COMPUTED_VALUE"""),"Transaction cost")</f>
        <v>Transaction cost</v>
      </c>
      <c r="J26" s="17" t="str">
        <f ca="1">IFERROR(__xludf.DUMMYFUNCTION("""COMPUTED_VALUE"""),"Consumo")</f>
        <v>Consumo</v>
      </c>
      <c r="K26" s="17" t="str">
        <f ca="1">IFERROR(__xludf.DUMMYFUNCTION("""COMPUTED_VALUE"""),"7545056260122161139465")</f>
        <v>7545056260122161139465</v>
      </c>
      <c r="L26" s="17"/>
      <c r="M26" s="87" t="s">
        <v>1992</v>
      </c>
      <c r="N26" s="17"/>
      <c r="O26" s="17"/>
    </row>
    <row r="27" spans="1:15" ht="12.5">
      <c r="A27" s="17" t="str">
        <f ca="1">IFERROR(__xludf.DUMMYFUNCTION("""COMPUTED_VALUE"""),"TRX1835")</f>
        <v>TRX1835</v>
      </c>
      <c r="B27" s="86" t="str">
        <f ca="1">IFERROR(__xludf.DUMMYFUNCTION("""COMPUTED_VALUE"""),"#66")</f>
        <v>#66</v>
      </c>
      <c r="C27" s="63">
        <f ca="1">IFERROR(__xludf.DUMMYFUNCTION("""COMPUTED_VALUE"""),46068.4173611111)</f>
        <v>46068.417361111096</v>
      </c>
      <c r="D27" s="65">
        <f ca="1">IFERROR(__xludf.DUMMYFUNCTION("""COMPUTED_VALUE"""),149)</f>
        <v>149</v>
      </c>
      <c r="E27" s="17" t="str">
        <f ca="1">IFERROR(__xludf.DUMMYFUNCTION("""COMPUTED_VALUE"""),"MXN")</f>
        <v>MXN</v>
      </c>
      <c r="F27" s="17" t="str">
        <f ca="1">IFERROR(__xludf.DUMMYFUNCTION("""COMPUTED_VALUE"""),"Erik Castillo")</f>
        <v>Erik Castillo</v>
      </c>
      <c r="G27" s="17" t="str">
        <f ca="1">IFERROR(__xludf.DUMMYFUNCTION("""COMPUTED_VALUE"""),"OXXO G ZAPATA PAC      TIZAYUCA HGO  MEX")</f>
        <v>OXXO G ZAPATA PAC      TIZAYUCA HGO  MEX</v>
      </c>
      <c r="H27" s="17" t="str">
        <f ca="1">IFERROR(__xludf.DUMMYFUNCTION("""COMPUTED_VALUE"""),"Oxxo")</f>
        <v>Oxxo</v>
      </c>
      <c r="I27" s="17" t="str">
        <f ca="1">IFERROR(__xludf.DUMMYFUNCTION("""COMPUTED_VALUE"""),"Transaction cost")</f>
        <v>Transaction cost</v>
      </c>
      <c r="J27" s="17" t="str">
        <f ca="1">IFERROR(__xludf.DUMMYFUNCTION("""COMPUTED_VALUE"""),"Consumo")</f>
        <v>Consumo</v>
      </c>
      <c r="K27" s="17" t="str">
        <f ca="1">IFERROR(__xludf.DUMMYFUNCTION("""COMPUTED_VALUE"""),"182BFE68-095E-4026-B953-EA81B419CDD5")</f>
        <v>182BFE68-095E-4026-B953-EA81B419CDD5</v>
      </c>
      <c r="L27" s="17"/>
      <c r="M27" s="87" t="s">
        <v>1992</v>
      </c>
      <c r="N27" s="17"/>
      <c r="O27" s="17"/>
    </row>
    <row r="28" spans="1:15" ht="12.5">
      <c r="A28" s="17" t="str">
        <f ca="1">IFERROR(__xludf.DUMMYFUNCTION("""COMPUTED_VALUE"""),"TRX1753")</f>
        <v>TRX1753</v>
      </c>
      <c r="B28" s="86" t="str">
        <f ca="1">IFERROR(__xludf.DUMMYFUNCTION("""COMPUTED_VALUE"""),"#66")</f>
        <v>#66</v>
      </c>
      <c r="C28" s="63">
        <f ca="1">IFERROR(__xludf.DUMMYFUNCTION("""COMPUTED_VALUE"""),46069.4166666666)</f>
        <v>46069.416666666599</v>
      </c>
      <c r="D28" s="65">
        <f ca="1">IFERROR(__xludf.DUMMYFUNCTION("""COMPUTED_VALUE"""),245)</f>
        <v>245</v>
      </c>
      <c r="E28" s="17" t="str">
        <f ca="1">IFERROR(__xludf.DUMMYFUNCTION("""COMPUTED_VALUE"""),"MXN")</f>
        <v>MXN</v>
      </c>
      <c r="F28" s="17" t="str">
        <f ca="1">IFERROR(__xludf.DUMMYFUNCTION("""COMPUTED_VALUE"""),"Erik Castillo")</f>
        <v>Erik Castillo</v>
      </c>
      <c r="G28" s="17" t="str">
        <f ca="1">IFERROR(__xludf.DUMMYFUNCTION("""COMPUTED_VALUE"""),"OXXO FUENTES TIZAYUCA  TIZAYUCA HGO  MEX")</f>
        <v>OXXO FUENTES TIZAYUCA  TIZAYUCA HGO  MEX</v>
      </c>
      <c r="H28" s="17" t="str">
        <f ca="1">IFERROR(__xludf.DUMMYFUNCTION("""COMPUTED_VALUE"""),"Oxxo")</f>
        <v>Oxxo</v>
      </c>
      <c r="I28" s="17" t="str">
        <f ca="1">IFERROR(__xludf.DUMMYFUNCTION("""COMPUTED_VALUE"""),"Transaction cost")</f>
        <v>Transaction cost</v>
      </c>
      <c r="J28" s="17" t="str">
        <f ca="1">IFERROR(__xludf.DUMMYFUNCTION("""COMPUTED_VALUE"""),"Consumo para traslados")</f>
        <v>Consumo para traslados</v>
      </c>
      <c r="K28" s="17" t="str">
        <f ca="1">IFERROR(__xludf.DUMMYFUNCTION("""COMPUTED_VALUE"""),"ICAGL581003")</f>
        <v>ICAGL581003</v>
      </c>
      <c r="L28" s="17"/>
      <c r="M28" s="87" t="s">
        <v>1992</v>
      </c>
      <c r="N28" s="17"/>
      <c r="O28" s="17"/>
    </row>
    <row r="29" spans="1:15" ht="12.5">
      <c r="A29" s="17" t="str">
        <f ca="1">IFERROR(__xludf.DUMMYFUNCTION("""COMPUTED_VALUE"""),"TRX1050")</f>
        <v>TRX1050</v>
      </c>
      <c r="B29" s="86" t="str">
        <f ca="1">IFERROR(__xludf.DUMMYFUNCTION("""COMPUTED_VALUE"""),"#66")</f>
        <v>#66</v>
      </c>
      <c r="C29" s="63">
        <f ca="1">IFERROR(__xludf.DUMMYFUNCTION("""COMPUTED_VALUE"""),46070.4166666666)</f>
        <v>46070.416666666599</v>
      </c>
      <c r="D29" s="65">
        <f ca="1">IFERROR(__xludf.DUMMYFUNCTION("""COMPUTED_VALUE"""),350)</f>
        <v>350</v>
      </c>
      <c r="E29" s="17" t="str">
        <f ca="1">IFERROR(__xludf.DUMMYFUNCTION("""COMPUTED_VALUE"""),"MXN")</f>
        <v>MXN</v>
      </c>
      <c r="F29" s="17" t="str">
        <f ca="1">IFERROR(__xludf.DUMMYFUNCTION("""COMPUTED_VALUE"""),"Erik Castillo")</f>
        <v>Erik Castillo</v>
      </c>
      <c r="G29" s="17" t="str">
        <f ca="1">IFERROR(__xludf.DUMMYFUNCTION("""COMPUTED_VALUE"""),"CLIP MX*REST TAQUERIA  TIZAYUCA      MEX")</f>
        <v>CLIP MX*REST TAQUERIA  TIZAYUCA      MEX</v>
      </c>
      <c r="H29" s="17" t="str">
        <f ca="1">IFERROR(__xludf.DUMMYFUNCTION("""COMPUTED_VALUE"""),"Clip Mx Rest Taqueria Tizayuca Mex")</f>
        <v>Clip Mx Rest Taqueria Tizayuca Mex</v>
      </c>
      <c r="I29" s="17" t="str">
        <f ca="1">IFERROR(__xludf.DUMMYFUNCTION("""COMPUTED_VALUE"""),"Transaction cost")</f>
        <v>Transaction cost</v>
      </c>
      <c r="J29" s="17" t="str">
        <f ca="1">IFERROR(__xludf.DUMMYFUNCTION("""COMPUTED_VALUE"""),"Consulta de emergencia por caida")</f>
        <v>Consulta de emergencia por caida</v>
      </c>
      <c r="K29" s="17" t="str">
        <f ca="1">IFERROR(__xludf.DUMMYFUNCTION("""COMPUTED_VALUE"""),"B4695")</f>
        <v>B4695</v>
      </c>
      <c r="L29" s="17"/>
      <c r="M29" s="87" t="s">
        <v>1992</v>
      </c>
      <c r="N29" s="17"/>
      <c r="O29" s="17"/>
    </row>
    <row r="30" spans="1:15" ht="12.5">
      <c r="A30" s="17" t="str">
        <f ca="1">IFERROR(__xludf.DUMMYFUNCTION("""COMPUTED_VALUE"""),"TRX1830")</f>
        <v>TRX1830</v>
      </c>
      <c r="B30" s="86" t="str">
        <f ca="1">IFERROR(__xludf.DUMMYFUNCTION("""COMPUTED_VALUE"""),"#66")</f>
        <v>#66</v>
      </c>
      <c r="C30" s="63">
        <f ca="1">IFERROR(__xludf.DUMMYFUNCTION("""COMPUTED_VALUE"""),46070.4166666666)</f>
        <v>46070.416666666599</v>
      </c>
      <c r="D30" s="65">
        <f ca="1">IFERROR(__xludf.DUMMYFUNCTION("""COMPUTED_VALUE"""),348)</f>
        <v>348</v>
      </c>
      <c r="E30" s="17" t="str">
        <f ca="1">IFERROR(__xludf.DUMMYFUNCTION("""COMPUTED_VALUE"""),"MXN")</f>
        <v>MXN</v>
      </c>
      <c r="F30" s="17" t="str">
        <f ca="1">IFERROR(__xludf.DUMMYFUNCTION("""COMPUTED_VALUE"""),"Erik Castillo")</f>
        <v>Erik Castillo</v>
      </c>
      <c r="G30" s="17" t="str">
        <f ca="1">IFERROR(__xludf.DUMMYFUNCTION("""COMPUTED_VALUE"""),"BGA AURRERA TIZAYUCA   TIZAYUCA HGO  MEX")</f>
        <v>BGA AURRERA TIZAYUCA   TIZAYUCA HGO  MEX</v>
      </c>
      <c r="H30" s="17" t="str">
        <f ca="1">IFERROR(__xludf.DUMMYFUNCTION("""COMPUTED_VALUE"""),"Bga Aurrera Tizayuca Tizayuca Hgo Mex")</f>
        <v>Bga Aurrera Tizayuca Tizayuca Hgo Mex</v>
      </c>
      <c r="I30" s="17" t="str">
        <f ca="1">IFERROR(__xludf.DUMMYFUNCTION("""COMPUTED_VALUE"""),"Transaction cost")</f>
        <v>Transaction cost</v>
      </c>
      <c r="J30" s="17" t="str">
        <f ca="1">IFERROR(__xludf.DUMMYFUNCTION("""COMPUTED_VALUE"""),"Recargo por cambio de vuelo")</f>
        <v>Recargo por cambio de vuelo</v>
      </c>
      <c r="K30" s="17">
        <f ca="1">IFERROR(__xludf.DUMMYFUNCTION("""COMPUTED_VALUE"""),151715038)</f>
        <v>151715038</v>
      </c>
      <c r="L30" s="17"/>
      <c r="M30" s="87" t="s">
        <v>1992</v>
      </c>
      <c r="N30" s="17"/>
      <c r="O30" s="17"/>
    </row>
    <row r="31" spans="1:15" ht="12.5">
      <c r="A31" s="17" t="str">
        <f ca="1">IFERROR(__xludf.DUMMYFUNCTION("""COMPUTED_VALUE"""),"TRX1860")</f>
        <v>TRX1860</v>
      </c>
      <c r="B31" s="86" t="str">
        <f ca="1">IFERROR(__xludf.DUMMYFUNCTION("""COMPUTED_VALUE"""),"#66")</f>
        <v>#66</v>
      </c>
      <c r="C31" s="63">
        <f ca="1">IFERROR(__xludf.DUMMYFUNCTION("""COMPUTED_VALUE"""),46071.4166666666)</f>
        <v>46071.416666666599</v>
      </c>
      <c r="D31" s="65">
        <f ca="1">IFERROR(__xludf.DUMMYFUNCTION("""COMPUTED_VALUE"""),210)</f>
        <v>210</v>
      </c>
      <c r="E31" s="17" t="str">
        <f ca="1">IFERROR(__xludf.DUMMYFUNCTION("""COMPUTED_VALUE"""),"MXN")</f>
        <v>MXN</v>
      </c>
      <c r="F31" s="17" t="str">
        <f ca="1">IFERROR(__xludf.DUMMYFUNCTION("""COMPUTED_VALUE"""),"Erik Castillo")</f>
        <v>Erik Castillo</v>
      </c>
      <c r="G31" s="17" t="str">
        <f ca="1">IFERROR(__xludf.DUMMYFUNCTION("""COMPUTED_VALUE"""),"MERCADOPAGO *SELENEGH  Tizayuca      MEX")</f>
        <v>MERCADOPAGO *SELENEGH  Tizayuca      MEX</v>
      </c>
      <c r="H31" s="17" t="str">
        <f ca="1">IFERROR(__xludf.DUMMYFUNCTION("""COMPUTED_VALUE"""),"Mercadopago")</f>
        <v>Mercadopago</v>
      </c>
      <c r="I31" s="17" t="str">
        <f ca="1">IFERROR(__xludf.DUMMYFUNCTION("""COMPUTED_VALUE"""),"Transaction cost")</f>
        <v>Transaction cost</v>
      </c>
      <c r="J31" s="17" t="str">
        <f ca="1">IFERROR(__xludf.DUMMYFUNCTION("""COMPUTED_VALUE"""),"Gasolina")</f>
        <v>Gasolina</v>
      </c>
      <c r="K31" s="17" t="str">
        <f ca="1">IFERROR(__xludf.DUMMYFUNCTION("""COMPUTED_VALUE"""),"A19044")</f>
        <v>A19044</v>
      </c>
      <c r="L31" s="17"/>
      <c r="M31" s="87" t="s">
        <v>1992</v>
      </c>
      <c r="N31" s="17"/>
      <c r="O31" s="17"/>
    </row>
    <row r="32" spans="1:15" ht="12.5">
      <c r="A32" s="17" t="str">
        <f ca="1">IFERROR(__xludf.DUMMYFUNCTION("""COMPUTED_VALUE"""),"TRX1985")</f>
        <v>TRX1985</v>
      </c>
      <c r="B32" s="86" t="str">
        <f ca="1">IFERROR(__xludf.DUMMYFUNCTION("""COMPUTED_VALUE"""),"#66")</f>
        <v>#66</v>
      </c>
      <c r="C32" s="63">
        <f ca="1">IFERROR(__xludf.DUMMYFUNCTION("""COMPUTED_VALUE"""),46072.4166666666)</f>
        <v>46072.416666666599</v>
      </c>
      <c r="D32" s="65">
        <f ca="1">IFERROR(__xludf.DUMMYFUNCTION("""COMPUTED_VALUE"""),171)</f>
        <v>171</v>
      </c>
      <c r="E32" s="17" t="str">
        <f ca="1">IFERROR(__xludf.DUMMYFUNCTION("""COMPUTED_VALUE"""),"MXN")</f>
        <v>MXN</v>
      </c>
      <c r="F32" s="17" t="str">
        <f ca="1">IFERROR(__xludf.DUMMYFUNCTION("""COMPUTED_VALUE"""),"Erik Castillo")</f>
        <v>Erik Castillo</v>
      </c>
      <c r="G32" s="17" t="str">
        <f ca="1">IFERROR(__xludf.DUMMYFUNCTION("""COMPUTED_VALUE"""),"OPER NEDARO CTRO LECHE TIZAYUCA HGO  MEX")</f>
        <v>OPER NEDARO CTRO LECHE TIZAYUCA HGO  MEX</v>
      </c>
      <c r="H32" s="17" t="str">
        <f ca="1">IFERROR(__xludf.DUMMYFUNCTION("""COMPUTED_VALUE"""),"Oper Nedaro Ctro Leche Tizayuca Hgo Mex")</f>
        <v>Oper Nedaro Ctro Leche Tizayuca Hgo Mex</v>
      </c>
      <c r="I32" s="17" t="str">
        <f ca="1">IFERROR(__xludf.DUMMYFUNCTION("""COMPUTED_VALUE"""),"Transaction cost")</f>
        <v>Transaction cost</v>
      </c>
      <c r="J32" s="17" t="str">
        <f ca="1">IFERROR(__xludf.DUMMYFUNCTION("""COMPUTED_VALUE"""),"Recarga de TAG")</f>
        <v>Recarga de TAG</v>
      </c>
      <c r="K32" s="17" t="str">
        <f ca="1">IFERROR(__xludf.DUMMYFUNCTION("""COMPUTED_VALUE"""),"BD6DD3C6-20F1-41D3-A763-01A934EA253C")</f>
        <v>BD6DD3C6-20F1-41D3-A763-01A934EA253C</v>
      </c>
      <c r="L32" s="17"/>
      <c r="M32" s="87" t="s">
        <v>1992</v>
      </c>
      <c r="N32" s="17"/>
      <c r="O32" s="17"/>
    </row>
    <row r="33" spans="1:15" ht="12.5">
      <c r="A33" s="17" t="str">
        <f ca="1">IFERROR(__xludf.DUMMYFUNCTION("""COMPUTED_VALUE"""),"TRX1563")</f>
        <v>TRX1563</v>
      </c>
      <c r="B33" s="86" t="str">
        <f ca="1">IFERROR(__xludf.DUMMYFUNCTION("""COMPUTED_VALUE"""),"#66")</f>
        <v>#66</v>
      </c>
      <c r="C33" s="63">
        <f ca="1">IFERROR(__xludf.DUMMYFUNCTION("""COMPUTED_VALUE"""),46073.4166666666)</f>
        <v>46073.416666666599</v>
      </c>
      <c r="D33" s="65">
        <f ca="1">IFERROR(__xludf.DUMMYFUNCTION("""COMPUTED_VALUE"""),1428.96)</f>
        <v>1428.96</v>
      </c>
      <c r="E33" s="17" t="str">
        <f ca="1">IFERROR(__xludf.DUMMYFUNCTION("""COMPUTED_VALUE"""),"MXN")</f>
        <v>MXN</v>
      </c>
      <c r="F33" s="17" t="str">
        <f ca="1">IFERROR(__xludf.DUMMYFUNCTION("""COMPUTED_VALUE"""),"Erik Castillo")</f>
        <v>Erik Castillo</v>
      </c>
      <c r="G33" s="17" t="str">
        <f ca="1">IFERROR(__xludf.DUMMYFUNCTION("""COMPUTED_VALUE"""),"ENERGETICOS ZAPATA 1   TIZAYUCA HGO  MEX")</f>
        <v>ENERGETICOS ZAPATA 1   TIZAYUCA HGO  MEX</v>
      </c>
      <c r="H33" s="17" t="str">
        <f ca="1">IFERROR(__xludf.DUMMYFUNCTION("""COMPUTED_VALUE"""),"Energeticos Zapata 1 Tizayuca Hgo Mex")</f>
        <v>Energeticos Zapata 1 Tizayuca Hgo Mex</v>
      </c>
      <c r="I33" s="17" t="str">
        <f ca="1">IFERROR(__xludf.DUMMYFUNCTION("""COMPUTED_VALUE"""),"Transaction cost")</f>
        <v>Transaction cost</v>
      </c>
      <c r="J33" s="17" t="str">
        <f ca="1">IFERROR(__xludf.DUMMYFUNCTION("""COMPUTED_VALUE"""),"Consumo")</f>
        <v>Consumo</v>
      </c>
      <c r="K33" s="17" t="str">
        <f ca="1">IFERROR(__xludf.DUMMYFUNCTION("""COMPUTED_VALUE"""),"A - 17521")</f>
        <v>A - 17521</v>
      </c>
      <c r="L33" s="17"/>
      <c r="M33" s="87" t="s">
        <v>1992</v>
      </c>
      <c r="N33" s="17"/>
      <c r="O33" s="17"/>
    </row>
    <row r="34" spans="1:15" ht="12.5">
      <c r="A34" s="17" t="str">
        <f ca="1">IFERROR(__xludf.DUMMYFUNCTION("""COMPUTED_VALUE"""),"TRX1003")</f>
        <v>TRX1003</v>
      </c>
      <c r="B34" s="86" t="str">
        <f ca="1">IFERROR(__xludf.DUMMYFUNCTION("""COMPUTED_VALUE"""),"#66")</f>
        <v>#66</v>
      </c>
      <c r="C34" s="63">
        <f ca="1">IFERROR(__xludf.DUMMYFUNCTION("""COMPUTED_VALUE"""),46073.4173611111)</f>
        <v>46073.417361111096</v>
      </c>
      <c r="D34" s="65">
        <f ca="1">IFERROR(__xludf.DUMMYFUNCTION("""COMPUTED_VALUE"""),111.5)</f>
        <v>111.5</v>
      </c>
      <c r="E34" s="17" t="str">
        <f ca="1">IFERROR(__xludf.DUMMYFUNCTION("""COMPUTED_VALUE"""),"MXN")</f>
        <v>MXN</v>
      </c>
      <c r="F34" s="17" t="str">
        <f ca="1">IFERROR(__xludf.DUMMYFUNCTION("""COMPUTED_VALUE"""),"Erik Castillo")</f>
        <v>Erik Castillo</v>
      </c>
      <c r="G34" s="17" t="str">
        <f ca="1">IFERROR(__xludf.DUMMYFUNCTION("""COMPUTED_VALUE"""),"OXXOSAN ANTONIO 17 MEX CUAUTITLAN EM MEX")</f>
        <v>OXXOSAN ANTONIO 17 MEX CUAUTITLAN EM MEX</v>
      </c>
      <c r="H34" s="17" t="str">
        <f ca="1">IFERROR(__xludf.DUMMYFUNCTION("""COMPUTED_VALUE"""),"Oxxosan Antonio 17 Mex Cuautitlan Em Mex")</f>
        <v>Oxxosan Antonio 17 Mex Cuautitlan Em Mex</v>
      </c>
      <c r="I34" s="17" t="str">
        <f ca="1">IFERROR(__xludf.DUMMYFUNCTION("""COMPUTED_VALUE"""),"Transaction cost")</f>
        <v>Transaction cost</v>
      </c>
      <c r="J34" s="17" t="str">
        <f ca="1">IFERROR(__xludf.DUMMYFUNCTION("""COMPUTED_VALUE"""),"Seguridad para vehiculo")</f>
        <v>Seguridad para vehiculo</v>
      </c>
      <c r="K34" s="17" t="str">
        <f ca="1">IFERROR(__xludf.DUMMYFUNCTION("""COMPUTED_VALUE"""),"IBABK342781")</f>
        <v>IBABK342781</v>
      </c>
      <c r="L34" s="17"/>
      <c r="M34" s="87" t="s">
        <v>1992</v>
      </c>
      <c r="N34" s="17"/>
      <c r="O34" s="17"/>
    </row>
    <row r="35" spans="1:15" ht="12.5">
      <c r="A35" s="17" t="str">
        <f ca="1">IFERROR(__xludf.DUMMYFUNCTION("""COMPUTED_VALUE"""),"TRX1268")</f>
        <v>TRX1268</v>
      </c>
      <c r="B35" s="86" t="str">
        <f ca="1">IFERROR(__xludf.DUMMYFUNCTION("""COMPUTED_VALUE"""),"#66")</f>
        <v>#66</v>
      </c>
      <c r="C35" s="63">
        <f ca="1">IFERROR(__xludf.DUMMYFUNCTION("""COMPUTED_VALUE"""),46073.4173611111)</f>
        <v>46073.417361111096</v>
      </c>
      <c r="D35" s="65">
        <f ca="1">IFERROR(__xludf.DUMMYFUNCTION("""COMPUTED_VALUE"""),1014)</f>
        <v>1014</v>
      </c>
      <c r="E35" s="17" t="str">
        <f ca="1">IFERROR(__xludf.DUMMYFUNCTION("""COMPUTED_VALUE"""),"MXN")</f>
        <v>MXN</v>
      </c>
      <c r="F35" s="17" t="str">
        <f ca="1">IFERROR(__xludf.DUMMYFUNCTION("""COMPUTED_VALUE"""),"Erik Castillo")</f>
        <v>Erik Castillo</v>
      </c>
      <c r="G35" s="17" t="str">
        <f ca="1">IFERROR(__xludf.DUMMYFUNCTION("""COMPUTED_VALUE"""),"OXXO G ZAPATA PAC      TIZAYUCA HGO  MEX")</f>
        <v>OXXO G ZAPATA PAC      TIZAYUCA HGO  MEX</v>
      </c>
      <c r="H35" s="17" t="str">
        <f ca="1">IFERROR(__xludf.DUMMYFUNCTION("""COMPUTED_VALUE"""),"Oxxo")</f>
        <v>Oxxo</v>
      </c>
      <c r="I35" s="17" t="str">
        <f ca="1">IFERROR(__xludf.DUMMYFUNCTION("""COMPUTED_VALUE"""),"Transaction cost")</f>
        <v>Transaction cost</v>
      </c>
      <c r="J35" s="17" t="str">
        <f ca="1">IFERROR(__xludf.DUMMYFUNCTION("""COMPUTED_VALUE"""),"Comida con cliente Creaceric")</f>
        <v>Comida con cliente Creaceric</v>
      </c>
      <c r="K35" s="17" t="str">
        <f ca="1">IFERROR(__xludf.DUMMYFUNCTION("""COMPUTED_VALUE"""),"A8AB9CE6-B34D-4E86-9B88-655996A59DAD")</f>
        <v>A8AB9CE6-B34D-4E86-9B88-655996A59DAD</v>
      </c>
      <c r="L35" s="17"/>
      <c r="M35" s="87" t="s">
        <v>1992</v>
      </c>
      <c r="N35" s="17"/>
      <c r="O35" s="17"/>
    </row>
    <row r="36" spans="1:15" ht="12.5">
      <c r="A36" s="17" t="str">
        <f ca="1">IFERROR(__xludf.DUMMYFUNCTION("""COMPUTED_VALUE"""),"TRX1033")</f>
        <v>TRX1033</v>
      </c>
      <c r="B36" s="86" t="str">
        <f ca="1">IFERROR(__xludf.DUMMYFUNCTION("""COMPUTED_VALUE"""),"#66")</f>
        <v>#66</v>
      </c>
      <c r="C36" s="63">
        <f ca="1">IFERROR(__xludf.DUMMYFUNCTION("""COMPUTED_VALUE"""),46074.4173611111)</f>
        <v>46074.417361111096</v>
      </c>
      <c r="D36" s="65">
        <f ca="1">IFERROR(__xludf.DUMMYFUNCTION("""COMPUTED_VALUE"""),185)</f>
        <v>185</v>
      </c>
      <c r="E36" s="17" t="str">
        <f ca="1">IFERROR(__xludf.DUMMYFUNCTION("""COMPUTED_VALUE"""),"MXN")</f>
        <v>MXN</v>
      </c>
      <c r="F36" s="17" t="str">
        <f ca="1">IFERROR(__xludf.DUMMYFUNCTION("""COMPUTED_VALUE"""),"Erik Castillo")</f>
        <v>Erik Castillo</v>
      </c>
      <c r="G36" s="17" t="str">
        <f ca="1">IFERROR(__xludf.DUMMYFUNCTION("""COMPUTED_VALUE"""),"MISC PITS TOL ZIT      ALMOLOYA DE J MEX")</f>
        <v>MISC PITS TOL ZIT      ALMOLOYA DE J MEX</v>
      </c>
      <c r="H36" s="17" t="str">
        <f ca="1">IFERROR(__xludf.DUMMYFUNCTION("""COMPUTED_VALUE"""),"Misc Pits Tol Zit Almoloya De J Mex")</f>
        <v>Misc Pits Tol Zit Almoloya De J Mex</v>
      </c>
      <c r="I36" s="17" t="str">
        <f ca="1">IFERROR(__xludf.DUMMYFUNCTION("""COMPUTED_VALUE"""),"Transaction cost")</f>
        <v>Transaction cost</v>
      </c>
      <c r="J36" s="17" t="str">
        <f ca="1">IFERROR(__xludf.DUMMYFUNCTION("""COMPUTED_VALUE"""),"Gasolina ")</f>
        <v xml:space="preserve">Gasolina </v>
      </c>
      <c r="K36" s="17" t="str">
        <f ca="1">IFERROR(__xludf.DUMMYFUNCTION("""COMPUTED_VALUE"""),"A19227")</f>
        <v>A19227</v>
      </c>
      <c r="L36" s="17"/>
      <c r="M36" s="87" t="s">
        <v>1992</v>
      </c>
      <c r="N36" s="17"/>
      <c r="O36" s="17"/>
    </row>
    <row r="37" spans="1:15" ht="12.5">
      <c r="A37" s="17" t="str">
        <f ca="1">IFERROR(__xludf.DUMMYFUNCTION("""COMPUTED_VALUE"""),"TRX1067")</f>
        <v>TRX1067</v>
      </c>
      <c r="B37" s="86" t="str">
        <f ca="1">IFERROR(__xludf.DUMMYFUNCTION("""COMPUTED_VALUE"""),"#66")</f>
        <v>#66</v>
      </c>
      <c r="C37" s="63">
        <f ca="1">IFERROR(__xludf.DUMMYFUNCTION("""COMPUTED_VALUE"""),46075.4166666666)</f>
        <v>46075.416666666599</v>
      </c>
      <c r="D37" s="65">
        <f ca="1">IFERROR(__xludf.DUMMYFUNCTION("""COMPUTED_VALUE"""),1700)</f>
        <v>1700</v>
      </c>
      <c r="E37" s="17" t="str">
        <f ca="1">IFERROR(__xludf.DUMMYFUNCTION("""COMPUTED_VALUE"""),"MXN")</f>
        <v>MXN</v>
      </c>
      <c r="F37" s="17" t="str">
        <f ca="1">IFERROR(__xludf.DUMMYFUNCTION("""COMPUTED_VALUE"""),"Erik Castillo")</f>
        <v>Erik Castillo</v>
      </c>
      <c r="G37" s="17" t="str">
        <f ca="1">IFERROR(__xludf.DUMMYFUNCTION("""COMPUTED_VALUE"""),"AUTO SERVICIO REVASA   TIZAYUCA HGO  MEX")</f>
        <v>AUTO SERVICIO REVASA   TIZAYUCA HGO  MEX</v>
      </c>
      <c r="H37" s="17" t="str">
        <f ca="1">IFERROR(__xludf.DUMMYFUNCTION("""COMPUTED_VALUE"""),"Auto Servicio Revasa Tizayuca Hgo Mex")</f>
        <v>Auto Servicio Revasa Tizayuca Hgo Mex</v>
      </c>
      <c r="I37" s="17" t="str">
        <f ca="1">IFERROR(__xludf.DUMMYFUNCTION("""COMPUTED_VALUE"""),"Transaction cost")</f>
        <v>Transaction cost</v>
      </c>
      <c r="J37" s="17" t="str">
        <f ca="1">IFERROR(__xludf.DUMMYFUNCTION("""COMPUTED_VALUE"""),"Consumo")</f>
        <v>Consumo</v>
      </c>
      <c r="K37" s="17" t="str">
        <f ca="1">IFERROR(__xludf.DUMMYFUNCTION("""COMPUTED_VALUE"""),"D0BB9880-904C-4847-A411-2E8A12244B57")</f>
        <v>D0BB9880-904C-4847-A411-2E8A12244B57</v>
      </c>
      <c r="L37" s="17"/>
      <c r="M37" s="87" t="s">
        <v>1992</v>
      </c>
      <c r="N37" s="17"/>
      <c r="O37" s="17"/>
    </row>
    <row r="38" spans="1:15" ht="12.5">
      <c r="A38" s="17" t="str">
        <f ca="1">IFERROR(__xludf.DUMMYFUNCTION("""COMPUTED_VALUE"""),"TRX1143")</f>
        <v>TRX1143</v>
      </c>
      <c r="B38" s="86" t="str">
        <f ca="1">IFERROR(__xludf.DUMMYFUNCTION("""COMPUTED_VALUE"""),"#66")</f>
        <v>#66</v>
      </c>
      <c r="C38" s="63">
        <f ca="1">IFERROR(__xludf.DUMMYFUNCTION("""COMPUTED_VALUE"""),46078.4166666666)</f>
        <v>46078.416666666599</v>
      </c>
      <c r="D38" s="65">
        <f ca="1">IFERROR(__xludf.DUMMYFUNCTION("""COMPUTED_VALUE"""),659)</f>
        <v>659</v>
      </c>
      <c r="E38" s="17" t="str">
        <f ca="1">IFERROR(__xludf.DUMMYFUNCTION("""COMPUTED_VALUE"""),"MXN")</f>
        <v>MXN</v>
      </c>
      <c r="F38" s="17" t="str">
        <f ca="1">IFERROR(__xludf.DUMMYFUNCTION("""COMPUTED_VALUE"""),"Erik Castillo")</f>
        <v>Erik Castillo</v>
      </c>
      <c r="G38" s="17" t="str">
        <f ca="1">IFERROR(__xludf.DUMMYFUNCTION("""COMPUTED_VALUE"""),"KFC 549 LOPEZ PORTILLO COACALCO DE B MEX")</f>
        <v>KFC 549 LOPEZ PORTILLO COACALCO DE B MEX</v>
      </c>
      <c r="H38" s="17" t="str">
        <f ca="1">IFERROR(__xludf.DUMMYFUNCTION("""COMPUTED_VALUE"""),"Kentucky Fried Chicken")</f>
        <v>Kentucky Fried Chicken</v>
      </c>
      <c r="I38" s="17" t="str">
        <f ca="1">IFERROR(__xludf.DUMMYFUNCTION("""COMPUTED_VALUE"""),"Transaction cost")</f>
        <v>Transaction cost</v>
      </c>
      <c r="J38" s="17" t="str">
        <f ca="1">IFERROR(__xludf.DUMMYFUNCTION("""COMPUTED_VALUE"""),"Consumo VEOLIA")</f>
        <v>Consumo VEOLIA</v>
      </c>
      <c r="K38" s="17" t="str">
        <f ca="1">IFERROR(__xludf.DUMMYFUNCTION("""COMPUTED_VALUE"""),"7531889260130044529712")</f>
        <v>7531889260130044529712</v>
      </c>
      <c r="L38" s="17"/>
      <c r="M38" s="87" t="s">
        <v>1992</v>
      </c>
      <c r="N38" s="17"/>
      <c r="O38" s="17"/>
    </row>
    <row r="39" spans="1:15" ht="12.5">
      <c r="A39" s="17" t="str">
        <f ca="1">IFERROR(__xludf.DUMMYFUNCTION("""COMPUTED_VALUE"""),"TRX1176")</f>
        <v>TRX1176</v>
      </c>
      <c r="B39" s="86" t="str">
        <f ca="1">IFERROR(__xludf.DUMMYFUNCTION("""COMPUTED_VALUE"""),"#66")</f>
        <v>#66</v>
      </c>
      <c r="C39" s="63">
        <f ca="1">IFERROR(__xludf.DUMMYFUNCTION("""COMPUTED_VALUE"""),46079.4166666666)</f>
        <v>46079.416666666599</v>
      </c>
      <c r="D39" s="65">
        <f ca="1">IFERROR(__xludf.DUMMYFUNCTION("""COMPUTED_VALUE"""),1152.02)</f>
        <v>1152.02</v>
      </c>
      <c r="E39" s="17" t="str">
        <f ca="1">IFERROR(__xludf.DUMMYFUNCTION("""COMPUTED_VALUE"""),"MXN")</f>
        <v>MXN</v>
      </c>
      <c r="F39" s="17" t="str">
        <f ca="1">IFERROR(__xludf.DUMMYFUNCTION("""COMPUTED_VALUE"""),"Erik Castillo")</f>
        <v>Erik Castillo</v>
      </c>
      <c r="G39" s="17" t="str">
        <f ca="1">IFERROR(__xludf.DUMMYFUNCTION("""COMPUTED_VALUE"""),"ENERGETICOS ZAPATA 4   TIZAYUCA HGO  MEX")</f>
        <v>ENERGETICOS ZAPATA 4   TIZAYUCA HGO  MEX</v>
      </c>
      <c r="H39" s="17" t="str">
        <f ca="1">IFERROR(__xludf.DUMMYFUNCTION("""COMPUTED_VALUE"""),"Energeticos Zapata 4 Tizayuca Hgo Mex")</f>
        <v>Energeticos Zapata 4 Tizayuca Hgo Mex</v>
      </c>
      <c r="I39" s="17" t="str">
        <f ca="1">IFERROR(__xludf.DUMMYFUNCTION("""COMPUTED_VALUE"""),"Transaction cost")</f>
        <v>Transaction cost</v>
      </c>
      <c r="J39" s="17" t="str">
        <f ca="1">IFERROR(__xludf.DUMMYFUNCTION("""COMPUTED_VALUE"""),"Consumo")</f>
        <v>Consumo</v>
      </c>
      <c r="K39" s="17" t="str">
        <f ca="1">IFERROR(__xludf.DUMMYFUNCTION("""COMPUTED_VALUE"""),"EB80B5ED-1544-4E81-AD9D-621FBA21CE3B")</f>
        <v>EB80B5ED-1544-4E81-AD9D-621FBA21CE3B</v>
      </c>
      <c r="L39" s="17"/>
      <c r="M39" s="87" t="s">
        <v>1992</v>
      </c>
      <c r="N39" s="17"/>
      <c r="O39" s="17"/>
    </row>
    <row r="40" spans="1:15" ht="12.5">
      <c r="A40" s="17" t="str">
        <f ca="1">IFERROR(__xludf.DUMMYFUNCTION("""COMPUTED_VALUE"""),"TRX1244")</f>
        <v>TRX1244</v>
      </c>
      <c r="B40" s="86" t="str">
        <f ca="1">IFERROR(__xludf.DUMMYFUNCTION("""COMPUTED_VALUE"""),"#66")</f>
        <v>#66</v>
      </c>
      <c r="C40" s="63">
        <f ca="1">IFERROR(__xludf.DUMMYFUNCTION("""COMPUTED_VALUE"""),46080.4173611111)</f>
        <v>46080.417361111096</v>
      </c>
      <c r="D40" s="65">
        <f ca="1">IFERROR(__xludf.DUMMYFUNCTION("""COMPUTED_VALUE"""),1017)</f>
        <v>1017</v>
      </c>
      <c r="E40" s="17" t="str">
        <f ca="1">IFERROR(__xludf.DUMMYFUNCTION("""COMPUTED_VALUE"""),"MXN")</f>
        <v>MXN</v>
      </c>
      <c r="F40" s="17" t="str">
        <f ca="1">IFERROR(__xludf.DUMMYFUNCTION("""COMPUTED_VALUE"""),"Erik Castillo")</f>
        <v>Erik Castillo</v>
      </c>
      <c r="G40" s="17" t="str">
        <f ca="1">IFERROR(__xludf.DUMMYFUNCTION("""COMPUTED_VALUE"""),"OXXO EJERCITO          TIZAYUCA HGO  MEX")</f>
        <v>OXXO EJERCITO          TIZAYUCA HGO  MEX</v>
      </c>
      <c r="H40" s="17" t="str">
        <f ca="1">IFERROR(__xludf.DUMMYFUNCTION("""COMPUTED_VALUE"""),"Oxxo")</f>
        <v>Oxxo</v>
      </c>
      <c r="I40" s="17" t="str">
        <f ca="1">IFERROR(__xludf.DUMMYFUNCTION("""COMPUTED_VALUE"""),"Transaction cost")</f>
        <v>Transaction cost</v>
      </c>
      <c r="J40" s="17" t="str">
        <f ca="1">IFERROR(__xludf.DUMMYFUNCTION("""COMPUTED_VALUE"""),"Consumo")</f>
        <v>Consumo</v>
      </c>
      <c r="K40" s="17" t="str">
        <f ca="1">IFERROR(__xludf.DUMMYFUNCTION("""COMPUTED_VALUE"""),"DOMBNTAAQH 15785")</f>
        <v>DOMBNTAAQH 15785</v>
      </c>
      <c r="L40" s="17"/>
      <c r="M40" s="87" t="s">
        <v>1992</v>
      </c>
      <c r="N40" s="17"/>
      <c r="O40" s="17"/>
    </row>
    <row r="41" spans="1:15" ht="12.5">
      <c r="A41" s="17"/>
      <c r="B41" s="24"/>
      <c r="C41" s="24"/>
      <c r="D41" s="17"/>
      <c r="E41" s="17"/>
      <c r="F41" s="17"/>
      <c r="G41" s="17"/>
      <c r="H41" s="17"/>
      <c r="I41" s="17" t="str">
        <f ca="1">IFERROR(__xludf.DUMMYFUNCTION("""COMPUTED_VALUE"""),"Transaction cost")</f>
        <v>Transaction cost</v>
      </c>
      <c r="J41" s="17" t="str">
        <f ca="1">IFERROR(__xludf.DUMMYFUNCTION("""COMPUTED_VALUE"""),"Recarga de TAG")</f>
        <v>Recarga de TAG</v>
      </c>
      <c r="K41" s="17" t="str">
        <f ca="1">IFERROR(__xludf.DUMMYFUNCTION("""COMPUTED_VALUE"""),"D5253854-451D-447C-86D4-1A5FB16506DD")</f>
        <v>D5253854-451D-447C-86D4-1A5FB16506DD</v>
      </c>
      <c r="L41" s="17"/>
      <c r="M41" s="87" t="s">
        <v>1992</v>
      </c>
      <c r="N41" s="17"/>
      <c r="O41" s="17"/>
    </row>
    <row r="42" spans="1:15" ht="12.5">
      <c r="A42" s="17"/>
      <c r="B42" s="24"/>
      <c r="C42" s="24"/>
      <c r="D42" s="17"/>
      <c r="E42" s="17"/>
      <c r="F42" s="17"/>
      <c r="G42" s="17"/>
      <c r="H42" s="17"/>
      <c r="I42" s="17" t="str">
        <f ca="1">IFERROR(__xludf.DUMMYFUNCTION("""COMPUTED_VALUE"""),"Transaction cost")</f>
        <v>Transaction cost</v>
      </c>
      <c r="J42" s="17" t="str">
        <f ca="1">IFERROR(__xludf.DUMMYFUNCTION("""COMPUTED_VALUE"""),"Consumo")</f>
        <v>Consumo</v>
      </c>
      <c r="K42" s="17" t="str">
        <f ca="1">IFERROR(__xludf.DUMMYFUNCTION("""COMPUTED_VALUE"""),"7531889260130044529712")</f>
        <v>7531889260130044529712</v>
      </c>
      <c r="L42" s="17"/>
      <c r="M42" s="87" t="s">
        <v>1992</v>
      </c>
      <c r="N42" s="17"/>
      <c r="O42" s="17"/>
    </row>
    <row r="43" spans="1:15" ht="12.5">
      <c r="A43" s="17"/>
      <c r="B43" s="24"/>
      <c r="C43" s="24"/>
      <c r="D43" s="17"/>
      <c r="E43" s="17"/>
      <c r="F43" s="17"/>
      <c r="G43" s="17"/>
      <c r="H43" s="17"/>
      <c r="I43" s="17" t="str">
        <f ca="1">IFERROR(__xludf.DUMMYFUNCTION("""COMPUTED_VALUE"""),"Transaction cost")</f>
        <v>Transaction cost</v>
      </c>
      <c r="J43" s="17" t="str">
        <f ca="1">IFERROR(__xludf.DUMMYFUNCTION("""COMPUTED_VALUE"""),"Recarga de Cel")</f>
        <v>Recarga de Cel</v>
      </c>
      <c r="K43" s="17" t="str">
        <f ca="1">IFERROR(__xludf.DUMMYFUNCTION("""COMPUTED_VALUE"""),"Serie: 1993 Folio: 16071")</f>
        <v>Serie: 1993 Folio: 16071</v>
      </c>
      <c r="L43" s="17"/>
      <c r="M43" s="87" t="s">
        <v>1992</v>
      </c>
      <c r="N43" s="17"/>
      <c r="O43" s="17"/>
    </row>
    <row r="44" spans="1:15" ht="12.5">
      <c r="A44" s="17"/>
      <c r="B44" s="24"/>
      <c r="C44" s="24"/>
      <c r="D44" s="17"/>
      <c r="E44" s="17"/>
      <c r="F44" s="17"/>
      <c r="G44" s="17"/>
      <c r="H44" s="17"/>
      <c r="I44" s="17"/>
      <c r="J44" s="17" t="str">
        <f ca="1">IFERROR(__xludf.DUMMYFUNCTION("""COMPUTED_VALUE"""),"Internet")</f>
        <v>Internet</v>
      </c>
      <c r="K44" s="17" t="str">
        <f ca="1">IFERROR(__xludf.DUMMYFUNCTION("""COMPUTED_VALUE"""),"E377A58B-4ED6-4E7A-BFF6-870CEDEE3787")</f>
        <v>E377A58B-4ED6-4E7A-BFF6-870CEDEE3787</v>
      </c>
      <c r="L44" s="17"/>
      <c r="M44" s="87" t="s">
        <v>1992</v>
      </c>
      <c r="N44" s="17"/>
      <c r="O44" s="17"/>
    </row>
    <row r="45" spans="1:15" ht="12.5">
      <c r="A45" s="17"/>
      <c r="B45" s="24"/>
      <c r="C45" s="24"/>
      <c r="D45" s="17"/>
      <c r="E45" s="17"/>
      <c r="F45" s="17"/>
      <c r="G45" s="17"/>
      <c r="H45" s="17"/>
      <c r="I45" s="17"/>
      <c r="J45" s="17" t="str">
        <f ca="1">IFERROR(__xludf.DUMMYFUNCTION("""COMPUTED_VALUE"""),"Recarga de gasolina")</f>
        <v>Recarga de gasolina</v>
      </c>
      <c r="K45" s="17" t="str">
        <f ca="1">IFERROR(__xludf.DUMMYFUNCTION("""COMPUTED_VALUE"""),"A19580")</f>
        <v>A19580</v>
      </c>
      <c r="L45" s="17"/>
      <c r="M45" s="87" t="s">
        <v>1992</v>
      </c>
      <c r="N45" s="17"/>
      <c r="O45" s="17"/>
    </row>
    <row r="46" spans="1:15" ht="12.5">
      <c r="A46" s="17"/>
      <c r="B46" s="24"/>
      <c r="C46" s="24"/>
      <c r="D46" s="17"/>
      <c r="E46" s="17"/>
      <c r="F46" s="17"/>
      <c r="G46" s="17"/>
      <c r="H46" s="17"/>
      <c r="I46" s="17"/>
      <c r="J46" s="17"/>
      <c r="K46" s="17"/>
      <c r="L46" s="17"/>
      <c r="M46" s="87" t="s">
        <v>1992</v>
      </c>
      <c r="N46" s="17"/>
      <c r="O46" s="17"/>
    </row>
    <row r="47" spans="1:15" ht="12.5">
      <c r="A47" s="17"/>
      <c r="B47" s="24"/>
      <c r="C47" s="24"/>
      <c r="D47" s="17"/>
      <c r="E47" s="17"/>
      <c r="F47" s="17"/>
      <c r="G47" s="17"/>
      <c r="H47" s="17"/>
      <c r="I47" s="17"/>
      <c r="J47" s="17"/>
      <c r="K47" s="17"/>
      <c r="L47" s="17"/>
      <c r="M47" s="87" t="s">
        <v>1992</v>
      </c>
      <c r="N47" s="17"/>
      <c r="O47" s="17"/>
    </row>
    <row r="48" spans="1:15" ht="12.5">
      <c r="A48" s="17"/>
      <c r="B48" s="24"/>
      <c r="C48" s="24"/>
      <c r="D48" s="17"/>
      <c r="E48" s="17"/>
      <c r="F48" s="17"/>
      <c r="G48" s="17"/>
      <c r="H48" s="17"/>
      <c r="I48" s="17"/>
      <c r="J48" s="17"/>
      <c r="K48" s="17"/>
      <c r="L48" s="17"/>
      <c r="M48" s="87" t="s">
        <v>1992</v>
      </c>
      <c r="N48" s="17"/>
      <c r="O48" s="17"/>
    </row>
    <row r="49" spans="1:15" ht="12.5">
      <c r="A49" s="17"/>
      <c r="B49" s="24"/>
      <c r="C49" s="24"/>
      <c r="D49" s="17"/>
      <c r="E49" s="17"/>
      <c r="F49" s="17"/>
      <c r="G49" s="17"/>
      <c r="H49" s="17"/>
      <c r="I49" s="17"/>
      <c r="J49" s="17"/>
      <c r="K49" s="17"/>
      <c r="L49" s="17"/>
      <c r="M49" s="87" t="s">
        <v>1992</v>
      </c>
      <c r="N49" s="17"/>
      <c r="O49" s="17"/>
    </row>
    <row r="50" spans="1:15" ht="12.5">
      <c r="A50" s="17"/>
      <c r="B50" s="24"/>
      <c r="C50" s="24"/>
      <c r="D50" s="17"/>
      <c r="E50" s="17"/>
      <c r="F50" s="17"/>
      <c r="G50" s="17"/>
      <c r="H50" s="17"/>
      <c r="I50" s="17"/>
      <c r="J50" s="17" t="str">
        <f ca="1">IFERROR(__xludf.DUMMYFUNCTION("""COMPUTED_VALUE"""),"Nota: Proyectos Santa Rosa Mty, Multiplaza Tij.Creaceric")</f>
        <v>Nota: Proyectos Santa Rosa Mty, Multiplaza Tij.Creaceric</v>
      </c>
      <c r="K50" s="17"/>
      <c r="L50" s="17"/>
      <c r="M50" s="87" t="s">
        <v>1992</v>
      </c>
      <c r="N50" s="17"/>
      <c r="O50" s="17"/>
    </row>
    <row r="51" spans="1:15" ht="12.5">
      <c r="A51" s="17"/>
      <c r="B51" s="24"/>
      <c r="C51" s="24"/>
      <c r="D51" s="17"/>
      <c r="E51" s="17"/>
      <c r="F51" s="17"/>
      <c r="G51" s="17"/>
      <c r="H51" s="17"/>
      <c r="I51" s="17"/>
      <c r="J51" s="17" t="str">
        <f ca="1">IFERROR(__xludf.DUMMYFUNCTION("""COMPUTED_VALUE"""),"y Grajales Robles CDMC")</f>
        <v>y Grajales Robles CDMC</v>
      </c>
      <c r="K51" s="17"/>
      <c r="L51" s="17"/>
      <c r="M51" s="87" t="s">
        <v>1992</v>
      </c>
      <c r="N51" s="17"/>
      <c r="O51" s="17"/>
    </row>
    <row r="52" spans="1:15" ht="12.5">
      <c r="A52" s="17"/>
      <c r="B52" s="24"/>
      <c r="C52" s="24"/>
      <c r="D52" s="17"/>
      <c r="E52" s="17"/>
      <c r="F52" s="17"/>
      <c r="G52" s="17"/>
      <c r="H52" s="17"/>
      <c r="I52" s="17"/>
      <c r="J52" s="17"/>
      <c r="K52" s="17"/>
      <c r="L52" s="17"/>
      <c r="M52" s="87" t="s">
        <v>1992</v>
      </c>
      <c r="N52" s="17"/>
      <c r="O52" s="17"/>
    </row>
    <row r="53" spans="1:15" ht="12.5">
      <c r="A53" s="17"/>
      <c r="B53" s="24"/>
      <c r="C53" s="24"/>
      <c r="D53" s="17"/>
      <c r="E53" s="17"/>
      <c r="F53" s="17"/>
      <c r="G53" s="17"/>
      <c r="H53" s="17"/>
      <c r="I53" s="17"/>
      <c r="J53" s="17"/>
      <c r="K53" s="17"/>
      <c r="L53" s="17"/>
      <c r="M53" s="87" t="s">
        <v>1992</v>
      </c>
      <c r="N53" s="17"/>
      <c r="O53" s="17"/>
    </row>
    <row r="54" spans="1:15" ht="12.5">
      <c r="A54" s="17"/>
      <c r="B54" s="24"/>
      <c r="C54" s="24"/>
      <c r="D54" s="17"/>
      <c r="E54" s="17"/>
      <c r="F54" s="17"/>
      <c r="G54" s="17"/>
      <c r="H54" s="17"/>
      <c r="I54" s="17"/>
      <c r="J54" s="17"/>
      <c r="K54" s="17"/>
      <c r="L54" s="17"/>
      <c r="M54" s="87" t="s">
        <v>1992</v>
      </c>
      <c r="N54" s="17"/>
      <c r="O54" s="17"/>
    </row>
    <row r="55" spans="1:15" ht="12.5">
      <c r="A55" s="17"/>
      <c r="B55" s="24"/>
      <c r="C55" s="24"/>
      <c r="D55" s="17"/>
      <c r="E55" s="17"/>
      <c r="F55" s="17"/>
      <c r="G55" s="17"/>
      <c r="H55" s="17"/>
      <c r="I55" s="17"/>
      <c r="J55" s="17"/>
      <c r="K55" s="17"/>
      <c r="L55" s="17"/>
      <c r="M55" s="87" t="s">
        <v>1992</v>
      </c>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t="str">
        <f ca="1">IFERROR(__xludf.DUMMYFUNCTION("""COMPUTED_VALUE"""),".")</f>
        <v>.</v>
      </c>
      <c r="L57" s="17"/>
      <c r="M57" s="65">
        <f ca="1">SUM(D12:D55)</f>
        <v>16472.23</v>
      </c>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t="str">
        <f ca="1">IFERROR(__xludf.DUMMYFUNCTION("""COMPUTED_VALUE"""),"Concecionaria  Mexiquense    ")</f>
        <v xml:space="preserve">Concecionaria  Mexiquense    </v>
      </c>
      <c r="K59" s="17"/>
      <c r="L59" s="17"/>
      <c r="M59" s="17"/>
      <c r="N59" s="17"/>
      <c r="O59" s="17"/>
    </row>
    <row r="60" spans="1:15" ht="12.5">
      <c r="A60" s="17"/>
      <c r="B60" s="24"/>
      <c r="C60" s="24"/>
      <c r="D60" s="17"/>
      <c r="E60" s="17"/>
      <c r="F60" s="17"/>
      <c r="G60" s="17"/>
      <c r="H60" s="17"/>
      <c r="I60" s="17"/>
      <c r="J60" s="17" t="str">
        <f ca="1">IFERROR(__xludf.DUMMYFUNCTION("""COMPUTED_VALUE"""),"Operadora Mexiquense    ")</f>
        <v xml:space="preserve">Operadora Mexiquense    </v>
      </c>
      <c r="K60" s="17" t="str">
        <f ca="1">IFERROR(__xludf.DUMMYFUNCTION("""COMPUTED_VALUE"""),"BD6DD3C6-20F1-41D3-A763-01A934EA253C")</f>
        <v>BD6DD3C6-20F1-41D3-A763-01A934EA253C</v>
      </c>
      <c r="L60" s="17"/>
      <c r="M60" s="17"/>
      <c r="N60" s="17"/>
      <c r="O60" s="17"/>
    </row>
    <row r="61" spans="1:15" ht="12.5">
      <c r="A61" s="17"/>
      <c r="B61" s="24"/>
      <c r="C61" s="24"/>
      <c r="D61" s="17"/>
      <c r="E61" s="17"/>
      <c r="F61" s="17"/>
      <c r="G61" s="17"/>
      <c r="H61" s="17"/>
      <c r="I61" s="17"/>
      <c r="J61" s="17" t="str">
        <f ca="1">IFERROR(__xludf.DUMMYFUNCTION("""COMPUTED_VALUE"""),"Urbana norte           ")</f>
        <v xml:space="preserve">Urbana norte           </v>
      </c>
      <c r="K61" s="17"/>
      <c r="L61" s="17"/>
      <c r="M61" s="17"/>
      <c r="N61" s="17"/>
      <c r="O61" s="17"/>
    </row>
    <row r="62" spans="1:15" ht="12.5">
      <c r="A62" s="17"/>
      <c r="B62" s="24"/>
      <c r="C62" s="24"/>
      <c r="D62" s="17"/>
      <c r="E62" s="17"/>
      <c r="F62" s="17"/>
      <c r="G62" s="17"/>
      <c r="H62" s="17"/>
      <c r="I62" s="17"/>
      <c r="J62" s="17" t="str">
        <f ca="1">IFERROR(__xludf.DUMMYFUNCTION("""COMPUTED_VALUE"""),"Viaducto Bicentenario   ")</f>
        <v xml:space="preserve">Viaducto Bicentenario   </v>
      </c>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dataValidations count="1">
    <dataValidation type="list" allowBlank="1" showErrorMessage="1" sqref="M12:M55" xr:uid="{00000000-0002-0000-0400-000000000000}">
      <formula1>#REF!</formula1>
    </dataValidation>
  </dataValidations>
  <hyperlinks>
    <hyperlink ref="I2" location="'Edo Cta Jeeves Sept'!A1" display="Inicio" xr:uid="{00000000-0004-0000-04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36328125" customWidth="1"/>
    <col min="3" max="3" width="13.08984375" customWidth="1"/>
    <col min="4" max="4" width="6.08984375" customWidth="1"/>
    <col min="5" max="5" width="4.26953125" customWidth="1"/>
    <col min="6" max="6" width="10.453125" customWidth="1"/>
    <col min="7" max="8" width="29.26953125" customWidth="1"/>
    <col min="9" max="10" width="21.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75</v>
      </c>
      <c r="B2" s="139"/>
      <c r="C2" s="139"/>
      <c r="D2" s="68"/>
      <c r="E2" s="141" t="s">
        <v>63</v>
      </c>
      <c r="F2" s="139"/>
      <c r="G2" s="69" t="s">
        <v>1975</v>
      </c>
      <c r="H2" s="17"/>
      <c r="I2" s="17" t="s">
        <v>1993</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Sept'!$J$12:$J$1003=$A$2)"),"TRX1286")</f>
        <v>TRX1286</v>
      </c>
      <c r="B12" s="86" t="str">
        <f ca="1">IFERROR(__xludf.DUMMYFUNCTION("""COMPUTED_VALUE"""),"#2")</f>
        <v>#2</v>
      </c>
      <c r="C12" s="63">
        <f ca="1">IFERROR(__xludf.DUMMYFUNCTION("""COMPUTED_VALUE"""),46056.4166666666)</f>
        <v>46056.416666666599</v>
      </c>
      <c r="D12" s="65">
        <f ca="1">IFERROR(__xludf.DUMMYFUNCTION("FILTER('Edo Cta Jeeves Sept'!$G$12:$G$1003,'Edo Cta Jeeves Sept'!$J$12:$J$1003=$A$2)"),3642.61)</f>
        <v>3642.61</v>
      </c>
      <c r="E12" s="17" t="str">
        <f ca="1">IFERROR(__xludf.DUMMYFUNCTION("FILTER('Edo Cta Jeeves Sept'!$I$12:$I$1003,'Edo Cta Jeeves Sept'!$J$12:$J$1003=$A$2)"),"USD")</f>
        <v>USD</v>
      </c>
      <c r="F12" s="17" t="str">
        <f ca="1">IFERROR(__xludf.DUMMYFUNCTION("FILTER('Edo Cta Jeeves Sept'!$J$12:$J$1003,'Edo Cta Jeeves Sept'!$J$12:$J$1003=$A$2)"),"Cesar Gonzales")</f>
        <v>Cesar Gonzales</v>
      </c>
      <c r="G12" s="17" t="str">
        <f ca="1">IFERROR(__xludf.DUMMYFUNCTION("FILTER('Edo Cta Jeeves Sept'!$K$12:$L$1003,'Edo Cta Jeeves Sept'!$J$12:$J$1003=$A$2)"),"HASHICORP HCP          SAN FRANCISCO USA")</f>
        <v>HASHICORP HCP          SAN FRANCISCO USA</v>
      </c>
      <c r="H12" s="17" t="str">
        <f ca="1">IFERROR(__xludf.DUMMYFUNCTION("""COMPUTED_VALUE"""),"Hashicorp")</f>
        <v>Hashicorp</v>
      </c>
      <c r="I12" s="17" t="str">
        <f ca="1">IFERROR(__xludf.DUMMYFUNCTION("IMPORTRANGE(""https://docs.google.com/spreadsheets/d/1SBj4ktrLT_l6UqRgy6U1ouyuNBU7s2xfNatGEQgzBjA/edit#gid=1790002146"",""#2 Cesar!I12:K80"")"),"Tech&amp;Product")</f>
        <v>Tech&amp;Product</v>
      </c>
      <c r="J12" s="17"/>
      <c r="K12" s="17" t="str">
        <f ca="1">IFERROR(__xludf.DUMMYFUNCTION("""COMPUTED_VALUE"""),".")</f>
        <v>.</v>
      </c>
      <c r="L12" s="17"/>
      <c r="M12" s="17"/>
      <c r="N12" s="17"/>
      <c r="O12" s="17"/>
    </row>
    <row r="13" spans="1:15" ht="15.75" customHeight="1">
      <c r="A13" s="17" t="str">
        <f ca="1">IFERROR(__xludf.DUMMYFUNCTION("""COMPUTED_VALUE"""),"TRX1246")</f>
        <v>TRX1246</v>
      </c>
      <c r="B13" s="86" t="str">
        <f ca="1">IFERROR(__xludf.DUMMYFUNCTION("""COMPUTED_VALUE"""),"#2")</f>
        <v>#2</v>
      </c>
      <c r="C13" s="63">
        <f ca="1">IFERROR(__xludf.DUMMYFUNCTION("""COMPUTED_VALUE"""),46058.4166666666)</f>
        <v>46058.416666666599</v>
      </c>
      <c r="D13" s="17">
        <f ca="1">IFERROR(__xludf.DUMMYFUNCTION("""COMPUTED_VALUE"""),15105.29)</f>
        <v>15105.29</v>
      </c>
      <c r="E13" s="17" t="str">
        <f ca="1">IFERROR(__xludf.DUMMYFUNCTION("""COMPUTED_VALUE"""),"MXN")</f>
        <v>MXN</v>
      </c>
      <c r="F13" s="17" t="str">
        <f ca="1">IFERROR(__xludf.DUMMYFUNCTION("""COMPUTED_VALUE"""),"Cesar Gonzales")</f>
        <v>Cesar Gonzales</v>
      </c>
      <c r="G13" s="17" t="str">
        <f ca="1">IFERROR(__xludf.DUMMYFUNCTION("""COMPUTED_VALUE"""),"PAYU   *GOOGLE CLOUD   MIGUEL HIDALG MEX")</f>
        <v>PAYU   *GOOGLE CLOUD   MIGUEL HIDALG MEX</v>
      </c>
      <c r="H13" s="17" t="str">
        <f ca="1">IFERROR(__xludf.DUMMYFUNCTION("""COMPUTED_VALUE"""),"Google Cloud")</f>
        <v>Google Cloud</v>
      </c>
      <c r="I13" s="17" t="str">
        <f ca="1">IFERROR(__xludf.DUMMYFUNCTION("""COMPUTED_VALUE"""),"Tech&amp;Product")</f>
        <v>Tech&amp;Product</v>
      </c>
      <c r="J13" s="17"/>
      <c r="K13" s="17" t="str">
        <f ca="1">IFERROR(__xludf.DUMMYFUNCTION("""COMPUTED_VALUE"""),".")</f>
        <v>.</v>
      </c>
      <c r="L13" s="17"/>
      <c r="M13" s="17"/>
      <c r="N13" s="17"/>
      <c r="O13" s="17"/>
    </row>
    <row r="14" spans="1:15" ht="15.75" customHeight="1">
      <c r="A14" s="17" t="str">
        <f ca="1">IFERROR(__xludf.DUMMYFUNCTION("""COMPUTED_VALUE"""),"TRX1242")</f>
        <v>TRX1242</v>
      </c>
      <c r="B14" s="86" t="str">
        <f ca="1">IFERROR(__xludf.DUMMYFUNCTION("""COMPUTED_VALUE"""),"#2")</f>
        <v>#2</v>
      </c>
      <c r="C14" s="63">
        <f ca="1">IFERROR(__xludf.DUMMYFUNCTION("""COMPUTED_VALUE"""),46058.4166666666)</f>
        <v>46058.416666666599</v>
      </c>
      <c r="D14" s="65">
        <f ca="1">IFERROR(__xludf.DUMMYFUNCTION("""COMPUTED_VALUE"""),957.38)</f>
        <v>957.38</v>
      </c>
      <c r="E14" s="17" t="str">
        <f ca="1">IFERROR(__xludf.DUMMYFUNCTION("""COMPUTED_VALUE"""),"MXN")</f>
        <v>MXN</v>
      </c>
      <c r="F14" s="17" t="str">
        <f ca="1">IFERROR(__xludf.DUMMYFUNCTION("""COMPUTED_VALUE"""),"Cesar Gonzales")</f>
        <v>Cesar Gonzales</v>
      </c>
      <c r="G14" s="17" t="str">
        <f ca="1">IFERROR(__xludf.DUMMYFUNCTION("""COMPUTED_VALUE"""),"PAYU   *GOOGLE CLOUD   MIGUEL HIDALG MEX")</f>
        <v>PAYU   *GOOGLE CLOUD   MIGUEL HIDALG MEX</v>
      </c>
      <c r="H14" s="17" t="str">
        <f ca="1">IFERROR(__xludf.DUMMYFUNCTION("""COMPUTED_VALUE"""),"Google Cloud")</f>
        <v>Google Cloud</v>
      </c>
      <c r="I14" s="17" t="str">
        <f ca="1">IFERROR(__xludf.DUMMYFUNCTION("""COMPUTED_VALUE"""),"Tech&amp;Product")</f>
        <v>Tech&amp;Product</v>
      </c>
      <c r="J14" s="17"/>
      <c r="K14" s="17" t="str">
        <f ca="1">IFERROR(__xludf.DUMMYFUNCTION("""COMPUTED_VALUE"""),".")</f>
        <v>.</v>
      </c>
      <c r="L14" s="17"/>
      <c r="M14" s="17"/>
      <c r="N14" s="17"/>
      <c r="O14" s="17"/>
    </row>
    <row r="15" spans="1:15" ht="15.75" customHeight="1">
      <c r="A15" s="17" t="str">
        <f ca="1">IFERROR(__xludf.DUMMYFUNCTION("""COMPUTED_VALUE"""),"TRX1999")</f>
        <v>TRX1999</v>
      </c>
      <c r="B15" s="86" t="str">
        <f ca="1">IFERROR(__xludf.DUMMYFUNCTION("""COMPUTED_VALUE"""),"#2")</f>
        <v>#2</v>
      </c>
      <c r="C15" s="63">
        <f ca="1">IFERROR(__xludf.DUMMYFUNCTION("""COMPUTED_VALUE"""),46059.4173611111)</f>
        <v>46059.417361111096</v>
      </c>
      <c r="D15" s="65">
        <f ca="1">IFERROR(__xludf.DUMMYFUNCTION("""COMPUTED_VALUE"""),10214.06)</f>
        <v>10214.06</v>
      </c>
      <c r="E15" s="17" t="str">
        <f ca="1">IFERROR(__xludf.DUMMYFUNCTION("""COMPUTED_VALUE"""),"USD")</f>
        <v>USD</v>
      </c>
      <c r="F15" s="17" t="str">
        <f ca="1">IFERROR(__xludf.DUMMYFUNCTION("""COMPUTED_VALUE"""),"Cesar Gonzales")</f>
        <v>Cesar Gonzales</v>
      </c>
      <c r="G15" s="17" t="str">
        <f ca="1">IFERROR(__xludf.DUMMYFUNCTION("""COMPUTED_VALUE"""),"GITHUB, INC.           SAN FRANCISCO USA")</f>
        <v>GITHUB, INC.           SAN FRANCISCO USA</v>
      </c>
      <c r="H15" s="17" t="str">
        <f ca="1">IFERROR(__xludf.DUMMYFUNCTION("""COMPUTED_VALUE"""),"Github")</f>
        <v>Github</v>
      </c>
      <c r="I15" s="17" t="str">
        <f ca="1">IFERROR(__xludf.DUMMYFUNCTION("""COMPUTED_VALUE"""),"Tech&amp;Product")</f>
        <v>Tech&amp;Product</v>
      </c>
      <c r="J15" s="17"/>
      <c r="K15" s="17" t="str">
        <f ca="1">IFERROR(__xludf.DUMMYFUNCTION("""COMPUTED_VALUE"""),".")</f>
        <v>.</v>
      </c>
      <c r="L15" s="17"/>
      <c r="M15" s="17"/>
      <c r="N15" s="17"/>
      <c r="O15" s="17"/>
    </row>
    <row r="16" spans="1:15" ht="15.75" customHeight="1">
      <c r="A16" s="17" t="str">
        <f ca="1">IFERROR(__xludf.DUMMYFUNCTION("""COMPUTED_VALUE"""),"TRX1875")</f>
        <v>TRX1875</v>
      </c>
      <c r="B16" s="86" t="str">
        <f ca="1">IFERROR(__xludf.DUMMYFUNCTION("""COMPUTED_VALUE"""),"#2")</f>
        <v>#2</v>
      </c>
      <c r="C16" s="63">
        <f ca="1">IFERROR(__xludf.DUMMYFUNCTION("""COMPUTED_VALUE"""),46063.4166666666)</f>
        <v>46063.416666666599</v>
      </c>
      <c r="D16" s="65">
        <f ca="1">IFERROR(__xludf.DUMMYFUNCTION("""COMPUTED_VALUE"""),6524.63)</f>
        <v>6524.63</v>
      </c>
      <c r="E16" s="17" t="str">
        <f ca="1">IFERROR(__xludf.DUMMYFUNCTION("""COMPUTED_VALUE"""),"USD")</f>
        <v>USD</v>
      </c>
      <c r="F16" s="17" t="str">
        <f ca="1">IFERROR(__xludf.DUMMYFUNCTION("""COMPUTED_VALUE"""),"Cesar Gonzales")</f>
        <v>Cesar Gonzales</v>
      </c>
      <c r="G16" s="17" t="str">
        <f ca="1">IFERROR(__xludf.DUMMYFUNCTION("""COMPUTED_VALUE"""),"CURSOR, AI POWERED IDE NEW YORK      USA")</f>
        <v>CURSOR, AI POWERED IDE NEW YORK      USA</v>
      </c>
      <c r="H16" s="17" t="str">
        <f ca="1">IFERROR(__xludf.DUMMYFUNCTION("""COMPUTED_VALUE"""),"Cursor Ai Powered Ide New York USA")</f>
        <v>Cursor Ai Powered Ide New York USA</v>
      </c>
      <c r="I16" s="17" t="str">
        <f ca="1">IFERROR(__xludf.DUMMYFUNCTION("""COMPUTED_VALUE"""),"Tech&amp;Product")</f>
        <v>Tech&amp;Product</v>
      </c>
      <c r="J16" s="17"/>
      <c r="K16" s="17" t="str">
        <f ca="1">IFERROR(__xludf.DUMMYFUNCTION("""COMPUTED_VALUE"""),".")</f>
        <v>.</v>
      </c>
      <c r="L16" s="17"/>
      <c r="M16" s="17"/>
      <c r="N16" s="17"/>
      <c r="O16" s="17"/>
    </row>
    <row r="17" spans="1:15" ht="15.75" customHeight="1">
      <c r="A17" s="17" t="str">
        <f ca="1">IFERROR(__xludf.DUMMYFUNCTION("""COMPUTED_VALUE"""),"TRX1596")</f>
        <v>TRX1596</v>
      </c>
      <c r="B17" s="86" t="str">
        <f ca="1">IFERROR(__xludf.DUMMYFUNCTION("""COMPUTED_VALUE"""),"#2")</f>
        <v>#2</v>
      </c>
      <c r="C17" s="63">
        <f ca="1">IFERROR(__xludf.DUMMYFUNCTION("""COMPUTED_VALUE"""),46065.4173611111)</f>
        <v>46065.417361111096</v>
      </c>
      <c r="D17" s="65">
        <f ca="1">IFERROR(__xludf.DUMMYFUNCTION("""COMPUTED_VALUE"""),906.2)</f>
        <v>906.2</v>
      </c>
      <c r="E17" s="17" t="str">
        <f ca="1">IFERROR(__xludf.DUMMYFUNCTION("""COMPUTED_VALUE"""),"USD")</f>
        <v>USD</v>
      </c>
      <c r="F17" s="17" t="str">
        <f ca="1">IFERROR(__xludf.DUMMYFUNCTION("""COMPUTED_VALUE"""),"Cesar Gonzales")</f>
        <v>Cesar Gonzales</v>
      </c>
      <c r="G17" s="17" t="str">
        <f ca="1">IFERROR(__xludf.DUMMYFUNCTION("""COMPUTED_VALUE"""),"CURSOR USAGE  JAN      NEW YORK      USA")</f>
        <v>CURSOR USAGE  JAN      NEW YORK      USA</v>
      </c>
      <c r="H17" s="17" t="str">
        <f ca="1">IFERROR(__xludf.DUMMYFUNCTION("""COMPUTED_VALUE"""),"Cursor Usage Jan New York USA")</f>
        <v>Cursor Usage Jan New York USA</v>
      </c>
      <c r="I17" s="17" t="str">
        <f ca="1">IFERROR(__xludf.DUMMYFUNCTION("""COMPUTED_VALUE"""),"Tech&amp;Product")</f>
        <v>Tech&amp;Product</v>
      </c>
      <c r="J17" s="17"/>
      <c r="K17" s="17" t="str">
        <f ca="1">IFERROR(__xludf.DUMMYFUNCTION("""COMPUTED_VALUE"""),".")</f>
        <v>.</v>
      </c>
      <c r="L17" s="17"/>
      <c r="M17" s="17"/>
      <c r="N17" s="17"/>
      <c r="O17" s="17"/>
    </row>
    <row r="18" spans="1:15" ht="15.75" customHeight="1">
      <c r="A18" s="17" t="str">
        <f ca="1">IFERROR(__xludf.DUMMYFUNCTION("""COMPUTED_VALUE"""),"TRX1641")</f>
        <v>TRX1641</v>
      </c>
      <c r="B18" s="86" t="str">
        <f ca="1">IFERROR(__xludf.DUMMYFUNCTION("""COMPUTED_VALUE"""),"#2")</f>
        <v>#2</v>
      </c>
      <c r="C18" s="63">
        <f ca="1">IFERROR(__xludf.DUMMYFUNCTION("""COMPUTED_VALUE"""),46065.4173611111)</f>
        <v>46065.417361111096</v>
      </c>
      <c r="D18" s="65">
        <f ca="1">IFERROR(__xludf.DUMMYFUNCTION("""COMPUTED_VALUE"""),7115.29)</f>
        <v>7115.29</v>
      </c>
      <c r="E18" s="17" t="str">
        <f ca="1">IFERROR(__xludf.DUMMYFUNCTION("""COMPUTED_VALUE"""),"USD")</f>
        <v>USD</v>
      </c>
      <c r="F18" s="17" t="str">
        <f ca="1">IFERROR(__xludf.DUMMYFUNCTION("""COMPUTED_VALUE"""),"Cesar Gonzales")</f>
        <v>Cesar Gonzales</v>
      </c>
      <c r="G18" s="17" t="str">
        <f ca="1">IFERROR(__xludf.DUMMYFUNCTION("""COMPUTED_VALUE"""),"DATADOG, INC.          NEW YORK      USA")</f>
        <v>DATADOG, INC.          NEW YORK      USA</v>
      </c>
      <c r="H18" s="17" t="str">
        <f ca="1">IFERROR(__xludf.DUMMYFUNCTION("""COMPUTED_VALUE"""),"Datadog")</f>
        <v>Datadog</v>
      </c>
      <c r="I18" s="17" t="str">
        <f ca="1">IFERROR(__xludf.DUMMYFUNCTION("""COMPUTED_VALUE"""),"Tech&amp;Product")</f>
        <v>Tech&amp;Product</v>
      </c>
      <c r="J18" s="17"/>
      <c r="K18" s="17" t="str">
        <f ca="1">IFERROR(__xludf.DUMMYFUNCTION("""COMPUTED_VALUE"""),".")</f>
        <v>.</v>
      </c>
      <c r="L18" s="17"/>
      <c r="M18" s="17"/>
      <c r="N18" s="17"/>
      <c r="O18" s="17"/>
    </row>
    <row r="19" spans="1:15" ht="15.75" customHeight="1">
      <c r="A19" s="17" t="str">
        <f ca="1">IFERROR(__xludf.DUMMYFUNCTION("""COMPUTED_VALUE"""),"TRX1372")</f>
        <v>TRX1372</v>
      </c>
      <c r="B19" s="86" t="str">
        <f ca="1">IFERROR(__xludf.DUMMYFUNCTION("""COMPUTED_VALUE"""),"#2")</f>
        <v>#2</v>
      </c>
      <c r="C19" s="63">
        <f ca="1">IFERROR(__xludf.DUMMYFUNCTION("""COMPUTED_VALUE"""),46066.4166666666)</f>
        <v>46066.416666666599</v>
      </c>
      <c r="D19" s="65">
        <f ca="1">IFERROR(__xludf.DUMMYFUNCTION("""COMPUTED_VALUE"""),5964.72)</f>
        <v>5964.72</v>
      </c>
      <c r="E19" s="17" t="str">
        <f ca="1">IFERROR(__xludf.DUMMYFUNCTION("""COMPUTED_VALUE"""),"MXN")</f>
        <v>MXN</v>
      </c>
      <c r="F19" s="17" t="str">
        <f ca="1">IFERROR(__xludf.DUMMYFUNCTION("""COMPUTED_VALUE"""),"Cesar Gonzales")</f>
        <v>Cesar Gonzales</v>
      </c>
      <c r="G19" s="17" t="str">
        <f ca="1">IFERROR(__xludf.DUMMYFUNCTION("""COMPUTED_VALUE"""),"STR*ODOO TECHNOLOGIES  CIUDAD DE MEX MEX")</f>
        <v>STR*ODOO TECHNOLOGIES  CIUDAD DE MEX MEX</v>
      </c>
      <c r="H19" s="17" t="str">
        <f ca="1">IFERROR(__xludf.DUMMYFUNCTION("""COMPUTED_VALUE"""),"Str Odoo Technologies Ciudad De Mex Mex")</f>
        <v>Str Odoo Technologies Ciudad De Mex Mex</v>
      </c>
      <c r="I19" s="17" t="str">
        <f ca="1">IFERROR(__xludf.DUMMYFUNCTION("""COMPUTED_VALUE"""),"Tech&amp;Product")</f>
        <v>Tech&amp;Product</v>
      </c>
      <c r="J19" s="17"/>
      <c r="K19" s="17" t="str">
        <f ca="1">IFERROR(__xludf.DUMMYFUNCTION("""COMPUTED_VALUE"""),".")</f>
        <v>.</v>
      </c>
      <c r="L19" s="17"/>
      <c r="M19" s="17"/>
      <c r="N19" s="17"/>
      <c r="O19" s="17"/>
    </row>
    <row r="20" spans="1:15" ht="12.5">
      <c r="A20" s="17" t="str">
        <f ca="1">IFERROR(__xludf.DUMMYFUNCTION("""COMPUTED_VALUE"""),"TRX1245")</f>
        <v>TRX1245</v>
      </c>
      <c r="B20" s="86" t="str">
        <f ca="1">IFERROR(__xludf.DUMMYFUNCTION("""COMPUTED_VALUE"""),"#2")</f>
        <v>#2</v>
      </c>
      <c r="C20" s="63">
        <f ca="1">IFERROR(__xludf.DUMMYFUNCTION("""COMPUTED_VALUE"""),46066.4173611111)</f>
        <v>46066.417361111096</v>
      </c>
      <c r="D20" s="65">
        <f ca="1">IFERROR(__xludf.DUMMYFUNCTION("""COMPUTED_VALUE"""),1083.21)</f>
        <v>1083.21</v>
      </c>
      <c r="E20" s="17" t="str">
        <f ca="1">IFERROR(__xludf.DUMMYFUNCTION("""COMPUTED_VALUE"""),"USD")</f>
        <v>USD</v>
      </c>
      <c r="F20" s="17" t="str">
        <f ca="1">IFERROR(__xludf.DUMMYFUNCTION("""COMPUTED_VALUE"""),"Cesar Gonzales")</f>
        <v>Cesar Gonzales</v>
      </c>
      <c r="G20" s="17" t="str">
        <f ca="1">IFERROR(__xludf.DUMMYFUNCTION("""COMPUTED_VALUE"""),"AUGMENT CODE           PALO ALTO     USA")</f>
        <v>AUGMENT CODE           PALO ALTO     USA</v>
      </c>
      <c r="H20" s="17" t="str">
        <f ca="1">IFERROR(__xludf.DUMMYFUNCTION("""COMPUTED_VALUE"""),"Augment Code Palo Alto USA")</f>
        <v>Augment Code Palo Alto USA</v>
      </c>
      <c r="I20" s="17" t="str">
        <f ca="1">IFERROR(__xludf.DUMMYFUNCTION("""COMPUTED_VALUE"""),"Tech&amp;Product")</f>
        <v>Tech&amp;Product</v>
      </c>
      <c r="J20" s="17"/>
      <c r="K20" s="17" t="str">
        <f ca="1">IFERROR(__xludf.DUMMYFUNCTION("""COMPUTED_VALUE"""),".")</f>
        <v>.</v>
      </c>
      <c r="L20" s="17"/>
      <c r="M20" s="17"/>
      <c r="N20" s="17"/>
      <c r="O20" s="17"/>
    </row>
    <row r="21" spans="1:15" ht="12.5">
      <c r="A21" s="17" t="str">
        <f ca="1">IFERROR(__xludf.DUMMYFUNCTION("""COMPUTED_VALUE"""),"TRX1378")</f>
        <v>TRX1378</v>
      </c>
      <c r="B21" s="86" t="str">
        <f ca="1">IFERROR(__xludf.DUMMYFUNCTION("""COMPUTED_VALUE"""),"#2")</f>
        <v>#2</v>
      </c>
      <c r="C21" s="63">
        <f ca="1">IFERROR(__xludf.DUMMYFUNCTION("""COMPUTED_VALUE"""),46069.4166666666)</f>
        <v>46069.416666666599</v>
      </c>
      <c r="D21" s="65">
        <f ca="1">IFERROR(__xludf.DUMMYFUNCTION("""COMPUTED_VALUE"""),14399.42)</f>
        <v>14399.42</v>
      </c>
      <c r="E21" s="17" t="str">
        <f ca="1">IFERROR(__xludf.DUMMYFUNCTION("""COMPUTED_VALUE"""),"USD")</f>
        <v>USD</v>
      </c>
      <c r="F21" s="17" t="str">
        <f ca="1">IFERROR(__xludf.DUMMYFUNCTION("""COMPUTED_VALUE"""),"Cesar Gonzales")</f>
        <v>Cesar Gonzales</v>
      </c>
      <c r="G21" s="17" t="str">
        <f ca="1">IFERROR(__xludf.DUMMYFUNCTION("""COMPUTED_VALUE"""),"AUTH0.COM              SAN FRANCISCO USA")</f>
        <v>AUTH0.COM              SAN FRANCISCO USA</v>
      </c>
      <c r="H21" s="17" t="str">
        <f ca="1">IFERROR(__xludf.DUMMYFUNCTION("""COMPUTED_VALUE"""),"Auth0")</f>
        <v>Auth0</v>
      </c>
      <c r="I21" s="17" t="str">
        <f ca="1">IFERROR(__xludf.DUMMYFUNCTION("""COMPUTED_VALUE"""),"Tech&amp;Product")</f>
        <v>Tech&amp;Product</v>
      </c>
      <c r="J21" s="17"/>
      <c r="K21" s="17" t="str">
        <f ca="1">IFERROR(__xludf.DUMMYFUNCTION("""COMPUTED_VALUE"""),".")</f>
        <v>.</v>
      </c>
      <c r="L21" s="17"/>
      <c r="M21" s="17"/>
      <c r="N21" s="17"/>
      <c r="O21" s="17"/>
    </row>
    <row r="22" spans="1:15" ht="12.5">
      <c r="A22" s="17" t="str">
        <f ca="1">IFERROR(__xludf.DUMMYFUNCTION("""COMPUTED_VALUE"""),"TRX1821")</f>
        <v>TRX1821</v>
      </c>
      <c r="B22" s="86" t="str">
        <f ca="1">IFERROR(__xludf.DUMMYFUNCTION("""COMPUTED_VALUE"""),"#2")</f>
        <v>#2</v>
      </c>
      <c r="C22" s="63">
        <f ca="1">IFERROR(__xludf.DUMMYFUNCTION("""COMPUTED_VALUE"""),46073.4173611111)</f>
        <v>46073.417361111096</v>
      </c>
      <c r="D22" s="65">
        <f ca="1">IFERROR(__xludf.DUMMYFUNCTION("""COMPUTED_VALUE"""),471.63)</f>
        <v>471.63</v>
      </c>
      <c r="E22" s="17" t="str">
        <f ca="1">IFERROR(__xludf.DUMMYFUNCTION("""COMPUTED_VALUE"""),"USD")</f>
        <v>USD</v>
      </c>
      <c r="F22" s="17" t="str">
        <f ca="1">IFERROR(__xludf.DUMMYFUNCTION("""COMPUTED_VALUE"""),"Cesar Gonzales")</f>
        <v>Cesar Gonzales</v>
      </c>
      <c r="G22" s="17" t="str">
        <f ca="1">IFERROR(__xludf.DUMMYFUNCTION("""COMPUTED_VALUE"""),"CURSOR, AI POWERED IDE NEW YORK      USA")</f>
        <v>CURSOR, AI POWERED IDE NEW YORK      USA</v>
      </c>
      <c r="H22" s="17" t="str">
        <f ca="1">IFERROR(__xludf.DUMMYFUNCTION("""COMPUTED_VALUE"""),"Cursor Ai Powered Ide New York USA")</f>
        <v>Cursor Ai Powered Ide New York USA</v>
      </c>
      <c r="I22" s="17" t="str">
        <f ca="1">IFERROR(__xludf.DUMMYFUNCTION("""COMPUTED_VALUE"""),"Tech&amp;Product")</f>
        <v>Tech&amp;Product</v>
      </c>
      <c r="J22" s="17"/>
      <c r="K22" s="17" t="str">
        <f ca="1">IFERROR(__xludf.DUMMYFUNCTION("""COMPUTED_VALUE"""),".")</f>
        <v>.</v>
      </c>
      <c r="L22" s="17"/>
      <c r="M22" s="17"/>
      <c r="N22" s="17"/>
      <c r="O22" s="17"/>
    </row>
    <row r="23" spans="1:15" ht="12.5">
      <c r="A23" s="17" t="str">
        <f ca="1">IFERROR(__xludf.DUMMYFUNCTION("""COMPUTED_VALUE"""),"TRX1080")</f>
        <v>TRX1080</v>
      </c>
      <c r="B23" s="86" t="str">
        <f ca="1">IFERROR(__xludf.DUMMYFUNCTION("""COMPUTED_VALUE"""),"#2")</f>
        <v>#2</v>
      </c>
      <c r="C23" s="63">
        <f ca="1">IFERROR(__xludf.DUMMYFUNCTION("""COMPUTED_VALUE"""),46075.4173611111)</f>
        <v>46075.417361111096</v>
      </c>
      <c r="D23" s="65">
        <f ca="1">IFERROR(__xludf.DUMMYFUNCTION("""COMPUTED_VALUE"""),2619.98)</f>
        <v>2619.98</v>
      </c>
      <c r="E23" s="17" t="str">
        <f ca="1">IFERROR(__xludf.DUMMYFUNCTION("""COMPUTED_VALUE"""),"USD")</f>
        <v>USD</v>
      </c>
      <c r="F23" s="17" t="str">
        <f ca="1">IFERROR(__xludf.DUMMYFUNCTION("""COMPUTED_VALUE"""),"Cesar Gonzales")</f>
        <v>Cesar Gonzales</v>
      </c>
      <c r="G23" s="17" t="str">
        <f ca="1">IFERROR(__xludf.DUMMYFUNCTION("""COMPUTED_VALUE"""),"ATLASSIAN              SAN FRANCISCO USA")</f>
        <v>ATLASSIAN              SAN FRANCISCO USA</v>
      </c>
      <c r="H23" s="17" t="str">
        <f ca="1">IFERROR(__xludf.DUMMYFUNCTION("""COMPUTED_VALUE"""),"Atlassian")</f>
        <v>Atlassian</v>
      </c>
      <c r="I23" s="17" t="str">
        <f ca="1">IFERROR(__xludf.DUMMYFUNCTION("""COMPUTED_VALUE"""),"Tech&amp;Product")</f>
        <v>Tech&amp;Product</v>
      </c>
      <c r="J23" s="17"/>
      <c r="K23" s="17" t="str">
        <f ca="1">IFERROR(__xludf.DUMMYFUNCTION("""COMPUTED_VALUE"""),".")</f>
        <v>.</v>
      </c>
      <c r="L23" s="17"/>
      <c r="M23" s="17"/>
      <c r="N23" s="17"/>
      <c r="O23" s="17"/>
    </row>
    <row r="24" spans="1:15" ht="12.5">
      <c r="A24" s="17" t="str">
        <f ca="1">IFERROR(__xludf.DUMMYFUNCTION("""COMPUTED_VALUE"""),"TRX1119")</f>
        <v>TRX1119</v>
      </c>
      <c r="B24" s="86" t="str">
        <f ca="1">IFERROR(__xludf.DUMMYFUNCTION("""COMPUTED_VALUE"""),"#2")</f>
        <v>#2</v>
      </c>
      <c r="C24" s="63">
        <f ca="1">IFERROR(__xludf.DUMMYFUNCTION("""COMPUTED_VALUE"""),46077.4166666666)</f>
        <v>46077.416666666599</v>
      </c>
      <c r="D24" s="65">
        <f ca="1">IFERROR(__xludf.DUMMYFUNCTION("""COMPUTED_VALUE"""),3853.97)</f>
        <v>3853.97</v>
      </c>
      <c r="E24" s="17" t="str">
        <f ca="1">IFERROR(__xludf.DUMMYFUNCTION("""COMPUTED_VALUE"""),"USD")</f>
        <v>USD</v>
      </c>
      <c r="F24" s="17" t="str">
        <f ca="1">IFERROR(__xludf.DUMMYFUNCTION("""COMPUTED_VALUE"""),"Cesar Gonzales")</f>
        <v>Cesar Gonzales</v>
      </c>
      <c r="G24" s="17" t="str">
        <f ca="1">IFERROR(__xludf.DUMMYFUNCTION("""COMPUTED_VALUE"""),"RETOOL                 SAN FRANCISCO USA")</f>
        <v>RETOOL                 SAN FRANCISCO USA</v>
      </c>
      <c r="H24" s="17" t="str">
        <f ca="1">IFERROR(__xludf.DUMMYFUNCTION("""COMPUTED_VALUE"""),"Retool")</f>
        <v>Retool</v>
      </c>
      <c r="I24" s="17" t="str">
        <f ca="1">IFERROR(__xludf.DUMMYFUNCTION("""COMPUTED_VALUE"""),"Tech&amp;Product")</f>
        <v>Tech&amp;Product</v>
      </c>
      <c r="J24" s="17"/>
      <c r="K24" s="17" t="str">
        <f ca="1">IFERROR(__xludf.DUMMYFUNCTION("""COMPUTED_VALUE"""),".")</f>
        <v>.</v>
      </c>
      <c r="L24" s="17"/>
      <c r="M24" s="17"/>
      <c r="N24" s="17"/>
      <c r="O24" s="17"/>
    </row>
    <row r="25" spans="1:15" ht="12.5">
      <c r="A25" s="17" t="str">
        <f ca="1">IFERROR(__xludf.DUMMYFUNCTION("""COMPUTED_VALUE"""),"TRX1124")</f>
        <v>TRX1124</v>
      </c>
      <c r="B25" s="86" t="str">
        <f ca="1">IFERROR(__xludf.DUMMYFUNCTION("""COMPUTED_VALUE"""),"#2")</f>
        <v>#2</v>
      </c>
      <c r="C25" s="63">
        <f ca="1">IFERROR(__xludf.DUMMYFUNCTION("""COMPUTED_VALUE"""),46077.4166666666)</f>
        <v>46077.416666666599</v>
      </c>
      <c r="D25" s="65">
        <f ca="1">IFERROR(__xludf.DUMMYFUNCTION("""COMPUTED_VALUE"""),8235.56)</f>
        <v>8235.56</v>
      </c>
      <c r="E25" s="17" t="str">
        <f ca="1">IFERROR(__xludf.DUMMYFUNCTION("""COMPUTED_VALUE"""),"USD")</f>
        <v>USD</v>
      </c>
      <c r="F25" s="17" t="str">
        <f ca="1">IFERROR(__xludf.DUMMYFUNCTION("""COMPUTED_VALUE"""),"Cesar Gonzales")</f>
        <v>Cesar Gonzales</v>
      </c>
      <c r="G25" s="17" t="str">
        <f ca="1">IFERROR(__xludf.DUMMYFUNCTION("""COMPUTED_VALUE"""),"METABASE INC           SPRING VALLEY USA")</f>
        <v>METABASE INC           SPRING VALLEY USA</v>
      </c>
      <c r="H25" s="17" t="str">
        <f ca="1">IFERROR(__xludf.DUMMYFUNCTION("""COMPUTED_VALUE"""),"Metabase")</f>
        <v>Metabase</v>
      </c>
      <c r="I25" s="17" t="str">
        <f ca="1">IFERROR(__xludf.DUMMYFUNCTION("""COMPUTED_VALUE"""),"Tech&amp;Product")</f>
        <v>Tech&amp;Product</v>
      </c>
      <c r="J25" s="17"/>
      <c r="K25" s="17" t="str">
        <f ca="1">IFERROR(__xludf.DUMMYFUNCTION("""COMPUTED_VALUE"""),".")</f>
        <v>.</v>
      </c>
      <c r="L25" s="17"/>
      <c r="M25" s="17"/>
      <c r="N25" s="17"/>
      <c r="O25" s="17"/>
    </row>
    <row r="26" spans="1:15" ht="12.5">
      <c r="A26" s="17" t="str">
        <f ca="1">IFERROR(__xludf.DUMMYFUNCTION("""COMPUTED_VALUE"""),"TRX1127")</f>
        <v>TRX1127</v>
      </c>
      <c r="B26" s="86" t="str">
        <f ca="1">IFERROR(__xludf.DUMMYFUNCTION("""COMPUTED_VALUE"""),"#2")</f>
        <v>#2</v>
      </c>
      <c r="C26" s="63">
        <f ca="1">IFERROR(__xludf.DUMMYFUNCTION("""COMPUTED_VALUE"""),46077.4166666666)</f>
        <v>46077.416666666599</v>
      </c>
      <c r="D26" s="65">
        <f ca="1">IFERROR(__xludf.DUMMYFUNCTION("""COMPUTED_VALUE"""),7106.33)</f>
        <v>7106.33</v>
      </c>
      <c r="E26" s="17" t="str">
        <f ca="1">IFERROR(__xludf.DUMMYFUNCTION("""COMPUTED_VALUE"""),"USD")</f>
        <v>USD</v>
      </c>
      <c r="F26" s="17" t="str">
        <f ca="1">IFERROR(__xludf.DUMMYFUNCTION("""COMPUTED_VALUE"""),"Cesar Gonzales")</f>
        <v>Cesar Gonzales</v>
      </c>
      <c r="G26" s="17" t="str">
        <f ca="1">IFERROR(__xludf.DUMMYFUNCTION("""COMPUTED_VALUE"""),"Microsoft-G142443073   msbill.info   USA")</f>
        <v>Microsoft-G142443073   msbill.info   USA</v>
      </c>
      <c r="H26" s="17" t="str">
        <f ca="1">IFERROR(__xludf.DUMMYFUNCTION("""COMPUTED_VALUE"""),"Microsoft")</f>
        <v>Microsoft</v>
      </c>
      <c r="I26" s="17" t="str">
        <f ca="1">IFERROR(__xludf.DUMMYFUNCTION("""COMPUTED_VALUE"""),"Tech&amp;Product")</f>
        <v>Tech&amp;Product</v>
      </c>
      <c r="J26" s="17"/>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IFERROR(__xludf.DUMMYFUNCTION("""COMPUTED_VALUE"""),"Tech&amp;Product")</f>
        <v>Tech&amp;Product</v>
      </c>
      <c r="J27" s="17"/>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IFERROR(__xludf.DUMMYFUNCTION("""COMPUTED_VALUE"""),"Tech&amp;Product")</f>
        <v>Tech&amp;Product</v>
      </c>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AA84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65</v>
      </c>
      <c r="B2" s="139"/>
      <c r="C2" s="139"/>
      <c r="D2" s="68"/>
      <c r="E2" s="141" t="s">
        <v>63</v>
      </c>
      <c r="F2" s="139"/>
      <c r="G2" s="69" t="s">
        <v>1975</v>
      </c>
      <c r="H2" s="17"/>
      <c r="I2" s="17">
        <f t="shared" ref="I2:I8" ca="1" si="0">SUMIF(I12:I41,E2,D12:D41)</f>
        <v>0</v>
      </c>
      <c r="J2" s="17"/>
      <c r="K2" s="17"/>
      <c r="L2" s="17"/>
      <c r="M2" s="17"/>
      <c r="N2" s="17"/>
      <c r="O2" s="17"/>
    </row>
    <row r="3" spans="1:15" ht="15.75" customHeight="1">
      <c r="A3" s="26"/>
      <c r="B3" s="26"/>
      <c r="C3" s="10"/>
      <c r="D3" s="13"/>
      <c r="E3" s="142" t="s">
        <v>74</v>
      </c>
      <c r="F3" s="139"/>
      <c r="G3" s="70" t="s">
        <v>1976</v>
      </c>
      <c r="H3" s="11"/>
      <c r="I3" s="17">
        <f t="shared" si="0"/>
        <v>0</v>
      </c>
      <c r="J3" s="13"/>
      <c r="K3" s="13"/>
      <c r="L3" s="13"/>
      <c r="M3" s="13"/>
      <c r="N3" s="17"/>
      <c r="O3" s="17"/>
    </row>
    <row r="4" spans="1:15" ht="15.75" customHeight="1">
      <c r="A4" s="26"/>
      <c r="B4" s="26"/>
      <c r="C4" s="10"/>
      <c r="D4" s="13"/>
      <c r="E4" s="138" t="s">
        <v>83</v>
      </c>
      <c r="F4" s="139"/>
      <c r="G4" s="70" t="s">
        <v>1977</v>
      </c>
      <c r="H4" s="11"/>
      <c r="I4" s="17">
        <f t="shared" si="0"/>
        <v>0</v>
      </c>
      <c r="J4" s="13"/>
      <c r="K4" s="13"/>
      <c r="L4" s="13"/>
      <c r="M4" s="13"/>
      <c r="N4" s="17"/>
      <c r="O4" s="17"/>
    </row>
    <row r="5" spans="1:15" ht="15.75" customHeight="1">
      <c r="A5" s="26"/>
      <c r="B5" s="26"/>
      <c r="C5" s="10"/>
      <c r="D5" s="13"/>
      <c r="E5" s="142" t="s">
        <v>94</v>
      </c>
      <c r="F5" s="139"/>
      <c r="G5" s="70" t="s">
        <v>1978</v>
      </c>
      <c r="H5" s="11"/>
      <c r="I5" s="17">
        <f t="shared" si="0"/>
        <v>0</v>
      </c>
      <c r="J5" s="13"/>
      <c r="K5" s="13"/>
      <c r="L5" s="13"/>
      <c r="M5" s="13"/>
      <c r="N5" s="17"/>
      <c r="O5" s="17"/>
    </row>
    <row r="6" spans="1:15" ht="15.75" customHeight="1">
      <c r="A6" s="26"/>
      <c r="B6" s="26"/>
      <c r="C6" s="10"/>
      <c r="D6" s="13"/>
      <c r="E6" s="141" t="s">
        <v>103</v>
      </c>
      <c r="F6" s="139"/>
      <c r="G6" s="70" t="s">
        <v>1980</v>
      </c>
      <c r="H6" s="11"/>
      <c r="I6" s="17">
        <f t="shared" si="0"/>
        <v>0</v>
      </c>
      <c r="J6" s="13"/>
      <c r="K6" s="13"/>
      <c r="L6" s="13"/>
      <c r="M6" s="13"/>
      <c r="N6" s="17"/>
      <c r="O6" s="17"/>
    </row>
    <row r="7" spans="1:15" ht="15.75" customHeight="1">
      <c r="A7" s="26"/>
      <c r="B7" s="26"/>
      <c r="C7" s="10"/>
      <c r="D7" s="13"/>
      <c r="E7" s="142" t="s">
        <v>113</v>
      </c>
      <c r="F7" s="139"/>
      <c r="G7" s="70" t="s">
        <v>1981</v>
      </c>
      <c r="H7" s="11"/>
      <c r="I7" s="17">
        <f t="shared" si="0"/>
        <v>0</v>
      </c>
      <c r="J7" s="13"/>
      <c r="K7" s="13"/>
      <c r="L7" s="13"/>
      <c r="M7" s="13"/>
      <c r="N7" s="17"/>
      <c r="O7" s="17"/>
    </row>
    <row r="8" spans="1:15" ht="15.75" customHeight="1">
      <c r="A8" s="26"/>
      <c r="B8" s="26"/>
      <c r="C8" s="10"/>
      <c r="D8" s="13"/>
      <c r="E8" s="141" t="s">
        <v>120</v>
      </c>
      <c r="F8" s="139"/>
      <c r="G8" s="70" t="s">
        <v>1982</v>
      </c>
      <c r="H8" s="11"/>
      <c r="I8" s="17">
        <f t="shared" si="0"/>
        <v>0</v>
      </c>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IFERROR(__xludf.DUMMYFUNCTION("IMPORTRANGE(""https://docs.google.com/spreadsheets/d/1MBgQy-yF1OkA_9X0Qz48OHlR2f47Z50N37rUi7p114Y/edit#gid=1404531132"",""#1 Annelies!I12:K80"")"),"G&amp;A expenses")</f>
        <v>G&amp;A expenses</v>
      </c>
      <c r="J12" s="17" t="str">
        <f ca="1">IFERROR(__xludf.DUMMYFUNCTION("""COMPUTED_VALUE"""),"Intern lunch w Nitisha.&amp; Karn")</f>
        <v>Intern lunch w Nitisha.&amp; Karn</v>
      </c>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C0000"/>
    <outlinePr summaryBelow="0" summaryRight="0"/>
  </sheetPr>
  <dimension ref="A1:O207"/>
  <sheetViews>
    <sheetView workbookViewId="0"/>
  </sheetViews>
  <sheetFormatPr baseColWidth="10" defaultColWidth="12.6328125" defaultRowHeight="15.75" customHeight="1"/>
  <cols>
    <col min="1" max="1" width="11.6328125" customWidth="1"/>
    <col min="2" max="2" width="5.453125" customWidth="1"/>
    <col min="3" max="3" width="13.36328125" customWidth="1"/>
    <col min="4" max="4" width="6.08984375" customWidth="1"/>
    <col min="5" max="5" width="6" customWidth="1"/>
    <col min="6" max="6" width="14.7265625" customWidth="1"/>
    <col min="7" max="8" width="27.26953125" customWidth="1"/>
    <col min="9" max="9" width="5.6328125" customWidth="1"/>
    <col min="10" max="10" width="79.0898437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43" t="s">
        <v>84</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Sept'!$J$12:$J$1003=$A$2)"),"TRX1239")</f>
        <v>TRX1239</v>
      </c>
      <c r="B12" s="86" t="str">
        <f ca="1">IFERROR(__xludf.DUMMYFUNCTION("""COMPUTED_VALUE"""),"#3")</f>
        <v>#3</v>
      </c>
      <c r="C12" s="63">
        <f ca="1">IFERROR(__xludf.DUMMYFUNCTION("""COMPUTED_VALUE"""),46058.4166666666)</f>
        <v>46058.416666666599</v>
      </c>
      <c r="D12" s="65">
        <f ca="1">IFERROR(__xludf.DUMMYFUNCTION("FILTER('Edo Cta Jeeves Sept'!$G$12:$G$1003,'Edo Cta Jeeves Sept'!$J$12:$J$1003=$A$2)"),1130)</f>
        <v>1130</v>
      </c>
      <c r="E12" s="24" t="str">
        <f ca="1">IFERROR(__xludf.DUMMYFUNCTION("FILTER('Edo Cta Jeeves Sept'!$I$12:$I$1003,'Edo Cta Jeeves Sept'!$J$12:$J$1003=$A$2)"),"MXN")</f>
        <v>MXN</v>
      </c>
      <c r="F12" s="17" t="str">
        <f ca="1">IFERROR(__xludf.DUMMYFUNCTION("FILTER('Edo Cta Jeeves Sept'!$J$12:$J$1003,'Edo Cta Jeeves Sept'!$J$12:$J$1003=$A$2)"),"Cesar Uriel Romo Trillo")</f>
        <v>Cesar Uriel Romo Trillo</v>
      </c>
      <c r="G12" s="17" t="str">
        <f ca="1">IFERROR(__xludf.DUMMYFUNCTION("FILTER('Edo Cta Jeeves Sept'!$K$12:$L$1003,'Edo Cta Jeeves Sept'!$J$12:$J$1003=$A$2)"),"HAMMER STRONG          CIUDAD DE MEX MEX")</f>
        <v>HAMMER STRONG          CIUDAD DE MEX MEX</v>
      </c>
      <c r="H12" s="17" t="str">
        <f ca="1">IFERROR(__xludf.DUMMYFUNCTION("""COMPUTED_VALUE"""),"Hammer Strong Ciudad De Mex Mex")</f>
        <v>Hammer Strong Ciudad De Mex Mex</v>
      </c>
      <c r="I12" s="17" t="str">
        <f ca="1">IFERROR(__xludf.DUMMYFUNCTION("IMPORTRANGE(""https://docs.google.com/spreadsheets/d/1XvBdMcjRa-pDfZE7cTM91eH54JoxDdQOcSUyj_sXR-Q/edit#gid=1404531132"",""#3 Cesar Uriel!I12:K80"")"),"Sales")</f>
        <v>Sales</v>
      </c>
      <c r="J12" s="17" t="str">
        <f ca="1">IFERROR(__xludf.DUMMYFUNCTION("""COMPUTED_VALUE"""),"Compra de Pulidora y discos para obra Grajales Robles PO1129")</f>
        <v>Compra de Pulidora y discos para obra Grajales Robles PO1129</v>
      </c>
      <c r="K12" s="17" t="str">
        <f ca="1">IFERROR(__xludf.DUMMYFUNCTION("""COMPUTED_VALUE"""),"TICKET")</f>
        <v>TICKET</v>
      </c>
      <c r="L12" s="17"/>
      <c r="M12" s="17"/>
      <c r="N12" s="17"/>
      <c r="O12" s="17"/>
    </row>
    <row r="13" spans="1:15" ht="15.75" customHeight="1">
      <c r="A13" s="24" t="str">
        <f ca="1">IFERROR(__xludf.DUMMYFUNCTION("""COMPUTED_VALUE"""),"TRX1151")</f>
        <v>TRX1151</v>
      </c>
      <c r="B13" s="86" t="str">
        <f ca="1">IFERROR(__xludf.DUMMYFUNCTION("""COMPUTED_VALUE"""),"#3")</f>
        <v>#3</v>
      </c>
      <c r="C13" s="63">
        <f ca="1">IFERROR(__xludf.DUMMYFUNCTION("""COMPUTED_VALUE"""),46059.4173611111)</f>
        <v>46059.417361111096</v>
      </c>
      <c r="D13" s="65">
        <f ca="1">IFERROR(__xludf.DUMMYFUNCTION("""COMPUTED_VALUE"""),344.25)</f>
        <v>344.25</v>
      </c>
      <c r="E13" s="24" t="str">
        <f ca="1">IFERROR(__xludf.DUMMYFUNCTION("""COMPUTED_VALUE"""),"MXN")</f>
        <v>MXN</v>
      </c>
      <c r="F13" s="17" t="str">
        <f ca="1">IFERROR(__xludf.DUMMYFUNCTION("""COMPUTED_VALUE"""),"Cesar Uriel Romo Trillo")</f>
        <v>Cesar Uriel Romo Trillo</v>
      </c>
      <c r="G13" s="17" t="str">
        <f ca="1">IFERROR(__xludf.DUMMYFUNCTION("""COMPUTED_VALUE"""),"GAS JUVITA             MEXICO DF     MEX")</f>
        <v>GAS JUVITA             MEXICO DF     MEX</v>
      </c>
      <c r="H13" s="17" t="str">
        <f ca="1">IFERROR(__xludf.DUMMYFUNCTION("""COMPUTED_VALUE"""),"Gas Juvita Mexico Df Mex")</f>
        <v>Gas Juvita Mexico Df Mex</v>
      </c>
      <c r="I13" s="17" t="str">
        <f ca="1">IFERROR(__xludf.DUMMYFUNCTION("""COMPUTED_VALUE"""),"Sales")</f>
        <v>Sales</v>
      </c>
      <c r="J13" s="17" t="str">
        <f ca="1">IFERROR(__xludf.DUMMYFUNCTION("""COMPUTED_VALUE"""),"Gasolina visita desmontaje de Grua Grajales Robles PO1129")</f>
        <v>Gasolina visita desmontaje de Grua Grajales Robles PO1129</v>
      </c>
      <c r="K13" s="17" t="str">
        <f ca="1">IFERROR(__xludf.DUMMYFUNCTION("""COMPUTED_VALUE"""),"TICKET")</f>
        <v>TICKET</v>
      </c>
      <c r="L13" s="17"/>
      <c r="M13" s="17"/>
      <c r="N13" s="17"/>
      <c r="O13" s="17"/>
    </row>
    <row r="14" spans="1:15" ht="15.75" customHeight="1">
      <c r="A14" s="24" t="str">
        <f ca="1">IFERROR(__xludf.DUMMYFUNCTION("""COMPUTED_VALUE"""),"TRX1538")</f>
        <v>TRX1538</v>
      </c>
      <c r="B14" s="86" t="str">
        <f ca="1">IFERROR(__xludf.DUMMYFUNCTION("""COMPUTED_VALUE"""),"#3")</f>
        <v>#3</v>
      </c>
      <c r="C14" s="63">
        <f ca="1">IFERROR(__xludf.DUMMYFUNCTION("""COMPUTED_VALUE"""),46060.4173611111)</f>
        <v>46060.417361111096</v>
      </c>
      <c r="D14" s="65">
        <f ca="1">IFERROR(__xludf.DUMMYFUNCTION("""COMPUTED_VALUE"""),803.6)</f>
        <v>803.6</v>
      </c>
      <c r="E14" s="24" t="str">
        <f ca="1">IFERROR(__xludf.DUMMYFUNCTION("""COMPUTED_VALUE"""),"MXN")</f>
        <v>MXN</v>
      </c>
      <c r="F14" s="17" t="str">
        <f ca="1">IFERROR(__xludf.DUMMYFUNCTION("""COMPUTED_VALUE"""),"Cesar Uriel Romo Trillo")</f>
        <v>Cesar Uriel Romo Trillo</v>
      </c>
      <c r="G14" s="17" t="str">
        <f ca="1">IFERROR(__xludf.DUMMYFUNCTION("""COMPUTED_VALUE"""),"GASOLINERA COMB ERMITA CIUDAD DE MEX MEX")</f>
        <v>GASOLINERA COMB ERMITA CIUDAD DE MEX MEX</v>
      </c>
      <c r="H14" s="17" t="str">
        <f ca="1">IFERROR(__xludf.DUMMYFUNCTION("""COMPUTED_VALUE"""),"Gasolinera Comb Ermita Ciudad De Mex Mex")</f>
        <v>Gasolinera Comb Ermita Ciudad De Mex Mex</v>
      </c>
      <c r="I14" s="17" t="str">
        <f ca="1">IFERROR(__xludf.DUMMYFUNCTION("""COMPUTED_VALUE"""),"Sales")</f>
        <v>Sales</v>
      </c>
      <c r="J14" s="17" t="str">
        <f ca="1">IFERROR(__xludf.DUMMYFUNCTION("""COMPUTED_VALUE"""),"Gasolina para Malacate Grajales Robles PO 1129")</f>
        <v>Gasolina para Malacate Grajales Robles PO 1129</v>
      </c>
      <c r="K14" s="17" t="str">
        <f ca="1">IFERROR(__xludf.DUMMYFUNCTION("""COMPUTED_VALUE"""),"TICKET")</f>
        <v>TICKET</v>
      </c>
      <c r="L14" s="17"/>
      <c r="M14" s="17"/>
      <c r="N14" s="17"/>
      <c r="O14" s="17"/>
    </row>
    <row r="15" spans="1:15" ht="15.75" customHeight="1">
      <c r="A15" s="24" t="str">
        <f ca="1">IFERROR(__xludf.DUMMYFUNCTION("""COMPUTED_VALUE"""),"TRX1068")</f>
        <v>TRX1068</v>
      </c>
      <c r="B15" s="86" t="str">
        <f ca="1">IFERROR(__xludf.DUMMYFUNCTION("""COMPUTED_VALUE"""),"#3")</f>
        <v>#3</v>
      </c>
      <c r="C15" s="63">
        <f ca="1">IFERROR(__xludf.DUMMYFUNCTION("""COMPUTED_VALUE"""),46065.4173611111)</f>
        <v>46065.417361111096</v>
      </c>
      <c r="D15" s="65">
        <f ca="1">IFERROR(__xludf.DUMMYFUNCTION("""COMPUTED_VALUE"""),574)</f>
        <v>574</v>
      </c>
      <c r="E15" s="24" t="str">
        <f ca="1">IFERROR(__xludf.DUMMYFUNCTION("""COMPUTED_VALUE"""),"MXN")</f>
        <v>MXN</v>
      </c>
      <c r="F15" s="17" t="str">
        <f ca="1">IFERROR(__xludf.DUMMYFUNCTION("""COMPUTED_VALUE"""),"Cesar Uriel Romo Trillo")</f>
        <v>Cesar Uriel Romo Trillo</v>
      </c>
      <c r="G15" s="17" t="str">
        <f ca="1">IFERROR(__xludf.DUMMYFUNCTION("""COMPUTED_VALUE"""),"GASOLINERA COMB ERMITA CIUDAD DE MEX MEX")</f>
        <v>GASOLINERA COMB ERMITA CIUDAD DE MEX MEX</v>
      </c>
      <c r="H15" s="17" t="str">
        <f ca="1">IFERROR(__xludf.DUMMYFUNCTION("""COMPUTED_VALUE"""),"Gasolinera Comb Ermita Ciudad De Mex Mex")</f>
        <v>Gasolinera Comb Ermita Ciudad De Mex Mex</v>
      </c>
      <c r="I15" s="17" t="str">
        <f ca="1">IFERROR(__xludf.DUMMYFUNCTION("""COMPUTED_VALUE"""),"Sales")</f>
        <v>Sales</v>
      </c>
      <c r="J15" s="17" t="str">
        <f ca="1">IFERROR(__xludf.DUMMYFUNCTION("""COMPUTED_VALUE"""),"Gasolina visita equipo Elvic PO1129")</f>
        <v>Gasolina visita equipo Elvic PO1129</v>
      </c>
      <c r="K15" s="17" t="str">
        <f ca="1">IFERROR(__xludf.DUMMYFUNCTION("""COMPUTED_VALUE"""),"TICKET")</f>
        <v>TICKET</v>
      </c>
      <c r="L15" s="17"/>
      <c r="M15" s="17"/>
      <c r="N15" s="17"/>
      <c r="O15" s="17"/>
    </row>
    <row r="16" spans="1:15" ht="15.75" customHeight="1">
      <c r="A16" s="24" t="str">
        <f ca="1">IFERROR(__xludf.DUMMYFUNCTION("""COMPUTED_VALUE"""),"TRX1608")</f>
        <v>TRX1608</v>
      </c>
      <c r="B16" s="86" t="str">
        <f ca="1">IFERROR(__xludf.DUMMYFUNCTION("""COMPUTED_VALUE"""),"#3")</f>
        <v>#3</v>
      </c>
      <c r="C16" s="63">
        <f ca="1">IFERROR(__xludf.DUMMYFUNCTION("""COMPUTED_VALUE"""),46065.4173611111)</f>
        <v>46065.417361111096</v>
      </c>
      <c r="D16" s="65">
        <f ca="1">IFERROR(__xludf.DUMMYFUNCTION("""COMPUTED_VALUE"""),767)</f>
        <v>767</v>
      </c>
      <c r="E16" s="24" t="str">
        <f ca="1">IFERROR(__xludf.DUMMYFUNCTION("""COMPUTED_VALUE"""),"MXN")</f>
        <v>MXN</v>
      </c>
      <c r="F16" s="17" t="str">
        <f ca="1">IFERROR(__xludf.DUMMYFUNCTION("""COMPUTED_VALUE"""),"Cesar Uriel Romo Trillo")</f>
        <v>Cesar Uriel Romo Trillo</v>
      </c>
      <c r="G16" s="17" t="str">
        <f ca="1">IFERROR(__xludf.DUMMYFUNCTION("""COMPUTED_VALUE"""),"MAMA S PIZZA           CIUDAD DE MEX MEX")</f>
        <v>MAMA S PIZZA           CIUDAD DE MEX MEX</v>
      </c>
      <c r="H16" s="17" t="str">
        <f ca="1">IFERROR(__xludf.DUMMYFUNCTION("""COMPUTED_VALUE"""),"Mama S Pizza Ciudad De Mex Mex")</f>
        <v>Mama S Pizza Ciudad De Mex Mex</v>
      </c>
      <c r="I16" s="17" t="str">
        <f ca="1">IFERROR(__xludf.DUMMYFUNCTION("""COMPUTED_VALUE"""),"Sales")</f>
        <v>Sales</v>
      </c>
      <c r="J16" s="17" t="str">
        <f ca="1">IFERROR(__xludf.DUMMYFUNCTION("""COMPUTED_VALUE"""),"Comida equipo Elvic  PO 1129")</f>
        <v>Comida equipo Elvic  PO 1129</v>
      </c>
      <c r="K16" s="17" t="str">
        <f ca="1">IFERROR(__xludf.DUMMYFUNCTION("""COMPUTED_VALUE"""),"TICKET")</f>
        <v>TICKET</v>
      </c>
      <c r="L16" s="17"/>
      <c r="M16" s="17"/>
      <c r="N16" s="17"/>
      <c r="O16" s="17"/>
    </row>
    <row r="17" spans="1:15" ht="15.75" customHeight="1">
      <c r="A17" s="24" t="str">
        <f ca="1">IFERROR(__xludf.DUMMYFUNCTION("""COMPUTED_VALUE"""),"TRX1618")</f>
        <v>TRX1618</v>
      </c>
      <c r="B17" s="86" t="str">
        <f ca="1">IFERROR(__xludf.DUMMYFUNCTION("""COMPUTED_VALUE"""),"#3")</f>
        <v>#3</v>
      </c>
      <c r="C17" s="63">
        <f ca="1">IFERROR(__xludf.DUMMYFUNCTION("""COMPUTED_VALUE"""),46071.4173611111)</f>
        <v>46071.417361111096</v>
      </c>
      <c r="D17" s="65">
        <f ca="1">IFERROR(__xludf.DUMMYFUNCTION("""COMPUTED_VALUE"""),918.4)</f>
        <v>918.4</v>
      </c>
      <c r="E17" s="24" t="str">
        <f ca="1">IFERROR(__xludf.DUMMYFUNCTION("""COMPUTED_VALUE"""),"MXN")</f>
        <v>MXN</v>
      </c>
      <c r="F17" s="17" t="str">
        <f ca="1">IFERROR(__xludf.DUMMYFUNCTION("""COMPUTED_VALUE"""),"Cesar Uriel Romo Trillo")</f>
        <v>Cesar Uriel Romo Trillo</v>
      </c>
      <c r="G17" s="17" t="str">
        <f ca="1">IFERROR(__xludf.DUMMYFUNCTION("""COMPUTED_VALUE"""),"GASOLINERA COMB ERMITA CIUDAD DE MEX MEX")</f>
        <v>GASOLINERA COMB ERMITA CIUDAD DE MEX MEX</v>
      </c>
      <c r="H17" s="17" t="str">
        <f ca="1">IFERROR(__xludf.DUMMYFUNCTION("""COMPUTED_VALUE"""),"Gasolinera Comb Ermita Ciudad De Mex Mex")</f>
        <v>Gasolinera Comb Ermita Ciudad De Mex Mex</v>
      </c>
      <c r="I17" s="17" t="str">
        <f ca="1">IFERROR(__xludf.DUMMYFUNCTION("""COMPUTED_VALUE"""),"Sales")</f>
        <v>Sales</v>
      </c>
      <c r="J17" s="17" t="str">
        <f ca="1">IFERROR(__xludf.DUMMYFUNCTION("""COMPUTED_VALUE"""),"Gasolina Visita deal nuevo Grupo GSA")</f>
        <v>Gasolina Visita deal nuevo Grupo GSA</v>
      </c>
      <c r="K17" s="17" t="str">
        <f ca="1">IFERROR(__xludf.DUMMYFUNCTION("""COMPUTED_VALUE"""),"TICKET")</f>
        <v>TICKET</v>
      </c>
      <c r="L17" s="17"/>
      <c r="M17" s="17"/>
      <c r="N17" s="17"/>
      <c r="O17" s="17"/>
    </row>
    <row r="18" spans="1:15" ht="15.75" customHeight="1">
      <c r="A18" s="24" t="str">
        <f ca="1">IFERROR(__xludf.DUMMYFUNCTION("""COMPUTED_VALUE"""),"TRX1068")</f>
        <v>TRX1068</v>
      </c>
      <c r="B18" s="86" t="str">
        <f ca="1">IFERROR(__xludf.DUMMYFUNCTION("""COMPUTED_VALUE"""),"#3")</f>
        <v>#3</v>
      </c>
      <c r="C18" s="63">
        <f ca="1">IFERROR(__xludf.DUMMYFUNCTION("""COMPUTED_VALUE"""),46075.4166666666)</f>
        <v>46075.416666666599</v>
      </c>
      <c r="D18" s="65">
        <f ca="1">IFERROR(__xludf.DUMMYFUNCTION("""COMPUTED_VALUE"""),344.4)</f>
        <v>344.4</v>
      </c>
      <c r="E18" s="24" t="str">
        <f ca="1">IFERROR(__xludf.DUMMYFUNCTION("""COMPUTED_VALUE"""),"MXN")</f>
        <v>MXN</v>
      </c>
      <c r="F18" s="17" t="str">
        <f ca="1">IFERROR(__xludf.DUMMYFUNCTION("""COMPUTED_VALUE"""),"Cesar Uriel Romo Trillo")</f>
        <v>Cesar Uriel Romo Trillo</v>
      </c>
      <c r="G18" s="17" t="str">
        <f ca="1">IFERROR(__xludf.DUMMYFUNCTION("""COMPUTED_VALUE"""),"COMBUSTIBLE ERMITA     CIUDAD DE MEX MEX")</f>
        <v>COMBUSTIBLE ERMITA     CIUDAD DE MEX MEX</v>
      </c>
      <c r="H18" s="17" t="str">
        <f ca="1">IFERROR(__xludf.DUMMYFUNCTION("""COMPUTED_VALUE"""),"Combustible Ermita Ciudad De Mex Mex")</f>
        <v>Combustible Ermita Ciudad De Mex Mex</v>
      </c>
      <c r="I18" s="17" t="str">
        <f ca="1">IFERROR(__xludf.DUMMYFUNCTION("""COMPUTED_VALUE"""),"Sales")</f>
        <v>Sales</v>
      </c>
      <c r="J18" s="17" t="str">
        <f ca="1">IFERROR(__xludf.DUMMYFUNCTION("""COMPUTED_VALUE"""),"Gasolina Visita Grajales Robles PO 1129, visita obra Parque Churubusco (nuevo deal), Visita Syvasa Calidad RFQ 3254 ")</f>
        <v xml:space="preserve">Gasolina Visita Grajales Robles PO 1129, visita obra Parque Churubusco (nuevo deal), Visita Syvasa Calidad RFQ 3254 </v>
      </c>
      <c r="K18" s="17" t="str">
        <f ca="1">IFERROR(__xludf.DUMMYFUNCTION("""COMPUTED_VALUE"""),"TICKET")</f>
        <v>TICKET</v>
      </c>
      <c r="L18" s="17"/>
      <c r="M18" s="17"/>
      <c r="N18" s="17"/>
      <c r="O18" s="17"/>
    </row>
    <row r="19" spans="1:15" ht="15.75" customHeight="1">
      <c r="A19" s="24" t="str">
        <f ca="1">IFERROR(__xludf.DUMMYFUNCTION("""COMPUTED_VALUE"""),"TRX1098")</f>
        <v>TRX1098</v>
      </c>
      <c r="B19" s="86" t="str">
        <f ca="1">IFERROR(__xludf.DUMMYFUNCTION("""COMPUTED_VALUE"""),"#3")</f>
        <v>#3</v>
      </c>
      <c r="C19" s="63">
        <f ca="1">IFERROR(__xludf.DUMMYFUNCTION("""COMPUTED_VALUE"""),46076.4166666666)</f>
        <v>46076.416666666599</v>
      </c>
      <c r="D19" s="65">
        <f ca="1">IFERROR(__xludf.DUMMYFUNCTION("""COMPUTED_VALUE"""),142.19)</f>
        <v>142.19</v>
      </c>
      <c r="E19" s="24" t="str">
        <f ca="1">IFERROR(__xludf.DUMMYFUNCTION("""COMPUTED_VALUE"""),"MXN")</f>
        <v>MXN</v>
      </c>
      <c r="F19" s="17" t="str">
        <f ca="1">IFERROR(__xludf.DUMMYFUNCTION("""COMPUTED_VALUE"""),"Cesar Uriel Romo Trillo")</f>
        <v>Cesar Uriel Romo Trillo</v>
      </c>
      <c r="G19" s="17" t="str">
        <f ca="1">IFERROR(__xludf.DUMMYFUNCTION("""COMPUTED_VALUE"""),"D LOCAL*REST DIDIFOOD  CIUDAD DE MEX MEX")</f>
        <v>D LOCAL*REST DIDIFOOD  CIUDAD DE MEX MEX</v>
      </c>
      <c r="H19" s="17" t="str">
        <f ca="1">IFERROR(__xludf.DUMMYFUNCTION("""COMPUTED_VALUE"""),"D Local Rest Didifood Ciudad De Mex Mex")</f>
        <v>D Local Rest Didifood Ciudad De Mex Mex</v>
      </c>
      <c r="I19" s="17" t="str">
        <f ca="1">IFERROR(__xludf.DUMMYFUNCTION("""COMPUTED_VALUE"""),"Sales")</f>
        <v>Sales</v>
      </c>
      <c r="J19" s="17" t="str">
        <f ca="1">IFERROR(__xludf.DUMMYFUNCTION("""COMPUTED_VALUE"""),"Compra de candado GRAJALES ROBLES PO 1129")</f>
        <v>Compra de candado GRAJALES ROBLES PO 1129</v>
      </c>
      <c r="K19" s="17" t="str">
        <f ca="1">IFERROR(__xludf.DUMMYFUNCTION("""COMPUTED_VALUE"""),"TICKET")</f>
        <v>TICKET</v>
      </c>
      <c r="L19" s="17"/>
      <c r="M19" s="17"/>
      <c r="N19" s="17"/>
      <c r="O19" s="17"/>
    </row>
    <row r="20" spans="1:15" ht="12.5">
      <c r="A20" s="24"/>
      <c r="B20" s="86"/>
      <c r="C20" s="24"/>
      <c r="D20" s="17"/>
      <c r="E20" s="24"/>
      <c r="F20" s="17"/>
      <c r="G20" s="17"/>
      <c r="H20" s="17"/>
      <c r="I20" s="17" t="str">
        <f ca="1">IFERROR(__xludf.DUMMYFUNCTION("""COMPUTED_VALUE"""),"Sales")</f>
        <v>Sales</v>
      </c>
      <c r="J20" s="17"/>
      <c r="K20" s="17"/>
      <c r="L20" s="17"/>
      <c r="M20" s="17"/>
      <c r="N20" s="17"/>
      <c r="O20" s="17"/>
    </row>
    <row r="21" spans="1:15" ht="12.5">
      <c r="A21" s="24"/>
      <c r="B21" s="86"/>
      <c r="C21" s="24"/>
      <c r="D21" s="17"/>
      <c r="E21" s="24"/>
      <c r="F21" s="17"/>
      <c r="G21" s="17"/>
      <c r="H21" s="17"/>
      <c r="I21" s="17" t="str">
        <f ca="1">IFERROR(__xludf.DUMMYFUNCTION("""COMPUTED_VALUE"""),"Sales")</f>
        <v>Sales</v>
      </c>
      <c r="J21" s="17"/>
      <c r="K21" s="17"/>
      <c r="L21" s="17"/>
      <c r="M21" s="17"/>
      <c r="N21" s="17"/>
      <c r="O21" s="17"/>
    </row>
    <row r="22" spans="1:15" ht="12.5">
      <c r="A22" s="24"/>
      <c r="B22" s="86"/>
      <c r="C22" s="24"/>
      <c r="D22" s="17"/>
      <c r="E22" s="24"/>
      <c r="F22" s="17"/>
      <c r="G22" s="17"/>
      <c r="H22" s="17"/>
      <c r="I22" s="17" t="str">
        <f ca="1">IFERROR(__xludf.DUMMYFUNCTION("""COMPUTED_VALUE"""),"Sales")</f>
        <v>Sales</v>
      </c>
      <c r="J22" s="17"/>
      <c r="K22" s="17"/>
      <c r="L22" s="17"/>
      <c r="M22" s="17"/>
      <c r="N22" s="17"/>
      <c r="O22" s="17"/>
    </row>
    <row r="23" spans="1:15" ht="12.5">
      <c r="A23" s="24"/>
      <c r="B23" s="86"/>
      <c r="C23" s="24"/>
      <c r="D23" s="17"/>
      <c r="E23" s="24"/>
      <c r="F23" s="17"/>
      <c r="G23" s="17"/>
      <c r="H23" s="17"/>
      <c r="I23" s="17" t="str">
        <f ca="1">IFERROR(__xludf.DUMMYFUNCTION("""COMPUTED_VALUE"""),"Sales")</f>
        <v>Sales</v>
      </c>
      <c r="J23" s="17"/>
      <c r="K23" s="17"/>
      <c r="L23" s="17"/>
      <c r="M23" s="17"/>
      <c r="N23" s="17"/>
      <c r="O23" s="17"/>
    </row>
    <row r="24" spans="1:15" ht="12.5">
      <c r="A24" s="24"/>
      <c r="B24" s="86"/>
      <c r="C24" s="24"/>
      <c r="D24" s="17"/>
      <c r="E24" s="24"/>
      <c r="F24" s="17"/>
      <c r="G24" s="17"/>
      <c r="H24" s="17"/>
      <c r="I24" s="17" t="str">
        <f ca="1">IFERROR(__xludf.DUMMYFUNCTION("""COMPUTED_VALUE"""),"Sales")</f>
        <v>Sales</v>
      </c>
      <c r="J24" s="17"/>
      <c r="K24" s="17"/>
      <c r="L24" s="17"/>
      <c r="M24" s="17"/>
      <c r="N24" s="17"/>
      <c r="O24" s="17"/>
    </row>
    <row r="25" spans="1:15" ht="12.5">
      <c r="A25" s="24"/>
      <c r="B25" s="86"/>
      <c r="C25" s="24"/>
      <c r="D25" s="17"/>
      <c r="E25" s="24"/>
      <c r="F25" s="17"/>
      <c r="G25" s="17"/>
      <c r="H25" s="17"/>
      <c r="I25" s="17" t="str">
        <f ca="1">IFERROR(__xludf.DUMMYFUNCTION("""COMPUTED_VALUE"""),"Sales")</f>
        <v>Sales</v>
      </c>
      <c r="J25" s="17"/>
      <c r="K25" s="17"/>
      <c r="L25" s="17"/>
      <c r="M25" s="17"/>
      <c r="N25" s="17"/>
      <c r="O25" s="17"/>
    </row>
    <row r="26" spans="1:15" ht="12.5">
      <c r="A26" s="24"/>
      <c r="B26" s="86"/>
      <c r="C26" s="24"/>
      <c r="D26" s="17"/>
      <c r="E26" s="24"/>
      <c r="F26" s="17"/>
      <c r="G26" s="17"/>
      <c r="H26" s="17"/>
      <c r="I26" s="17" t="str">
        <f ca="1">IFERROR(__xludf.DUMMYFUNCTION("""COMPUTED_VALUE"""),"Sales")</f>
        <v>Sales</v>
      </c>
      <c r="J26" s="17"/>
      <c r="K26" s="17"/>
      <c r="L26" s="17"/>
      <c r="M26" s="17"/>
      <c r="N26" s="17"/>
      <c r="O26" s="17"/>
    </row>
    <row r="27" spans="1:15" ht="12.5">
      <c r="A27" s="17"/>
      <c r="B27" s="24"/>
      <c r="C27" s="24"/>
      <c r="D27" s="17"/>
      <c r="E27" s="24"/>
      <c r="F27" s="17"/>
      <c r="G27" s="17"/>
      <c r="H27" s="17"/>
      <c r="I27" s="17" t="str">
        <f ca="1">IFERROR(__xludf.DUMMYFUNCTION("""COMPUTED_VALUE"""),"Sales")</f>
        <v>Sales</v>
      </c>
      <c r="J27" s="17"/>
      <c r="K27" s="17"/>
      <c r="L27" s="17"/>
      <c r="M27" s="17"/>
      <c r="N27" s="17"/>
      <c r="O27" s="17"/>
    </row>
    <row r="28" spans="1:15" ht="12.5">
      <c r="A28" s="17"/>
      <c r="B28" s="24"/>
      <c r="C28" s="24"/>
      <c r="D28" s="17"/>
      <c r="E28" s="24"/>
      <c r="F28" s="17"/>
      <c r="G28" s="17"/>
      <c r="H28" s="17"/>
      <c r="I28" s="17" t="str">
        <f ca="1">IFERROR(__xludf.DUMMYFUNCTION("""COMPUTED_VALUE"""),"Sales")</f>
        <v>Sales</v>
      </c>
      <c r="J28" s="17"/>
      <c r="K28" s="17"/>
      <c r="L28" s="17"/>
      <c r="M28" s="17"/>
      <c r="N28" s="17"/>
      <c r="O28" s="17"/>
    </row>
    <row r="29" spans="1:15" ht="12.5">
      <c r="A29" s="17"/>
      <c r="B29" s="24"/>
      <c r="C29" s="24"/>
      <c r="D29" s="17"/>
      <c r="E29" s="24"/>
      <c r="F29" s="17"/>
      <c r="G29" s="17"/>
      <c r="H29" s="17"/>
      <c r="I29" s="17" t="str">
        <f ca="1">IFERROR(__xludf.DUMMYFUNCTION("""COMPUTED_VALUE"""),"Sales")</f>
        <v>Sales</v>
      </c>
      <c r="J29" s="17"/>
      <c r="K29" s="17"/>
      <c r="L29" s="17"/>
      <c r="M29" s="17"/>
      <c r="N29" s="17"/>
      <c r="O29" s="17"/>
    </row>
    <row r="30" spans="1:15" ht="12.5">
      <c r="A30" s="17"/>
      <c r="B30" s="24"/>
      <c r="C30" s="24"/>
      <c r="D30" s="17"/>
      <c r="E30" s="24"/>
      <c r="F30" s="17"/>
      <c r="G30" s="17"/>
      <c r="H30" s="17"/>
      <c r="I30" s="17" t="str">
        <f ca="1">IFERROR(__xludf.DUMMYFUNCTION("""COMPUTED_VALUE"""),"Sales")</f>
        <v>Sales</v>
      </c>
      <c r="J30" s="17"/>
      <c r="K30" s="17"/>
      <c r="L30" s="17"/>
      <c r="M30" s="17"/>
      <c r="N30" s="17"/>
      <c r="O30" s="17"/>
    </row>
    <row r="31" spans="1:15" ht="12.5">
      <c r="A31" s="17"/>
      <c r="B31" s="24"/>
      <c r="C31" s="24"/>
      <c r="D31" s="17"/>
      <c r="E31" s="24"/>
      <c r="F31" s="17"/>
      <c r="G31" s="17"/>
      <c r="H31" s="17"/>
      <c r="I31" s="17" t="str">
        <f ca="1">IFERROR(__xludf.DUMMYFUNCTION("""COMPUTED_VALUE"""),"Sales")</f>
        <v>Sales</v>
      </c>
      <c r="J31" s="17"/>
      <c r="K31" s="17"/>
      <c r="L31" s="17"/>
      <c r="M31" s="17"/>
      <c r="N31" s="17"/>
      <c r="O31" s="17"/>
    </row>
    <row r="32" spans="1:15" ht="12.5">
      <c r="A32" s="17"/>
      <c r="B32" s="24"/>
      <c r="C32" s="24"/>
      <c r="D32" s="17"/>
      <c r="E32" s="24"/>
      <c r="F32" s="17"/>
      <c r="G32" s="17"/>
      <c r="H32" s="17"/>
      <c r="I32" s="17" t="str">
        <f ca="1">IFERROR(__xludf.DUMMYFUNCTION("""COMPUTED_VALUE"""),"Sales")</f>
        <v>Sales</v>
      </c>
      <c r="J32" s="17"/>
      <c r="K32" s="17"/>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453125" customWidth="1"/>
    <col min="3" max="3" width="11.7265625" customWidth="1"/>
    <col min="4" max="4" width="6.08984375" customWidth="1"/>
    <col min="5" max="5" width="4.7265625" customWidth="1"/>
    <col min="6" max="6" width="16.7265625" customWidth="1"/>
    <col min="7" max="8" width="29.453125" customWidth="1"/>
    <col min="9" max="10" width="22.0898437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95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Sept'!$J$12:$J$1003=$A$2)"),"TRX1288")</f>
        <v>TRX1288</v>
      </c>
      <c r="B12" s="86" t="str">
        <f ca="1">IFERROR(__xludf.DUMMYFUNCTION("""COMPUTED_VALUE"""),"#4")</f>
        <v>#4</v>
      </c>
      <c r="C12" s="63">
        <f ca="1">IFERROR(__xludf.DUMMYFUNCTION("""COMPUTED_VALUE"""),46056.4166666666)</f>
        <v>46056.416666666599</v>
      </c>
      <c r="D12" s="65">
        <f ca="1">IFERROR(__xludf.DUMMYFUNCTION("FILTER('Edo Cta Jeeves Sept'!$G$12:$G$1003,'Edo Cta Jeeves Sept'!$J$12:$J$1003=$A$2)"),915.4)</f>
        <v>915.4</v>
      </c>
      <c r="E12" s="17" t="str">
        <f ca="1">IFERROR(__xludf.DUMMYFUNCTION("FILTER('Edo Cta Jeeves Sept'!$I$12:$I$1003,'Edo Cta Jeeves Sept'!$J$12:$J$1003=$A$2)"),"MXN")</f>
        <v>MXN</v>
      </c>
      <c r="F12" s="17" t="str">
        <f ca="1">IFERROR(__xludf.DUMMYFUNCTION("FILTER('Edo Cta Jeeves Sept'!$J$12:$J$1003,'Edo Cta Jeeves Sept'!$J$12:$J$1003=$A$2)"),"Daniel Autrique Echeveste")</f>
        <v>Daniel Autrique Echeveste</v>
      </c>
      <c r="G12" s="17" t="str">
        <f ca="1">IFERROR(__xludf.DUMMYFUNCTION("FILTER('Edo Cta Jeeves Sept'!$K$12:$L$1003,'Edo Cta Jeeves Sept'!$J$12:$J$1003=$A$2)"),"LPQ AICM T1 SALA 8 1   CIUDAD DE MEX MEX")</f>
        <v>LPQ AICM T1 SALA 8 1   CIUDAD DE MEX MEX</v>
      </c>
      <c r="H12" s="17" t="str">
        <f ca="1">IFERROR(__xludf.DUMMYFUNCTION("""COMPUTED_VALUE"""),"L")</f>
        <v>L</v>
      </c>
      <c r="I12" s="17" t="str">
        <f ca="1">IFERROR(__xludf.DUMMYFUNCTION("IMPORTRANGE(""https://docs.google.com/spreadsheets/d/1twFYJ2YbixbronY1_Bg-T6ZOMv53H1WUG4WtqlBE7Z8/edit#gid=1404531132"",""#4 Daniel Autrique!I12:K80"")"),"Recruiting")</f>
        <v>Recruiting</v>
      </c>
      <c r="J12" s="17" t="str">
        <f ca="1">IFERROR(__xludf.DUMMYFUNCTION("""COMPUTED_VALUE"""),"LinkedIn")</f>
        <v>LinkedIn</v>
      </c>
      <c r="K12" s="17" t="str">
        <f ca="1">IFERROR(__xludf.DUMMYFUNCTION("""COMPUTED_VALUE"""),".")</f>
        <v>.</v>
      </c>
      <c r="L12" s="17"/>
      <c r="M12" s="17"/>
      <c r="N12" s="17"/>
      <c r="O12" s="17"/>
    </row>
    <row r="13" spans="1:15" ht="15.75" customHeight="1">
      <c r="A13" s="17" t="str">
        <f ca="1">IFERROR(__xludf.DUMMYFUNCTION("""COMPUTED_VALUE"""),"TRX1279")</f>
        <v>TRX1279</v>
      </c>
      <c r="B13" s="86" t="str">
        <f ca="1">IFERROR(__xludf.DUMMYFUNCTION("""COMPUTED_VALUE"""),"#4")</f>
        <v>#4</v>
      </c>
      <c r="C13" s="63">
        <f ca="1">IFERROR(__xludf.DUMMYFUNCTION("""COMPUTED_VALUE"""),46056.4166666666)</f>
        <v>46056.416666666599</v>
      </c>
      <c r="D13" s="65">
        <f ca="1">IFERROR(__xludf.DUMMYFUNCTION("""COMPUTED_VALUE"""),704.7)</f>
        <v>704.7</v>
      </c>
      <c r="E13" s="17" t="str">
        <f ca="1">IFERROR(__xludf.DUMMYFUNCTION("""COMPUTED_VALUE"""),"USD")</f>
        <v>USD</v>
      </c>
      <c r="F13" s="17" t="str">
        <f ca="1">IFERROR(__xludf.DUMMYFUNCTION("""COMPUTED_VALUE"""),"Daniel Autrique Echeveste")</f>
        <v>Daniel Autrique Echeveste</v>
      </c>
      <c r="G13" s="17" t="str">
        <f ca="1">IFERROR(__xludf.DUMMYFUNCTION("""COMPUTED_VALUE"""),"CURB MOBILITY          ASTORIA       USA")</f>
        <v>CURB MOBILITY          ASTORIA       USA</v>
      </c>
      <c r="H13" s="17" t="str">
        <f ca="1">IFERROR(__xludf.DUMMYFUNCTION("""COMPUTED_VALUE"""),"Curb Mobility")</f>
        <v>Curb Mobility</v>
      </c>
      <c r="I13" s="17" t="str">
        <f ca="1">IFERROR(__xludf.DUMMYFUNCTION("""COMPUTED_VALUE"""),"Sales")</f>
        <v>Sales</v>
      </c>
      <c r="J13" s="17" t="str">
        <f ca="1">IFERROR(__xludf.DUMMYFUNCTION("""COMPUTED_VALUE"""),"Vuelo a chicago Radioflyer")</f>
        <v>Vuelo a chicago Radioflyer</v>
      </c>
      <c r="K13" s="17" t="str">
        <f ca="1">IFERROR(__xludf.DUMMYFUNCTION("""COMPUTED_VALUE"""),".")</f>
        <v>.</v>
      </c>
      <c r="L13" s="17"/>
      <c r="M13" s="17"/>
      <c r="N13" s="17"/>
      <c r="O13" s="17"/>
    </row>
    <row r="14" spans="1:15" ht="15.75" customHeight="1">
      <c r="A14" s="17" t="str">
        <f ca="1">IFERROR(__xludf.DUMMYFUNCTION("""COMPUTED_VALUE"""),"TRX1272")</f>
        <v>TRX1272</v>
      </c>
      <c r="B14" s="86" t="str">
        <f ca="1">IFERROR(__xludf.DUMMYFUNCTION("""COMPUTED_VALUE"""),"#4")</f>
        <v>#4</v>
      </c>
      <c r="C14" s="63">
        <f ca="1">IFERROR(__xludf.DUMMYFUNCTION("""COMPUTED_VALUE"""),46057.4166666666)</f>
        <v>46057.416666666599</v>
      </c>
      <c r="D14" s="65">
        <f ca="1">IFERROR(__xludf.DUMMYFUNCTION("""COMPUTED_VALUE"""),1216.2)</f>
        <v>1216.2</v>
      </c>
      <c r="E14" s="17" t="str">
        <f ca="1">IFERROR(__xludf.DUMMYFUNCTION("""COMPUTED_VALUE"""),"USD")</f>
        <v>USD</v>
      </c>
      <c r="F14" s="17" t="str">
        <f ca="1">IFERROR(__xludf.DUMMYFUNCTION("""COMPUTED_VALUE"""),"Daniel Autrique Echeveste")</f>
        <v>Daniel Autrique Echeveste</v>
      </c>
      <c r="G14" s="17" t="str">
        <f ca="1">IFERROR(__xludf.DUMMYFUNCTION("""COMPUTED_VALUE"""),"TCOLV - Naughty Patt   LAS VEGAS     USA")</f>
        <v>TCOLV - Naughty Patt   LAS VEGAS     USA</v>
      </c>
      <c r="H14" s="17" t="str">
        <f ca="1">IFERROR(__xludf.DUMMYFUNCTION("""COMPUTED_VALUE"""),"Tcolv Naughty Patt Las Vegas USA")</f>
        <v>Tcolv Naughty Patt Las Vegas USA</v>
      </c>
      <c r="I14" s="17" t="str">
        <f ca="1">IFERROR(__xludf.DUMMYFUNCTION("""COMPUTED_VALUE"""),"Sales")</f>
        <v>Sales</v>
      </c>
      <c r="J14" s="17"/>
      <c r="K14" s="17" t="str">
        <f ca="1">IFERROR(__xludf.DUMMYFUNCTION("""COMPUTED_VALUE"""),".")</f>
        <v>.</v>
      </c>
      <c r="L14" s="17"/>
      <c r="M14" s="17"/>
      <c r="N14" s="17"/>
      <c r="O14" s="17"/>
    </row>
    <row r="15" spans="1:15" ht="15.75" customHeight="1">
      <c r="A15" s="17" t="str">
        <f ca="1">IFERROR(__xludf.DUMMYFUNCTION("""COMPUTED_VALUE"""),"TRX1271")</f>
        <v>TRX1271</v>
      </c>
      <c r="B15" s="86" t="str">
        <f ca="1">IFERROR(__xludf.DUMMYFUNCTION("""COMPUTED_VALUE"""),"#4")</f>
        <v>#4</v>
      </c>
      <c r="C15" s="63">
        <f ca="1">IFERROR(__xludf.DUMMYFUNCTION("""COMPUTED_VALUE"""),46057.4166666666)</f>
        <v>46057.416666666599</v>
      </c>
      <c r="D15" s="65">
        <f ca="1">IFERROR(__xludf.DUMMYFUNCTION("""COMPUTED_VALUE"""),476.1)</f>
        <v>476.1</v>
      </c>
      <c r="E15" s="17" t="str">
        <f ca="1">IFERROR(__xludf.DUMMYFUNCTION("""COMPUTED_VALUE"""),"USD")</f>
        <v>USD</v>
      </c>
      <c r="F15" s="17" t="str">
        <f ca="1">IFERROR(__xludf.DUMMYFUNCTION("""COMPUTED_VALUE"""),"Daniel Autrique Echeveste")</f>
        <v>Daniel Autrique Echeveste</v>
      </c>
      <c r="G15" s="17" t="str">
        <f ca="1">IFERROR(__xludf.DUMMYFUNCTION("""COMPUTED_VALUE"""),"ZTRIP TAXI             KANSAS CITY   USA")</f>
        <v>ZTRIP TAXI             KANSAS CITY   USA</v>
      </c>
      <c r="H15" s="17" t="str">
        <f ca="1">IFERROR(__xludf.DUMMYFUNCTION("""COMPUTED_VALUE"""),"Ztrip Taxi Kansas City USA")</f>
        <v>Ztrip Taxi Kansas City USA</v>
      </c>
      <c r="I15" s="17" t="str">
        <f ca="1">IFERROR(__xludf.DUMMYFUNCTION("""COMPUTED_VALUE"""),"Sales")</f>
        <v>Sales</v>
      </c>
      <c r="J15" s="17"/>
      <c r="K15" s="17" t="str">
        <f ca="1">IFERROR(__xludf.DUMMYFUNCTION("""COMPUTED_VALUE"""),".")</f>
        <v>.</v>
      </c>
      <c r="L15" s="17"/>
      <c r="M15" s="17"/>
      <c r="N15" s="17"/>
      <c r="O15" s="17"/>
    </row>
    <row r="16" spans="1:15" ht="15.75" customHeight="1">
      <c r="A16" s="17" t="str">
        <f ca="1">IFERROR(__xludf.DUMMYFUNCTION("""COMPUTED_VALUE"""),"TRX1197")</f>
        <v>TRX1197</v>
      </c>
      <c r="B16" s="86" t="str">
        <f ca="1">IFERROR(__xludf.DUMMYFUNCTION("""COMPUTED_VALUE"""),"#4")</f>
        <v>#4</v>
      </c>
      <c r="C16" s="63">
        <f ca="1">IFERROR(__xludf.DUMMYFUNCTION("""COMPUTED_VALUE"""),46058.4173611111)</f>
        <v>46058.417361111096</v>
      </c>
      <c r="D16" s="65">
        <f ca="1">IFERROR(__xludf.DUMMYFUNCTION("""COMPUTED_VALUE"""),11358)</f>
        <v>11358</v>
      </c>
      <c r="E16" s="17" t="str">
        <f ca="1">IFERROR(__xludf.DUMMYFUNCTION("""COMPUTED_VALUE"""),"USD")</f>
        <v>USD</v>
      </c>
      <c r="F16" s="17" t="str">
        <f ca="1">IFERROR(__xludf.DUMMYFUNCTION("""COMPUTED_VALUE"""),"Daniel Autrique Echeveste")</f>
        <v>Daniel Autrique Echeveste</v>
      </c>
      <c r="G16" s="17" t="str">
        <f ca="1">IFERROR(__xludf.DUMMYFUNCTION("""COMPUTED_VALUE"""),"WOLFGANG PUCK CUT      LAS VEGAS     USA")</f>
        <v>WOLFGANG PUCK CUT      LAS VEGAS     USA</v>
      </c>
      <c r="H16" s="17" t="str">
        <f ca="1">IFERROR(__xludf.DUMMYFUNCTION("""COMPUTED_VALUE"""),"Wolfgang Puck")</f>
        <v>Wolfgang Puck</v>
      </c>
      <c r="I16" s="17" t="str">
        <f ca="1">IFERROR(__xludf.DUMMYFUNCTION("""COMPUTED_VALUE"""),"G&amp;A expenses")</f>
        <v>G&amp;A expenses</v>
      </c>
      <c r="J16" s="17"/>
      <c r="K16" s="17" t="str">
        <f ca="1">IFERROR(__xludf.DUMMYFUNCTION("""COMPUTED_VALUE"""),".")</f>
        <v>.</v>
      </c>
      <c r="L16" s="17"/>
      <c r="M16" s="17"/>
      <c r="N16" s="17"/>
      <c r="O16" s="17"/>
    </row>
    <row r="17" spans="1:15" ht="15.75" customHeight="1">
      <c r="A17" s="17" t="str">
        <f ca="1">IFERROR(__xludf.DUMMYFUNCTION("""COMPUTED_VALUE"""),"TRX1193")</f>
        <v>TRX1193</v>
      </c>
      <c r="B17" s="86" t="str">
        <f ca="1">IFERROR(__xludf.DUMMYFUNCTION("""COMPUTED_VALUE"""),"#4")</f>
        <v>#4</v>
      </c>
      <c r="C17" s="63">
        <f ca="1">IFERROR(__xludf.DUMMYFUNCTION("""COMPUTED_VALUE"""),46058.4180555555)</f>
        <v>46058.418055555499</v>
      </c>
      <c r="D17" s="65">
        <f ca="1">IFERROR(__xludf.DUMMYFUNCTION("""COMPUTED_VALUE"""),181.58)</f>
        <v>181.58</v>
      </c>
      <c r="E17" s="17" t="str">
        <f ca="1">IFERROR(__xludf.DUMMYFUNCTION("""COMPUTED_VALUE"""),"USD")</f>
        <v>USD</v>
      </c>
      <c r="F17" s="17" t="str">
        <f ca="1">IFERROR(__xludf.DUMMYFUNCTION("""COMPUTED_VALUE"""),"Daniel Autrique Echeveste")</f>
        <v>Daniel Autrique Echeveste</v>
      </c>
      <c r="G17" s="17" t="str">
        <f ca="1">IFERROR(__xludf.DUMMYFUNCTION("""COMPUTED_VALUE"""),"Viasat, Inc.           8669453258    USA")</f>
        <v>Viasat, Inc.           8669453258    USA</v>
      </c>
      <c r="H17" s="17" t="str">
        <f ca="1">IFERROR(__xludf.DUMMYFUNCTION("""COMPUTED_VALUE"""),"Viasat")</f>
        <v>Viasat</v>
      </c>
      <c r="I17" s="17" t="str">
        <f ca="1">IFERROR(__xludf.DUMMYFUNCTION("""COMPUTED_VALUE"""),"Sales")</f>
        <v>Sales</v>
      </c>
      <c r="J17" s="17"/>
      <c r="K17" s="17" t="str">
        <f ca="1">IFERROR(__xludf.DUMMYFUNCTION("""COMPUTED_VALUE"""),".")</f>
        <v>.</v>
      </c>
      <c r="L17" s="17"/>
      <c r="M17" s="17"/>
      <c r="N17" s="17"/>
      <c r="O17" s="17"/>
    </row>
    <row r="18" spans="1:15" ht="15.75" customHeight="1">
      <c r="A18" s="17" t="str">
        <f ca="1">IFERROR(__xludf.DUMMYFUNCTION("""COMPUTED_VALUE"""),"TRX1576")</f>
        <v>TRX1576</v>
      </c>
      <c r="B18" s="86" t="str">
        <f ca="1">IFERROR(__xludf.DUMMYFUNCTION("""COMPUTED_VALUE"""),"#4")</f>
        <v>#4</v>
      </c>
      <c r="C18" s="63">
        <f ca="1">IFERROR(__xludf.DUMMYFUNCTION("""COMPUTED_VALUE"""),46059.4173611111)</f>
        <v>46059.417361111096</v>
      </c>
      <c r="D18" s="65">
        <f ca="1">IFERROR(__xludf.DUMMYFUNCTION("""COMPUTED_VALUE"""),13052.62)</f>
        <v>13052.62</v>
      </c>
      <c r="E18" s="17" t="str">
        <f ca="1">IFERROR(__xludf.DUMMYFUNCTION("""COMPUTED_VALUE"""),"MXN")</f>
        <v>MXN</v>
      </c>
      <c r="F18" s="17" t="str">
        <f ca="1">IFERROR(__xludf.DUMMYFUNCTION("""COMPUTED_VALUE"""),"Daniel Autrique Echeveste")</f>
        <v>Daniel Autrique Echeveste</v>
      </c>
      <c r="G18" s="17" t="str">
        <f ca="1">IFERROR(__xludf.DUMMYFUNCTION("""COMPUTED_VALUE"""),"COSMOPOL-FRONT DESK    LAS VEGAS     USA")</f>
        <v>COSMOPOL-FRONT DESK    LAS VEGAS     USA</v>
      </c>
      <c r="H18" s="17" t="str">
        <f ca="1">IFERROR(__xludf.DUMMYFUNCTION("""COMPUTED_VALUE"""),"Cosmopol Front Desk Las Vegas USA")</f>
        <v>Cosmopol Front Desk Las Vegas USA</v>
      </c>
      <c r="I18" s="17" t="str">
        <f ca="1">IFERROR(__xludf.DUMMYFUNCTION("""COMPUTED_VALUE"""),"Sales")</f>
        <v>Sales</v>
      </c>
      <c r="J18" s="17"/>
      <c r="K18" s="17" t="str">
        <f ca="1">IFERROR(__xludf.DUMMYFUNCTION("""COMPUTED_VALUE"""),".")</f>
        <v>.</v>
      </c>
      <c r="L18" s="17"/>
      <c r="M18" s="17"/>
      <c r="N18" s="17"/>
      <c r="O18" s="17"/>
    </row>
    <row r="19" spans="1:15" ht="15.75" customHeight="1">
      <c r="A19" s="17" t="str">
        <f ca="1">IFERROR(__xludf.DUMMYFUNCTION("""COMPUTED_VALUE"""),"TRX1408")</f>
        <v>TRX1408</v>
      </c>
      <c r="B19" s="86" t="str">
        <f ca="1">IFERROR(__xludf.DUMMYFUNCTION("""COMPUTED_VALUE"""),"#4")</f>
        <v>#4</v>
      </c>
      <c r="C19" s="63">
        <f ca="1">IFERROR(__xludf.DUMMYFUNCTION("""COMPUTED_VALUE"""),46060.4173611111)</f>
        <v>46060.417361111096</v>
      </c>
      <c r="D19" s="65">
        <f ca="1">IFERROR(__xludf.DUMMYFUNCTION("""COMPUTED_VALUE"""),2196.88)</f>
        <v>2196.88</v>
      </c>
      <c r="E19" s="17" t="str">
        <f ca="1">IFERROR(__xludf.DUMMYFUNCTION("""COMPUTED_VALUE"""),"USD")</f>
        <v>USD</v>
      </c>
      <c r="F19" s="17" t="str">
        <f ca="1">IFERROR(__xludf.DUMMYFUNCTION("""COMPUTED_VALUE"""),"Daniel Autrique Echeveste")</f>
        <v>Daniel Autrique Echeveste</v>
      </c>
      <c r="G19" s="17" t="str">
        <f ca="1">IFERROR(__xludf.DUMMYFUNCTION("""COMPUTED_VALUE"""),"20260203T00:00:00/COSMOPOL-FRONT DESK\3708 LAS VEGAS BLVD S\LAS VEGAS\89109     NV USA")</f>
        <v>20260203T00:00:00/COSMOPOL-FRONT DESK\3708 LAS VEGAS BLVD S\LAS VEGAS\89109     NV USA</v>
      </c>
      <c r="H19" s="17" t="str">
        <f ca="1">IFERROR(__xludf.DUMMYFUNCTION("""COMPUTED_VALUE"""),"T :00/Cosmopol Front Desk\3708 Las Vegas Blvd S\Las Vegas\ Nv USA")</f>
        <v>T :00/Cosmopol Front Desk\3708 Las Vegas Blvd S\Las Vegas\ Nv USA</v>
      </c>
      <c r="I19" s="17" t="str">
        <f ca="1">IFERROR(__xludf.DUMMYFUNCTION("""COMPUTED_VALUE"""),"Sales")</f>
        <v>Sales</v>
      </c>
      <c r="J19" s="17"/>
      <c r="K19" s="17" t="str">
        <f ca="1">IFERROR(__xludf.DUMMYFUNCTION("""COMPUTED_VALUE"""),".")</f>
        <v>.</v>
      </c>
      <c r="L19" s="17"/>
      <c r="M19" s="17"/>
      <c r="N19" s="17"/>
      <c r="O19" s="17"/>
    </row>
    <row r="20" spans="1:15" ht="12.5">
      <c r="A20" s="17" t="str">
        <f ca="1">IFERROR(__xludf.DUMMYFUNCTION("""COMPUTED_VALUE"""),"TRX1758")</f>
        <v>TRX1758</v>
      </c>
      <c r="B20" s="86" t="str">
        <f ca="1">IFERROR(__xludf.DUMMYFUNCTION("""COMPUTED_VALUE"""),"#4")</f>
        <v>#4</v>
      </c>
      <c r="C20" s="63">
        <f ca="1">IFERROR(__xludf.DUMMYFUNCTION("""COMPUTED_VALUE"""),46061.4166666666)</f>
        <v>46061.416666666599</v>
      </c>
      <c r="D20" s="65">
        <f ca="1">IFERROR(__xludf.DUMMYFUNCTION("""COMPUTED_VALUE"""),100)</f>
        <v>100</v>
      </c>
      <c r="E20" s="17" t="str">
        <f ca="1">IFERROR(__xludf.DUMMYFUNCTION("""COMPUTED_VALUE"""),"MXN")</f>
        <v>MXN</v>
      </c>
      <c r="F20" s="17" t="str">
        <f ca="1">IFERROR(__xludf.DUMMYFUNCTION("""COMPUTED_VALUE"""),"Daniel Autrique Echeveste")</f>
        <v>Daniel Autrique Echeveste</v>
      </c>
      <c r="G20" s="17" t="str">
        <f ca="1">IFERROR(__xludf.DUMMYFUNCTION("""COMPUTED_VALUE"""),"MEXPAGO*MUEVECIUDAD    CIUDAD DE MEX MEX")</f>
        <v>MEXPAGO*MUEVECIUDAD    CIUDAD DE MEX MEX</v>
      </c>
      <c r="H20" s="17" t="str">
        <f ca="1">IFERROR(__xludf.DUMMYFUNCTION("""COMPUTED_VALUE"""),"Mexpago Mueveciudad Ciudad De Mex Mex")</f>
        <v>Mexpago Mueveciudad Ciudad De Mex Mex</v>
      </c>
      <c r="I20" s="17" t="str">
        <f ca="1">IFERROR(__xludf.DUMMYFUNCTION("""COMPUTED_VALUE"""),"Sales")</f>
        <v>Sales</v>
      </c>
      <c r="J20" s="17"/>
      <c r="K20" s="17" t="str">
        <f ca="1">IFERROR(__xludf.DUMMYFUNCTION("""COMPUTED_VALUE"""),".")</f>
        <v>.</v>
      </c>
      <c r="L20" s="17"/>
      <c r="M20" s="17"/>
      <c r="N20" s="17"/>
      <c r="O20" s="17"/>
    </row>
    <row r="21" spans="1:15" ht="12.5">
      <c r="A21" s="17" t="str">
        <f ca="1">IFERROR(__xludf.DUMMYFUNCTION("""COMPUTED_VALUE"""),"TRX1501")</f>
        <v>TRX1501</v>
      </c>
      <c r="B21" s="86" t="str">
        <f ca="1">IFERROR(__xludf.DUMMYFUNCTION("""COMPUTED_VALUE"""),"#4")</f>
        <v>#4</v>
      </c>
      <c r="C21" s="63">
        <f ca="1">IFERROR(__xludf.DUMMYFUNCTION("""COMPUTED_VALUE"""),46064.4166666666)</f>
        <v>46064.416666666599</v>
      </c>
      <c r="D21" s="65">
        <f ca="1">IFERROR(__xludf.DUMMYFUNCTION("""COMPUTED_VALUE"""),870.55)</f>
        <v>870.55</v>
      </c>
      <c r="E21" s="17" t="str">
        <f ca="1">IFERROR(__xludf.DUMMYFUNCTION("""COMPUTED_VALUE"""),"MXN")</f>
        <v>MXN</v>
      </c>
      <c r="F21" s="17" t="str">
        <f ca="1">IFERROR(__xludf.DUMMYFUNCTION("""COMPUTED_VALUE"""),"Daniel Autrique Echeveste")</f>
        <v>Daniel Autrique Echeveste</v>
      </c>
      <c r="G21" s="17" t="str">
        <f ca="1">IFERROR(__xludf.DUMMYFUNCTION("""COMPUTED_VALUE"""),"REST ENO VIRREYES      CIUDAD DE MEX MEX")</f>
        <v>REST ENO VIRREYES      CIUDAD DE MEX MEX</v>
      </c>
      <c r="H21" s="17" t="str">
        <f ca="1">IFERROR(__xludf.DUMMYFUNCTION("""COMPUTED_VALUE"""),"Rest Eno Virreyes Ciudad De Mex Mex")</f>
        <v>Rest Eno Virreyes Ciudad De Mex Mex</v>
      </c>
      <c r="I21" s="17"/>
      <c r="J21" s="17"/>
      <c r="K21" s="17" t="str">
        <f ca="1">IFERROR(__xludf.DUMMYFUNCTION("""COMPUTED_VALUE"""),".")</f>
        <v>.</v>
      </c>
      <c r="L21" s="17"/>
      <c r="M21" s="17"/>
      <c r="N21" s="17"/>
      <c r="O21" s="17"/>
    </row>
    <row r="22" spans="1:15" ht="12.5">
      <c r="A22" s="17" t="str">
        <f ca="1">IFERROR(__xludf.DUMMYFUNCTION("""COMPUTED_VALUE"""),"TRX1629")</f>
        <v>TRX1629</v>
      </c>
      <c r="B22" s="86" t="str">
        <f ca="1">IFERROR(__xludf.DUMMYFUNCTION("""COMPUTED_VALUE"""),"#4")</f>
        <v>#4</v>
      </c>
      <c r="C22" s="63">
        <f ca="1">IFERROR(__xludf.DUMMYFUNCTION("""COMPUTED_VALUE"""),46067.4166666666)</f>
        <v>46067.416666666599</v>
      </c>
      <c r="D22" s="65">
        <f ca="1">IFERROR(__xludf.DUMMYFUNCTION("""COMPUTED_VALUE"""),5662.6)</f>
        <v>5662.6</v>
      </c>
      <c r="E22" s="17" t="str">
        <f ca="1">IFERROR(__xludf.DUMMYFUNCTION("""COMPUTED_VALUE"""),"MXN")</f>
        <v>MXN</v>
      </c>
      <c r="F22" s="17" t="str">
        <f ca="1">IFERROR(__xludf.DUMMYFUNCTION("""COMPUTED_VALUE"""),"Daniel Autrique Echeveste")</f>
        <v>Daniel Autrique Echeveste</v>
      </c>
      <c r="G22" s="17" t="str">
        <f ca="1">IFERROR(__xludf.DUMMYFUNCTION("""COMPUTED_VALUE"""),"REST ZERU LOMAS        CIUDAD DE MEX MEX")</f>
        <v>REST ZERU LOMAS        CIUDAD DE MEX MEX</v>
      </c>
      <c r="H22" s="17" t="str">
        <f ca="1">IFERROR(__xludf.DUMMYFUNCTION("""COMPUTED_VALUE"""),"Rest Zeru Lomas Ciudad De Mex Mex")</f>
        <v>Rest Zeru Lomas Ciudad De Mex Mex</v>
      </c>
      <c r="I22" s="17"/>
      <c r="J22" s="17"/>
      <c r="K22" s="17" t="str">
        <f ca="1">IFERROR(__xludf.DUMMYFUNCTION("""COMPUTED_VALUE"""),".")</f>
        <v>.</v>
      </c>
      <c r="L22" s="17"/>
      <c r="M22" s="17"/>
      <c r="N22" s="17"/>
      <c r="O22" s="17"/>
    </row>
    <row r="23" spans="1:15" ht="12.5">
      <c r="A23" s="17" t="str">
        <f ca="1">IFERROR(__xludf.DUMMYFUNCTION("""COMPUTED_VALUE"""),"TRX1043")</f>
        <v>TRX1043</v>
      </c>
      <c r="B23" s="86" t="str">
        <f ca="1">IFERROR(__xludf.DUMMYFUNCTION("""COMPUTED_VALUE"""),"#4")</f>
        <v>#4</v>
      </c>
      <c r="C23" s="63">
        <f ca="1">IFERROR(__xludf.DUMMYFUNCTION("""COMPUTED_VALUE"""),46071.4173611111)</f>
        <v>46071.417361111096</v>
      </c>
      <c r="D23" s="65">
        <f ca="1">IFERROR(__xludf.DUMMYFUNCTION("""COMPUTED_VALUE"""),1213.99)</f>
        <v>1213.99</v>
      </c>
      <c r="E23" s="17" t="str">
        <f ca="1">IFERROR(__xludf.DUMMYFUNCTION("""COMPUTED_VALUE"""),"MXN")</f>
        <v>MXN</v>
      </c>
      <c r="F23" s="17" t="str">
        <f ca="1">IFERROR(__xludf.DUMMYFUNCTION("""COMPUTED_VALUE"""),"Daniel Autrique Echeveste")</f>
        <v>Daniel Autrique Echeveste</v>
      </c>
      <c r="G23" s="17" t="str">
        <f ca="1">IFERROR(__xludf.DUMMYFUNCTION("""COMPUTED_VALUE"""),"GASOL VALERO LOMALINDA CIUDAD DE MEX MEX")</f>
        <v>GASOL VALERO LOMALINDA CIUDAD DE MEX MEX</v>
      </c>
      <c r="H23" s="17" t="str">
        <f ca="1">IFERROR(__xludf.DUMMYFUNCTION("""COMPUTED_VALUE"""),"Gasol Valero Lomalinda Ciudad De Mex Mex")</f>
        <v>Gasol Valero Lomalinda Ciudad De Mex Mex</v>
      </c>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6328125" customWidth="1"/>
    <col min="3" max="3" width="11.36328125" customWidth="1"/>
    <col min="4" max="4" width="6" customWidth="1"/>
    <col min="5" max="5" width="11.6328125" customWidth="1"/>
    <col min="6" max="6" width="15.26953125" customWidth="1"/>
    <col min="7" max="8" width="28.6328125" customWidth="1"/>
    <col min="9" max="10" width="21"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104</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27" t="s">
        <v>1994</v>
      </c>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Sept'!$J$12:$J$1003=$A$2)"),"TRX1219")</f>
        <v>TRX1219</v>
      </c>
      <c r="B12" s="7" t="str">
        <f ca="1">IFERROR(__xludf.DUMMYFUNCTION("""COMPUTED_VALUE"""),"#5")</f>
        <v>#5</v>
      </c>
      <c r="C12" s="63">
        <f ca="1">IFERROR(__xludf.DUMMYFUNCTION("""COMPUTED_VALUE"""),46058.4173611111)</f>
        <v>46058.417361111096</v>
      </c>
      <c r="D12" s="65">
        <f ca="1">IFERROR(__xludf.DUMMYFUNCTION("FILTER('Edo Cta Jeeves Sept'!$G$12:$G$1003,'Edo Cta Jeeves Sept'!$J$12:$J$1003=$A$2)"),70)</f>
        <v>70</v>
      </c>
      <c r="E12" s="17" t="str">
        <f ca="1">IFERROR(__xludf.DUMMYFUNCTION("FILTER('Edo Cta Jeeves Sept'!$I$12:$I$1003,'Edo Cta Jeeves Sept'!$J$12:$J$1003=$A$2)"),"MXN")</f>
        <v>MXN</v>
      </c>
      <c r="F12" s="17" t="str">
        <f ca="1">IFERROR(__xludf.DUMMYFUNCTION("FILTER('Edo Cta Jeeves Sept'!$J$12:$J$1003,'Edo Cta Jeeves Sept'!$J$12:$J$1003=$A$2)"),"Fernanda Sanchez Ruiz")</f>
        <v>Fernanda Sanchez Ruiz</v>
      </c>
      <c r="G12" s="17" t="str">
        <f ca="1">IFERROR(__xludf.DUMMYFUNCTION("FILTER('Edo Cta Jeeves Sept'!$K$12:$L$1003,'Edo Cta Jeeves Sept'!$J$12:$J$1003=$A$2)"),"DLO*UBER RIDE          CIUDAD DE MEX MEX")</f>
        <v>DLO*UBER RIDE          CIUDAD DE MEX MEX</v>
      </c>
      <c r="H12" s="17" t="str">
        <f ca="1">IFERROR(__xludf.DUMMYFUNCTION("""COMPUTED_VALUE"""),"Uber")</f>
        <v>Uber</v>
      </c>
      <c r="I12" s="17" t="str">
        <f ca="1">IFERROR(__xludf.DUMMYFUNCTION("IMPORTRANGE(""https://docs.google.com/spreadsheets/d/1n76Pwq4RoifXoRMfa-tXDSA2OSQvarmf2Kvyevnx6v0/edit#gid=1404531132"",""#5 Fernanda!I12:K80"")"),"Office expenses")</f>
        <v>Office expenses</v>
      </c>
      <c r="J12" s="17" t="str">
        <f ca="1">IFERROR(__xludf.DUMMYFUNCTION("""COMPUTED_VALUE"""),"Snacks para la oficina")</f>
        <v>Snacks para la oficina</v>
      </c>
      <c r="K12" s="17" t="str">
        <f ca="1">IFERROR(__xludf.DUMMYFUNCTION("""COMPUTED_VALUE"""),".")</f>
        <v>.</v>
      </c>
      <c r="L12" s="17"/>
      <c r="M12" s="17"/>
      <c r="N12" s="17"/>
      <c r="O12" s="17"/>
    </row>
    <row r="13" spans="1:15" ht="15.75" customHeight="1">
      <c r="A13" s="17" t="str">
        <f ca="1">IFERROR(__xludf.DUMMYFUNCTION("""COMPUTED_VALUE"""),"TRX1206")</f>
        <v>TRX1206</v>
      </c>
      <c r="B13" s="86" t="str">
        <f ca="1">IFERROR(__xludf.DUMMYFUNCTION("""COMPUTED_VALUE"""),"#5")</f>
        <v>#5</v>
      </c>
      <c r="C13" s="63">
        <f ca="1">IFERROR(__xludf.DUMMYFUNCTION("""COMPUTED_VALUE"""),46058.4173611111)</f>
        <v>46058.417361111096</v>
      </c>
      <c r="D13" s="65">
        <f ca="1">IFERROR(__xludf.DUMMYFUNCTION("""COMPUTED_VALUE"""),1186.28)</f>
        <v>1186.28</v>
      </c>
      <c r="E13" s="17" t="str">
        <f ca="1">IFERROR(__xludf.DUMMYFUNCTION("""COMPUTED_VALUE"""),"MXN")</f>
        <v>MXN</v>
      </c>
      <c r="F13" s="17" t="str">
        <f ca="1">IFERROR(__xludf.DUMMYFUNCTION("""COMPUTED_VALUE"""),"Fernanda Sanchez Ruiz")</f>
        <v>Fernanda Sanchez Ruiz</v>
      </c>
      <c r="G13" s="17" t="str">
        <f ca="1">IFERROR(__xludf.DUMMYFUNCTION("""COMPUTED_VALUE"""),"SAMS VENTA EN LINEA    MEXICO DF     MEX")</f>
        <v>SAMS VENTA EN LINEA    MEXICO DF     MEX</v>
      </c>
      <c r="H13" s="17" t="str">
        <f ca="1">IFERROR(__xludf.DUMMYFUNCTION("""COMPUTED_VALUE"""),"Sam's Club")</f>
        <v>Sam's Club</v>
      </c>
      <c r="I13" s="17" t="str">
        <f ca="1">IFERROR(__xludf.DUMMYFUNCTION("""COMPUTED_VALUE"""),"Office expenses")</f>
        <v>Office expenses</v>
      </c>
      <c r="J13" s="17"/>
      <c r="K13" s="17" t="str">
        <f ca="1">IFERROR(__xludf.DUMMYFUNCTION("""COMPUTED_VALUE"""),".")</f>
        <v>.</v>
      </c>
      <c r="L13" s="17"/>
      <c r="M13" s="17"/>
      <c r="N13" s="17"/>
      <c r="O13" s="17"/>
    </row>
    <row r="14" spans="1:15" ht="15.75" customHeight="1">
      <c r="A14" s="17" t="str">
        <f ca="1">IFERROR(__xludf.DUMMYFUNCTION("""COMPUTED_VALUE"""),"TRX1628")</f>
        <v>TRX1628</v>
      </c>
      <c r="B14" s="86" t="str">
        <f ca="1">IFERROR(__xludf.DUMMYFUNCTION("""COMPUTED_VALUE"""),"#5")</f>
        <v>#5</v>
      </c>
      <c r="C14" s="63">
        <f ca="1">IFERROR(__xludf.DUMMYFUNCTION("""COMPUTED_VALUE"""),46065.4173611111)</f>
        <v>46065.417361111096</v>
      </c>
      <c r="D14" s="65">
        <f ca="1">IFERROR(__xludf.DUMMYFUNCTION("""COMPUTED_VALUE"""),1690.58)</f>
        <v>1690.58</v>
      </c>
      <c r="E14" s="17" t="str">
        <f ca="1">IFERROR(__xludf.DUMMYFUNCTION("""COMPUTED_VALUE"""),"MXN")</f>
        <v>MXN</v>
      </c>
      <c r="F14" s="17" t="str">
        <f ca="1">IFERROR(__xludf.DUMMYFUNCTION("""COMPUTED_VALUE"""),"Fernanda Sanchez Ruiz")</f>
        <v>Fernanda Sanchez Ruiz</v>
      </c>
      <c r="G14" s="17" t="str">
        <f ca="1">IFERROR(__xludf.DUMMYFUNCTION("""COMPUTED_VALUE"""),"SAMS VENTA EN LINEA    MEXICO DF     MEX")</f>
        <v>SAMS VENTA EN LINEA    MEXICO DF     MEX</v>
      </c>
      <c r="H14" s="17" t="str">
        <f ca="1">IFERROR(__xludf.DUMMYFUNCTION("""COMPUTED_VALUE"""),"Sam's Club")</f>
        <v>Sam's Club</v>
      </c>
      <c r="I14" s="17" t="str">
        <f ca="1">IFERROR(__xludf.DUMMYFUNCTION("""COMPUTED_VALUE"""),"Office expenses")</f>
        <v>Office expenses</v>
      </c>
      <c r="J14" s="17" t="str">
        <f ca="1">IFERROR(__xludf.DUMMYFUNCTION("""COMPUTED_VALUE"""),"Snacks para la oficina")</f>
        <v>Snacks para la oficina</v>
      </c>
      <c r="K14" s="17" t="str">
        <f ca="1">IFERROR(__xludf.DUMMYFUNCTION("""COMPUTED_VALUE"""),".")</f>
        <v>.</v>
      </c>
      <c r="L14" s="17"/>
      <c r="M14" s="17"/>
      <c r="N14" s="17"/>
      <c r="O14" s="17"/>
    </row>
    <row r="15" spans="1:15" ht="15.75" customHeight="1">
      <c r="A15" s="17" t="str">
        <f ca="1">IFERROR(__xludf.DUMMYFUNCTION("""COMPUTED_VALUE"""),"TRX1890")</f>
        <v>TRX1890</v>
      </c>
      <c r="B15" s="86" t="str">
        <f ca="1">IFERROR(__xludf.DUMMYFUNCTION("""COMPUTED_VALUE"""),"#5")</f>
        <v>#5</v>
      </c>
      <c r="C15" s="63">
        <f ca="1">IFERROR(__xludf.DUMMYFUNCTION("""COMPUTED_VALUE"""),46067.4166666666)</f>
        <v>46067.416666666599</v>
      </c>
      <c r="D15" s="65">
        <f ca="1">IFERROR(__xludf.DUMMYFUNCTION("""COMPUTED_VALUE"""),317.52)</f>
        <v>317.52</v>
      </c>
      <c r="E15" s="17" t="str">
        <f ca="1">IFERROR(__xludf.DUMMYFUNCTION("""COMPUTED_VALUE"""),"MXN")</f>
        <v>MXN</v>
      </c>
      <c r="F15" s="17" t="str">
        <f ca="1">IFERROR(__xludf.DUMMYFUNCTION("""COMPUTED_VALUE"""),"Fernanda Sanchez Ruiz")</f>
        <v>Fernanda Sanchez Ruiz</v>
      </c>
      <c r="G15" s="17" t="str">
        <f ca="1">IFERROR(__xludf.DUMMYFUNCTION("""COMPUTED_VALUE"""),"UBER * EATS PENDING    CMX           MEX")</f>
        <v>UBER * EATS PENDING    CMX           MEX</v>
      </c>
      <c r="H15" s="17" t="str">
        <f ca="1">IFERROR(__xludf.DUMMYFUNCTION("""COMPUTED_VALUE"""),"Uber Eats")</f>
        <v>Uber Eats</v>
      </c>
      <c r="I15" s="17" t="str">
        <f ca="1">IFERROR(__xludf.DUMMYFUNCTION("""COMPUTED_VALUE"""),"Office expenses")</f>
        <v>Office expenses</v>
      </c>
      <c r="J15" s="17" t="str">
        <f ca="1">IFERROR(__xludf.DUMMYFUNCTION("""COMPUTED_VALUE"""),"Snacks para la oficina")</f>
        <v>Snacks para la oficina</v>
      </c>
      <c r="K15" s="17" t="str">
        <f ca="1">IFERROR(__xludf.DUMMYFUNCTION("""COMPUTED_VALUE"""),".")</f>
        <v>.</v>
      </c>
      <c r="L15" s="17"/>
      <c r="M15" s="17"/>
      <c r="N15" s="17"/>
      <c r="O15" s="17"/>
    </row>
    <row r="16" spans="1:15" ht="15.75" customHeight="1">
      <c r="A16" s="17" t="str">
        <f ca="1">IFERROR(__xludf.DUMMYFUNCTION("""COMPUTED_VALUE"""),"TRX1251")</f>
        <v>TRX1251</v>
      </c>
      <c r="B16" s="86" t="str">
        <f ca="1">IFERROR(__xludf.DUMMYFUNCTION("""COMPUTED_VALUE"""),"#5")</f>
        <v>#5</v>
      </c>
      <c r="C16" s="63">
        <f ca="1">IFERROR(__xludf.DUMMYFUNCTION("""COMPUTED_VALUE"""),46067.4166666666)</f>
        <v>46067.416666666599</v>
      </c>
      <c r="D16" s="65">
        <f ca="1">IFERROR(__xludf.DUMMYFUNCTION("""COMPUTED_VALUE"""),939.38)</f>
        <v>939.38</v>
      </c>
      <c r="E16" s="17" t="str">
        <f ca="1">IFERROR(__xludf.DUMMYFUNCTION("""COMPUTED_VALUE"""),"MXN")</f>
        <v>MXN</v>
      </c>
      <c r="F16" s="17" t="str">
        <f ca="1">IFERROR(__xludf.DUMMYFUNCTION("""COMPUTED_VALUE"""),"Fernanda Sanchez Ruiz")</f>
        <v>Fernanda Sanchez Ruiz</v>
      </c>
      <c r="G16" s="17" t="str">
        <f ca="1">IFERROR(__xludf.DUMMYFUNCTION("""COMPUTED_VALUE"""),"UBER * EATS PENDING    CMX           MEX")</f>
        <v>UBER * EATS PENDING    CMX           MEX</v>
      </c>
      <c r="H16" s="17" t="str">
        <f ca="1">IFERROR(__xludf.DUMMYFUNCTION("""COMPUTED_VALUE"""),"Uber Eats")</f>
        <v>Uber Eats</v>
      </c>
      <c r="I16" s="17" t="str">
        <f ca="1">IFERROR(__xludf.DUMMYFUNCTION("""COMPUTED_VALUE"""),"Office expenses")</f>
        <v>Office expenses</v>
      </c>
      <c r="J16" s="17" t="str">
        <f ca="1">IFERROR(__xludf.DUMMYFUNCTION("""COMPUTED_VALUE"""),"Botiquin ")</f>
        <v xml:space="preserve">Botiquin </v>
      </c>
      <c r="K16" s="17" t="str">
        <f ca="1">IFERROR(__xludf.DUMMYFUNCTION("""COMPUTED_VALUE"""),".")</f>
        <v>.</v>
      </c>
      <c r="L16" s="17"/>
      <c r="M16" s="17"/>
      <c r="N16" s="17"/>
      <c r="O16" s="17"/>
    </row>
    <row r="17" spans="1:15" ht="15.75" customHeight="1">
      <c r="A17" s="17" t="str">
        <f ca="1">IFERROR(__xludf.DUMMYFUNCTION("""COMPUTED_VALUE"""),"TRX1643")</f>
        <v>TRX1643</v>
      </c>
      <c r="B17" s="86" t="str">
        <f ca="1">IFERROR(__xludf.DUMMYFUNCTION("""COMPUTED_VALUE"""),"#5")</f>
        <v>#5</v>
      </c>
      <c r="C17" s="63">
        <f ca="1">IFERROR(__xludf.DUMMYFUNCTION("""COMPUTED_VALUE"""),46067.4166666666)</f>
        <v>46067.416666666599</v>
      </c>
      <c r="D17" s="65">
        <f ca="1">IFERROR(__xludf.DUMMYFUNCTION("""COMPUTED_VALUE"""),20)</f>
        <v>20</v>
      </c>
      <c r="E17" s="17" t="str">
        <f ca="1">IFERROR(__xludf.DUMMYFUNCTION("""COMPUTED_VALUE"""),"MXN")</f>
        <v>MXN</v>
      </c>
      <c r="F17" s="17" t="str">
        <f ca="1">IFERROR(__xludf.DUMMYFUNCTION("""COMPUTED_VALUE"""),"Fernanda Sanchez Ruiz")</f>
        <v>Fernanda Sanchez Ruiz</v>
      </c>
      <c r="G17" s="17" t="str">
        <f ca="1">IFERROR(__xludf.DUMMYFUNCTION("""COMPUTED_VALUE"""),"UBER *EATS HELP.UBER.C CMX           MEX")</f>
        <v>UBER *EATS HELP.UBER.C CMX           MEX</v>
      </c>
      <c r="H17" s="17" t="str">
        <f ca="1">IFERROR(__xludf.DUMMYFUNCTION("""COMPUTED_VALUE"""),"Uber Eats")</f>
        <v>Uber Eats</v>
      </c>
      <c r="I17" s="17" t="str">
        <f ca="1">IFERROR(__xludf.DUMMYFUNCTION("""COMPUTED_VALUE"""),"Office expenses")</f>
        <v>Office expenses</v>
      </c>
      <c r="J17" s="17" t="str">
        <f ca="1">IFERROR(__xludf.DUMMYFUNCTION("""COMPUTED_VALUE"""),"Refill de botiquin")</f>
        <v>Refill de botiquin</v>
      </c>
      <c r="K17" s="17" t="str">
        <f ca="1">IFERROR(__xludf.DUMMYFUNCTION("""COMPUTED_VALUE"""),".")</f>
        <v>.</v>
      </c>
      <c r="L17" s="17"/>
      <c r="M17" s="17"/>
      <c r="N17" s="17"/>
      <c r="O17" s="17"/>
    </row>
    <row r="18" spans="1:15" ht="15.75" customHeight="1">
      <c r="A18" s="17" t="str">
        <f ca="1">IFERROR(__xludf.DUMMYFUNCTION("""COMPUTED_VALUE"""),"TRX1775")</f>
        <v>TRX1775</v>
      </c>
      <c r="B18" s="86" t="str">
        <f ca="1">IFERROR(__xludf.DUMMYFUNCTION("""COMPUTED_VALUE"""),"#5")</f>
        <v>#5</v>
      </c>
      <c r="C18" s="63">
        <f ca="1">IFERROR(__xludf.DUMMYFUNCTION("""COMPUTED_VALUE"""),46067.4166666666)</f>
        <v>46067.416666666599</v>
      </c>
      <c r="D18" s="65">
        <f ca="1">IFERROR(__xludf.DUMMYFUNCTION("""COMPUTED_VALUE"""),3142.4)</f>
        <v>3142.4</v>
      </c>
      <c r="E18" s="17" t="str">
        <f ca="1">IFERROR(__xludf.DUMMYFUNCTION("""COMPUTED_VALUE"""),"MXN")</f>
        <v>MXN</v>
      </c>
      <c r="F18" s="17" t="str">
        <f ca="1">IFERROR(__xludf.DUMMYFUNCTION("""COMPUTED_VALUE"""),"Fernanda Sanchez Ruiz")</f>
        <v>Fernanda Sanchez Ruiz</v>
      </c>
      <c r="G18" s="17" t="str">
        <f ca="1">IFERROR(__xludf.DUMMYFUNCTION("""COMPUTED_VALUE"""),"UBER * EATS PENDING    CMX           MEX")</f>
        <v>UBER * EATS PENDING    CMX           MEX</v>
      </c>
      <c r="H18" s="17" t="str">
        <f ca="1">IFERROR(__xludf.DUMMYFUNCTION("""COMPUTED_VALUE"""),"Uber Eats")</f>
        <v>Uber Eats</v>
      </c>
      <c r="I18" s="17"/>
      <c r="J18" s="17"/>
      <c r="K18" s="17" t="str">
        <f ca="1">IFERROR(__xludf.DUMMYFUNCTION("""COMPUTED_VALUE"""),".")</f>
        <v>.</v>
      </c>
      <c r="L18" s="17"/>
      <c r="M18" s="17"/>
      <c r="N18" s="17"/>
      <c r="O18" s="17"/>
    </row>
    <row r="19" spans="1:15" ht="15.75" customHeight="1">
      <c r="A19" s="17" t="str">
        <f ca="1">IFERROR(__xludf.DUMMYFUNCTION("""COMPUTED_VALUE"""),"TRX1734")</f>
        <v>TRX1734</v>
      </c>
      <c r="B19" s="86" t="str">
        <f ca="1">IFERROR(__xludf.DUMMYFUNCTION("""COMPUTED_VALUE"""),"#5")</f>
        <v>#5</v>
      </c>
      <c r="C19" s="63">
        <f ca="1">IFERROR(__xludf.DUMMYFUNCTION("""COMPUTED_VALUE"""),46067.4166666666)</f>
        <v>46067.416666666599</v>
      </c>
      <c r="D19" s="65">
        <f ca="1">IFERROR(__xludf.DUMMYFUNCTION("""COMPUTED_VALUE"""),40)</f>
        <v>40</v>
      </c>
      <c r="E19" s="17" t="str">
        <f ca="1">IFERROR(__xludf.DUMMYFUNCTION("""COMPUTED_VALUE"""),"MXN")</f>
        <v>MXN</v>
      </c>
      <c r="F19" s="17" t="str">
        <f ca="1">IFERROR(__xludf.DUMMYFUNCTION("""COMPUTED_VALUE"""),"Fernanda Sanchez Ruiz")</f>
        <v>Fernanda Sanchez Ruiz</v>
      </c>
      <c r="G19" s="17" t="str">
        <f ca="1">IFERROR(__xludf.DUMMYFUNCTION("""COMPUTED_VALUE"""),"UBER *EATS HELP.UBER.C CMX           MEX")</f>
        <v>UBER *EATS HELP.UBER.C CMX           MEX</v>
      </c>
      <c r="H19" s="17" t="str">
        <f ca="1">IFERROR(__xludf.DUMMYFUNCTION("""COMPUTED_VALUE"""),"Uber Eats")</f>
        <v>Uber Eats</v>
      </c>
      <c r="I19" s="17"/>
      <c r="J19" s="17"/>
      <c r="K19" s="17" t="str">
        <f ca="1">IFERROR(__xludf.DUMMYFUNCTION("""COMPUTED_VALUE"""),".")</f>
        <v>.</v>
      </c>
      <c r="L19" s="17"/>
      <c r="M19" s="17"/>
      <c r="N19" s="17"/>
      <c r="O19" s="17"/>
    </row>
    <row r="20" spans="1:15" ht="12.5">
      <c r="A20" s="17" t="str">
        <f ca="1">IFERROR(__xludf.DUMMYFUNCTION("""COMPUTED_VALUE"""),"TRX1953")</f>
        <v>TRX1953</v>
      </c>
      <c r="B20" s="86" t="str">
        <f ca="1">IFERROR(__xludf.DUMMYFUNCTION("""COMPUTED_VALUE"""),"#5")</f>
        <v>#5</v>
      </c>
      <c r="C20" s="63">
        <f ca="1">IFERROR(__xludf.DUMMYFUNCTION("""COMPUTED_VALUE"""),46071.4166666666)</f>
        <v>46071.416666666599</v>
      </c>
      <c r="D20" s="65">
        <f ca="1">IFERROR(__xludf.DUMMYFUNCTION("""COMPUTED_VALUE"""),1707.95)</f>
        <v>1707.95</v>
      </c>
      <c r="E20" s="17" t="str">
        <f ca="1">IFERROR(__xludf.DUMMYFUNCTION("""COMPUTED_VALUE"""),"MXN")</f>
        <v>MXN</v>
      </c>
      <c r="F20" s="17" t="str">
        <f ca="1">IFERROR(__xludf.DUMMYFUNCTION("""COMPUTED_VALUE"""),"Fernanda Sanchez Ruiz")</f>
        <v>Fernanda Sanchez Ruiz</v>
      </c>
      <c r="G20" s="17" t="str">
        <f ca="1">IFERROR(__xludf.DUMMYFUNCTION("""COMPUTED_VALUE"""),"SAMS VENTA EN LINEA    MEXICO DF     MEX")</f>
        <v>SAMS VENTA EN LINEA    MEXICO DF     MEX</v>
      </c>
      <c r="H20" s="17" t="str">
        <f ca="1">IFERROR(__xludf.DUMMYFUNCTION("""COMPUTED_VALUE"""),"Sam's Club")</f>
        <v>Sam's Club</v>
      </c>
      <c r="I20" s="17"/>
      <c r="J20" s="17"/>
      <c r="K20" s="17" t="str">
        <f ca="1">IFERROR(__xludf.DUMMYFUNCTION("""COMPUTED_VALUE"""),".")</f>
        <v>.</v>
      </c>
      <c r="L20" s="17"/>
      <c r="M20" s="17"/>
      <c r="N20" s="17"/>
      <c r="O20" s="17"/>
    </row>
    <row r="21" spans="1:15" ht="12.5">
      <c r="A21" s="17" t="str">
        <f ca="1">IFERROR(__xludf.DUMMYFUNCTION("""COMPUTED_VALUE"""),"TRX1925")</f>
        <v>TRX1925</v>
      </c>
      <c r="B21" s="86" t="str">
        <f ca="1">IFERROR(__xludf.DUMMYFUNCTION("""COMPUTED_VALUE"""),"#5")</f>
        <v>#5</v>
      </c>
      <c r="C21" s="63">
        <f ca="1">IFERROR(__xludf.DUMMYFUNCTION("""COMPUTED_VALUE"""),46072.4166666666)</f>
        <v>46072.416666666599</v>
      </c>
      <c r="D21" s="65">
        <f ca="1">IFERROR(__xludf.DUMMYFUNCTION("""COMPUTED_VALUE"""),99.94)</f>
        <v>99.94</v>
      </c>
      <c r="E21" s="17" t="str">
        <f ca="1">IFERROR(__xludf.DUMMYFUNCTION("""COMPUTED_VALUE"""),"MXN")</f>
        <v>MXN</v>
      </c>
      <c r="F21" s="17" t="str">
        <f ca="1">IFERROR(__xludf.DUMMYFUNCTION("""COMPUTED_VALUE"""),"Fernanda Sanchez Ruiz")</f>
        <v>Fernanda Sanchez Ruiz</v>
      </c>
      <c r="G21" s="17" t="str">
        <f ca="1">IFERROR(__xludf.DUMMYFUNCTION("""COMPUTED_VALUE"""),"UBER * PENDING         CMX           MEX")</f>
        <v>UBER * PENDING         CMX           MEX</v>
      </c>
      <c r="H21" s="17" t="str">
        <f ca="1">IFERROR(__xludf.DUMMYFUNCTION("""COMPUTED_VALUE"""),"Uber")</f>
        <v>Uber</v>
      </c>
      <c r="I21" s="17"/>
      <c r="J21" s="17"/>
      <c r="K21" s="17" t="str">
        <f ca="1">IFERROR(__xludf.DUMMYFUNCTION("""COMPUTED_VALUE"""),".")</f>
        <v>.</v>
      </c>
      <c r="L21" s="17"/>
      <c r="M21" s="17"/>
      <c r="N21" s="17"/>
      <c r="O21" s="17"/>
    </row>
    <row r="22" spans="1:15" ht="12.5">
      <c r="A22" s="17" t="str">
        <f ca="1">IFERROR(__xludf.DUMMYFUNCTION("""COMPUTED_VALUE"""),"TRX1228")</f>
        <v>TRX1228</v>
      </c>
      <c r="B22" s="86" t="str">
        <f ca="1">IFERROR(__xludf.DUMMYFUNCTION("""COMPUTED_VALUE"""),"#5")</f>
        <v>#5</v>
      </c>
      <c r="C22" s="63">
        <f ca="1">IFERROR(__xludf.DUMMYFUNCTION("""COMPUTED_VALUE"""),46073.4166666666)</f>
        <v>46073.416666666599</v>
      </c>
      <c r="D22" s="65">
        <f ca="1">IFERROR(__xludf.DUMMYFUNCTION("""COMPUTED_VALUE"""),38.68)</f>
        <v>38.68</v>
      </c>
      <c r="E22" s="17" t="str">
        <f ca="1">IFERROR(__xludf.DUMMYFUNCTION("""COMPUTED_VALUE"""),"MXN")</f>
        <v>MXN</v>
      </c>
      <c r="F22" s="17" t="str">
        <f ca="1">IFERROR(__xludf.DUMMYFUNCTION("""COMPUTED_VALUE"""),"Fernanda Sanchez Ruiz")</f>
        <v>Fernanda Sanchez Ruiz</v>
      </c>
      <c r="G22" s="17" t="str">
        <f ca="1">IFERROR(__xludf.DUMMYFUNCTION("""COMPUTED_VALUE"""),"UBER * PENDING         CMX           MEX")</f>
        <v>UBER * PENDING         CMX           MEX</v>
      </c>
      <c r="H22" s="17" t="str">
        <f ca="1">IFERROR(__xludf.DUMMYFUNCTION("""COMPUTED_VALUE"""),"Uber")</f>
        <v>Uber</v>
      </c>
      <c r="I22" s="17"/>
      <c r="J22" s="17"/>
      <c r="K22" s="17" t="str">
        <f ca="1">IFERROR(__xludf.DUMMYFUNCTION("""COMPUTED_VALUE"""),".")</f>
        <v>.</v>
      </c>
      <c r="L22" s="17"/>
      <c r="M22" s="17"/>
      <c r="N22" s="17"/>
      <c r="O22" s="17"/>
    </row>
    <row r="23" spans="1:15" ht="12.5">
      <c r="A23" s="17" t="str">
        <f ca="1">IFERROR(__xludf.DUMMYFUNCTION("""COMPUTED_VALUE"""),"TRX1222")</f>
        <v>TRX1222</v>
      </c>
      <c r="B23" s="86" t="str">
        <f ca="1">IFERROR(__xludf.DUMMYFUNCTION("""COMPUTED_VALUE"""),"#5")</f>
        <v>#5</v>
      </c>
      <c r="C23" s="63">
        <f ca="1">IFERROR(__xludf.DUMMYFUNCTION("""COMPUTED_VALUE"""),46073.4166666666)</f>
        <v>46073.416666666599</v>
      </c>
      <c r="D23" s="65">
        <f ca="1">IFERROR(__xludf.DUMMYFUNCTION("""COMPUTED_VALUE"""),29.96)</f>
        <v>29.96</v>
      </c>
      <c r="E23" s="17" t="str">
        <f ca="1">IFERROR(__xludf.DUMMYFUNCTION("""COMPUTED_VALUE"""),"MXN")</f>
        <v>MXN</v>
      </c>
      <c r="F23" s="17" t="str">
        <f ca="1">IFERROR(__xludf.DUMMYFUNCTION("""COMPUTED_VALUE"""),"Fernanda Sanchez Ruiz")</f>
        <v>Fernanda Sanchez Ruiz</v>
      </c>
      <c r="G23" s="17" t="str">
        <f ca="1">IFERROR(__xludf.DUMMYFUNCTION("""COMPUTED_VALUE"""),"UBER * PENDING         CMX           MEX")</f>
        <v>UBER * PENDING         CMX           MEX</v>
      </c>
      <c r="H23" s="17" t="str">
        <f ca="1">IFERROR(__xludf.DUMMYFUNCTION("""COMPUTED_VALUE"""),"Uber")</f>
        <v>Uber</v>
      </c>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5.7265625" customWidth="1"/>
    <col min="3" max="3" width="12.26953125" customWidth="1"/>
    <col min="4" max="4" width="6.08984375" customWidth="1"/>
    <col min="5" max="5" width="6.6328125" customWidth="1"/>
    <col min="6" max="6" width="18" customWidth="1"/>
    <col min="7" max="8" width="26.36328125" customWidth="1"/>
    <col min="9" max="9" width="13" customWidth="1"/>
    <col min="10" max="10" width="16.4531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43" t="s">
        <v>114</v>
      </c>
      <c r="B2" s="139"/>
      <c r="C2" s="139"/>
      <c r="D2" s="68"/>
      <c r="E2" s="141" t="s">
        <v>63</v>
      </c>
      <c r="F2" s="139"/>
      <c r="G2" s="69" t="s">
        <v>1975</v>
      </c>
      <c r="H2" s="17"/>
      <c r="I2" s="17" t="s">
        <v>1995</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Sept'!$J$12:$J$1003=$A$2)"),"TRX1222")</f>
        <v>TRX1222</v>
      </c>
      <c r="B12" s="86" t="str">
        <f ca="1">IFERROR(__xludf.DUMMYFUNCTION("""COMPUTED_VALUE"""),"#6")</f>
        <v>#6</v>
      </c>
      <c r="C12" s="63">
        <f ca="1">IFERROR(__xludf.DUMMYFUNCTION("""COMPUTED_VALUE"""),46058.4173611111)</f>
        <v>46058.417361111096</v>
      </c>
      <c r="D12" s="65">
        <f ca="1">IFERROR(__xludf.DUMMYFUNCTION("FILTER('Edo Cta Jeeves Sept'!$G$12:$G$1003,'Edo Cta Jeeves Sept'!$J$12:$J$1003=$A$2)"),1149)</f>
        <v>1149</v>
      </c>
      <c r="E12" s="24" t="str">
        <f ca="1">IFERROR(__xludf.DUMMYFUNCTION("FILTER('Edo Cta Jeeves Sept'!$I$12:$I$1003,'Edo Cta Jeeves Sept'!$J$12:$J$1003=$A$2)"),"MXN")</f>
        <v>MXN</v>
      </c>
      <c r="F12" s="17" t="str">
        <f ca="1">IFERROR(__xludf.DUMMYFUNCTION("FILTER('Edo Cta Jeeves Sept'!$J$12:$J$1003,'Edo Cta Jeeves Sept'!$J$12:$J$1003=$A$2)"),"Fernando Sanchez Toledano")</f>
        <v>Fernando Sanchez Toledano</v>
      </c>
      <c r="G12" s="17" t="str">
        <f ca="1">IFERROR(__xludf.DUMMYFUNCTION("FILTER('Edo Cta Jeeves Sept'!$K$12:$L$1003,'Edo Cta Jeeves Sept'!$J$12:$J$1003=$A$2)"),"AVIS WEB MXN           MERIDA YUC    MEX")</f>
        <v>AVIS WEB MXN           MERIDA YUC    MEX</v>
      </c>
      <c r="H12" s="17" t="str">
        <f ca="1">IFERROR(__xludf.DUMMYFUNCTION("""COMPUTED_VALUE"""),"Avis")</f>
        <v>Avis</v>
      </c>
      <c r="I12" s="17" t="s">
        <v>63</v>
      </c>
      <c r="J12" s="17" t="str">
        <f ca="1">IFERROR(__xludf.DUMMYFUNCTION("IMPORTRANGE(""https://docs.google.com/spreadsheets/d/1UrnnEgoRUhdzr46QM7K30e2kRMlXxzyr7EcuvAu5JLA/edit#gid=1404531132"",""#6 Fernando Sanchez!I12:K80"")"),"Transaction cost")</f>
        <v>Transaction cost</v>
      </c>
      <c r="K12" s="17" t="str">
        <f ca="1">IFERROR(__xludf.DUMMYFUNCTION("""COMPUTED_VALUE"""),"Gasolina recolección Fer Marcelo")</f>
        <v>Gasolina recolección Fer Marcelo</v>
      </c>
      <c r="L12" s="17"/>
      <c r="M12" s="17"/>
      <c r="N12" s="17"/>
      <c r="O12" s="17"/>
    </row>
    <row r="13" spans="1:15" ht="15.75" customHeight="1">
      <c r="A13" s="17" t="str">
        <f ca="1">IFERROR(__xludf.DUMMYFUNCTION("""COMPUTED_VALUE"""),"TRX1202")</f>
        <v>TRX1202</v>
      </c>
      <c r="B13" s="86" t="str">
        <f ca="1">IFERROR(__xludf.DUMMYFUNCTION("""COMPUTED_VALUE"""),"#6")</f>
        <v>#6</v>
      </c>
      <c r="C13" s="63">
        <f ca="1">IFERROR(__xludf.DUMMYFUNCTION("""COMPUTED_VALUE"""),46058.4173611111)</f>
        <v>46058.417361111096</v>
      </c>
      <c r="D13" s="65">
        <f ca="1">IFERROR(__xludf.DUMMYFUNCTION("""COMPUTED_VALUE"""),91)</f>
        <v>91</v>
      </c>
      <c r="E13" s="24" t="str">
        <f ca="1">IFERROR(__xludf.DUMMYFUNCTION("""COMPUTED_VALUE"""),"MXN")</f>
        <v>MXN</v>
      </c>
      <c r="F13" s="17" t="str">
        <f ca="1">IFERROR(__xludf.DUMMYFUNCTION("""COMPUTED_VALUE"""),"Fernando Sanchez Toledano")</f>
        <v>Fernando Sanchez Toledano</v>
      </c>
      <c r="G13" s="17" t="str">
        <f ca="1">IFERROR(__xludf.DUMMYFUNCTION("""COMPUTED_VALUE"""),"DLO*DIDI RIDES         MEXICO        MEX")</f>
        <v>DLO*DIDI RIDES         MEXICO        MEX</v>
      </c>
      <c r="H13" s="17" t="str">
        <f ca="1">IFERROR(__xludf.DUMMYFUNCTION("""COMPUTED_VALUE"""),"Didi Chuxing")</f>
        <v>Didi Chuxing</v>
      </c>
      <c r="I13" s="17" t="s">
        <v>63</v>
      </c>
      <c r="J13" s="17" t="str">
        <f ca="1">IFERROR(__xludf.DUMMYFUNCTION("""COMPUTED_VALUE"""),"Transaction cost")</f>
        <v>Transaction cost</v>
      </c>
      <c r="K13" s="17" t="str">
        <f ca="1">IFERROR(__xludf.DUMMYFUNCTION("""COMPUTED_VALUE"""),"Comida visita fer Marcelo ")</f>
        <v xml:space="preserve">Comida visita fer Marcelo </v>
      </c>
      <c r="L13" s="17"/>
      <c r="M13" s="17"/>
      <c r="N13" s="17"/>
      <c r="O13" s="17"/>
    </row>
    <row r="14" spans="1:15" ht="15.75" customHeight="1">
      <c r="A14" s="17" t="str">
        <f ca="1">IFERROR(__xludf.DUMMYFUNCTION("""COMPUTED_VALUE"""),"TRX1176")</f>
        <v>TRX1176</v>
      </c>
      <c r="B14" s="86" t="str">
        <f ca="1">IFERROR(__xludf.DUMMYFUNCTION("""COMPUTED_VALUE"""),"#6")</f>
        <v>#6</v>
      </c>
      <c r="C14" s="63">
        <f ca="1">IFERROR(__xludf.DUMMYFUNCTION("""COMPUTED_VALUE"""),46059.4166666666)</f>
        <v>46059.416666666599</v>
      </c>
      <c r="D14" s="65">
        <f ca="1">IFERROR(__xludf.DUMMYFUNCTION("""COMPUTED_VALUE"""),791.04)</f>
        <v>791.04</v>
      </c>
      <c r="E14" s="24" t="str">
        <f ca="1">IFERROR(__xludf.DUMMYFUNCTION("""COMPUTED_VALUE"""),"MXN")</f>
        <v>MXN</v>
      </c>
      <c r="F14" s="17" t="str">
        <f ca="1">IFERROR(__xludf.DUMMYFUNCTION("""COMPUTED_VALUE"""),"Fernando Sanchez Toledano")</f>
        <v>Fernando Sanchez Toledano</v>
      </c>
      <c r="G14" s="17" t="str">
        <f ca="1">IFERROR(__xludf.DUMMYFUNCTION("""COMPUTED_VALUE"""),"GAS COGA LOM CHA MIT 2 CIUDAD DE MEX MEX")</f>
        <v>GAS COGA LOM CHA MIT 2 CIUDAD DE MEX MEX</v>
      </c>
      <c r="H14" s="17" t="str">
        <f ca="1">IFERROR(__xludf.DUMMYFUNCTION("""COMPUTED_VALUE"""),"Gas Coga Lom Cha Mit 2 Ciudad De Mex Mex")</f>
        <v>Gas Coga Lom Cha Mit 2 Ciudad De Mex Mex</v>
      </c>
      <c r="I14" s="17" t="s">
        <v>63</v>
      </c>
      <c r="J14" s="17" t="str">
        <f ca="1">IFERROR(__xludf.DUMMYFUNCTION("""COMPUTED_VALUE"""),"Transaction cost")</f>
        <v>Transaction cost</v>
      </c>
      <c r="K14" s="89" t="str">
        <f ca="1">IFERROR(__xludf.DUMMYFUNCTION("""COMPUTED_VALUE"""),"Recarga de tag")</f>
        <v>Recarga de tag</v>
      </c>
      <c r="L14" s="17"/>
      <c r="M14" s="17"/>
      <c r="N14" s="17"/>
      <c r="O14" s="17"/>
    </row>
    <row r="15" spans="1:15" ht="15.75" customHeight="1">
      <c r="A15" s="17" t="str">
        <f ca="1">IFERROR(__xludf.DUMMYFUNCTION("""COMPUTED_VALUE"""),"TRX1155")</f>
        <v>TRX1155</v>
      </c>
      <c r="B15" s="86" t="str">
        <f ca="1">IFERROR(__xludf.DUMMYFUNCTION("""COMPUTED_VALUE"""),"#6")</f>
        <v>#6</v>
      </c>
      <c r="C15" s="63">
        <f ca="1">IFERROR(__xludf.DUMMYFUNCTION("""COMPUTED_VALUE"""),46059.4173611111)</f>
        <v>46059.417361111096</v>
      </c>
      <c r="D15" s="65">
        <f ca="1">IFERROR(__xludf.DUMMYFUNCTION("""COMPUTED_VALUE"""),193)</f>
        <v>193</v>
      </c>
      <c r="E15" s="24" t="str">
        <f ca="1">IFERROR(__xludf.DUMMYFUNCTION("""COMPUTED_VALUE"""),"MXN")</f>
        <v>MXN</v>
      </c>
      <c r="F15" s="17" t="str">
        <f ca="1">IFERROR(__xludf.DUMMYFUNCTION("""COMPUTED_VALUE"""),"Fernando Sanchez Toledano")</f>
        <v>Fernando Sanchez Toledano</v>
      </c>
      <c r="G15" s="17" t="str">
        <f ca="1">IFERROR(__xludf.DUMMYFUNCTION("""COMPUTED_VALUE"""),"OXXO SAN IGNACIO QRF   POLOTITLAN EM MEX")</f>
        <v>OXXO SAN IGNACIO QRF   POLOTITLAN EM MEX</v>
      </c>
      <c r="H15" s="17" t="str">
        <f ca="1">IFERROR(__xludf.DUMMYFUNCTION("""COMPUTED_VALUE"""),"Oxxo")</f>
        <v>Oxxo</v>
      </c>
      <c r="I15" s="17" t="s">
        <v>63</v>
      </c>
      <c r="J15" s="17" t="str">
        <f ca="1">IFERROR(__xludf.DUMMYFUNCTION("""COMPUTED_VALUE"""),"Transaction cost")</f>
        <v>Transaction cost</v>
      </c>
      <c r="K15" s="17" t="str">
        <f ca="1">IFERROR(__xludf.DUMMYFUNCTION("""COMPUTED_VALUE"""),"Gasolina, entrega en Deacero ")</f>
        <v xml:space="preserve">Gasolina, entrega en Deacero </v>
      </c>
      <c r="L15" s="17"/>
      <c r="M15" s="17"/>
      <c r="N15" s="17"/>
      <c r="O15" s="17"/>
    </row>
    <row r="16" spans="1:15" ht="15.75" customHeight="1">
      <c r="A16" s="17" t="str">
        <f ca="1">IFERROR(__xludf.DUMMYFUNCTION("""COMPUTED_VALUE"""),"TRX1149")</f>
        <v>TRX1149</v>
      </c>
      <c r="B16" s="86" t="str">
        <f ca="1">IFERROR(__xludf.DUMMYFUNCTION("""COMPUTED_VALUE"""),"#6")</f>
        <v>#6</v>
      </c>
      <c r="C16" s="63">
        <f ca="1">IFERROR(__xludf.DUMMYFUNCTION("""COMPUTED_VALUE"""),46059.4173611111)</f>
        <v>46059.417361111096</v>
      </c>
      <c r="D16" s="65">
        <f ca="1">IFERROR(__xludf.DUMMYFUNCTION("""COMPUTED_VALUE"""),1000)</f>
        <v>1000</v>
      </c>
      <c r="E16" s="24" t="str">
        <f ca="1">IFERROR(__xludf.DUMMYFUNCTION("""COMPUTED_VALUE"""),"MXN")</f>
        <v>MXN</v>
      </c>
      <c r="F16" s="17" t="str">
        <f ca="1">IFERROR(__xludf.DUMMYFUNCTION("""COMPUTED_VALUE"""),"Fernando Sanchez Toledano")</f>
        <v>Fernando Sanchez Toledano</v>
      </c>
      <c r="G16" s="17" t="str">
        <f ca="1">IFERROR(__xludf.DUMMYFUNCTION("""COMPUTED_VALUE"""),"CASHI ECOMMERCE RC     CIUDAD DE MEX MEX")</f>
        <v>CASHI ECOMMERCE RC     CIUDAD DE MEX MEX</v>
      </c>
      <c r="H16" s="17" t="str">
        <f ca="1">IFERROR(__xludf.DUMMYFUNCTION("""COMPUTED_VALUE"""),"Cashi Ecommerce Rc Ciudad De Mex Mex")</f>
        <v>Cashi Ecommerce Rc Ciudad De Mex Mex</v>
      </c>
      <c r="I16" s="17" t="s">
        <v>63</v>
      </c>
      <c r="J16" s="17" t="str">
        <f ca="1">IFERROR(__xludf.DUMMYFUNCTION("""COMPUTED_VALUE"""),"Transaction cost")</f>
        <v>Transaction cost</v>
      </c>
      <c r="K16" s="17" t="str">
        <f ca="1">IFERROR(__xludf.DUMMYFUNCTION("""COMPUTED_VALUE"""),"Comida, entrega en Deacero ")</f>
        <v xml:space="preserve">Comida, entrega en Deacero </v>
      </c>
      <c r="L16" s="17"/>
      <c r="M16" s="17"/>
      <c r="N16" s="17"/>
      <c r="O16" s="17"/>
    </row>
    <row r="17" spans="1:15" ht="15.75" customHeight="1">
      <c r="A17" s="17" t="str">
        <f ca="1">IFERROR(__xludf.DUMMYFUNCTION("""COMPUTED_VALUE"""),"TRX1732")</f>
        <v>TRX1732</v>
      </c>
      <c r="B17" s="86" t="str">
        <f ca="1">IFERROR(__xludf.DUMMYFUNCTION("""COMPUTED_VALUE"""),"#6")</f>
        <v>#6</v>
      </c>
      <c r="C17" s="63">
        <f ca="1">IFERROR(__xludf.DUMMYFUNCTION("""COMPUTED_VALUE"""),46059.4173611111)</f>
        <v>46059.417361111096</v>
      </c>
      <c r="D17" s="65">
        <f ca="1">IFERROR(__xludf.DUMMYFUNCTION("""COMPUTED_VALUE"""),186)</f>
        <v>186</v>
      </c>
      <c r="E17" s="24" t="str">
        <f ca="1">IFERROR(__xludf.DUMMYFUNCTION("""COMPUTED_VALUE"""),"MXN")</f>
        <v>MXN</v>
      </c>
      <c r="F17" s="17" t="str">
        <f ca="1">IFERROR(__xludf.DUMMYFUNCTION("""COMPUTED_VALUE"""),"Fernando Sanchez Toledano")</f>
        <v>Fernando Sanchez Toledano</v>
      </c>
      <c r="G17" s="17" t="str">
        <f ca="1">IFERROR(__xludf.DUMMYFUNCTION("""COMPUTED_VALUE"""),"OXXOMICROPARQUE QRF    QUERETARO QRO MEX")</f>
        <v>OXXOMICROPARQUE QRF    QUERETARO QRO MEX</v>
      </c>
      <c r="H17" s="17" t="str">
        <f ca="1">IFERROR(__xludf.DUMMYFUNCTION("""COMPUTED_VALUE"""),"Oxxomicroparque Qrf Queretaro Qro Mex")</f>
        <v>Oxxomicroparque Qrf Queretaro Qro Mex</v>
      </c>
      <c r="I17" s="17" t="s">
        <v>63</v>
      </c>
      <c r="J17" s="17" t="str">
        <f ca="1">IFERROR(__xludf.DUMMYFUNCTION("""COMPUTED_VALUE"""),"Transaction cost")</f>
        <v>Transaction cost</v>
      </c>
      <c r="K17" s="17" t="str">
        <f ca="1">IFERROR(__xludf.DUMMYFUNCTION("""COMPUTED_VALUE"""),"Comida, entrega en Deacero ")</f>
        <v xml:space="preserve">Comida, entrega en Deacero </v>
      </c>
      <c r="L17" s="17"/>
      <c r="M17" s="17"/>
      <c r="N17" s="17"/>
      <c r="O17" s="17"/>
    </row>
    <row r="18" spans="1:15" ht="15.75" customHeight="1">
      <c r="A18" s="17" t="str">
        <f ca="1">IFERROR(__xludf.DUMMYFUNCTION("""COMPUTED_VALUE"""),"TRX1815")</f>
        <v>TRX1815</v>
      </c>
      <c r="B18" s="86" t="str">
        <f ca="1">IFERROR(__xludf.DUMMYFUNCTION("""COMPUTED_VALUE"""),"#6")</f>
        <v>#6</v>
      </c>
      <c r="C18" s="63">
        <f ca="1">IFERROR(__xludf.DUMMYFUNCTION("""COMPUTED_VALUE"""),46059.4173611111)</f>
        <v>46059.417361111096</v>
      </c>
      <c r="D18" s="65">
        <f ca="1">IFERROR(__xludf.DUMMYFUNCTION("""COMPUTED_VALUE"""),1545.3)</f>
        <v>1545.3</v>
      </c>
      <c r="E18" s="24" t="str">
        <f ca="1">IFERROR(__xludf.DUMMYFUNCTION("""COMPUTED_VALUE"""),"MXN")</f>
        <v>MXN</v>
      </c>
      <c r="F18" s="17" t="str">
        <f ca="1">IFERROR(__xludf.DUMMYFUNCTION("""COMPUTED_VALUE"""),"Fernando Sanchez Toledano")</f>
        <v>Fernando Sanchez Toledano</v>
      </c>
      <c r="G18" s="17" t="str">
        <f ca="1">IFERROR(__xludf.DUMMYFUNCTION("""COMPUTED_VALUE"""),"GAS SERVI BOUL         TEOLOYUCAN EM MEX")</f>
        <v>GAS SERVI BOUL         TEOLOYUCAN EM MEX</v>
      </c>
      <c r="H18" s="17" t="str">
        <f ca="1">IFERROR(__xludf.DUMMYFUNCTION("""COMPUTED_VALUE"""),"Gas Servi Boul Teoloyucan Em Mex")</f>
        <v>Gas Servi Boul Teoloyucan Em Mex</v>
      </c>
      <c r="I18" s="17" t="s">
        <v>63</v>
      </c>
      <c r="J18" s="17" t="str">
        <f ca="1">IFERROR(__xludf.DUMMYFUNCTION("""COMPUTED_VALUE"""),"Transaction cost")</f>
        <v>Transaction cost</v>
      </c>
      <c r="K18" s="17" t="str">
        <f ca="1">IFERROR(__xludf.DUMMYFUNCTION("""COMPUTED_VALUE"""),"Gasolina, entrega en SALJAMEX ")</f>
        <v xml:space="preserve">Gasolina, entrega en SALJAMEX </v>
      </c>
      <c r="L18" s="17"/>
      <c r="M18" s="17"/>
      <c r="N18" s="17"/>
      <c r="O18" s="17"/>
    </row>
    <row r="19" spans="1:15" ht="15.75" customHeight="1">
      <c r="A19" s="17" t="str">
        <f ca="1">IFERROR(__xludf.DUMMYFUNCTION("""COMPUTED_VALUE"""),"TRX1939")</f>
        <v>TRX1939</v>
      </c>
      <c r="B19" s="86" t="str">
        <f ca="1">IFERROR(__xludf.DUMMYFUNCTION("""COMPUTED_VALUE"""),"#6")</f>
        <v>#6</v>
      </c>
      <c r="C19" s="63">
        <f ca="1">IFERROR(__xludf.DUMMYFUNCTION("""COMPUTED_VALUE"""),46059.4173611111)</f>
        <v>46059.417361111096</v>
      </c>
      <c r="D19" s="65">
        <f ca="1">IFERROR(__xludf.DUMMYFUNCTION("""COMPUTED_VALUE"""),1912.76)</f>
        <v>1912.76</v>
      </c>
      <c r="E19" s="24" t="str">
        <f ca="1">IFERROR(__xludf.DUMMYFUNCTION("""COMPUTED_VALUE"""),"MXN")</f>
        <v>MXN</v>
      </c>
      <c r="F19" s="17" t="str">
        <f ca="1">IFERROR(__xludf.DUMMYFUNCTION("""COMPUTED_VALUE"""),"Fernando Sanchez Toledano")</f>
        <v>Fernando Sanchez Toledano</v>
      </c>
      <c r="G19" s="17" t="str">
        <f ca="1">IFERROR(__xludf.DUMMYFUNCTION("""COMPUTED_VALUE"""),"GASOL LOS APASEO       APASEO EL ALT MEX")</f>
        <v>GASOL LOS APASEO       APASEO EL ALT MEX</v>
      </c>
      <c r="H19" s="17" t="str">
        <f ca="1">IFERROR(__xludf.DUMMYFUNCTION("""COMPUTED_VALUE"""),"Gasol Los Apaseo Apaseo El Alt Mex")</f>
        <v>Gasol Los Apaseo Apaseo El Alt Mex</v>
      </c>
      <c r="I19" s="17" t="s">
        <v>63</v>
      </c>
      <c r="J19" s="17" t="str">
        <f ca="1">IFERROR(__xludf.DUMMYFUNCTION("""COMPUTED_VALUE"""),"Transaction cost")</f>
        <v>Transaction cost</v>
      </c>
      <c r="K19" s="17"/>
      <c r="L19" s="17"/>
      <c r="M19" s="17"/>
      <c r="N19" s="17"/>
      <c r="O19" s="17"/>
    </row>
    <row r="20" spans="1:15" ht="12.5">
      <c r="A20" s="17" t="str">
        <f ca="1">IFERROR(__xludf.DUMMYFUNCTION("""COMPUTED_VALUE"""),"TRX1504")</f>
        <v>TRX1504</v>
      </c>
      <c r="B20" s="86" t="str">
        <f ca="1">IFERROR(__xludf.DUMMYFUNCTION("""COMPUTED_VALUE"""),"#6")</f>
        <v>#6</v>
      </c>
      <c r="C20" s="63">
        <f ca="1">IFERROR(__xludf.DUMMYFUNCTION("""COMPUTED_VALUE"""),46060.4166666666)</f>
        <v>46060.416666666599</v>
      </c>
      <c r="D20" s="65">
        <f ca="1">IFERROR(__xludf.DUMMYFUNCTION("""COMPUTED_VALUE"""),2216.15)</f>
        <v>2216.15</v>
      </c>
      <c r="E20" s="24" t="str">
        <f ca="1">IFERROR(__xludf.DUMMYFUNCTION("""COMPUTED_VALUE"""),"MXN")</f>
        <v>MXN</v>
      </c>
      <c r="F20" s="17" t="str">
        <f ca="1">IFERROR(__xludf.DUMMYFUNCTION("""COMPUTED_VALUE"""),"Fernando Sanchez Toledano")</f>
        <v>Fernando Sanchez Toledano</v>
      </c>
      <c r="G20" s="17" t="str">
        <f ca="1">IFERROR(__xludf.DUMMYFUNCTION("""COMPUTED_VALUE"""),"AVIS MXN               MERIDA YUC    MEX")</f>
        <v>AVIS MXN               MERIDA YUC    MEX</v>
      </c>
      <c r="H20" s="17" t="str">
        <f ca="1">IFERROR(__xludf.DUMMYFUNCTION("""COMPUTED_VALUE"""),"Avis Rent A Car")</f>
        <v>Avis Rent A Car</v>
      </c>
      <c r="I20" s="17" t="s">
        <v>63</v>
      </c>
      <c r="J20" s="17" t="str">
        <f ca="1">IFERROR(__xludf.DUMMYFUNCTION("""COMPUTED_VALUE"""),"Transaction cost")</f>
        <v>Transaction cost</v>
      </c>
      <c r="K20" s="17" t="str">
        <f ca="1">IFERROR(__xludf.DUMMYFUNCTION("""COMPUTED_VALUE"""),"Recolección Fer Marcelo ")</f>
        <v xml:space="preserve">Recolección Fer Marcelo </v>
      </c>
      <c r="L20" s="17"/>
      <c r="M20" s="17"/>
      <c r="N20" s="17"/>
      <c r="O20" s="17"/>
    </row>
    <row r="21" spans="1:15" ht="12.5">
      <c r="A21" s="17" t="str">
        <f ca="1">IFERROR(__xludf.DUMMYFUNCTION("""COMPUTED_VALUE"""),"TRX1380")</f>
        <v>TRX1380</v>
      </c>
      <c r="B21" s="86" t="str">
        <f ca="1">IFERROR(__xludf.DUMMYFUNCTION("""COMPUTED_VALUE"""),"#6")</f>
        <v>#6</v>
      </c>
      <c r="C21" s="63">
        <f ca="1">IFERROR(__xludf.DUMMYFUNCTION("""COMPUTED_VALUE"""),46060.4166666666)</f>
        <v>46060.416666666599</v>
      </c>
      <c r="D21" s="65">
        <f ca="1">IFERROR(__xludf.DUMMYFUNCTION("""COMPUTED_VALUE"""),248)</f>
        <v>248</v>
      </c>
      <c r="E21" s="24" t="str">
        <f ca="1">IFERROR(__xludf.DUMMYFUNCTION("""COMPUTED_VALUE"""),"MXN")</f>
        <v>MXN</v>
      </c>
      <c r="F21" s="17" t="str">
        <f ca="1">IFERROR(__xludf.DUMMYFUNCTION("""COMPUTED_VALUE"""),"Fernando Sanchez Toledano")</f>
        <v>Fernando Sanchez Toledano</v>
      </c>
      <c r="G21" s="17" t="str">
        <f ca="1">IFERROR(__xludf.DUMMYFUNCTION("""COMPUTED_VALUE"""),"KFC 1100 PIN TLACOPA   TOLUCA EM     MEX")</f>
        <v>KFC 1100 PIN TLACOPA   TOLUCA EM     MEX</v>
      </c>
      <c r="H21" s="17" t="str">
        <f ca="1">IFERROR(__xludf.DUMMYFUNCTION("""COMPUTED_VALUE"""),"Kentucky Fried Chicken")</f>
        <v>Kentucky Fried Chicken</v>
      </c>
      <c r="I21" s="17" t="s">
        <v>63</v>
      </c>
      <c r="J21" s="17" t="str">
        <f ca="1">IFERROR(__xludf.DUMMYFUNCTION("""COMPUTED_VALUE"""),"Transaction cost")</f>
        <v>Transaction cost</v>
      </c>
      <c r="K21" s="17" t="str">
        <f ca="1">IFERROR(__xludf.DUMMYFUNCTION("""COMPUTED_VALUE"""),"Gasolina recolección Fer Marcelo")</f>
        <v>Gasolina recolección Fer Marcelo</v>
      </c>
      <c r="L21" s="17"/>
      <c r="M21" s="17"/>
      <c r="N21" s="17"/>
      <c r="O21" s="17"/>
    </row>
    <row r="22" spans="1:15" ht="12.5">
      <c r="A22" s="17" t="str">
        <f ca="1">IFERROR(__xludf.DUMMYFUNCTION("""COMPUTED_VALUE"""),"TRX1533")</f>
        <v>TRX1533</v>
      </c>
      <c r="B22" s="86" t="str">
        <f ca="1">IFERROR(__xludf.DUMMYFUNCTION("""COMPUTED_VALUE"""),"#6")</f>
        <v>#6</v>
      </c>
      <c r="C22" s="63">
        <f ca="1">IFERROR(__xludf.DUMMYFUNCTION("""COMPUTED_VALUE"""),46070.4166666666)</f>
        <v>46070.416666666599</v>
      </c>
      <c r="D22" s="65">
        <f ca="1">IFERROR(__xludf.DUMMYFUNCTION("""COMPUTED_VALUE"""),38.53)</f>
        <v>38.53</v>
      </c>
      <c r="E22" s="24" t="str">
        <f ca="1">IFERROR(__xludf.DUMMYFUNCTION("""COMPUTED_VALUE"""),"MXN")</f>
        <v>MXN</v>
      </c>
      <c r="F22" s="17" t="str">
        <f ca="1">IFERROR(__xludf.DUMMYFUNCTION("""COMPUTED_VALUE"""),"Fernando Sanchez Toledano")</f>
        <v>Fernando Sanchez Toledano</v>
      </c>
      <c r="G22" s="17" t="str">
        <f ca="1">IFERROR(__xludf.DUMMYFUNCTION("""COMPUTED_VALUE"""),"DLO DIDI RIDES MX      CIUDAD DE MEX MEX")</f>
        <v>DLO DIDI RIDES MX      CIUDAD DE MEX MEX</v>
      </c>
      <c r="H22" s="17" t="str">
        <f ca="1">IFERROR(__xludf.DUMMYFUNCTION("""COMPUTED_VALUE"""),"Didi Chuxing")</f>
        <v>Didi Chuxing</v>
      </c>
      <c r="I22" s="17" t="s">
        <v>63</v>
      </c>
      <c r="J22" s="17" t="str">
        <f ca="1">IFERROR(__xludf.DUMMYFUNCTION("""COMPUTED_VALUE"""),"Transaction cost")</f>
        <v>Transaction cost</v>
      </c>
      <c r="K22" s="17" t="str">
        <f ca="1">IFERROR(__xludf.DUMMYFUNCTION("""COMPUTED_VALUE"""),"Parquímetro")</f>
        <v>Parquímetro</v>
      </c>
      <c r="L22" s="17"/>
      <c r="M22" s="17"/>
      <c r="N22" s="17"/>
      <c r="O22" s="17"/>
    </row>
    <row r="23" spans="1:15" ht="12.5">
      <c r="A23" s="17" t="str">
        <f ca="1">IFERROR(__xludf.DUMMYFUNCTION("""COMPUTED_VALUE"""),"TRX1493")</f>
        <v>TRX1493</v>
      </c>
      <c r="B23" s="86" t="str">
        <f ca="1">IFERROR(__xludf.DUMMYFUNCTION("""COMPUTED_VALUE"""),"#6")</f>
        <v>#6</v>
      </c>
      <c r="C23" s="63">
        <f ca="1">IFERROR(__xludf.DUMMYFUNCTION("""COMPUTED_VALUE"""),46070.4166666666)</f>
        <v>46070.416666666599</v>
      </c>
      <c r="D23" s="65">
        <f ca="1">IFERROR(__xludf.DUMMYFUNCTION("""COMPUTED_VALUE"""),132)</f>
        <v>132</v>
      </c>
      <c r="E23" s="24" t="str">
        <f ca="1">IFERROR(__xludf.DUMMYFUNCTION("""COMPUTED_VALUE"""),"MXN")</f>
        <v>MXN</v>
      </c>
      <c r="F23" s="17" t="str">
        <f ca="1">IFERROR(__xludf.DUMMYFUNCTION("""COMPUTED_VALUE"""),"Fernando Sanchez Toledano")</f>
        <v>Fernando Sanchez Toledano</v>
      </c>
      <c r="G23" s="17" t="str">
        <f ca="1">IFERROR(__xludf.DUMMYFUNCTION("""COMPUTED_VALUE"""),"DLO DIDI RIDES MX      CIUDAD DE MEX MEX")</f>
        <v>DLO DIDI RIDES MX      CIUDAD DE MEX MEX</v>
      </c>
      <c r="H23" s="17" t="str">
        <f ca="1">IFERROR(__xludf.DUMMYFUNCTION("""COMPUTED_VALUE"""),"Didi Chuxing")</f>
        <v>Didi Chuxing</v>
      </c>
      <c r="I23" s="17" t="s">
        <v>63</v>
      </c>
      <c r="J23" s="17" t="str">
        <f ca="1">IFERROR(__xludf.DUMMYFUNCTION("""COMPUTED_VALUE"""),"Transaction cost")</f>
        <v>Transaction cost</v>
      </c>
      <c r="K23" s="17" t="str">
        <f ca="1">IFERROR(__xludf.DUMMYFUNCTION("""COMPUTED_VALUE"""),"Recarga de tag")</f>
        <v>Recarga de tag</v>
      </c>
      <c r="L23" s="17"/>
      <c r="M23" s="17"/>
      <c r="N23" s="17"/>
      <c r="O23" s="17"/>
    </row>
    <row r="24" spans="1:15" ht="12.5">
      <c r="A24" s="17" t="str">
        <f ca="1">IFERROR(__xludf.DUMMYFUNCTION("""COMPUTED_VALUE"""),"TRX1351")</f>
        <v>TRX1351</v>
      </c>
      <c r="B24" s="86" t="str">
        <f ca="1">IFERROR(__xludf.DUMMYFUNCTION("""COMPUTED_VALUE"""),"#6")</f>
        <v>#6</v>
      </c>
      <c r="C24" s="63">
        <f ca="1">IFERROR(__xludf.DUMMYFUNCTION("""COMPUTED_VALUE"""),46071.4166666666)</f>
        <v>46071.416666666599</v>
      </c>
      <c r="D24" s="65">
        <f ca="1">IFERROR(__xludf.DUMMYFUNCTION("""COMPUTED_VALUE"""),76)</f>
        <v>76</v>
      </c>
      <c r="E24" s="24" t="str">
        <f ca="1">IFERROR(__xludf.DUMMYFUNCTION("""COMPUTED_VALUE"""),"MXN")</f>
        <v>MXN</v>
      </c>
      <c r="F24" s="17" t="str">
        <f ca="1">IFERROR(__xludf.DUMMYFUNCTION("""COMPUTED_VALUE"""),"Fernando Sanchez Toledano")</f>
        <v>Fernando Sanchez Toledano</v>
      </c>
      <c r="G24" s="17" t="str">
        <f ca="1">IFERROR(__xludf.DUMMYFUNCTION("""COMPUTED_VALUE"""),"DLO DIDI RIDES MX      CIUDAD DE MEX MEX")</f>
        <v>DLO DIDI RIDES MX      CIUDAD DE MEX MEX</v>
      </c>
      <c r="H24" s="17" t="str">
        <f ca="1">IFERROR(__xludf.DUMMYFUNCTION("""COMPUTED_VALUE"""),"Didi Chuxing")</f>
        <v>Didi Chuxing</v>
      </c>
      <c r="I24" s="17" t="s">
        <v>63</v>
      </c>
      <c r="J24" s="17" t="str">
        <f ca="1">IFERROR(__xludf.DUMMYFUNCTION("""COMPUTED_VALUE"""),"Transaction cost")</f>
        <v>Transaction cost</v>
      </c>
      <c r="K24" s="17" t="str">
        <f ca="1">IFERROR(__xludf.DUMMYFUNCTION("""COMPUTED_VALUE"""),"Gasolina, entrega en Deacero ")</f>
        <v xml:space="preserve">Gasolina, entrega en Deacero </v>
      </c>
      <c r="L24" s="17"/>
      <c r="M24" s="17"/>
      <c r="N24" s="17"/>
      <c r="O24" s="17"/>
    </row>
    <row r="25" spans="1:15" ht="12.5">
      <c r="A25" s="17" t="str">
        <f ca="1">IFERROR(__xludf.DUMMYFUNCTION("""COMPUTED_VALUE"""),"TRX1066")</f>
        <v>TRX1066</v>
      </c>
      <c r="B25" s="86" t="str">
        <f ca="1">IFERROR(__xludf.DUMMYFUNCTION("""COMPUTED_VALUE"""),"#6")</f>
        <v>#6</v>
      </c>
      <c r="C25" s="63">
        <f ca="1">IFERROR(__xludf.DUMMYFUNCTION("""COMPUTED_VALUE"""),46071.4166666666)</f>
        <v>46071.416666666599</v>
      </c>
      <c r="D25" s="65">
        <f ca="1">IFERROR(__xludf.DUMMYFUNCTION("""COMPUTED_VALUE"""),196)</f>
        <v>196</v>
      </c>
      <c r="E25" s="24" t="str">
        <f ca="1">IFERROR(__xludf.DUMMYFUNCTION("""COMPUTED_VALUE"""),"MXN")</f>
        <v>MXN</v>
      </c>
      <c r="F25" s="17" t="str">
        <f ca="1">IFERROR(__xludf.DUMMYFUNCTION("""COMPUTED_VALUE"""),"Fernando Sanchez Toledano")</f>
        <v>Fernando Sanchez Toledano</v>
      </c>
      <c r="G25" s="17" t="str">
        <f ca="1">IFERROR(__xludf.DUMMYFUNCTION("""COMPUTED_VALUE"""),"OXXO JAJALPA TLC       OCOYOACAC EM  MEX")</f>
        <v>OXXO JAJALPA TLC       OCOYOACAC EM  MEX</v>
      </c>
      <c r="H25" s="17" t="str">
        <f ca="1">IFERROR(__xludf.DUMMYFUNCTION("""COMPUTED_VALUE"""),"Oxxo")</f>
        <v>Oxxo</v>
      </c>
      <c r="I25" s="17" t="s">
        <v>63</v>
      </c>
      <c r="J25" s="17" t="str">
        <f ca="1">IFERROR(__xludf.DUMMYFUNCTION("""COMPUTED_VALUE"""),"Transaction cost")</f>
        <v>Transaction cost</v>
      </c>
      <c r="K25" s="17" t="str">
        <f ca="1">IFERROR(__xludf.DUMMYFUNCTION("""COMPUTED_VALUE"""),"Aceite camioneta")</f>
        <v>Aceite camioneta</v>
      </c>
      <c r="L25" s="17"/>
      <c r="M25" s="17"/>
      <c r="N25" s="17"/>
      <c r="O25" s="17"/>
    </row>
    <row r="26" spans="1:15" ht="12.5">
      <c r="A26" s="17" t="str">
        <f ca="1">IFERROR(__xludf.DUMMYFUNCTION("""COMPUTED_VALUE"""),"TRX1690")</f>
        <v>TRX1690</v>
      </c>
      <c r="B26" s="86" t="str">
        <f ca="1">IFERROR(__xludf.DUMMYFUNCTION("""COMPUTED_VALUE"""),"#6")</f>
        <v>#6</v>
      </c>
      <c r="C26" s="63">
        <f ca="1">IFERROR(__xludf.DUMMYFUNCTION("""COMPUTED_VALUE"""),46071.4166666666)</f>
        <v>46071.416666666599</v>
      </c>
      <c r="D26" s="65">
        <f ca="1">IFERROR(__xludf.DUMMYFUNCTION("""COMPUTED_VALUE"""),1000)</f>
        <v>1000</v>
      </c>
      <c r="E26" s="24" t="str">
        <f ca="1">IFERROR(__xludf.DUMMYFUNCTION("""COMPUTED_VALUE"""),"MXN")</f>
        <v>MXN</v>
      </c>
      <c r="F26" s="17" t="str">
        <f ca="1">IFERROR(__xludf.DUMMYFUNCTION("""COMPUTED_VALUE"""),"Fernando Sanchez Toledano")</f>
        <v>Fernando Sanchez Toledano</v>
      </c>
      <c r="G26" s="17" t="str">
        <f ca="1">IFERROR(__xludf.DUMMYFUNCTION("""COMPUTED_VALUE"""),"CASHI ECOMMERCE RC     CIUDAD DE MEX MEX")</f>
        <v>CASHI ECOMMERCE RC     CIUDAD DE MEX MEX</v>
      </c>
      <c r="H26" s="17" t="str">
        <f ca="1">IFERROR(__xludf.DUMMYFUNCTION("""COMPUTED_VALUE"""),"Cashi Ecommerce Rc Ciudad De Mex Mex")</f>
        <v>Cashi Ecommerce Rc Ciudad De Mex Mex</v>
      </c>
      <c r="I26" s="17" t="s">
        <v>63</v>
      </c>
      <c r="J26" s="17" t="str">
        <f ca="1">IFERROR(__xludf.DUMMYFUNCTION("""COMPUTED_VALUE"""),"Transaction cost")</f>
        <v>Transaction cost</v>
      </c>
      <c r="K26" s="17" t="str">
        <f ca="1">IFERROR(__xludf.DUMMYFUNCTION("""COMPUTED_VALUE"""),"Comida entrega en deacero")</f>
        <v>Comida entrega en deacero</v>
      </c>
      <c r="L26" s="17"/>
      <c r="M26" s="17"/>
      <c r="N26" s="17"/>
      <c r="O26" s="17"/>
    </row>
    <row r="27" spans="1:15" ht="12.5">
      <c r="A27" s="17" t="str">
        <f ca="1">IFERROR(__xludf.DUMMYFUNCTION("""COMPUTED_VALUE"""),"TRX1102")</f>
        <v>TRX1102</v>
      </c>
      <c r="B27" s="86" t="str">
        <f ca="1">IFERROR(__xludf.DUMMYFUNCTION("""COMPUTED_VALUE"""),"#6")</f>
        <v>#6</v>
      </c>
      <c r="C27" s="63">
        <f ca="1">IFERROR(__xludf.DUMMYFUNCTION("""COMPUTED_VALUE"""),46071.4166666666)</f>
        <v>46071.416666666599</v>
      </c>
      <c r="D27" s="65">
        <f ca="1">IFERROR(__xludf.DUMMYFUNCTION("""COMPUTED_VALUE"""),1233.86)</f>
        <v>1233.8599999999999</v>
      </c>
      <c r="E27" s="24" t="str">
        <f ca="1">IFERROR(__xludf.DUMMYFUNCTION("""COMPUTED_VALUE"""),"MXN")</f>
        <v>MXN</v>
      </c>
      <c r="F27" s="17" t="str">
        <f ca="1">IFERROR(__xludf.DUMMYFUNCTION("""COMPUTED_VALUE"""),"Fernando Sanchez Toledano")</f>
        <v>Fernando Sanchez Toledano</v>
      </c>
      <c r="G27" s="17" t="str">
        <f ca="1">IFERROR(__xludf.DUMMYFUNCTION("""COMPUTED_VALUE"""),"AVIS WEB MXN           MERIDA YUC    MEX")</f>
        <v>AVIS WEB MXN           MERIDA YUC    MEX</v>
      </c>
      <c r="H27" s="17" t="str">
        <f ca="1">IFERROR(__xludf.DUMMYFUNCTION("""COMPUTED_VALUE"""),"Avis")</f>
        <v>Avis</v>
      </c>
      <c r="I27" s="17" t="s">
        <v>63</v>
      </c>
      <c r="J27" s="17" t="str">
        <f ca="1">IFERROR(__xludf.DUMMYFUNCTION("""COMPUTED_VALUE"""),"Transaction cost")</f>
        <v>Transaction cost</v>
      </c>
      <c r="K27" s="17" t="str">
        <f ca="1">IFERROR(__xludf.DUMMYFUNCTION("""COMPUTED_VALUE"""),"Comida entrega en Deacero")</f>
        <v>Comida entrega en Deacero</v>
      </c>
      <c r="L27" s="17"/>
      <c r="M27" s="17"/>
      <c r="N27" s="17"/>
      <c r="O27" s="17"/>
    </row>
    <row r="28" spans="1:15" ht="12.5">
      <c r="A28" s="17" t="str">
        <f ca="1">IFERROR(__xludf.DUMMYFUNCTION("""COMPUTED_VALUE"""),"TRX1139")</f>
        <v>TRX1139</v>
      </c>
      <c r="B28" s="86" t="str">
        <f ca="1">IFERROR(__xludf.DUMMYFUNCTION("""COMPUTED_VALUE"""),"#6")</f>
        <v>#6</v>
      </c>
      <c r="C28" s="63">
        <f ca="1">IFERROR(__xludf.DUMMYFUNCTION("""COMPUTED_VALUE"""),46071.4173611111)</f>
        <v>46071.417361111096</v>
      </c>
      <c r="D28" s="65">
        <f ca="1">IFERROR(__xludf.DUMMYFUNCTION("""COMPUTED_VALUE"""),283)</f>
        <v>283</v>
      </c>
      <c r="E28" s="24" t="str">
        <f ca="1">IFERROR(__xludf.DUMMYFUNCTION("""COMPUTED_VALUE"""),"MXN")</f>
        <v>MXN</v>
      </c>
      <c r="F28" s="17" t="str">
        <f ca="1">IFERROR(__xludf.DUMMYFUNCTION("""COMPUTED_VALUE"""),"Fernando Sanchez Toledano")</f>
        <v>Fernando Sanchez Toledano</v>
      </c>
      <c r="G28" s="17" t="str">
        <f ca="1">IFERROR(__xludf.DUMMYFUNCTION("""COMPUTED_VALUE"""),"BK ALFREDO DEL MAZO    TOLUCA EM     MEX")</f>
        <v>BK ALFREDO DEL MAZO    TOLUCA EM     MEX</v>
      </c>
      <c r="H28" s="17" t="str">
        <f ca="1">IFERROR(__xludf.DUMMYFUNCTION("""COMPUTED_VALUE"""),"Bk Alfredo Del Mazo Toluca Em Mex")</f>
        <v>Bk Alfredo Del Mazo Toluca Em Mex</v>
      </c>
      <c r="I28" s="17" t="s">
        <v>63</v>
      </c>
      <c r="J28" s="17" t="str">
        <f ca="1">IFERROR(__xludf.DUMMYFUNCTION("""COMPUTED_VALUE"""),"Transaction cost")</f>
        <v>Transaction cost</v>
      </c>
      <c r="K28" s="17" t="str">
        <f ca="1">IFERROR(__xludf.DUMMYFUNCTION("""COMPUTED_VALUE"""),"Gasolina recolección en wonderdesk")</f>
        <v>Gasolina recolección en wonderdesk</v>
      </c>
      <c r="L28" s="17"/>
      <c r="M28" s="17"/>
      <c r="N28" s="17"/>
      <c r="O28" s="17"/>
    </row>
    <row r="29" spans="1:15" ht="12.5">
      <c r="A29" s="17" t="str">
        <f ca="1">IFERROR(__xludf.DUMMYFUNCTION("""COMPUTED_VALUE"""),"TRX1843")</f>
        <v>TRX1843</v>
      </c>
      <c r="B29" s="86" t="str">
        <f ca="1">IFERROR(__xludf.DUMMYFUNCTION("""COMPUTED_VALUE"""),"#6")</f>
        <v>#6</v>
      </c>
      <c r="C29" s="63">
        <f ca="1">IFERROR(__xludf.DUMMYFUNCTION("""COMPUTED_VALUE"""),46072.4166666666)</f>
        <v>46072.416666666599</v>
      </c>
      <c r="D29" s="65">
        <f ca="1">IFERROR(__xludf.DUMMYFUNCTION("""COMPUTED_VALUE"""),410.25)</f>
        <v>410.25</v>
      </c>
      <c r="E29" s="24" t="str">
        <f ca="1">IFERROR(__xludf.DUMMYFUNCTION("""COMPUTED_VALUE"""),"MXN")</f>
        <v>MXN</v>
      </c>
      <c r="F29" s="17" t="str">
        <f ca="1">IFERROR(__xludf.DUMMYFUNCTION("""COMPUTED_VALUE"""),"Fernando Sanchez Toledano")</f>
        <v>Fernando Sanchez Toledano</v>
      </c>
      <c r="G29" s="17" t="str">
        <f ca="1">IFERROR(__xludf.DUMMYFUNCTION("""COMPUTED_VALUE"""),"GAS COGA LOM CHA MIT 2 CIUDAD DE MEX MEX")</f>
        <v>GAS COGA LOM CHA MIT 2 CIUDAD DE MEX MEX</v>
      </c>
      <c r="H29" s="17" t="str">
        <f ca="1">IFERROR(__xludf.DUMMYFUNCTION("""COMPUTED_VALUE"""),"Gas Coga Lom Cha Mit 2 Ciudad De Mex Mex")</f>
        <v>Gas Coga Lom Cha Mit 2 Ciudad De Mex Mex</v>
      </c>
      <c r="I29" s="17" t="s">
        <v>63</v>
      </c>
      <c r="J29" s="17" t="str">
        <f ca="1">IFERROR(__xludf.DUMMYFUNCTION("""COMPUTED_VALUE"""),"Transaction cost")</f>
        <v>Transaction cost</v>
      </c>
      <c r="K29" s="17" t="str">
        <f ca="1">IFERROR(__xludf.DUMMYFUNCTION("""COMPUTED_VALUE"""),"Comoda, recolección en Fer Marcelo")</f>
        <v>Comoda, recolección en Fer Marcelo</v>
      </c>
      <c r="L29" s="17"/>
      <c r="M29" s="17"/>
      <c r="N29" s="17"/>
      <c r="O29" s="17"/>
    </row>
    <row r="30" spans="1:15" ht="12.5">
      <c r="A30" s="17" t="str">
        <f ca="1">IFERROR(__xludf.DUMMYFUNCTION("""COMPUTED_VALUE"""),"TRX1234")</f>
        <v>TRX1234</v>
      </c>
      <c r="B30" s="86" t="str">
        <f ca="1">IFERROR(__xludf.DUMMYFUNCTION("""COMPUTED_VALUE"""),"#6")</f>
        <v>#6</v>
      </c>
      <c r="C30" s="63">
        <f ca="1">IFERROR(__xludf.DUMMYFUNCTION("""COMPUTED_VALUE"""),46072.4166666666)</f>
        <v>46072.416666666599</v>
      </c>
      <c r="D30" s="65">
        <f ca="1">IFERROR(__xludf.DUMMYFUNCTION("""COMPUTED_VALUE"""),145)</f>
        <v>145</v>
      </c>
      <c r="E30" s="24" t="str">
        <f ca="1">IFERROR(__xludf.DUMMYFUNCTION("""COMPUTED_VALUE"""),"MXN")</f>
        <v>MXN</v>
      </c>
      <c r="F30" s="17" t="str">
        <f ca="1">IFERROR(__xludf.DUMMYFUNCTION("""COMPUTED_VALUE"""),"Fernando Sanchez Toledano")</f>
        <v>Fernando Sanchez Toledano</v>
      </c>
      <c r="G30" s="17" t="str">
        <f ca="1">IFERROR(__xludf.DUMMYFUNCTION("""COMPUTED_VALUE"""),"DLO DIDI RIDES MX      CIUDAD DE MEX MEX")</f>
        <v>DLO DIDI RIDES MX      CIUDAD DE MEX MEX</v>
      </c>
      <c r="H30" s="17" t="str">
        <f ca="1">IFERROR(__xludf.DUMMYFUNCTION("""COMPUTED_VALUE"""),"Didi Chuxing")</f>
        <v>Didi Chuxing</v>
      </c>
      <c r="I30" s="17" t="s">
        <v>63</v>
      </c>
      <c r="J30" s="17" t="str">
        <f ca="1">IFERROR(__xludf.DUMMYFUNCTION("""COMPUTED_VALUE"""),"Transaction cost")</f>
        <v>Transaction cost</v>
      </c>
      <c r="K30" s="17" t="str">
        <f ca="1">IFERROR(__xludf.DUMMYFUNCTION("""COMPUTED_VALUE"""),"Recarga de tag")</f>
        <v>Recarga de tag</v>
      </c>
      <c r="L30" s="17"/>
      <c r="M30" s="17"/>
      <c r="N30" s="17"/>
      <c r="O30" s="17"/>
    </row>
    <row r="31" spans="1:15" ht="12.5">
      <c r="A31" s="17" t="str">
        <f ca="1">IFERROR(__xludf.DUMMYFUNCTION("""COMPUTED_VALUE"""),"TRX1712")</f>
        <v>TRX1712</v>
      </c>
      <c r="B31" s="86" t="str">
        <f ca="1">IFERROR(__xludf.DUMMYFUNCTION("""COMPUTED_VALUE"""),"#6")</f>
        <v>#6</v>
      </c>
      <c r="C31" s="63">
        <f ca="1">IFERROR(__xludf.DUMMYFUNCTION("""COMPUTED_VALUE"""),46072.4166666666)</f>
        <v>46072.416666666599</v>
      </c>
      <c r="D31" s="65">
        <f ca="1">IFERROR(__xludf.DUMMYFUNCTION("""COMPUTED_VALUE"""),190)</f>
        <v>190</v>
      </c>
      <c r="E31" s="24" t="str">
        <f ca="1">IFERROR(__xludf.DUMMYFUNCTION("""COMPUTED_VALUE"""),"MXN")</f>
        <v>MXN</v>
      </c>
      <c r="F31" s="17" t="str">
        <f ca="1">IFERROR(__xludf.DUMMYFUNCTION("""COMPUTED_VALUE"""),"Fernando Sanchez Toledano")</f>
        <v>Fernando Sanchez Toledano</v>
      </c>
      <c r="G31" s="17" t="str">
        <f ca="1">IFERROR(__xludf.DUMMYFUNCTION("""COMPUTED_VALUE"""),"OXXOMICROPARQUE QRF    QUERETARO QRO MEX")</f>
        <v>OXXOMICROPARQUE QRF    QUERETARO QRO MEX</v>
      </c>
      <c r="H31" s="17" t="str">
        <f ca="1">IFERROR(__xludf.DUMMYFUNCTION("""COMPUTED_VALUE"""),"Oxxomicroparque Qrf Queretaro Qro Mex")</f>
        <v>Oxxomicroparque Qrf Queretaro Qro Mex</v>
      </c>
      <c r="I31" s="17" t="s">
        <v>63</v>
      </c>
      <c r="J31" s="17" t="str">
        <f ca="1">IFERROR(__xludf.DUMMYFUNCTION("""COMPUTED_VALUE"""),"Transaction cost")</f>
        <v>Transaction cost</v>
      </c>
      <c r="K31" s="17" t="str">
        <f ca="1">IFERROR(__xludf.DUMMYFUNCTION("""COMPUTED_VALUE"""),"Gasolina entrega en Deacero, PROSI ")</f>
        <v xml:space="preserve">Gasolina entrega en Deacero, PROSI </v>
      </c>
      <c r="L31" s="17"/>
      <c r="M31" s="17"/>
      <c r="N31" s="17"/>
      <c r="O31" s="17"/>
    </row>
    <row r="32" spans="1:15" ht="12.5">
      <c r="A32" s="17" t="str">
        <f ca="1">IFERROR(__xludf.DUMMYFUNCTION("""COMPUTED_VALUE"""),"TRX1764")</f>
        <v>TRX1764</v>
      </c>
      <c r="B32" s="86" t="str">
        <f ca="1">IFERROR(__xludf.DUMMYFUNCTION("""COMPUTED_VALUE"""),"#6")</f>
        <v>#6</v>
      </c>
      <c r="C32" s="63">
        <f ca="1">IFERROR(__xludf.DUMMYFUNCTION("""COMPUTED_VALUE"""),46072.4166666666)</f>
        <v>46072.416666666599</v>
      </c>
      <c r="D32" s="65">
        <f ca="1">IFERROR(__xludf.DUMMYFUNCTION("""COMPUTED_VALUE"""),500)</f>
        <v>500</v>
      </c>
      <c r="E32" s="24" t="str">
        <f ca="1">IFERROR(__xludf.DUMMYFUNCTION("""COMPUTED_VALUE"""),"MXN")</f>
        <v>MXN</v>
      </c>
      <c r="F32" s="17" t="str">
        <f ca="1">IFERROR(__xludf.DUMMYFUNCTION("""COMPUTED_VALUE"""),"Fernando Sanchez Toledano")</f>
        <v>Fernando Sanchez Toledano</v>
      </c>
      <c r="G32" s="17" t="str">
        <f ca="1">IFERROR(__xludf.DUMMYFUNCTION("""COMPUTED_VALUE"""),"CASHI ECOMMERCE RC     CIUDAD DE MEX MEX")</f>
        <v>CASHI ECOMMERCE RC     CIUDAD DE MEX MEX</v>
      </c>
      <c r="H32" s="17" t="str">
        <f ca="1">IFERROR(__xludf.DUMMYFUNCTION("""COMPUTED_VALUE"""),"Cashi Ecommerce Rc Ciudad De Mex Mex")</f>
        <v>Cashi Ecommerce Rc Ciudad De Mex Mex</v>
      </c>
      <c r="I32" s="17" t="s">
        <v>63</v>
      </c>
      <c r="J32" s="17" t="str">
        <f ca="1">IFERROR(__xludf.DUMMYFUNCTION("""COMPUTED_VALUE"""),"Transaction cost")</f>
        <v>Transaction cost</v>
      </c>
      <c r="K32" s="17" t="str">
        <f ca="1">IFERROR(__xludf.DUMMYFUNCTION("""COMPUTED_VALUE"""),"Comida entrega en Deacero")</f>
        <v>Comida entrega en Deacero</v>
      </c>
      <c r="L32" s="17"/>
      <c r="M32" s="17"/>
      <c r="N32" s="17"/>
      <c r="O32" s="17"/>
    </row>
    <row r="33" spans="1:15" ht="12.5">
      <c r="A33" s="17" t="str">
        <f ca="1">IFERROR(__xludf.DUMMYFUNCTION("""COMPUTED_VALUE"""),"TRX1610")</f>
        <v>TRX1610</v>
      </c>
      <c r="B33" s="86" t="str">
        <f ca="1">IFERROR(__xludf.DUMMYFUNCTION("""COMPUTED_VALUE"""),"#6")</f>
        <v>#6</v>
      </c>
      <c r="C33" s="63">
        <f ca="1">IFERROR(__xludf.DUMMYFUNCTION("""COMPUTED_VALUE"""),46072.4173611111)</f>
        <v>46072.417361111096</v>
      </c>
      <c r="D33" s="65">
        <f ca="1">IFERROR(__xludf.DUMMYFUNCTION("""COMPUTED_VALUE"""),2139.51)</f>
        <v>2139.5100000000002</v>
      </c>
      <c r="E33" s="24" t="str">
        <f ca="1">IFERROR(__xludf.DUMMYFUNCTION("""COMPUTED_VALUE"""),"MXN")</f>
        <v>MXN</v>
      </c>
      <c r="F33" s="17" t="str">
        <f ca="1">IFERROR(__xludf.DUMMYFUNCTION("""COMPUTED_VALUE"""),"Fernando Sanchez Toledano")</f>
        <v>Fernando Sanchez Toledano</v>
      </c>
      <c r="G33" s="17" t="str">
        <f ca="1">IFERROR(__xludf.DUMMYFUNCTION("""COMPUTED_VALUE"""),"AVIS MXN               MERIDA YUC    MEX")</f>
        <v>AVIS MXN               MERIDA YUC    MEX</v>
      </c>
      <c r="H33" s="17" t="str">
        <f ca="1">IFERROR(__xludf.DUMMYFUNCTION("""COMPUTED_VALUE"""),"Avis Rent A Car")</f>
        <v>Avis Rent A Car</v>
      </c>
      <c r="I33" s="17" t="s">
        <v>63</v>
      </c>
      <c r="J33" s="17" t="str">
        <f ca="1">IFERROR(__xludf.DUMMYFUNCTION("""COMPUTED_VALUE"""),"Transaction cost")</f>
        <v>Transaction cost</v>
      </c>
      <c r="K33" s="17"/>
      <c r="L33" s="17"/>
      <c r="M33" s="17"/>
      <c r="N33" s="17"/>
      <c r="O33" s="17"/>
    </row>
    <row r="34" spans="1:15" ht="12.5">
      <c r="A34" s="17" t="str">
        <f ca="1">IFERROR(__xludf.DUMMYFUNCTION("""COMPUTED_VALUE"""),"TRX1314")</f>
        <v>TRX1314</v>
      </c>
      <c r="B34" s="86" t="str">
        <f ca="1">IFERROR(__xludf.DUMMYFUNCTION("""COMPUTED_VALUE"""),"#6")</f>
        <v>#6</v>
      </c>
      <c r="C34" s="63">
        <f ca="1">IFERROR(__xludf.DUMMYFUNCTION("""COMPUTED_VALUE"""),46072.4173611111)</f>
        <v>46072.417361111096</v>
      </c>
      <c r="D34" s="65">
        <f ca="1">IFERROR(__xludf.DUMMYFUNCTION("""COMPUTED_VALUE"""),1485.35)</f>
        <v>1485.35</v>
      </c>
      <c r="E34" s="24" t="str">
        <f ca="1">IFERROR(__xludf.DUMMYFUNCTION("""COMPUTED_VALUE"""),"MXN")</f>
        <v>MXN</v>
      </c>
      <c r="F34" s="17" t="str">
        <f ca="1">IFERROR(__xludf.DUMMYFUNCTION("""COMPUTED_VALUE"""),"Fernando Sanchez Toledano")</f>
        <v>Fernando Sanchez Toledano</v>
      </c>
      <c r="G34" s="17" t="str">
        <f ca="1">IFERROR(__xludf.DUMMYFUNCTION("""COMPUTED_VALUE"""),"SERVI FER TECAMAC      TECAMAC EM    MEX")</f>
        <v>SERVI FER TECAMAC      TECAMAC EM    MEX</v>
      </c>
      <c r="H34" s="17" t="str">
        <f ca="1">IFERROR(__xludf.DUMMYFUNCTION("""COMPUTED_VALUE"""),"Servi Fer Tecamac Tecamac Em Mex")</f>
        <v>Servi Fer Tecamac Tecamac Em Mex</v>
      </c>
      <c r="I34" s="17" t="s">
        <v>63</v>
      </c>
      <c r="J34" s="17" t="str">
        <f ca="1">IFERROR(__xludf.DUMMYFUNCTION("""COMPUTED_VALUE"""),"Transaction cost")</f>
        <v>Transaction cost</v>
      </c>
      <c r="K34" s="17"/>
      <c r="L34" s="17"/>
      <c r="M34" s="17"/>
      <c r="N34" s="17"/>
      <c r="O34" s="17"/>
    </row>
    <row r="35" spans="1:15" ht="12.5">
      <c r="A35" s="17" t="str">
        <f ca="1">IFERROR(__xludf.DUMMYFUNCTION("""COMPUTED_VALUE"""),"TRX1083")</f>
        <v>TRX1083</v>
      </c>
      <c r="B35" s="86" t="str">
        <f ca="1">IFERROR(__xludf.DUMMYFUNCTION("""COMPUTED_VALUE"""),"#6")</f>
        <v>#6</v>
      </c>
      <c r="C35" s="63">
        <f ca="1">IFERROR(__xludf.DUMMYFUNCTION("""COMPUTED_VALUE"""),46075.4173611111)</f>
        <v>46075.417361111096</v>
      </c>
      <c r="D35" s="65">
        <f ca="1">IFERROR(__xludf.DUMMYFUNCTION("""COMPUTED_VALUE"""),1479)</f>
        <v>1479</v>
      </c>
      <c r="E35" s="24" t="str">
        <f ca="1">IFERROR(__xludf.DUMMYFUNCTION("""COMPUTED_VALUE"""),"MXN")</f>
        <v>MXN</v>
      </c>
      <c r="F35" s="17" t="str">
        <f ca="1">IFERROR(__xludf.DUMMYFUNCTION("""COMPUTED_VALUE"""),"Fernando Sanchez Toledano")</f>
        <v>Fernando Sanchez Toledano</v>
      </c>
      <c r="G35" s="17" t="str">
        <f ca="1">IFERROR(__xludf.DUMMYFUNCTION("""COMPUTED_VALUE"""),"SERVICIO HERRADURA     HUIXQUILUCAN  MEX")</f>
        <v>SERVICIO HERRADURA     HUIXQUILUCAN  MEX</v>
      </c>
      <c r="H35" s="17" t="str">
        <f ca="1">IFERROR(__xludf.DUMMYFUNCTION("""COMPUTED_VALUE"""),"Servicio Herradura Huixquilucan Mex")</f>
        <v>Servicio Herradura Huixquilucan Mex</v>
      </c>
      <c r="I35" s="17" t="s">
        <v>63</v>
      </c>
      <c r="J35" s="17" t="str">
        <f ca="1">IFERROR(__xludf.DUMMYFUNCTION("""COMPUTED_VALUE"""),"Transaction cost")</f>
        <v>Transaction cost</v>
      </c>
      <c r="K35" s="17"/>
      <c r="L35" s="17"/>
      <c r="M35" s="17"/>
      <c r="N35" s="17"/>
      <c r="O35" s="17"/>
    </row>
    <row r="36" spans="1:15" ht="12.5">
      <c r="A36" s="17"/>
      <c r="B36" s="24"/>
      <c r="C36" s="24"/>
      <c r="D36" s="17"/>
      <c r="E36" s="24"/>
      <c r="F36" s="17"/>
      <c r="G36" s="17"/>
      <c r="H36" s="17"/>
      <c r="I36" s="17" t="s">
        <v>63</v>
      </c>
      <c r="J36" s="17" t="str">
        <f ca="1">IFERROR(__xludf.DUMMYFUNCTION("""COMPUTED_VALUE"""),"Transaction cost")</f>
        <v>Transaction cost</v>
      </c>
      <c r="K36" s="17"/>
      <c r="L36" s="17"/>
      <c r="M36" s="17"/>
      <c r="N36" s="17"/>
      <c r="O36" s="17"/>
    </row>
    <row r="37" spans="1:15" ht="12.5">
      <c r="A37" s="17"/>
      <c r="B37" s="24"/>
      <c r="C37" s="24"/>
      <c r="D37" s="17"/>
      <c r="E37" s="24"/>
      <c r="F37" s="17"/>
      <c r="G37" s="17"/>
      <c r="H37" s="17"/>
      <c r="I37" s="17" t="s">
        <v>63</v>
      </c>
      <c r="J37" s="17" t="str">
        <f ca="1">IFERROR(__xludf.DUMMYFUNCTION("""COMPUTED_VALUE"""),"Transaction cost")</f>
        <v>Transaction cost</v>
      </c>
      <c r="K37" s="17"/>
      <c r="L37" s="17"/>
      <c r="M37" s="17"/>
      <c r="N37" s="17"/>
      <c r="O37" s="17"/>
    </row>
    <row r="38" spans="1:15" ht="12.5">
      <c r="A38" s="17"/>
      <c r="B38" s="24"/>
      <c r="C38" s="24"/>
      <c r="D38" s="17"/>
      <c r="E38" s="24"/>
      <c r="F38" s="17"/>
      <c r="G38" s="17"/>
      <c r="H38" s="17"/>
      <c r="I38" s="17" t="s">
        <v>63</v>
      </c>
      <c r="J38" s="17" t="str">
        <f ca="1">IFERROR(__xludf.DUMMYFUNCTION("""COMPUTED_VALUE"""),"Transaction cost")</f>
        <v>Transaction cost</v>
      </c>
      <c r="K38" s="17"/>
      <c r="L38" s="17"/>
      <c r="M38" s="17"/>
      <c r="N38" s="17"/>
      <c r="O38" s="17"/>
    </row>
    <row r="39" spans="1:15" ht="12.5">
      <c r="A39" s="17"/>
      <c r="B39" s="24"/>
      <c r="C39" s="24"/>
      <c r="D39" s="17"/>
      <c r="E39" s="24"/>
      <c r="F39" s="17"/>
      <c r="G39" s="17"/>
      <c r="H39" s="17"/>
      <c r="I39" s="17" t="s">
        <v>63</v>
      </c>
      <c r="J39" s="17" t="str">
        <f ca="1">IFERROR(__xludf.DUMMYFUNCTION("""COMPUTED_VALUE"""),"Transaction cost")</f>
        <v>Transaction cost</v>
      </c>
      <c r="K39" s="17"/>
      <c r="L39" s="17"/>
      <c r="M39" s="17"/>
      <c r="N39" s="17"/>
      <c r="O39" s="17"/>
    </row>
    <row r="40" spans="1:15" ht="12.5">
      <c r="A40" s="17"/>
      <c r="B40" s="24"/>
      <c r="C40" s="24"/>
      <c r="D40" s="17"/>
      <c r="E40" s="24"/>
      <c r="F40" s="17"/>
      <c r="G40" s="17"/>
      <c r="H40" s="17"/>
      <c r="I40" s="17" t="s">
        <v>63</v>
      </c>
      <c r="J40" s="17" t="str">
        <f ca="1">IFERROR(__xludf.DUMMYFUNCTION("""COMPUTED_VALUE"""),"Transaction cost")</f>
        <v>Transaction cost</v>
      </c>
      <c r="K40" s="17"/>
      <c r="L40" s="17"/>
      <c r="M40" s="17"/>
      <c r="N40" s="17"/>
      <c r="O40" s="17"/>
    </row>
    <row r="41" spans="1:15" ht="12.5">
      <c r="A41" s="17"/>
      <c r="B41" s="24"/>
      <c r="C41" s="24"/>
      <c r="D41" s="17"/>
      <c r="E41" s="24"/>
      <c r="F41" s="17"/>
      <c r="G41" s="17"/>
      <c r="H41" s="17"/>
      <c r="I41" s="17" t="s">
        <v>63</v>
      </c>
      <c r="J41" s="17"/>
      <c r="K41" s="17"/>
      <c r="L41" s="17"/>
      <c r="M41" s="17"/>
      <c r="N41" s="17"/>
      <c r="O41" s="17"/>
    </row>
    <row r="42" spans="1:15" ht="12.5">
      <c r="A42" s="17"/>
      <c r="B42" s="24"/>
      <c r="C42" s="24"/>
      <c r="D42" s="17"/>
      <c r="E42" s="24"/>
      <c r="F42" s="17"/>
      <c r="G42" s="17"/>
      <c r="H42" s="17"/>
      <c r="I42" s="17" t="s">
        <v>63</v>
      </c>
      <c r="J42" s="17"/>
      <c r="K42" s="17"/>
      <c r="L42" s="17"/>
      <c r="M42" s="17"/>
      <c r="N42" s="17"/>
      <c r="O42" s="17"/>
    </row>
    <row r="43" spans="1:15" ht="12.5">
      <c r="A43" s="17"/>
      <c r="B43" s="24"/>
      <c r="C43" s="24"/>
      <c r="D43" s="17"/>
      <c r="E43" s="24"/>
      <c r="F43" s="17"/>
      <c r="G43" s="17"/>
      <c r="H43" s="17"/>
      <c r="I43" s="17" t="s">
        <v>63</v>
      </c>
      <c r="J43" s="17"/>
      <c r="K43" s="17"/>
      <c r="L43" s="17"/>
      <c r="M43" s="17"/>
      <c r="N43" s="17"/>
      <c r="O43" s="17"/>
    </row>
    <row r="44" spans="1:15" ht="12.5">
      <c r="A44" s="17"/>
      <c r="B44" s="24"/>
      <c r="C44" s="24"/>
      <c r="D44" s="17"/>
      <c r="E44" s="24"/>
      <c r="F44" s="17"/>
      <c r="G44" s="17"/>
      <c r="H44" s="17"/>
      <c r="I44" s="17" t="s">
        <v>63</v>
      </c>
      <c r="J44" s="17"/>
      <c r="K44" s="17"/>
      <c r="L44" s="17"/>
      <c r="M44" s="17"/>
      <c r="N44" s="17"/>
      <c r="O44" s="17"/>
    </row>
    <row r="45" spans="1:15" ht="12.5">
      <c r="A45" s="17"/>
      <c r="B45" s="24"/>
      <c r="C45" s="24"/>
      <c r="D45" s="17"/>
      <c r="E45" s="24"/>
      <c r="F45" s="17"/>
      <c r="G45" s="17"/>
      <c r="H45" s="17"/>
      <c r="I45" s="17" t="s">
        <v>63</v>
      </c>
      <c r="J45" s="17"/>
      <c r="K45" s="17"/>
      <c r="L45" s="17"/>
      <c r="M45" s="17"/>
      <c r="N45" s="17"/>
      <c r="O45" s="17"/>
    </row>
    <row r="46" spans="1:15" ht="12.5">
      <c r="A46" s="17"/>
      <c r="B46" s="24"/>
      <c r="C46" s="24"/>
      <c r="D46" s="17"/>
      <c r="E46" s="24"/>
      <c r="F46" s="17"/>
      <c r="G46" s="17"/>
      <c r="H46" s="17"/>
      <c r="I46" s="17" t="s">
        <v>63</v>
      </c>
      <c r="J46" s="17"/>
      <c r="K46" s="17"/>
      <c r="L46" s="17"/>
      <c r="M46" s="17"/>
      <c r="N46" s="17"/>
      <c r="O46" s="17"/>
    </row>
    <row r="47" spans="1:15" ht="12.5">
      <c r="A47" s="17"/>
      <c r="B47" s="24"/>
      <c r="C47" s="24"/>
      <c r="D47" s="17"/>
      <c r="E47" s="24"/>
      <c r="F47" s="17"/>
      <c r="G47" s="17"/>
      <c r="H47" s="17"/>
      <c r="I47" s="17" t="s">
        <v>63</v>
      </c>
      <c r="J47" s="17"/>
      <c r="K47" s="17"/>
      <c r="L47" s="17"/>
      <c r="M47" s="17"/>
      <c r="N47" s="17"/>
      <c r="O47" s="17"/>
    </row>
    <row r="48" spans="1:15" ht="12.5">
      <c r="A48" s="17"/>
      <c r="B48" s="24"/>
      <c r="C48" s="24"/>
      <c r="D48" s="17"/>
      <c r="E48" s="24"/>
      <c r="F48" s="17"/>
      <c r="G48" s="17"/>
      <c r="H48" s="17"/>
      <c r="I48" s="17" t="s">
        <v>63</v>
      </c>
      <c r="J48" s="17"/>
      <c r="K48" s="17"/>
      <c r="L48" s="17"/>
      <c r="M48" s="17"/>
      <c r="N48" s="17"/>
      <c r="O48" s="17"/>
    </row>
    <row r="49" spans="1:15" ht="12.5">
      <c r="A49" s="17"/>
      <c r="B49" s="24"/>
      <c r="C49" s="24"/>
      <c r="D49" s="17"/>
      <c r="E49" s="24"/>
      <c r="F49" s="17"/>
      <c r="G49" s="17"/>
      <c r="H49" s="17"/>
      <c r="I49" s="17" t="s">
        <v>63</v>
      </c>
      <c r="J49" s="17"/>
      <c r="K49" s="17"/>
      <c r="L49" s="17"/>
      <c r="M49" s="17"/>
      <c r="N49" s="17"/>
      <c r="O49" s="17"/>
    </row>
    <row r="50" spans="1:15" ht="12.5">
      <c r="A50" s="17"/>
      <c r="B50" s="24"/>
      <c r="C50" s="24"/>
      <c r="D50" s="17"/>
      <c r="E50" s="24"/>
      <c r="F50" s="17"/>
      <c r="G50" s="17"/>
      <c r="H50" s="17"/>
      <c r="I50" s="17" t="s">
        <v>63</v>
      </c>
      <c r="J50" s="17"/>
      <c r="K50" s="17"/>
      <c r="L50" s="17"/>
      <c r="M50" s="17"/>
      <c r="N50" s="17"/>
      <c r="O50" s="17"/>
    </row>
    <row r="51" spans="1:15" ht="12.5">
      <c r="A51" s="17"/>
      <c r="B51" s="24"/>
      <c r="C51" s="24"/>
      <c r="D51" s="17"/>
      <c r="E51" s="24"/>
      <c r="F51" s="17"/>
      <c r="G51" s="17"/>
      <c r="H51" s="17"/>
      <c r="I51" s="17" t="s">
        <v>63</v>
      </c>
      <c r="J51" s="17"/>
      <c r="K51" s="17"/>
      <c r="L51" s="17"/>
      <c r="M51" s="17"/>
      <c r="N51" s="17"/>
      <c r="O51" s="17"/>
    </row>
    <row r="52" spans="1:15" ht="12.5">
      <c r="A52" s="17"/>
      <c r="B52" s="24"/>
      <c r="C52" s="24"/>
      <c r="D52" s="17"/>
      <c r="E52" s="24"/>
      <c r="F52" s="17"/>
      <c r="G52" s="17"/>
      <c r="H52" s="17"/>
      <c r="I52" s="17" t="s">
        <v>63</v>
      </c>
      <c r="J52" s="17"/>
      <c r="K52" s="17"/>
      <c r="L52" s="17"/>
      <c r="M52" s="17"/>
      <c r="N52" s="17"/>
      <c r="O52" s="17"/>
    </row>
    <row r="53" spans="1:15" ht="12.5">
      <c r="A53" s="17"/>
      <c r="B53" s="24"/>
      <c r="C53" s="24"/>
      <c r="D53" s="17"/>
      <c r="E53" s="24"/>
      <c r="F53" s="17"/>
      <c r="G53" s="17"/>
      <c r="H53" s="17"/>
      <c r="I53" s="17" t="s">
        <v>63</v>
      </c>
      <c r="J53" s="17"/>
      <c r="K53" s="17"/>
      <c r="L53" s="17"/>
      <c r="M53" s="17"/>
      <c r="N53" s="17"/>
      <c r="O53" s="17"/>
    </row>
    <row r="54" spans="1:15" ht="12.5">
      <c r="A54" s="17"/>
      <c r="B54" s="24"/>
      <c r="C54" s="24"/>
      <c r="D54" s="17"/>
      <c r="E54" s="24"/>
      <c r="F54" s="17"/>
      <c r="G54" s="17"/>
      <c r="H54" s="17"/>
      <c r="I54" s="17"/>
      <c r="J54" s="17"/>
      <c r="K54" s="17"/>
      <c r="L54" s="17"/>
      <c r="M54" s="17"/>
      <c r="N54" s="17"/>
      <c r="O54" s="17"/>
    </row>
    <row r="55" spans="1:15" ht="12.5">
      <c r="A55" s="17"/>
      <c r="B55" s="24"/>
      <c r="C55" s="24"/>
      <c r="D55" s="17"/>
      <c r="E55" s="24"/>
      <c r="F55" s="17"/>
      <c r="G55" s="17"/>
      <c r="H55" s="17"/>
      <c r="I55" s="17"/>
      <c r="J55" s="17"/>
      <c r="K55" s="17"/>
      <c r="L55" s="17"/>
      <c r="M55" s="17"/>
      <c r="N55" s="17"/>
      <c r="O55" s="17"/>
    </row>
    <row r="56" spans="1:15" ht="12.5">
      <c r="A56" s="17"/>
      <c r="B56" s="24"/>
      <c r="C56" s="24"/>
      <c r="D56" s="17"/>
      <c r="E56" s="24"/>
      <c r="F56" s="17"/>
      <c r="G56" s="17"/>
      <c r="H56" s="17"/>
      <c r="I56" s="17"/>
      <c r="J56" s="17"/>
      <c r="K56" s="17"/>
      <c r="L56" s="17"/>
      <c r="M56" s="17"/>
      <c r="N56" s="17"/>
      <c r="O56" s="17"/>
    </row>
    <row r="57" spans="1:15" ht="12.5">
      <c r="A57" s="17"/>
      <c r="B57" s="24"/>
      <c r="C57" s="24"/>
      <c r="D57" s="17"/>
      <c r="E57" s="24"/>
      <c r="F57" s="17"/>
      <c r="G57" s="17"/>
      <c r="H57" s="17"/>
      <c r="I57" s="17"/>
      <c r="J57" s="17"/>
      <c r="K57" s="17"/>
      <c r="L57" s="17"/>
      <c r="M57" s="17"/>
      <c r="N57" s="17"/>
      <c r="O57" s="17"/>
    </row>
    <row r="58" spans="1:15" ht="12.5">
      <c r="A58" s="17"/>
      <c r="B58" s="24"/>
      <c r="C58" s="24"/>
      <c r="D58" s="17"/>
      <c r="E58" s="24"/>
      <c r="F58" s="17"/>
      <c r="G58" s="17"/>
      <c r="H58" s="17"/>
      <c r="I58" s="17"/>
      <c r="J58" s="17"/>
      <c r="K58" s="17"/>
      <c r="L58" s="17"/>
      <c r="M58" s="17"/>
      <c r="N58" s="17"/>
      <c r="O58" s="17"/>
    </row>
    <row r="59" spans="1:15" ht="12.5">
      <c r="A59" s="17"/>
      <c r="B59" s="24"/>
      <c r="C59" s="24"/>
      <c r="D59" s="17"/>
      <c r="E59" s="24"/>
      <c r="F59" s="17"/>
      <c r="G59" s="17"/>
      <c r="H59" s="17"/>
      <c r="I59" s="17"/>
      <c r="J59" s="17"/>
      <c r="K59" s="17"/>
      <c r="L59" s="17"/>
      <c r="M59" s="17"/>
      <c r="N59" s="17"/>
      <c r="O59" s="17"/>
    </row>
    <row r="60" spans="1:15" ht="12.5">
      <c r="A60" s="17"/>
      <c r="B60" s="24"/>
      <c r="C60" s="24"/>
      <c r="D60" s="17"/>
      <c r="E60" s="24"/>
      <c r="F60" s="17"/>
      <c r="G60" s="17"/>
      <c r="H60" s="17"/>
      <c r="I60" s="17"/>
      <c r="J60" s="17"/>
      <c r="K60" s="17"/>
      <c r="L60" s="17"/>
      <c r="M60" s="17"/>
      <c r="N60" s="17"/>
      <c r="O60" s="17"/>
    </row>
    <row r="61" spans="1:15" ht="12.5">
      <c r="A61" s="17"/>
      <c r="B61" s="24"/>
      <c r="C61" s="24"/>
      <c r="D61" s="17"/>
      <c r="E61" s="24"/>
      <c r="F61" s="17"/>
      <c r="G61" s="17"/>
      <c r="H61" s="17"/>
      <c r="I61" s="17"/>
      <c r="J61" s="17"/>
      <c r="K61" s="17"/>
      <c r="L61" s="17"/>
      <c r="M61" s="17"/>
      <c r="N61" s="17"/>
      <c r="O61" s="17"/>
    </row>
    <row r="62" spans="1:15" ht="12.5">
      <c r="A62" s="17"/>
      <c r="B62" s="24"/>
      <c r="C62" s="24"/>
      <c r="D62" s="17"/>
      <c r="E62" s="24"/>
      <c r="F62" s="17"/>
      <c r="G62" s="17"/>
      <c r="H62" s="17"/>
      <c r="I62" s="17"/>
      <c r="J62" s="17"/>
      <c r="K62" s="17"/>
      <c r="L62" s="17"/>
      <c r="M62" s="17"/>
      <c r="N62" s="17"/>
      <c r="O62" s="17"/>
    </row>
    <row r="63" spans="1:15" ht="12.5">
      <c r="A63" s="17"/>
      <c r="B63" s="24"/>
      <c r="C63" s="24"/>
      <c r="D63" s="17"/>
      <c r="E63" s="24"/>
      <c r="F63" s="17"/>
      <c r="G63" s="17"/>
      <c r="H63" s="17"/>
      <c r="I63" s="17"/>
      <c r="J63" s="17"/>
      <c r="K63" s="17"/>
      <c r="L63" s="17"/>
      <c r="M63" s="17"/>
      <c r="N63" s="17"/>
      <c r="O63" s="17"/>
    </row>
    <row r="64" spans="1:15" ht="12.5">
      <c r="A64" s="17"/>
      <c r="B64" s="24"/>
      <c r="C64" s="24"/>
      <c r="D64" s="17"/>
      <c r="E64" s="24"/>
      <c r="F64" s="17"/>
      <c r="G64" s="17"/>
      <c r="H64" s="17"/>
      <c r="I64" s="17"/>
      <c r="J64" s="17"/>
      <c r="K64" s="17"/>
      <c r="L64" s="17"/>
      <c r="M64" s="17"/>
      <c r="N64" s="17"/>
      <c r="O64" s="17"/>
    </row>
    <row r="65" spans="1:15" ht="12.5">
      <c r="A65" s="17"/>
      <c r="B65" s="24"/>
      <c r="C65" s="24"/>
      <c r="D65" s="17"/>
      <c r="E65" s="24"/>
      <c r="F65" s="17"/>
      <c r="G65" s="17"/>
      <c r="H65" s="17"/>
      <c r="I65" s="17"/>
      <c r="J65" s="17"/>
      <c r="K65" s="17"/>
      <c r="L65" s="17"/>
      <c r="M65" s="17"/>
      <c r="N65" s="17"/>
      <c r="O65" s="17"/>
    </row>
    <row r="66" spans="1:15" ht="12.5">
      <c r="A66" s="17"/>
      <c r="B66" s="24"/>
      <c r="C66" s="24"/>
      <c r="D66" s="17"/>
      <c r="E66" s="24"/>
      <c r="F66" s="17"/>
      <c r="G66" s="17"/>
      <c r="H66" s="17"/>
      <c r="I66" s="17"/>
      <c r="J66" s="17"/>
      <c r="K66" s="17"/>
      <c r="L66" s="17"/>
      <c r="M66" s="17"/>
      <c r="N66" s="17"/>
      <c r="O66" s="17"/>
    </row>
    <row r="67" spans="1:15" ht="12.5">
      <c r="A67" s="17"/>
      <c r="B67" s="24"/>
      <c r="C67" s="24"/>
      <c r="D67" s="17"/>
      <c r="E67" s="24"/>
      <c r="F67" s="17"/>
      <c r="G67" s="17"/>
      <c r="H67" s="17"/>
      <c r="I67" s="17"/>
      <c r="J67" s="17"/>
      <c r="K67" s="17"/>
      <c r="L67" s="17"/>
      <c r="M67" s="17"/>
      <c r="N67" s="17"/>
      <c r="O67" s="17"/>
    </row>
    <row r="68" spans="1:15" ht="12.5">
      <c r="A68" s="17"/>
      <c r="B68" s="24"/>
      <c r="C68" s="24"/>
      <c r="D68" s="17"/>
      <c r="E68" s="24"/>
      <c r="F68" s="17"/>
      <c r="G68" s="17"/>
      <c r="H68" s="17"/>
      <c r="I68" s="17"/>
      <c r="J68" s="17"/>
      <c r="K68" s="17"/>
      <c r="L68" s="17"/>
      <c r="M68" s="17"/>
      <c r="N68" s="17"/>
      <c r="O68" s="17"/>
    </row>
    <row r="69" spans="1:15" ht="12.5">
      <c r="A69" s="17"/>
      <c r="B69" s="24"/>
      <c r="C69" s="24"/>
      <c r="D69" s="17"/>
      <c r="E69" s="24"/>
      <c r="F69" s="17"/>
      <c r="G69" s="17"/>
      <c r="H69" s="17"/>
      <c r="I69" s="17"/>
      <c r="J69" s="17"/>
      <c r="K69" s="17"/>
      <c r="L69" s="17"/>
      <c r="M69" s="17"/>
      <c r="N69" s="17"/>
      <c r="O69" s="17"/>
    </row>
    <row r="70" spans="1:15" ht="12.5">
      <c r="A70" s="17"/>
      <c r="B70" s="24"/>
      <c r="C70" s="24"/>
      <c r="D70" s="17"/>
      <c r="E70" s="24"/>
      <c r="F70" s="17"/>
      <c r="G70" s="17"/>
      <c r="H70" s="17"/>
      <c r="I70" s="17"/>
      <c r="J70" s="17"/>
      <c r="K70" s="17"/>
      <c r="L70" s="17"/>
      <c r="M70" s="17"/>
      <c r="N70" s="17"/>
      <c r="O70" s="17"/>
    </row>
    <row r="71" spans="1:15" ht="12.5">
      <c r="A71" s="17"/>
      <c r="B71" s="24"/>
      <c r="C71" s="24"/>
      <c r="D71" s="17"/>
      <c r="E71" s="24"/>
      <c r="F71" s="17"/>
      <c r="G71" s="17"/>
      <c r="H71" s="17"/>
      <c r="I71" s="17"/>
      <c r="J71" s="17"/>
      <c r="K71" s="17"/>
      <c r="L71" s="17"/>
      <c r="M71" s="17"/>
      <c r="N71" s="17"/>
      <c r="O71" s="17"/>
    </row>
    <row r="72" spans="1:15" ht="12.5">
      <c r="A72" s="17"/>
      <c r="B72" s="24"/>
      <c r="C72" s="24"/>
      <c r="D72" s="17"/>
      <c r="E72" s="24"/>
      <c r="F72" s="17"/>
      <c r="G72" s="17"/>
      <c r="H72" s="17"/>
      <c r="I72" s="17"/>
      <c r="J72" s="17"/>
      <c r="K72" s="17"/>
      <c r="L72" s="17"/>
      <c r="M72" s="17"/>
      <c r="N72" s="17"/>
      <c r="O72" s="17"/>
    </row>
    <row r="73" spans="1:15" ht="12.5">
      <c r="A73" s="17"/>
      <c r="B73" s="24"/>
      <c r="C73" s="24"/>
      <c r="D73" s="17"/>
      <c r="E73" s="24"/>
      <c r="F73" s="17"/>
      <c r="G73" s="17"/>
      <c r="H73" s="17"/>
      <c r="I73" s="17"/>
      <c r="J73" s="17"/>
      <c r="K73" s="17"/>
      <c r="L73" s="17"/>
      <c r="M73" s="17"/>
      <c r="N73" s="17"/>
      <c r="O73" s="17"/>
    </row>
    <row r="74" spans="1:15" ht="12.5">
      <c r="A74" s="17"/>
      <c r="B74" s="24"/>
      <c r="C74" s="24"/>
      <c r="D74" s="17"/>
      <c r="E74" s="24"/>
      <c r="F74" s="17"/>
      <c r="G74" s="17"/>
      <c r="H74" s="17"/>
      <c r="I74" s="17"/>
      <c r="J74" s="17"/>
      <c r="K74" s="17"/>
      <c r="L74" s="17"/>
      <c r="M74" s="17"/>
      <c r="N74" s="17"/>
      <c r="O74" s="17"/>
    </row>
    <row r="75" spans="1:15" ht="12.5">
      <c r="A75" s="17"/>
      <c r="B75" s="24"/>
      <c r="C75" s="24"/>
      <c r="D75" s="17"/>
      <c r="E75" s="24"/>
      <c r="F75" s="17"/>
      <c r="G75" s="17"/>
      <c r="H75" s="17"/>
      <c r="I75" s="17"/>
      <c r="J75" s="17"/>
      <c r="K75" s="17"/>
      <c r="L75" s="17"/>
      <c r="M75" s="17"/>
      <c r="N75" s="17"/>
      <c r="O75" s="17"/>
    </row>
    <row r="76" spans="1:15" ht="12.5">
      <c r="A76" s="17"/>
      <c r="B76" s="24"/>
      <c r="C76" s="24"/>
      <c r="D76" s="17"/>
      <c r="E76" s="24"/>
      <c r="F76" s="17"/>
      <c r="G76" s="17"/>
      <c r="H76" s="17"/>
      <c r="I76" s="17"/>
      <c r="J76" s="17"/>
      <c r="K76" s="17"/>
      <c r="L76" s="17"/>
      <c r="M76" s="17"/>
      <c r="N76" s="17"/>
      <c r="O76" s="17"/>
    </row>
    <row r="77" spans="1:15" ht="12.5">
      <c r="A77" s="17"/>
      <c r="B77" s="24"/>
      <c r="C77" s="24"/>
      <c r="D77" s="17"/>
      <c r="E77" s="24"/>
      <c r="F77" s="17"/>
      <c r="G77" s="17"/>
      <c r="H77" s="17"/>
      <c r="I77" s="17"/>
      <c r="J77" s="17"/>
      <c r="K77" s="17"/>
      <c r="L77" s="17"/>
      <c r="M77" s="17"/>
      <c r="N77" s="17"/>
      <c r="O77" s="17"/>
    </row>
    <row r="78" spans="1:15" ht="12.5">
      <c r="A78" s="17"/>
      <c r="B78" s="24"/>
      <c r="C78" s="24"/>
      <c r="D78" s="17"/>
      <c r="E78" s="24"/>
      <c r="F78" s="17"/>
      <c r="G78" s="17"/>
      <c r="H78" s="17"/>
      <c r="I78" s="17"/>
      <c r="J78" s="17"/>
      <c r="K78" s="17"/>
      <c r="L78" s="17"/>
      <c r="M78" s="17"/>
      <c r="N78" s="17"/>
      <c r="O78" s="17"/>
    </row>
    <row r="79" spans="1:15" ht="12.5">
      <c r="A79" s="17"/>
      <c r="B79" s="24"/>
      <c r="C79" s="24"/>
      <c r="D79" s="17"/>
      <c r="E79" s="24"/>
      <c r="F79" s="17"/>
      <c r="G79" s="17"/>
      <c r="H79" s="17"/>
      <c r="I79" s="17"/>
      <c r="J79" s="17"/>
      <c r="K79" s="17"/>
      <c r="L79" s="17"/>
      <c r="M79" s="17"/>
      <c r="N79" s="17"/>
      <c r="O79" s="17"/>
    </row>
    <row r="80" spans="1:15" ht="12.5">
      <c r="A80" s="17"/>
      <c r="B80" s="24"/>
      <c r="C80" s="24"/>
      <c r="D80" s="17"/>
      <c r="E80" s="24"/>
      <c r="F80" s="17"/>
      <c r="G80" s="17"/>
      <c r="H80" s="17"/>
      <c r="I80" s="17"/>
      <c r="J80" s="17"/>
      <c r="K80" s="17"/>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C0000"/>
    <outlinePr summaryBelow="0" summaryRight="0"/>
  </sheetPr>
  <dimension ref="A1:Z207"/>
  <sheetViews>
    <sheetView workbookViewId="0"/>
  </sheetViews>
  <sheetFormatPr baseColWidth="10" defaultColWidth="12.6328125" defaultRowHeight="15.75" customHeight="1"/>
  <cols>
    <col min="1" max="1" width="13.7265625" customWidth="1"/>
    <col min="2" max="2" width="5.36328125" customWidth="1"/>
    <col min="3" max="3" width="12.26953125" customWidth="1"/>
    <col min="4" max="4" width="6.08984375" customWidth="1"/>
    <col min="5" max="5" width="4.90625" customWidth="1"/>
    <col min="6" max="6" width="13.08984375" customWidth="1"/>
    <col min="7" max="7" width="30.26953125" customWidth="1"/>
    <col min="8" max="8" width="31.7265625" customWidth="1"/>
    <col min="9" max="10" width="21.36328125" customWidth="1"/>
    <col min="11" max="11" width="14.26953125" customWidth="1"/>
    <col min="12" max="12" width="8.90625" customWidth="1"/>
    <col min="13" max="13" width="12.08984375" customWidth="1"/>
  </cols>
  <sheetData>
    <row r="1" spans="1:26" ht="15.75" customHeight="1">
      <c r="A1" s="17"/>
      <c r="B1" s="17"/>
      <c r="C1" s="24"/>
      <c r="D1" s="17"/>
      <c r="E1" s="24"/>
      <c r="F1" s="17"/>
      <c r="G1" s="17"/>
      <c r="H1" s="17"/>
      <c r="I1" s="17"/>
      <c r="J1" s="17"/>
      <c r="K1" s="17"/>
      <c r="L1" s="17"/>
      <c r="M1" s="17"/>
      <c r="N1" s="17"/>
      <c r="O1" s="17"/>
      <c r="P1" s="17"/>
      <c r="Q1" s="17"/>
      <c r="R1" s="17"/>
      <c r="S1" s="17"/>
      <c r="T1" s="17"/>
      <c r="U1" s="17"/>
      <c r="V1" s="17"/>
      <c r="W1" s="17"/>
      <c r="X1" s="17"/>
      <c r="Y1" s="17"/>
      <c r="Z1" s="17"/>
    </row>
    <row r="2" spans="1:26" ht="15.75" customHeight="1">
      <c r="A2" s="143" t="s">
        <v>121</v>
      </c>
      <c r="B2" s="139"/>
      <c r="C2" s="139"/>
      <c r="D2" s="68"/>
      <c r="E2" s="141" t="s">
        <v>63</v>
      </c>
      <c r="F2" s="139"/>
      <c r="G2" s="69" t="s">
        <v>1975</v>
      </c>
      <c r="H2" s="17"/>
      <c r="I2" s="17"/>
      <c r="J2" s="17"/>
      <c r="K2" s="17"/>
      <c r="L2" s="17"/>
      <c r="M2" s="17"/>
      <c r="N2" s="17"/>
      <c r="O2" s="17"/>
      <c r="P2" s="17"/>
      <c r="Q2" s="17"/>
      <c r="R2" s="17"/>
      <c r="S2" s="17"/>
      <c r="T2" s="17"/>
      <c r="U2" s="17"/>
      <c r="V2" s="17"/>
      <c r="W2" s="17"/>
      <c r="X2" s="17"/>
      <c r="Y2" s="17"/>
      <c r="Z2" s="17"/>
    </row>
    <row r="3" spans="1:26" ht="15.75" customHeight="1">
      <c r="A3" s="26"/>
      <c r="B3" s="26"/>
      <c r="C3" s="10"/>
      <c r="D3" s="13"/>
      <c r="E3" s="142" t="s">
        <v>74</v>
      </c>
      <c r="F3" s="139"/>
      <c r="G3" s="70" t="s">
        <v>1976</v>
      </c>
      <c r="H3" s="11"/>
      <c r="I3" s="13"/>
      <c r="J3" s="13"/>
      <c r="K3" s="13"/>
      <c r="L3" s="13"/>
      <c r="M3" s="13"/>
      <c r="N3" s="17"/>
      <c r="O3" s="17"/>
      <c r="P3" s="17"/>
      <c r="Q3" s="17"/>
      <c r="R3" s="17"/>
      <c r="S3" s="17"/>
      <c r="T3" s="17"/>
      <c r="U3" s="17"/>
      <c r="V3" s="17"/>
      <c r="W3" s="17"/>
      <c r="X3" s="17"/>
      <c r="Y3" s="17"/>
      <c r="Z3" s="17"/>
    </row>
    <row r="4" spans="1:26" ht="15.75" customHeight="1">
      <c r="A4" s="71"/>
      <c r="B4" s="71"/>
      <c r="C4" s="72"/>
      <c r="D4" s="73"/>
      <c r="E4" s="138" t="s">
        <v>83</v>
      </c>
      <c r="F4" s="139"/>
      <c r="G4" s="70" t="s">
        <v>1977</v>
      </c>
      <c r="H4" s="74"/>
      <c r="I4" s="13"/>
      <c r="J4" s="71"/>
      <c r="K4" s="17"/>
      <c r="L4" s="17"/>
      <c r="M4" s="17"/>
      <c r="N4" s="75"/>
      <c r="O4" s="75"/>
      <c r="P4" s="75"/>
      <c r="Q4" s="75"/>
      <c r="R4" s="75"/>
      <c r="S4" s="75"/>
      <c r="T4" s="75"/>
      <c r="U4" s="75"/>
      <c r="V4" s="75"/>
      <c r="W4" s="75"/>
      <c r="X4" s="75"/>
      <c r="Y4" s="75"/>
      <c r="Z4" s="75"/>
    </row>
    <row r="5" spans="1:26" ht="15.75" customHeight="1">
      <c r="A5" s="71"/>
      <c r="B5" s="71"/>
      <c r="C5" s="72"/>
      <c r="D5" s="73"/>
      <c r="E5" s="142" t="s">
        <v>94</v>
      </c>
      <c r="F5" s="139"/>
      <c r="G5" s="70" t="s">
        <v>1978</v>
      </c>
      <c r="H5" s="74"/>
      <c r="I5" s="13"/>
      <c r="J5" s="71"/>
      <c r="K5" s="17"/>
      <c r="L5" s="17"/>
      <c r="M5" s="17"/>
      <c r="N5" s="75"/>
      <c r="O5" s="75"/>
      <c r="P5" s="75"/>
      <c r="Q5" s="75"/>
      <c r="R5" s="75"/>
      <c r="S5" s="75"/>
      <c r="T5" s="75"/>
      <c r="U5" s="75"/>
      <c r="V5" s="75"/>
      <c r="W5" s="75"/>
      <c r="X5" s="75"/>
      <c r="Y5" s="75"/>
      <c r="Z5" s="75"/>
    </row>
    <row r="6" spans="1:26" ht="15.75" customHeight="1">
      <c r="A6" s="71"/>
      <c r="B6" s="71"/>
      <c r="C6" s="72"/>
      <c r="D6" s="73"/>
      <c r="E6" s="141" t="s">
        <v>103</v>
      </c>
      <c r="F6" s="139"/>
      <c r="G6" s="70" t="s">
        <v>1980</v>
      </c>
      <c r="H6" s="74"/>
      <c r="I6" s="13"/>
      <c r="J6" s="71"/>
      <c r="K6" s="17"/>
      <c r="L6" s="17"/>
      <c r="M6" s="17"/>
      <c r="N6" s="75"/>
      <c r="O6" s="75"/>
      <c r="P6" s="75"/>
      <c r="Q6" s="75"/>
      <c r="R6" s="75"/>
      <c r="S6" s="75"/>
      <c r="T6" s="75"/>
      <c r="U6" s="75"/>
      <c r="V6" s="75"/>
      <c r="W6" s="75"/>
      <c r="X6" s="75"/>
      <c r="Y6" s="75"/>
      <c r="Z6" s="75"/>
    </row>
    <row r="7" spans="1:26" ht="15.75" customHeight="1">
      <c r="A7" s="71"/>
      <c r="B7" s="71"/>
      <c r="C7" s="72"/>
      <c r="D7" s="73"/>
      <c r="E7" s="142" t="s">
        <v>113</v>
      </c>
      <c r="F7" s="139"/>
      <c r="G7" s="70" t="s">
        <v>1981</v>
      </c>
      <c r="H7" s="74"/>
      <c r="I7" s="13"/>
      <c r="J7" s="71"/>
      <c r="K7" s="17"/>
      <c r="L7" s="17"/>
      <c r="M7" s="17"/>
      <c r="N7" s="75"/>
      <c r="O7" s="75"/>
      <c r="P7" s="75"/>
      <c r="Q7" s="75"/>
      <c r="R7" s="75"/>
      <c r="S7" s="75"/>
      <c r="T7" s="75"/>
      <c r="U7" s="75"/>
      <c r="V7" s="75"/>
      <c r="W7" s="75"/>
      <c r="X7" s="75"/>
      <c r="Y7" s="75"/>
      <c r="Z7" s="75"/>
    </row>
    <row r="8" spans="1:26" ht="15.75" customHeight="1">
      <c r="A8" s="71"/>
      <c r="B8" s="71"/>
      <c r="C8" s="72"/>
      <c r="D8" s="73"/>
      <c r="E8" s="141" t="s">
        <v>120</v>
      </c>
      <c r="F8" s="139"/>
      <c r="G8" s="70" t="s">
        <v>1982</v>
      </c>
      <c r="H8" s="74"/>
      <c r="I8" s="13"/>
      <c r="J8" s="71"/>
      <c r="K8" s="17"/>
      <c r="L8" s="17"/>
      <c r="M8" s="17"/>
      <c r="N8" s="75"/>
      <c r="O8" s="75"/>
      <c r="P8" s="75"/>
      <c r="Q8" s="75"/>
      <c r="R8" s="75"/>
      <c r="S8" s="75"/>
      <c r="T8" s="75"/>
      <c r="U8" s="75"/>
      <c r="V8" s="75"/>
      <c r="W8" s="75"/>
      <c r="X8" s="75"/>
      <c r="Y8" s="75"/>
      <c r="Z8" s="75"/>
    </row>
    <row r="9" spans="1:26" ht="15.75" customHeight="1">
      <c r="A9" s="71"/>
      <c r="B9" s="71"/>
      <c r="C9" s="72"/>
      <c r="D9" s="73"/>
      <c r="E9" s="76"/>
      <c r="F9" s="74"/>
      <c r="G9" s="71"/>
      <c r="H9" s="74"/>
      <c r="I9" s="13"/>
      <c r="J9" s="71"/>
      <c r="K9" s="17"/>
      <c r="L9" s="17"/>
      <c r="M9" s="17"/>
      <c r="N9" s="75"/>
      <c r="O9" s="75"/>
      <c r="P9" s="75"/>
      <c r="Q9" s="75"/>
      <c r="R9" s="75"/>
      <c r="S9" s="75"/>
      <c r="T9" s="75"/>
      <c r="U9" s="75"/>
      <c r="V9" s="75"/>
      <c r="W9" s="75"/>
      <c r="X9" s="75"/>
      <c r="Y9" s="75"/>
      <c r="Z9" s="75"/>
    </row>
    <row r="10" spans="1:26" ht="15.75" customHeight="1">
      <c r="A10" s="71"/>
      <c r="B10" s="71"/>
      <c r="C10" s="72"/>
      <c r="D10" s="73"/>
      <c r="E10" s="76"/>
      <c r="F10" s="74"/>
      <c r="G10" s="71"/>
      <c r="H10" s="74"/>
      <c r="I10" s="13"/>
      <c r="J10" s="71"/>
      <c r="K10" s="17"/>
      <c r="L10" s="17"/>
      <c r="M10" s="17"/>
      <c r="N10" s="75"/>
      <c r="O10" s="75"/>
      <c r="P10" s="75"/>
      <c r="Q10" s="75"/>
      <c r="R10" s="75"/>
      <c r="S10" s="75"/>
      <c r="T10" s="75"/>
      <c r="U10" s="75"/>
      <c r="V10" s="75"/>
      <c r="W10" s="75"/>
      <c r="X10" s="75"/>
      <c r="Y10" s="75"/>
      <c r="Z10" s="75"/>
    </row>
    <row r="11" spans="1:26"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c r="P11" s="88"/>
      <c r="Q11" s="88"/>
      <c r="R11" s="88"/>
      <c r="S11" s="88"/>
      <c r="T11" s="88"/>
      <c r="U11" s="88"/>
      <c r="V11" s="88"/>
      <c r="W11" s="88"/>
      <c r="X11" s="88"/>
      <c r="Y11" s="88"/>
      <c r="Z11" s="88"/>
    </row>
    <row r="12" spans="1:26" ht="15.75" customHeight="1">
      <c r="A12" s="17" t="str">
        <f ca="1">IFERROR(__xludf.DUMMYFUNCTION("FILTER('Edo Cta Jeeves Sept'!$A$12:$C$1003,'Edo Cta Jeeves Sept'!$J$12:$J$1003=$A$2)"),"TRX1291")</f>
        <v>TRX1291</v>
      </c>
      <c r="B12" s="86" t="str">
        <f ca="1">IFERROR(__xludf.DUMMYFUNCTION("""COMPUTED_VALUE"""),"#7")</f>
        <v>#7</v>
      </c>
      <c r="C12" s="63">
        <f ca="1">IFERROR(__xludf.DUMMYFUNCTION("""COMPUTED_VALUE"""),46056.4166666666)</f>
        <v>46056.416666666599</v>
      </c>
      <c r="D12" s="65">
        <f ca="1">IFERROR(__xludf.DUMMYFUNCTION("FILTER('Edo Cta Jeeves Sept'!$G$12:$G$1003,'Edo Cta Jeeves Sept'!$J$12:$J$1003=$A$2)"),341.6)</f>
        <v>341.6</v>
      </c>
      <c r="E12" s="24" t="str">
        <f ca="1">IFERROR(__xludf.DUMMYFUNCTION("FILTER('Edo Cta Jeeves Sept'!$I$12:$I$1003,'Edo Cta Jeeves Sept'!$J$12:$J$1003=$A$2)"),"MXN")</f>
        <v>MXN</v>
      </c>
      <c r="F12" s="17" t="str">
        <f ca="1">IFERROR(__xludf.DUMMYFUNCTION("FILTER('Edo Cta Jeeves Sept'!$J$12:$J$1003,'Edo Cta Jeeves Sept'!$J$12:$J$1003=$A$2)"),"Isaac Mendoza Ruiz")</f>
        <v>Isaac Mendoza Ruiz</v>
      </c>
      <c r="G12" s="17" t="str">
        <f ca="1">IFERROR(__xludf.DUMMYFUNCTION("FILTER('Edo Cta Jeeves Sept'!$K$12:$L$1003,'Edo Cta Jeeves Sept'!$J$12:$J$1003=$A$2)"),"UBER * EATS PENDING    CMX           MEX")</f>
        <v>UBER * EATS PENDING    CMX           MEX</v>
      </c>
      <c r="H12" s="17" t="str">
        <f ca="1">IFERROR(__xludf.DUMMYFUNCTION("""COMPUTED_VALUE"""),"Uber Eats")</f>
        <v>Uber Eats</v>
      </c>
      <c r="I12" s="17" t="str">
        <f ca="1">IFERROR(__xludf.DUMMYFUNCTION("IMPORTRANGE(""https://docs.google.com/spreadsheets/d/1znylLiIp5kF-4qUWwRfDQDyK87zN_Gio0f7zXM7KYYs/edit#gid=1404531132"",""#7 Isaac!I12:K80"")"),"Office expenses")</f>
        <v>Office expenses</v>
      </c>
      <c r="J12" s="17" t="str">
        <f ca="1">IFERROR(__xludf.DUMMYFUNCTION("""COMPUTED_VALUE"""),"MTY ATP + Maken")</f>
        <v>MTY ATP + Maken</v>
      </c>
      <c r="K12" s="17" t="str">
        <f ca="1">IFERROR(__xludf.DUMMYFUNCTION("""COMPUTED_VALUE"""),".")</f>
        <v>.</v>
      </c>
      <c r="L12" s="17"/>
      <c r="M12" s="65">
        <f ca="1">SUM(D12:D13,D15:D27,D31)</f>
        <v>1011.44</v>
      </c>
      <c r="N12" s="17"/>
      <c r="O12" s="17"/>
      <c r="P12" s="17"/>
      <c r="Q12" s="17"/>
      <c r="R12" s="17"/>
      <c r="S12" s="17"/>
      <c r="T12" s="17"/>
      <c r="U12" s="17"/>
      <c r="V12" s="17"/>
      <c r="W12" s="17"/>
      <c r="X12" s="17"/>
      <c r="Y12" s="17"/>
      <c r="Z12" s="17"/>
    </row>
    <row r="13" spans="1:26" ht="15.75" customHeight="1">
      <c r="A13" s="17" t="str">
        <f ca="1">IFERROR(__xludf.DUMMYFUNCTION("""COMPUTED_VALUE"""),"TRX1156")</f>
        <v>TRX1156</v>
      </c>
      <c r="B13" s="86" t="str">
        <f ca="1">IFERROR(__xludf.DUMMYFUNCTION("""COMPUTED_VALUE"""),"#7")</f>
        <v>#7</v>
      </c>
      <c r="C13" s="63">
        <f ca="1">IFERROR(__xludf.DUMMYFUNCTION("""COMPUTED_VALUE"""),46059.4173611111)</f>
        <v>46059.417361111096</v>
      </c>
      <c r="D13" s="65">
        <f ca="1">IFERROR(__xludf.DUMMYFUNCTION("""COMPUTED_VALUE"""),120)</f>
        <v>120</v>
      </c>
      <c r="E13" s="24" t="str">
        <f ca="1">IFERROR(__xludf.DUMMYFUNCTION("""COMPUTED_VALUE"""),"MXN")</f>
        <v>MXN</v>
      </c>
      <c r="F13" s="17" t="str">
        <f ca="1">IFERROR(__xludf.DUMMYFUNCTION("""COMPUTED_VALUE"""),"Isaac Mendoza Ruiz")</f>
        <v>Isaac Mendoza Ruiz</v>
      </c>
      <c r="G13" s="17" t="str">
        <f ca="1">IFERROR(__xludf.DUMMYFUNCTION("""COMPUTED_VALUE"""),"EL SAZON DE MAMA       CIUDAD DE MEX MEX")</f>
        <v>EL SAZON DE MAMA       CIUDAD DE MEX MEX</v>
      </c>
      <c r="H13" s="17" t="str">
        <f ca="1">IFERROR(__xludf.DUMMYFUNCTION("""COMPUTED_VALUE"""),"El Sazon De Mama Ciudad De Mex Mex")</f>
        <v>El Sazon De Mama Ciudad De Mex Mex</v>
      </c>
      <c r="I13" s="17" t="str">
        <f ca="1">IFERROR(__xludf.DUMMYFUNCTION("""COMPUTED_VALUE"""),"Office expenses")</f>
        <v>Office expenses</v>
      </c>
      <c r="J13" s="17" t="str">
        <f ca="1">IFERROR(__xludf.DUMMYFUNCTION("""COMPUTED_VALUE"""),"MTY ATP + Maken")</f>
        <v>MTY ATP + Maken</v>
      </c>
      <c r="K13" s="17" t="str">
        <f ca="1">IFERROR(__xludf.DUMMYFUNCTION("""COMPUTED_VALUE"""),".")</f>
        <v>.</v>
      </c>
      <c r="L13" s="17"/>
      <c r="M13" s="17"/>
      <c r="N13" s="17"/>
      <c r="O13" s="17"/>
      <c r="P13" s="17"/>
      <c r="Q13" s="17"/>
      <c r="R13" s="17"/>
      <c r="S13" s="17"/>
      <c r="T13" s="17"/>
      <c r="U13" s="17"/>
      <c r="V13" s="17"/>
      <c r="W13" s="17"/>
      <c r="X13" s="17"/>
      <c r="Y13" s="17"/>
      <c r="Z13" s="17"/>
    </row>
    <row r="14" spans="1:26" ht="15.75" customHeight="1">
      <c r="A14" s="17" t="str">
        <f ca="1">IFERROR(__xludf.DUMMYFUNCTION("""COMPUTED_VALUE"""),"TRX1160")</f>
        <v>TRX1160</v>
      </c>
      <c r="B14" s="86" t="str">
        <f ca="1">IFERROR(__xludf.DUMMYFUNCTION("""COMPUTED_VALUE"""),"#7")</f>
        <v>#7</v>
      </c>
      <c r="C14" s="63">
        <f ca="1">IFERROR(__xludf.DUMMYFUNCTION("""COMPUTED_VALUE"""),46060.4166666666)</f>
        <v>46060.416666666599</v>
      </c>
      <c r="D14" s="65">
        <f ca="1">IFERROR(__xludf.DUMMYFUNCTION("""COMPUTED_VALUE"""),276.69)</f>
        <v>276.69</v>
      </c>
      <c r="E14" s="24" t="str">
        <f ca="1">IFERROR(__xludf.DUMMYFUNCTION("""COMPUTED_VALUE"""),"MXN")</f>
        <v>MXN</v>
      </c>
      <c r="F14" s="17" t="str">
        <f ca="1">IFERROR(__xludf.DUMMYFUNCTION("""COMPUTED_VALUE"""),"Isaac Mendoza Ruiz")</f>
        <v>Isaac Mendoza Ruiz</v>
      </c>
      <c r="G14" s="17" t="str">
        <f ca="1">IFERROR(__xludf.DUMMYFUNCTION("""COMPUTED_VALUE"""),"UBER * PENDING         CMX           MEX")</f>
        <v>UBER * PENDING         CMX           MEX</v>
      </c>
      <c r="H14" s="17" t="str">
        <f ca="1">IFERROR(__xludf.DUMMYFUNCTION("""COMPUTED_VALUE"""),"Uber")</f>
        <v>Uber</v>
      </c>
      <c r="I14" s="17" t="str">
        <f ca="1">IFERROR(__xludf.DUMMYFUNCTION("""COMPUTED_VALUE"""),"Office expenses")</f>
        <v>Office expenses</v>
      </c>
      <c r="J14" s="17" t="str">
        <f ca="1">IFERROR(__xludf.DUMMYFUNCTION("""COMPUTED_VALUE"""),"Viaje Puebla - Industrias Norm")</f>
        <v>Viaje Puebla - Industrias Norm</v>
      </c>
      <c r="K14" s="17" t="str">
        <f ca="1">IFERROR(__xludf.DUMMYFUNCTION("""COMPUTED_VALUE"""),".")</f>
        <v>.</v>
      </c>
      <c r="L14" s="17"/>
      <c r="M14" s="65">
        <f ca="1">SUM(D14,D28:D30,D32:D43)</f>
        <v>276.69</v>
      </c>
      <c r="N14" s="17"/>
      <c r="O14" s="17"/>
      <c r="P14" s="17"/>
      <c r="Q14" s="17"/>
      <c r="R14" s="17"/>
      <c r="S14" s="17"/>
      <c r="T14" s="17"/>
      <c r="U14" s="17"/>
      <c r="V14" s="17"/>
      <c r="W14" s="17"/>
      <c r="X14" s="17"/>
      <c r="Y14" s="17"/>
      <c r="Z14" s="17"/>
    </row>
    <row r="15" spans="1:26" ht="15.75" customHeight="1">
      <c r="A15" s="17" t="str">
        <f ca="1">IFERROR(__xludf.DUMMYFUNCTION("""COMPUTED_VALUE"""),"TRX1059")</f>
        <v>TRX1059</v>
      </c>
      <c r="B15" s="86" t="str">
        <f ca="1">IFERROR(__xludf.DUMMYFUNCTION("""COMPUTED_VALUE"""),"#7")</f>
        <v>#7</v>
      </c>
      <c r="C15" s="63">
        <f ca="1">IFERROR(__xludf.DUMMYFUNCTION("""COMPUTED_VALUE"""),46064.4166666666)</f>
        <v>46064.416666666599</v>
      </c>
      <c r="D15" s="65">
        <f ca="1">IFERROR(__xludf.DUMMYFUNCTION("""COMPUTED_VALUE"""),334.12)</f>
        <v>334.12</v>
      </c>
      <c r="E15" s="24" t="str">
        <f ca="1">IFERROR(__xludf.DUMMYFUNCTION("""COMPUTED_VALUE"""),"MXN")</f>
        <v>MXN</v>
      </c>
      <c r="F15" s="17" t="str">
        <f ca="1">IFERROR(__xludf.DUMMYFUNCTION("""COMPUTED_VALUE"""),"Isaac Mendoza Ruiz")</f>
        <v>Isaac Mendoza Ruiz</v>
      </c>
      <c r="G15" s="17" t="str">
        <f ca="1">IFERROR(__xludf.DUMMYFUNCTION("""COMPUTED_VALUE"""),"UBER * PENDING         CMX           MEX")</f>
        <v>UBER * PENDING         CMX           MEX</v>
      </c>
      <c r="H15" s="17" t="str">
        <f ca="1">IFERROR(__xludf.DUMMYFUNCTION("""COMPUTED_VALUE"""),"Uber")</f>
        <v>Uber</v>
      </c>
      <c r="I15" s="17" t="str">
        <f ca="1">IFERROR(__xludf.DUMMYFUNCTION("""COMPUTED_VALUE"""),"Office expenses")</f>
        <v>Office expenses</v>
      </c>
      <c r="J15" s="17" t="str">
        <f ca="1">IFERROR(__xludf.DUMMYFUNCTION("""COMPUTED_VALUE"""),"MTY ATP + Maken")</f>
        <v>MTY ATP + Maken</v>
      </c>
      <c r="K15" s="17" t="str">
        <f ca="1">IFERROR(__xludf.DUMMYFUNCTION("""COMPUTED_VALUE"""),".")</f>
        <v>.</v>
      </c>
      <c r="L15" s="17"/>
      <c r="M15" s="17"/>
      <c r="N15" s="17"/>
      <c r="O15" s="17"/>
      <c r="P15" s="17"/>
      <c r="Q15" s="17"/>
      <c r="R15" s="17"/>
      <c r="S15" s="17"/>
      <c r="T15" s="17"/>
      <c r="U15" s="17"/>
      <c r="V15" s="17"/>
      <c r="W15" s="17"/>
      <c r="X15" s="17"/>
      <c r="Y15" s="17"/>
      <c r="Z15" s="17"/>
    </row>
    <row r="16" spans="1:26" ht="15.75" customHeight="1">
      <c r="A16" s="17" t="str">
        <f ca="1">IFERROR(__xludf.DUMMYFUNCTION("""COMPUTED_VALUE"""),"TRX1154")</f>
        <v>TRX1154</v>
      </c>
      <c r="B16" s="86" t="str">
        <f ca="1">IFERROR(__xludf.DUMMYFUNCTION("""COMPUTED_VALUE"""),"#7")</f>
        <v>#7</v>
      </c>
      <c r="C16" s="63">
        <f ca="1">IFERROR(__xludf.DUMMYFUNCTION("""COMPUTED_VALUE"""),46064.4166666666)</f>
        <v>46064.416666666599</v>
      </c>
      <c r="D16" s="65">
        <f ca="1">IFERROR(__xludf.DUMMYFUNCTION("""COMPUTED_VALUE"""),65.79)</f>
        <v>65.790000000000006</v>
      </c>
      <c r="E16" s="24" t="str">
        <f ca="1">IFERROR(__xludf.DUMMYFUNCTION("""COMPUTED_VALUE"""),"MXN")</f>
        <v>MXN</v>
      </c>
      <c r="F16" s="17" t="str">
        <f ca="1">IFERROR(__xludf.DUMMYFUNCTION("""COMPUTED_VALUE"""),"Isaac Mendoza Ruiz")</f>
        <v>Isaac Mendoza Ruiz</v>
      </c>
      <c r="G16" s="17" t="str">
        <f ca="1">IFERROR(__xludf.DUMMYFUNCTION("""COMPUTED_VALUE"""),"UBER *TRIP HELP.UBER.C CMX           MEX")</f>
        <v>UBER *TRIP HELP.UBER.C CMX           MEX</v>
      </c>
      <c r="H16" s="17" t="str">
        <f ca="1">IFERROR(__xludf.DUMMYFUNCTION("""COMPUTED_VALUE"""),"Uber")</f>
        <v>Uber</v>
      </c>
      <c r="I16" s="17" t="str">
        <f ca="1">IFERROR(__xludf.DUMMYFUNCTION("""COMPUTED_VALUE"""),"Office expenses")</f>
        <v>Office expenses</v>
      </c>
      <c r="J16" s="17" t="str">
        <f ca="1">IFERROR(__xludf.DUMMYFUNCTION("""COMPUTED_VALUE"""),"MTY ATP + Maken")</f>
        <v>MTY ATP + Maken</v>
      </c>
      <c r="K16" s="17" t="str">
        <f ca="1">IFERROR(__xludf.DUMMYFUNCTION("""COMPUTED_VALUE"""),".")</f>
        <v>.</v>
      </c>
      <c r="L16" s="17"/>
      <c r="M16" s="17"/>
      <c r="N16" s="17"/>
      <c r="O16" s="17"/>
      <c r="P16" s="17"/>
      <c r="Q16" s="17"/>
      <c r="R16" s="17"/>
      <c r="S16" s="17"/>
      <c r="T16" s="17"/>
      <c r="U16" s="17"/>
      <c r="V16" s="17"/>
      <c r="W16" s="17"/>
      <c r="X16" s="17"/>
      <c r="Y16" s="17"/>
      <c r="Z16" s="17"/>
    </row>
    <row r="17" spans="1:26" ht="15.75" customHeight="1">
      <c r="A17" s="17" t="str">
        <f ca="1">IFERROR(__xludf.DUMMYFUNCTION("""COMPUTED_VALUE"""),"TRX1113")</f>
        <v>TRX1113</v>
      </c>
      <c r="B17" s="86" t="str">
        <f ca="1">IFERROR(__xludf.DUMMYFUNCTION("""COMPUTED_VALUE"""),"#7")</f>
        <v>#7</v>
      </c>
      <c r="C17" s="63">
        <f ca="1">IFERROR(__xludf.DUMMYFUNCTION("""COMPUTED_VALUE"""),46077.4166666666)</f>
        <v>46077.416666666599</v>
      </c>
      <c r="D17" s="65">
        <f ca="1">IFERROR(__xludf.DUMMYFUNCTION("""COMPUTED_VALUE"""),69.98)</f>
        <v>69.98</v>
      </c>
      <c r="E17" s="24" t="str">
        <f ca="1">IFERROR(__xludf.DUMMYFUNCTION("""COMPUTED_VALUE"""),"MXN")</f>
        <v>MXN</v>
      </c>
      <c r="F17" s="17" t="str">
        <f ca="1">IFERROR(__xludf.DUMMYFUNCTION("""COMPUTED_VALUE"""),"Isaac Mendoza Ruiz")</f>
        <v>Isaac Mendoza Ruiz</v>
      </c>
      <c r="G17" s="17" t="str">
        <f ca="1">IFERROR(__xludf.DUMMYFUNCTION("""COMPUTED_VALUE"""),"DLO*Uber               CDMX          MEX")</f>
        <v>DLO*Uber               CDMX          MEX</v>
      </c>
      <c r="H17" s="17" t="str">
        <f ca="1">IFERROR(__xludf.DUMMYFUNCTION("""COMPUTED_VALUE"""),"Uber")</f>
        <v>Uber</v>
      </c>
      <c r="I17" s="17" t="str">
        <f ca="1">IFERROR(__xludf.DUMMYFUNCTION("""COMPUTED_VALUE"""),"Office expenses")</f>
        <v>Office expenses</v>
      </c>
      <c r="J17" s="17" t="str">
        <f ca="1">IFERROR(__xludf.DUMMYFUNCTION("""COMPUTED_VALUE"""),"MTY ATP + Maken")</f>
        <v>MTY ATP + Maken</v>
      </c>
      <c r="K17" s="17" t="str">
        <f ca="1">IFERROR(__xludf.DUMMYFUNCTION("""COMPUTED_VALUE"""),".")</f>
        <v>.</v>
      </c>
      <c r="L17" s="17"/>
      <c r="M17" s="17"/>
      <c r="N17" s="17"/>
      <c r="O17" s="17"/>
      <c r="P17" s="17"/>
      <c r="Q17" s="17"/>
      <c r="R17" s="17"/>
      <c r="S17" s="17"/>
      <c r="T17" s="17"/>
      <c r="U17" s="17"/>
      <c r="V17" s="17"/>
      <c r="W17" s="17"/>
      <c r="X17" s="17"/>
      <c r="Y17" s="17"/>
      <c r="Z17" s="17"/>
    </row>
    <row r="18" spans="1:26" ht="15.75" customHeight="1">
      <c r="A18" s="17" t="str">
        <f ca="1">IFERROR(__xludf.DUMMYFUNCTION("""COMPUTED_VALUE"""),"TRX1129")</f>
        <v>TRX1129</v>
      </c>
      <c r="B18" s="86" t="str">
        <f ca="1">IFERROR(__xludf.DUMMYFUNCTION("""COMPUTED_VALUE"""),"#7")</f>
        <v>#7</v>
      </c>
      <c r="C18" s="63">
        <f ca="1">IFERROR(__xludf.DUMMYFUNCTION("""COMPUTED_VALUE"""),46078.4166666666)</f>
        <v>46078.416666666599</v>
      </c>
      <c r="D18" s="65">
        <f ca="1">IFERROR(__xludf.DUMMYFUNCTION("""COMPUTED_VALUE"""),79.95)</f>
        <v>79.95</v>
      </c>
      <c r="E18" s="24" t="str">
        <f ca="1">IFERROR(__xludf.DUMMYFUNCTION("""COMPUTED_VALUE"""),"MXN")</f>
        <v>MXN</v>
      </c>
      <c r="F18" s="17" t="str">
        <f ca="1">IFERROR(__xludf.DUMMYFUNCTION("""COMPUTED_VALUE"""),"Isaac Mendoza Ruiz")</f>
        <v>Isaac Mendoza Ruiz</v>
      </c>
      <c r="G18" s="17" t="str">
        <f ca="1">IFERROR(__xludf.DUMMYFUNCTION("""COMPUTED_VALUE"""),"UBER * PENDING         CMX           MEX")</f>
        <v>UBER * PENDING         CMX           MEX</v>
      </c>
      <c r="H18" s="17" t="str">
        <f ca="1">IFERROR(__xludf.DUMMYFUNCTION("""COMPUTED_VALUE"""),"Uber")</f>
        <v>Uber</v>
      </c>
      <c r="I18" s="17" t="str">
        <f ca="1">IFERROR(__xludf.DUMMYFUNCTION("""COMPUTED_VALUE"""),"Office expenses")</f>
        <v>Office expenses</v>
      </c>
      <c r="J18" s="17" t="str">
        <f ca="1">IFERROR(__xludf.DUMMYFUNCTION("""COMPUTED_VALUE"""),"Viaje Puebla - Industrias Norm")</f>
        <v>Viaje Puebla - Industrias Norm</v>
      </c>
      <c r="K18" s="17" t="str">
        <f ca="1">IFERROR(__xludf.DUMMYFUNCTION("""COMPUTED_VALUE"""),".")</f>
        <v>.</v>
      </c>
      <c r="L18" s="17"/>
      <c r="M18" s="17"/>
      <c r="N18" s="17"/>
      <c r="O18" s="17"/>
      <c r="P18" s="17"/>
      <c r="Q18" s="17"/>
      <c r="R18" s="17"/>
      <c r="S18" s="17"/>
      <c r="T18" s="17"/>
      <c r="U18" s="17"/>
      <c r="V18" s="17"/>
      <c r="W18" s="17"/>
      <c r="X18" s="17"/>
      <c r="Y18" s="17"/>
      <c r="Z18" s="17"/>
    </row>
    <row r="19" spans="1:26" ht="15.75" customHeight="1">
      <c r="A19" s="17"/>
      <c r="B19" s="24"/>
      <c r="C19" s="24"/>
      <c r="D19" s="17"/>
      <c r="E19" s="24"/>
      <c r="F19" s="17"/>
      <c r="G19" s="17"/>
      <c r="H19" s="17"/>
      <c r="I19" s="17" t="str">
        <f ca="1">IFERROR(__xludf.DUMMYFUNCTION("""COMPUTED_VALUE"""),"Office expenses")</f>
        <v>Office expenses</v>
      </c>
      <c r="J19" s="17" t="str">
        <f ca="1">IFERROR(__xludf.DUMMYFUNCTION("""COMPUTED_VALUE"""),"Viaje Puebla - Industrias Norm")</f>
        <v>Viaje Puebla - Industrias Norm</v>
      </c>
      <c r="K19" s="17" t="str">
        <f ca="1">IFERROR(__xludf.DUMMYFUNCTION("""COMPUTED_VALUE"""),".")</f>
        <v>.</v>
      </c>
      <c r="L19" s="17"/>
      <c r="M19" s="17"/>
      <c r="N19" s="17"/>
      <c r="O19" s="17"/>
      <c r="P19" s="17"/>
      <c r="Q19" s="17"/>
      <c r="R19" s="17"/>
      <c r="S19" s="17"/>
      <c r="T19" s="17"/>
      <c r="U19" s="17"/>
      <c r="V19" s="17"/>
      <c r="W19" s="17"/>
      <c r="X19" s="17"/>
      <c r="Y19" s="17"/>
      <c r="Z19" s="17"/>
    </row>
    <row r="20" spans="1:26" ht="12.5">
      <c r="A20" s="17"/>
      <c r="B20" s="24"/>
      <c r="C20" s="24"/>
      <c r="D20" s="17"/>
      <c r="E20" s="24"/>
      <c r="F20" s="17"/>
      <c r="G20" s="17"/>
      <c r="H20" s="17"/>
      <c r="I20" s="17" t="str">
        <f ca="1">IFERROR(__xludf.DUMMYFUNCTION("""COMPUTED_VALUE"""),"Office expenses")</f>
        <v>Office expenses</v>
      </c>
      <c r="J20" s="17" t="str">
        <f ca="1">IFERROR(__xludf.DUMMYFUNCTION("""COMPUTED_VALUE"""),"Viaje Puebla - Industrias Norm")</f>
        <v>Viaje Puebla - Industrias Norm</v>
      </c>
      <c r="K20" s="17" t="str">
        <f ca="1">IFERROR(__xludf.DUMMYFUNCTION("""COMPUTED_VALUE"""),".")</f>
        <v>.</v>
      </c>
      <c r="L20" s="17"/>
      <c r="M20" s="17"/>
      <c r="N20" s="17"/>
      <c r="O20" s="17"/>
      <c r="P20" s="17"/>
      <c r="Q20" s="17"/>
      <c r="R20" s="17"/>
      <c r="S20" s="17"/>
      <c r="T20" s="17"/>
      <c r="U20" s="17"/>
      <c r="V20" s="17"/>
      <c r="W20" s="17"/>
      <c r="X20" s="17"/>
      <c r="Y20" s="17"/>
      <c r="Z20" s="17"/>
    </row>
    <row r="21" spans="1:26" ht="12.5">
      <c r="A21" s="17"/>
      <c r="B21" s="24"/>
      <c r="C21" s="24"/>
      <c r="D21" s="17"/>
      <c r="E21" s="24"/>
      <c r="F21" s="17"/>
      <c r="G21" s="17"/>
      <c r="H21" s="17"/>
      <c r="I21" s="17" t="str">
        <f ca="1">IFERROR(__xludf.DUMMYFUNCTION("""COMPUTED_VALUE"""),"Office expenses")</f>
        <v>Office expenses</v>
      </c>
      <c r="J21" s="17" t="str">
        <f ca="1">IFERROR(__xludf.DUMMYFUNCTION("""COMPUTED_VALUE"""),"Viaje Puebla - Industrias Norm")</f>
        <v>Viaje Puebla - Industrias Norm</v>
      </c>
      <c r="K21" s="17" t="str">
        <f ca="1">IFERROR(__xludf.DUMMYFUNCTION("""COMPUTED_VALUE"""),".")</f>
        <v>.</v>
      </c>
      <c r="L21" s="17"/>
      <c r="M21" s="17"/>
      <c r="N21" s="17"/>
      <c r="O21" s="17"/>
      <c r="P21" s="17"/>
      <c r="Q21" s="17"/>
      <c r="R21" s="17"/>
      <c r="S21" s="17"/>
      <c r="T21" s="17"/>
      <c r="U21" s="17"/>
      <c r="V21" s="17"/>
      <c r="W21" s="17"/>
      <c r="X21" s="17"/>
      <c r="Y21" s="17"/>
      <c r="Z21" s="17"/>
    </row>
    <row r="22" spans="1:26" ht="12.5">
      <c r="A22" s="17"/>
      <c r="B22" s="24"/>
      <c r="C22" s="24"/>
      <c r="D22" s="17"/>
      <c r="E22" s="24"/>
      <c r="F22" s="17"/>
      <c r="G22" s="17"/>
      <c r="H22" s="17"/>
      <c r="I22" s="17" t="str">
        <f ca="1">IFERROR(__xludf.DUMMYFUNCTION("""COMPUTED_VALUE"""),"Office expenses")</f>
        <v>Office expenses</v>
      </c>
      <c r="J22" s="17" t="str">
        <f ca="1">IFERROR(__xludf.DUMMYFUNCTION("""COMPUTED_VALUE"""),"Viaje Puebla - Industrias Norm")</f>
        <v>Viaje Puebla - Industrias Norm</v>
      </c>
      <c r="K22" s="17" t="str">
        <f ca="1">IFERROR(__xludf.DUMMYFUNCTION("""COMPUTED_VALUE"""),".")</f>
        <v>.</v>
      </c>
      <c r="L22" s="17"/>
      <c r="M22" s="17"/>
      <c r="N22" s="17"/>
      <c r="O22" s="17"/>
      <c r="P22" s="17"/>
      <c r="Q22" s="17"/>
      <c r="R22" s="17"/>
      <c r="S22" s="17"/>
      <c r="T22" s="17"/>
      <c r="U22" s="17"/>
      <c r="V22" s="17"/>
      <c r="W22" s="17"/>
      <c r="X22" s="17"/>
      <c r="Y22" s="17"/>
      <c r="Z22" s="17"/>
    </row>
    <row r="23" spans="1:26" ht="12.5">
      <c r="A23" s="17"/>
      <c r="B23" s="24"/>
      <c r="C23" s="24"/>
      <c r="D23" s="17"/>
      <c r="E23" s="24"/>
      <c r="F23" s="17"/>
      <c r="G23" s="17"/>
      <c r="H23" s="17"/>
      <c r="I23" s="17" t="str">
        <f ca="1">IFERROR(__xludf.DUMMYFUNCTION("""COMPUTED_VALUE"""),"Office expenses")</f>
        <v>Office expenses</v>
      </c>
      <c r="J23" s="17" t="str">
        <f ca="1">IFERROR(__xludf.DUMMYFUNCTION("""COMPUTED_VALUE"""),"Viaje Puebla - Industrias Norm")</f>
        <v>Viaje Puebla - Industrias Norm</v>
      </c>
      <c r="K23" s="17" t="str">
        <f ca="1">IFERROR(__xludf.DUMMYFUNCTION("""COMPUTED_VALUE"""),".")</f>
        <v>.</v>
      </c>
      <c r="L23" s="17"/>
      <c r="M23" s="17"/>
      <c r="N23" s="17"/>
      <c r="O23" s="17"/>
      <c r="P23" s="17"/>
      <c r="Q23" s="17"/>
      <c r="R23" s="17"/>
      <c r="S23" s="17"/>
      <c r="T23" s="17"/>
      <c r="U23" s="17"/>
      <c r="V23" s="17"/>
      <c r="W23" s="17"/>
      <c r="X23" s="17"/>
      <c r="Y23" s="17"/>
      <c r="Z23" s="17"/>
    </row>
    <row r="24" spans="1:26" ht="12.5">
      <c r="A24" s="17"/>
      <c r="B24" s="24"/>
      <c r="C24" s="24"/>
      <c r="D24" s="17"/>
      <c r="E24" s="24"/>
      <c r="F24" s="17"/>
      <c r="G24" s="17"/>
      <c r="H24" s="17"/>
      <c r="I24" s="17" t="str">
        <f ca="1">IFERROR(__xludf.DUMMYFUNCTION("""COMPUTED_VALUE"""),"Office expenses")</f>
        <v>Office expenses</v>
      </c>
      <c r="J24" s="17" t="str">
        <f ca="1">IFERROR(__xludf.DUMMYFUNCTION("""COMPUTED_VALUE"""),"Viaje Puebla - Industrias Norm")</f>
        <v>Viaje Puebla - Industrias Norm</v>
      </c>
      <c r="K24" s="17" t="str">
        <f ca="1">IFERROR(__xludf.DUMMYFUNCTION("""COMPUTED_VALUE"""),".")</f>
        <v>.</v>
      </c>
      <c r="L24" s="17"/>
      <c r="M24" s="17"/>
      <c r="N24" s="17"/>
      <c r="O24" s="17"/>
      <c r="P24" s="17"/>
      <c r="Q24" s="17"/>
      <c r="R24" s="17"/>
      <c r="S24" s="17"/>
      <c r="T24" s="17"/>
      <c r="U24" s="17"/>
      <c r="V24" s="17"/>
      <c r="W24" s="17"/>
      <c r="X24" s="17"/>
      <c r="Y24" s="17"/>
      <c r="Z24" s="17"/>
    </row>
    <row r="25" spans="1:26" ht="12.5">
      <c r="A25" s="17"/>
      <c r="B25" s="24"/>
      <c r="C25" s="24"/>
      <c r="D25" s="17"/>
      <c r="E25" s="24"/>
      <c r="F25" s="17"/>
      <c r="G25" s="17"/>
      <c r="H25" s="17"/>
      <c r="I25" s="17" t="str">
        <f ca="1">IFERROR(__xludf.DUMMYFUNCTION("""COMPUTED_VALUE"""),"Office expenses")</f>
        <v>Office expenses</v>
      </c>
      <c r="J25" s="17" t="str">
        <f ca="1">IFERROR(__xludf.DUMMYFUNCTION("""COMPUTED_VALUE"""),"Viaje Puebla - Industrias Norm")</f>
        <v>Viaje Puebla - Industrias Norm</v>
      </c>
      <c r="K25" s="17" t="str">
        <f ca="1">IFERROR(__xludf.DUMMYFUNCTION("""COMPUTED_VALUE"""),".")</f>
        <v>.</v>
      </c>
      <c r="L25" s="17"/>
      <c r="M25" s="17"/>
      <c r="N25" s="17"/>
      <c r="O25" s="17"/>
      <c r="P25" s="17"/>
      <c r="Q25" s="17"/>
      <c r="R25" s="17"/>
      <c r="S25" s="17"/>
      <c r="T25" s="17"/>
      <c r="U25" s="17"/>
      <c r="V25" s="17"/>
      <c r="W25" s="17"/>
      <c r="X25" s="17"/>
      <c r="Y25" s="17"/>
      <c r="Z25" s="17"/>
    </row>
    <row r="26" spans="1:26" ht="12.5">
      <c r="A26" s="17"/>
      <c r="B26" s="24"/>
      <c r="C26" s="24"/>
      <c r="D26" s="17"/>
      <c r="E26" s="24"/>
      <c r="F26" s="17"/>
      <c r="G26" s="17"/>
      <c r="H26" s="17"/>
      <c r="I26" s="17" t="str">
        <f ca="1">IFERROR(__xludf.DUMMYFUNCTION("""COMPUTED_VALUE"""),"Office expenses")</f>
        <v>Office expenses</v>
      </c>
      <c r="J26" s="17"/>
      <c r="K26" s="17" t="str">
        <f ca="1">IFERROR(__xludf.DUMMYFUNCTION("""COMPUTED_VALUE"""),".")</f>
        <v>.</v>
      </c>
      <c r="L26" s="17"/>
      <c r="M26" s="17"/>
      <c r="N26" s="17"/>
      <c r="O26" s="17"/>
      <c r="P26" s="17"/>
      <c r="Q26" s="17"/>
      <c r="R26" s="17"/>
      <c r="S26" s="17"/>
      <c r="T26" s="17"/>
      <c r="U26" s="17"/>
      <c r="V26" s="17"/>
      <c r="W26" s="17"/>
      <c r="X26" s="17"/>
      <c r="Y26" s="17"/>
      <c r="Z26" s="17"/>
    </row>
    <row r="27" spans="1:26" ht="12.5">
      <c r="A27" s="17"/>
      <c r="B27" s="24"/>
      <c r="C27" s="24"/>
      <c r="D27" s="17"/>
      <c r="E27" s="24"/>
      <c r="F27" s="17"/>
      <c r="G27" s="17"/>
      <c r="H27" s="17"/>
      <c r="I27" s="17" t="str">
        <f ca="1">IFERROR(__xludf.DUMMYFUNCTION("""COMPUTED_VALUE"""),"Office expenses")</f>
        <v>Office expenses</v>
      </c>
      <c r="J27" s="17"/>
      <c r="K27" s="17" t="str">
        <f ca="1">IFERROR(__xludf.DUMMYFUNCTION("""COMPUTED_VALUE"""),".")</f>
        <v>.</v>
      </c>
      <c r="L27" s="17"/>
      <c r="M27" s="17"/>
      <c r="N27" s="17"/>
      <c r="O27" s="17"/>
      <c r="P27" s="17"/>
      <c r="Q27" s="17"/>
      <c r="R27" s="17"/>
      <c r="S27" s="17"/>
      <c r="T27" s="17"/>
      <c r="U27" s="17"/>
      <c r="V27" s="17"/>
      <c r="W27" s="17"/>
      <c r="X27" s="17"/>
      <c r="Y27" s="17"/>
      <c r="Z27" s="17"/>
    </row>
    <row r="28" spans="1:26" ht="12.5">
      <c r="A28" s="17"/>
      <c r="B28" s="24"/>
      <c r="C28" s="24"/>
      <c r="D28" s="17"/>
      <c r="E28" s="24"/>
      <c r="F28" s="17"/>
      <c r="G28" s="17"/>
      <c r="H28" s="17"/>
      <c r="I28" s="17" t="str">
        <f ca="1">IFERROR(__xludf.DUMMYFUNCTION("""COMPUTED_VALUE"""),"Sales")</f>
        <v>Sales</v>
      </c>
      <c r="J28" s="17"/>
      <c r="K28" s="17" t="str">
        <f ca="1">IFERROR(__xludf.DUMMYFUNCTION("""COMPUTED_VALUE"""),".")</f>
        <v>.</v>
      </c>
      <c r="L28" s="17"/>
      <c r="M28" s="17"/>
      <c r="N28" s="17"/>
      <c r="O28" s="17"/>
      <c r="P28" s="17"/>
      <c r="Q28" s="17"/>
      <c r="R28" s="17"/>
      <c r="S28" s="17"/>
      <c r="T28" s="17"/>
      <c r="U28" s="17"/>
      <c r="V28" s="17"/>
      <c r="W28" s="17"/>
      <c r="X28" s="17"/>
      <c r="Y28" s="17"/>
      <c r="Z28" s="17"/>
    </row>
    <row r="29" spans="1:26" ht="12.5">
      <c r="A29" s="17"/>
      <c r="B29" s="24"/>
      <c r="C29" s="24"/>
      <c r="D29" s="17"/>
      <c r="E29" s="24"/>
      <c r="F29" s="17"/>
      <c r="G29" s="17"/>
      <c r="H29" s="17"/>
      <c r="I29" s="17" t="str">
        <f ca="1">IFERROR(__xludf.DUMMYFUNCTION("""COMPUTED_VALUE"""),"Sales")</f>
        <v>Sales</v>
      </c>
      <c r="J29" s="17"/>
      <c r="K29" s="17" t="str">
        <f ca="1">IFERROR(__xludf.DUMMYFUNCTION("""COMPUTED_VALUE"""),".")</f>
        <v>.</v>
      </c>
      <c r="L29" s="17"/>
      <c r="M29" s="17"/>
      <c r="N29" s="17"/>
      <c r="O29" s="17"/>
      <c r="P29" s="17"/>
      <c r="Q29" s="17"/>
      <c r="R29" s="17"/>
      <c r="S29" s="17"/>
      <c r="T29" s="17"/>
      <c r="U29" s="17"/>
      <c r="V29" s="17"/>
      <c r="W29" s="17"/>
      <c r="X29" s="17"/>
      <c r="Y29" s="17"/>
      <c r="Z29" s="17"/>
    </row>
    <row r="30" spans="1:26" ht="12.5">
      <c r="A30" s="17"/>
      <c r="B30" s="24"/>
      <c r="C30" s="24"/>
      <c r="D30" s="17"/>
      <c r="E30" s="24"/>
      <c r="F30" s="17"/>
      <c r="G30" s="17"/>
      <c r="H30" s="17"/>
      <c r="I30" s="17" t="str">
        <f ca="1">IFERROR(__xludf.DUMMYFUNCTION("""COMPUTED_VALUE"""),"Sales")</f>
        <v>Sales</v>
      </c>
      <c r="J30" s="17"/>
      <c r="K30" s="17" t="str">
        <f ca="1">IFERROR(__xludf.DUMMYFUNCTION("""COMPUTED_VALUE"""),".")</f>
        <v>.</v>
      </c>
      <c r="L30" s="17"/>
      <c r="M30" s="17"/>
      <c r="N30" s="17"/>
      <c r="O30" s="17"/>
      <c r="P30" s="17"/>
      <c r="Q30" s="17"/>
      <c r="R30" s="17"/>
      <c r="S30" s="17"/>
      <c r="T30" s="17"/>
      <c r="U30" s="17"/>
      <c r="V30" s="17"/>
      <c r="W30" s="17"/>
      <c r="X30" s="17"/>
      <c r="Y30" s="17"/>
      <c r="Z30" s="17"/>
    </row>
    <row r="31" spans="1:26" ht="12.5">
      <c r="A31" s="17"/>
      <c r="B31" s="24"/>
      <c r="C31" s="24"/>
      <c r="D31" s="17"/>
      <c r="E31" s="24"/>
      <c r="F31" s="17"/>
      <c r="G31" s="17"/>
      <c r="H31" s="17"/>
      <c r="I31" s="17" t="str">
        <f ca="1">IFERROR(__xludf.DUMMYFUNCTION("""COMPUTED_VALUE"""),"Office expenses")</f>
        <v>Office expenses</v>
      </c>
      <c r="J31" s="17"/>
      <c r="K31" s="17" t="str">
        <f ca="1">IFERROR(__xludf.DUMMYFUNCTION("""COMPUTED_VALUE"""),".")</f>
        <v>.</v>
      </c>
      <c r="L31" s="17"/>
      <c r="M31" s="17"/>
      <c r="N31" s="17"/>
      <c r="O31" s="17"/>
      <c r="P31" s="17"/>
      <c r="Q31" s="17"/>
      <c r="R31" s="17"/>
      <c r="S31" s="17"/>
      <c r="T31" s="17"/>
      <c r="U31" s="17"/>
      <c r="V31" s="17"/>
      <c r="W31" s="17"/>
      <c r="X31" s="17"/>
      <c r="Y31" s="17"/>
      <c r="Z31" s="17"/>
    </row>
    <row r="32" spans="1:26" ht="12.5">
      <c r="A32" s="17"/>
      <c r="B32" s="24"/>
      <c r="C32" s="24"/>
      <c r="D32" s="17"/>
      <c r="E32" s="24"/>
      <c r="F32" s="17"/>
      <c r="G32" s="17"/>
      <c r="H32" s="17"/>
      <c r="I32" s="17" t="str">
        <f ca="1">IFERROR(__xludf.DUMMYFUNCTION("""COMPUTED_VALUE"""),"Sales")</f>
        <v>Sales</v>
      </c>
      <c r="J32" s="17"/>
      <c r="K32" s="17" t="str">
        <f ca="1">IFERROR(__xludf.DUMMYFUNCTION("""COMPUTED_VALUE"""),".")</f>
        <v>.</v>
      </c>
      <c r="L32" s="17"/>
      <c r="M32" s="17"/>
      <c r="N32" s="17"/>
      <c r="O32" s="17"/>
      <c r="P32" s="17"/>
      <c r="Q32" s="17"/>
      <c r="R32" s="17"/>
      <c r="S32" s="17"/>
      <c r="T32" s="17"/>
      <c r="U32" s="17"/>
      <c r="V32" s="17"/>
      <c r="W32" s="17"/>
      <c r="X32" s="17"/>
      <c r="Y32" s="17"/>
      <c r="Z32" s="17"/>
    </row>
    <row r="33" spans="1:26" ht="12.5">
      <c r="A33" s="17"/>
      <c r="B33" s="24"/>
      <c r="C33" s="24"/>
      <c r="D33" s="17"/>
      <c r="E33" s="24"/>
      <c r="F33" s="17"/>
      <c r="G33" s="17"/>
      <c r="H33" s="17"/>
      <c r="I33" s="17" t="str">
        <f ca="1">IFERROR(__xludf.DUMMYFUNCTION("""COMPUTED_VALUE"""),"Sales")</f>
        <v>Sales</v>
      </c>
      <c r="J33" s="17"/>
      <c r="K33" s="17" t="str">
        <f ca="1">IFERROR(__xludf.DUMMYFUNCTION("""COMPUTED_VALUE"""),".")</f>
        <v>.</v>
      </c>
      <c r="L33" s="17"/>
      <c r="M33" s="17"/>
      <c r="N33" s="17"/>
      <c r="O33" s="17"/>
      <c r="P33" s="17"/>
      <c r="Q33" s="17"/>
      <c r="R33" s="17"/>
      <c r="S33" s="17"/>
      <c r="T33" s="17"/>
      <c r="U33" s="17"/>
      <c r="V33" s="17"/>
      <c r="W33" s="17"/>
      <c r="X33" s="17"/>
      <c r="Y33" s="17"/>
      <c r="Z33" s="17"/>
    </row>
    <row r="34" spans="1:26" ht="12.5">
      <c r="A34" s="17"/>
      <c r="B34" s="24"/>
      <c r="C34" s="24"/>
      <c r="D34" s="17"/>
      <c r="E34" s="24"/>
      <c r="F34" s="17"/>
      <c r="G34" s="17"/>
      <c r="H34" s="17"/>
      <c r="I34" s="17" t="str">
        <f ca="1">IFERROR(__xludf.DUMMYFUNCTION("""COMPUTED_VALUE"""),"Sales")</f>
        <v>Sales</v>
      </c>
      <c r="J34" s="17"/>
      <c r="K34" s="17" t="str">
        <f ca="1">IFERROR(__xludf.DUMMYFUNCTION("""COMPUTED_VALUE"""),".")</f>
        <v>.</v>
      </c>
      <c r="L34" s="17"/>
      <c r="M34" s="17"/>
      <c r="N34" s="17"/>
      <c r="O34" s="17"/>
      <c r="P34" s="17"/>
      <c r="Q34" s="17"/>
      <c r="R34" s="17"/>
      <c r="S34" s="17"/>
      <c r="T34" s="17"/>
      <c r="U34" s="17"/>
      <c r="V34" s="17"/>
      <c r="W34" s="17"/>
      <c r="X34" s="17"/>
      <c r="Y34" s="17"/>
      <c r="Z34" s="17"/>
    </row>
    <row r="35" spans="1:26" ht="12.5">
      <c r="A35" s="17"/>
      <c r="B35" s="24"/>
      <c r="C35" s="24"/>
      <c r="D35" s="17"/>
      <c r="E35" s="24"/>
      <c r="F35" s="17"/>
      <c r="G35" s="17"/>
      <c r="H35" s="17"/>
      <c r="I35" s="17" t="str">
        <f ca="1">IFERROR(__xludf.DUMMYFUNCTION("""COMPUTED_VALUE"""),"Sales")</f>
        <v>Sales</v>
      </c>
      <c r="J35" s="17"/>
      <c r="K35" s="17" t="str">
        <f ca="1">IFERROR(__xludf.DUMMYFUNCTION("""COMPUTED_VALUE"""),".")</f>
        <v>.</v>
      </c>
      <c r="L35" s="17"/>
      <c r="M35" s="17"/>
      <c r="N35" s="17"/>
      <c r="O35" s="17"/>
      <c r="P35" s="17"/>
      <c r="Q35" s="17"/>
      <c r="R35" s="17"/>
      <c r="S35" s="17"/>
      <c r="T35" s="17"/>
      <c r="U35" s="17"/>
      <c r="V35" s="17"/>
      <c r="W35" s="17"/>
      <c r="X35" s="17"/>
      <c r="Y35" s="17"/>
      <c r="Z35" s="17"/>
    </row>
    <row r="36" spans="1:26" ht="12.5">
      <c r="A36" s="17"/>
      <c r="B36" s="24"/>
      <c r="C36" s="24"/>
      <c r="D36" s="17"/>
      <c r="E36" s="24"/>
      <c r="F36" s="17"/>
      <c r="G36" s="17"/>
      <c r="H36" s="17"/>
      <c r="I36" s="17" t="str">
        <f ca="1">IFERROR(__xludf.DUMMYFUNCTION("""COMPUTED_VALUE"""),"Sales")</f>
        <v>Sales</v>
      </c>
      <c r="J36" s="17"/>
      <c r="K36" s="17" t="str">
        <f ca="1">IFERROR(__xludf.DUMMYFUNCTION("""COMPUTED_VALUE"""),".")</f>
        <v>.</v>
      </c>
      <c r="L36" s="17"/>
      <c r="M36" s="17"/>
      <c r="N36" s="17"/>
      <c r="O36" s="17"/>
      <c r="P36" s="17"/>
      <c r="Q36" s="17"/>
      <c r="R36" s="17"/>
      <c r="S36" s="17"/>
      <c r="T36" s="17"/>
      <c r="U36" s="17"/>
      <c r="V36" s="17"/>
      <c r="W36" s="17"/>
      <c r="X36" s="17"/>
      <c r="Y36" s="17"/>
      <c r="Z36" s="17"/>
    </row>
    <row r="37" spans="1:26" ht="12.5">
      <c r="A37" s="17"/>
      <c r="B37" s="24"/>
      <c r="C37" s="24"/>
      <c r="D37" s="17"/>
      <c r="E37" s="24"/>
      <c r="F37" s="17"/>
      <c r="G37" s="17"/>
      <c r="H37" s="17"/>
      <c r="I37" s="17" t="str">
        <f ca="1">IFERROR(__xludf.DUMMYFUNCTION("""COMPUTED_VALUE"""),"Sales")</f>
        <v>Sales</v>
      </c>
      <c r="J37" s="17"/>
      <c r="K37" s="17" t="str">
        <f ca="1">IFERROR(__xludf.DUMMYFUNCTION("""COMPUTED_VALUE"""),".")</f>
        <v>.</v>
      </c>
      <c r="L37" s="17"/>
      <c r="M37" s="17"/>
      <c r="N37" s="17"/>
      <c r="O37" s="17"/>
      <c r="P37" s="17"/>
      <c r="Q37" s="17"/>
      <c r="R37" s="17"/>
      <c r="S37" s="17"/>
      <c r="T37" s="17"/>
      <c r="U37" s="17"/>
      <c r="V37" s="17"/>
      <c r="W37" s="17"/>
      <c r="X37" s="17"/>
      <c r="Y37" s="17"/>
      <c r="Z37" s="17"/>
    </row>
    <row r="38" spans="1:26" ht="12.5">
      <c r="A38" s="17"/>
      <c r="B38" s="24"/>
      <c r="C38" s="24"/>
      <c r="D38" s="17"/>
      <c r="E38" s="24"/>
      <c r="F38" s="17"/>
      <c r="G38" s="17"/>
      <c r="H38" s="17"/>
      <c r="I38" s="17" t="str">
        <f ca="1">IFERROR(__xludf.DUMMYFUNCTION("""COMPUTED_VALUE"""),"Sales")</f>
        <v>Sales</v>
      </c>
      <c r="J38" s="17"/>
      <c r="K38" s="17" t="str">
        <f ca="1">IFERROR(__xludf.DUMMYFUNCTION("""COMPUTED_VALUE"""),".")</f>
        <v>.</v>
      </c>
      <c r="L38" s="17"/>
      <c r="M38" s="17"/>
      <c r="N38" s="17"/>
      <c r="O38" s="17"/>
      <c r="P38" s="17"/>
      <c r="Q38" s="17"/>
      <c r="R38" s="17"/>
      <c r="S38" s="17"/>
      <c r="T38" s="17"/>
      <c r="U38" s="17"/>
      <c r="V38" s="17"/>
      <c r="W38" s="17"/>
      <c r="X38" s="17"/>
      <c r="Y38" s="17"/>
      <c r="Z38" s="17"/>
    </row>
    <row r="39" spans="1:26" ht="12.5">
      <c r="A39" s="17"/>
      <c r="B39" s="24"/>
      <c r="C39" s="24"/>
      <c r="D39" s="17"/>
      <c r="E39" s="24"/>
      <c r="F39" s="17"/>
      <c r="G39" s="17"/>
      <c r="H39" s="17"/>
      <c r="I39" s="17" t="str">
        <f ca="1">IFERROR(__xludf.DUMMYFUNCTION("""COMPUTED_VALUE"""),"Sales")</f>
        <v>Sales</v>
      </c>
      <c r="J39" s="17"/>
      <c r="K39" s="17" t="str">
        <f ca="1">IFERROR(__xludf.DUMMYFUNCTION("""COMPUTED_VALUE"""),".")</f>
        <v>.</v>
      </c>
      <c r="L39" s="17"/>
      <c r="M39" s="17"/>
      <c r="N39" s="17"/>
      <c r="O39" s="17"/>
      <c r="P39" s="17"/>
      <c r="Q39" s="17"/>
      <c r="R39" s="17"/>
      <c r="S39" s="17"/>
      <c r="T39" s="17"/>
      <c r="U39" s="17"/>
      <c r="V39" s="17"/>
      <c r="W39" s="17"/>
      <c r="X39" s="17"/>
      <c r="Y39" s="17"/>
      <c r="Z39" s="17"/>
    </row>
    <row r="40" spans="1:26" ht="12.5">
      <c r="A40" s="17"/>
      <c r="B40" s="24"/>
      <c r="C40" s="24"/>
      <c r="D40" s="17"/>
      <c r="E40" s="24"/>
      <c r="F40" s="17"/>
      <c r="G40" s="17"/>
      <c r="H40" s="17"/>
      <c r="I40" s="17" t="str">
        <f ca="1">IFERROR(__xludf.DUMMYFUNCTION("""COMPUTED_VALUE"""),"Sales")</f>
        <v>Sales</v>
      </c>
      <c r="J40" s="17"/>
      <c r="K40" s="17" t="str">
        <f ca="1">IFERROR(__xludf.DUMMYFUNCTION("""COMPUTED_VALUE"""),".")</f>
        <v>.</v>
      </c>
      <c r="L40" s="17"/>
      <c r="M40" s="17"/>
      <c r="N40" s="17"/>
      <c r="O40" s="17"/>
      <c r="P40" s="17"/>
      <c r="Q40" s="17"/>
      <c r="R40" s="17"/>
      <c r="S40" s="17"/>
      <c r="T40" s="17"/>
      <c r="U40" s="17"/>
      <c r="V40" s="17"/>
      <c r="W40" s="17"/>
      <c r="X40" s="17"/>
      <c r="Y40" s="17"/>
      <c r="Z40" s="17"/>
    </row>
    <row r="41" spans="1:26" ht="12.5">
      <c r="A41" s="17"/>
      <c r="B41" s="24"/>
      <c r="C41" s="24"/>
      <c r="D41" s="17"/>
      <c r="E41" s="24"/>
      <c r="F41" s="17"/>
      <c r="G41" s="17"/>
      <c r="H41" s="17"/>
      <c r="I41" s="17" t="str">
        <f ca="1">IFERROR(__xludf.DUMMYFUNCTION("""COMPUTED_VALUE"""),"Sales")</f>
        <v>Sales</v>
      </c>
      <c r="J41" s="17"/>
      <c r="K41" s="17" t="str">
        <f ca="1">IFERROR(__xludf.DUMMYFUNCTION("""COMPUTED_VALUE"""),".")</f>
        <v>.</v>
      </c>
      <c r="L41" s="17"/>
      <c r="M41" s="17"/>
      <c r="N41" s="17"/>
      <c r="O41" s="17"/>
      <c r="P41" s="17"/>
      <c r="Q41" s="17"/>
      <c r="R41" s="17"/>
      <c r="S41" s="17"/>
      <c r="T41" s="17"/>
      <c r="U41" s="17"/>
      <c r="V41" s="17"/>
      <c r="W41" s="17"/>
      <c r="X41" s="17"/>
      <c r="Y41" s="17"/>
      <c r="Z41" s="17"/>
    </row>
    <row r="42" spans="1:26" ht="12.5">
      <c r="A42" s="17"/>
      <c r="B42" s="24"/>
      <c r="C42" s="24"/>
      <c r="D42" s="17"/>
      <c r="E42" s="24"/>
      <c r="F42" s="17"/>
      <c r="G42" s="17"/>
      <c r="H42" s="17"/>
      <c r="I42" s="17" t="str">
        <f ca="1">IFERROR(__xludf.DUMMYFUNCTION("""COMPUTED_VALUE"""),"Sales")</f>
        <v>Sales</v>
      </c>
      <c r="J42" s="17"/>
      <c r="K42" s="17" t="str">
        <f ca="1">IFERROR(__xludf.DUMMYFUNCTION("""COMPUTED_VALUE"""),".")</f>
        <v>.</v>
      </c>
      <c r="L42" s="17"/>
      <c r="M42" s="17"/>
      <c r="N42" s="17"/>
      <c r="O42" s="17"/>
      <c r="P42" s="17"/>
      <c r="Q42" s="17"/>
      <c r="R42" s="17"/>
      <c r="S42" s="17"/>
      <c r="T42" s="17"/>
      <c r="U42" s="17"/>
      <c r="V42" s="17"/>
      <c r="W42" s="17"/>
      <c r="X42" s="17"/>
      <c r="Y42" s="17"/>
      <c r="Z42" s="17"/>
    </row>
    <row r="43" spans="1:26" ht="12.5">
      <c r="A43" s="17"/>
      <c r="B43" s="24"/>
      <c r="C43" s="24"/>
      <c r="D43" s="17"/>
      <c r="E43" s="24"/>
      <c r="F43" s="17"/>
      <c r="G43" s="17"/>
      <c r="H43" s="17"/>
      <c r="I43" s="17"/>
      <c r="J43" s="17"/>
      <c r="K43" s="17" t="str">
        <f ca="1">IFERROR(__xludf.DUMMYFUNCTION("""COMPUTED_VALUE"""),".")</f>
        <v>.</v>
      </c>
      <c r="L43" s="17"/>
      <c r="M43" s="17"/>
      <c r="N43" s="17"/>
      <c r="O43" s="17"/>
      <c r="P43" s="17"/>
      <c r="Q43" s="17"/>
      <c r="R43" s="17"/>
      <c r="S43" s="17"/>
      <c r="T43" s="17"/>
      <c r="U43" s="17"/>
      <c r="V43" s="17"/>
      <c r="W43" s="17"/>
      <c r="X43" s="17"/>
      <c r="Y43" s="17"/>
      <c r="Z43" s="17"/>
    </row>
    <row r="44" spans="1:26" ht="12.5">
      <c r="A44" s="17"/>
      <c r="B44" s="24"/>
      <c r="C44" s="24"/>
      <c r="D44" s="17"/>
      <c r="E44" s="24"/>
      <c r="F44" s="17"/>
      <c r="G44" s="17"/>
      <c r="H44" s="17"/>
      <c r="I44" s="17"/>
      <c r="J44" s="17"/>
      <c r="K44" s="17" t="str">
        <f ca="1">IFERROR(__xludf.DUMMYFUNCTION("""COMPUTED_VALUE"""),".")</f>
        <v>.</v>
      </c>
      <c r="L44" s="17"/>
      <c r="M44" s="17"/>
      <c r="N44" s="17"/>
      <c r="O44" s="17"/>
      <c r="P44" s="17"/>
      <c r="Q44" s="17"/>
      <c r="R44" s="17"/>
      <c r="S44" s="17"/>
      <c r="T44" s="17"/>
      <c r="U44" s="17"/>
      <c r="V44" s="17"/>
      <c r="W44" s="17"/>
      <c r="X44" s="17"/>
      <c r="Y44" s="17"/>
      <c r="Z44" s="17"/>
    </row>
    <row r="45" spans="1:26" ht="12.5">
      <c r="A45" s="17"/>
      <c r="B45" s="24"/>
      <c r="C45" s="24"/>
      <c r="D45" s="17"/>
      <c r="E45" s="24"/>
      <c r="F45" s="17"/>
      <c r="G45" s="17"/>
      <c r="H45" s="17"/>
      <c r="I45" s="17"/>
      <c r="J45" s="17"/>
      <c r="K45" s="17" t="str">
        <f ca="1">IFERROR(__xludf.DUMMYFUNCTION("""COMPUTED_VALUE"""),".")</f>
        <v>.</v>
      </c>
      <c r="L45" s="17"/>
      <c r="M45" s="17"/>
      <c r="N45" s="17"/>
      <c r="O45" s="17"/>
      <c r="P45" s="17"/>
      <c r="Q45" s="17"/>
      <c r="R45" s="17"/>
      <c r="S45" s="17"/>
      <c r="T45" s="17"/>
      <c r="U45" s="17"/>
      <c r="V45" s="17"/>
      <c r="W45" s="17"/>
      <c r="X45" s="17"/>
      <c r="Y45" s="17"/>
      <c r="Z45" s="17"/>
    </row>
    <row r="46" spans="1:26" ht="12.5">
      <c r="A46" s="17"/>
      <c r="B46" s="24"/>
      <c r="C46" s="24"/>
      <c r="D46" s="17"/>
      <c r="E46" s="24"/>
      <c r="F46" s="17"/>
      <c r="G46" s="17"/>
      <c r="H46" s="17"/>
      <c r="I46" s="17"/>
      <c r="J46" s="17"/>
      <c r="K46" s="17" t="str">
        <f ca="1">IFERROR(__xludf.DUMMYFUNCTION("""COMPUTED_VALUE"""),".")</f>
        <v>.</v>
      </c>
      <c r="L46" s="17"/>
      <c r="M46" s="17"/>
      <c r="N46" s="17"/>
      <c r="O46" s="17"/>
      <c r="P46" s="17"/>
      <c r="Q46" s="17"/>
      <c r="R46" s="17"/>
      <c r="S46" s="17"/>
      <c r="T46" s="17"/>
      <c r="U46" s="17"/>
      <c r="V46" s="17"/>
      <c r="W46" s="17"/>
      <c r="X46" s="17"/>
      <c r="Y46" s="17"/>
      <c r="Z46" s="17"/>
    </row>
    <row r="47" spans="1:26" ht="12.5">
      <c r="A47" s="17"/>
      <c r="B47" s="24"/>
      <c r="C47" s="24"/>
      <c r="D47" s="17"/>
      <c r="E47" s="24"/>
      <c r="F47" s="17"/>
      <c r="G47" s="17"/>
      <c r="H47" s="17"/>
      <c r="I47" s="17"/>
      <c r="J47" s="17"/>
      <c r="K47" s="17" t="str">
        <f ca="1">IFERROR(__xludf.DUMMYFUNCTION("""COMPUTED_VALUE"""),".")</f>
        <v>.</v>
      </c>
      <c r="L47" s="17"/>
      <c r="M47" s="17"/>
      <c r="N47" s="17"/>
      <c r="O47" s="17"/>
      <c r="P47" s="17"/>
      <c r="Q47" s="17"/>
      <c r="R47" s="17"/>
      <c r="S47" s="17"/>
      <c r="T47" s="17"/>
      <c r="U47" s="17"/>
      <c r="V47" s="17"/>
      <c r="W47" s="17"/>
      <c r="X47" s="17"/>
      <c r="Y47" s="17"/>
      <c r="Z47" s="17"/>
    </row>
    <row r="48" spans="1:26" ht="12.5">
      <c r="A48" s="17"/>
      <c r="B48" s="24"/>
      <c r="C48" s="24"/>
      <c r="D48" s="17"/>
      <c r="E48" s="24"/>
      <c r="F48" s="17"/>
      <c r="G48" s="17"/>
      <c r="H48" s="17"/>
      <c r="I48" s="17"/>
      <c r="J48" s="17"/>
      <c r="K48" s="17" t="str">
        <f ca="1">IFERROR(__xludf.DUMMYFUNCTION("""COMPUTED_VALUE"""),".")</f>
        <v>.</v>
      </c>
      <c r="L48" s="17"/>
      <c r="M48" s="17"/>
      <c r="N48" s="17"/>
      <c r="O48" s="17"/>
      <c r="P48" s="17"/>
      <c r="Q48" s="17"/>
      <c r="R48" s="17"/>
      <c r="S48" s="17"/>
      <c r="T48" s="17"/>
      <c r="U48" s="17"/>
      <c r="V48" s="17"/>
      <c r="W48" s="17"/>
      <c r="X48" s="17"/>
      <c r="Y48" s="17"/>
      <c r="Z48" s="17"/>
    </row>
    <row r="49" spans="1:26" ht="12.5">
      <c r="A49" s="17"/>
      <c r="B49" s="24"/>
      <c r="C49" s="24"/>
      <c r="D49" s="17"/>
      <c r="E49" s="24"/>
      <c r="F49" s="17"/>
      <c r="G49" s="17"/>
      <c r="H49" s="17"/>
      <c r="I49" s="17"/>
      <c r="J49" s="17"/>
      <c r="K49" s="17" t="str">
        <f ca="1">IFERROR(__xludf.DUMMYFUNCTION("""COMPUTED_VALUE"""),".")</f>
        <v>.</v>
      </c>
      <c r="L49" s="17"/>
      <c r="M49" s="17"/>
      <c r="N49" s="17"/>
      <c r="O49" s="17"/>
      <c r="P49" s="17"/>
      <c r="Q49" s="17"/>
      <c r="R49" s="17"/>
      <c r="S49" s="17"/>
      <c r="T49" s="17"/>
      <c r="U49" s="17"/>
      <c r="V49" s="17"/>
      <c r="W49" s="17"/>
      <c r="X49" s="17"/>
      <c r="Y49" s="17"/>
      <c r="Z49" s="17"/>
    </row>
    <row r="50" spans="1:26" ht="12.5">
      <c r="A50" s="17"/>
      <c r="B50" s="24"/>
      <c r="C50" s="24"/>
      <c r="D50" s="17"/>
      <c r="E50" s="24"/>
      <c r="F50" s="17"/>
      <c r="G50" s="17"/>
      <c r="H50" s="17"/>
      <c r="I50" s="17"/>
      <c r="J50" s="17"/>
      <c r="K50" s="17" t="str">
        <f ca="1">IFERROR(__xludf.DUMMYFUNCTION("""COMPUTED_VALUE"""),".")</f>
        <v>.</v>
      </c>
      <c r="L50" s="17"/>
      <c r="M50" s="17"/>
      <c r="N50" s="17"/>
      <c r="O50" s="17"/>
      <c r="P50" s="17"/>
      <c r="Q50" s="17"/>
      <c r="R50" s="17"/>
      <c r="S50" s="17"/>
      <c r="T50" s="17"/>
      <c r="U50" s="17"/>
      <c r="V50" s="17"/>
      <c r="W50" s="17"/>
      <c r="X50" s="17"/>
      <c r="Y50" s="17"/>
      <c r="Z50" s="17"/>
    </row>
    <row r="51" spans="1:26" ht="12.5">
      <c r="A51" s="17"/>
      <c r="B51" s="24"/>
      <c r="C51" s="24"/>
      <c r="D51" s="17"/>
      <c r="E51" s="24"/>
      <c r="F51" s="17"/>
      <c r="G51" s="17"/>
      <c r="H51" s="17"/>
      <c r="I51" s="17"/>
      <c r="J51" s="17"/>
      <c r="K51" s="17" t="str">
        <f ca="1">IFERROR(__xludf.DUMMYFUNCTION("""COMPUTED_VALUE"""),".")</f>
        <v>.</v>
      </c>
      <c r="L51" s="17"/>
      <c r="M51" s="17"/>
      <c r="N51" s="17"/>
      <c r="O51" s="17"/>
      <c r="P51" s="17"/>
      <c r="Q51" s="17"/>
      <c r="R51" s="17"/>
      <c r="S51" s="17"/>
      <c r="T51" s="17"/>
      <c r="U51" s="17"/>
      <c r="V51" s="17"/>
      <c r="W51" s="17"/>
      <c r="X51" s="17"/>
      <c r="Y51" s="17"/>
      <c r="Z51" s="17"/>
    </row>
    <row r="52" spans="1:26" ht="12.5">
      <c r="A52" s="17"/>
      <c r="B52" s="24"/>
      <c r="C52" s="24"/>
      <c r="D52" s="17"/>
      <c r="E52" s="24"/>
      <c r="F52" s="17"/>
      <c r="G52" s="17"/>
      <c r="H52" s="17"/>
      <c r="I52" s="17"/>
      <c r="J52" s="17"/>
      <c r="K52" s="17" t="str">
        <f ca="1">IFERROR(__xludf.DUMMYFUNCTION("""COMPUTED_VALUE"""),".")</f>
        <v>.</v>
      </c>
      <c r="L52" s="17"/>
      <c r="M52" s="17"/>
      <c r="N52" s="17"/>
      <c r="O52" s="17"/>
      <c r="P52" s="17"/>
      <c r="Q52" s="17"/>
      <c r="R52" s="17"/>
      <c r="S52" s="17"/>
      <c r="T52" s="17"/>
      <c r="U52" s="17"/>
      <c r="V52" s="17"/>
      <c r="W52" s="17"/>
      <c r="X52" s="17"/>
      <c r="Y52" s="17"/>
      <c r="Z52" s="17"/>
    </row>
    <row r="53" spans="1:26" ht="12.5">
      <c r="A53" s="17"/>
      <c r="B53" s="24"/>
      <c r="C53" s="24"/>
      <c r="D53" s="17"/>
      <c r="E53" s="24"/>
      <c r="F53" s="17"/>
      <c r="G53" s="17"/>
      <c r="H53" s="17"/>
      <c r="I53" s="17"/>
      <c r="J53" s="17"/>
      <c r="K53" s="17" t="str">
        <f ca="1">IFERROR(__xludf.DUMMYFUNCTION("""COMPUTED_VALUE"""),".")</f>
        <v>.</v>
      </c>
      <c r="L53" s="17"/>
      <c r="M53" s="17"/>
      <c r="N53" s="17"/>
      <c r="O53" s="17"/>
      <c r="P53" s="17"/>
      <c r="Q53" s="17"/>
      <c r="R53" s="17"/>
      <c r="S53" s="17"/>
      <c r="T53" s="17"/>
      <c r="U53" s="17"/>
      <c r="V53" s="17"/>
      <c r="W53" s="17"/>
      <c r="X53" s="17"/>
      <c r="Y53" s="17"/>
      <c r="Z53" s="17"/>
    </row>
    <row r="54" spans="1:26" ht="12.5">
      <c r="A54" s="17"/>
      <c r="B54" s="24"/>
      <c r="C54" s="24"/>
      <c r="D54" s="17"/>
      <c r="E54" s="24"/>
      <c r="F54" s="17"/>
      <c r="G54" s="17"/>
      <c r="H54" s="17"/>
      <c r="I54" s="17"/>
      <c r="J54" s="17"/>
      <c r="K54" s="17" t="str">
        <f ca="1">IFERROR(__xludf.DUMMYFUNCTION("""COMPUTED_VALUE"""),".")</f>
        <v>.</v>
      </c>
      <c r="L54" s="17"/>
      <c r="M54" s="17"/>
      <c r="N54" s="17"/>
      <c r="O54" s="17"/>
      <c r="P54" s="17"/>
      <c r="Q54" s="17"/>
      <c r="R54" s="17"/>
      <c r="S54" s="17"/>
      <c r="T54" s="17"/>
      <c r="U54" s="17"/>
      <c r="V54" s="17"/>
      <c r="W54" s="17"/>
      <c r="X54" s="17"/>
      <c r="Y54" s="17"/>
      <c r="Z54" s="17"/>
    </row>
    <row r="55" spans="1:26" ht="12.5">
      <c r="A55" s="17"/>
      <c r="B55" s="24"/>
      <c r="C55" s="24"/>
      <c r="D55" s="17"/>
      <c r="E55" s="24"/>
      <c r="F55" s="17"/>
      <c r="G55" s="17"/>
      <c r="H55" s="17"/>
      <c r="I55" s="17"/>
      <c r="J55" s="17"/>
      <c r="K55" s="17" t="str">
        <f ca="1">IFERROR(__xludf.DUMMYFUNCTION("""COMPUTED_VALUE"""),".")</f>
        <v>.</v>
      </c>
      <c r="L55" s="17"/>
      <c r="M55" s="17"/>
      <c r="N55" s="17"/>
      <c r="O55" s="17"/>
      <c r="P55" s="17"/>
      <c r="Q55" s="17"/>
      <c r="R55" s="17"/>
      <c r="S55" s="17"/>
      <c r="T55" s="17"/>
      <c r="U55" s="17"/>
      <c r="V55" s="17"/>
      <c r="W55" s="17"/>
      <c r="X55" s="17"/>
      <c r="Y55" s="17"/>
      <c r="Z55" s="17"/>
    </row>
    <row r="56" spans="1:26" ht="12.5">
      <c r="A56" s="17"/>
      <c r="B56" s="24"/>
      <c r="C56" s="24"/>
      <c r="D56" s="17"/>
      <c r="E56" s="24"/>
      <c r="F56" s="17"/>
      <c r="G56" s="17"/>
      <c r="H56" s="17"/>
      <c r="I56" s="17"/>
      <c r="J56" s="17"/>
      <c r="K56" s="17" t="str">
        <f ca="1">IFERROR(__xludf.DUMMYFUNCTION("""COMPUTED_VALUE"""),".")</f>
        <v>.</v>
      </c>
      <c r="L56" s="17"/>
      <c r="M56" s="17"/>
      <c r="N56" s="17"/>
      <c r="O56" s="17"/>
      <c r="P56" s="17"/>
      <c r="Q56" s="17"/>
      <c r="R56" s="17"/>
      <c r="S56" s="17"/>
      <c r="T56" s="17"/>
      <c r="U56" s="17"/>
      <c r="V56" s="17"/>
      <c r="W56" s="17"/>
      <c r="X56" s="17"/>
      <c r="Y56" s="17"/>
      <c r="Z56" s="17"/>
    </row>
    <row r="57" spans="1:26" ht="12.5">
      <c r="A57" s="17"/>
      <c r="B57" s="24"/>
      <c r="C57" s="24"/>
      <c r="D57" s="17"/>
      <c r="E57" s="24"/>
      <c r="F57" s="17"/>
      <c r="G57" s="17"/>
      <c r="H57" s="17"/>
      <c r="I57" s="17"/>
      <c r="J57" s="17"/>
      <c r="K57" s="17" t="str">
        <f ca="1">IFERROR(__xludf.DUMMYFUNCTION("""COMPUTED_VALUE"""),".")</f>
        <v>.</v>
      </c>
      <c r="L57" s="17"/>
      <c r="M57" s="17"/>
      <c r="N57" s="17"/>
      <c r="O57" s="17"/>
      <c r="P57" s="17"/>
      <c r="Q57" s="17"/>
      <c r="R57" s="17"/>
      <c r="S57" s="17"/>
      <c r="T57" s="17"/>
      <c r="U57" s="17"/>
      <c r="V57" s="17"/>
      <c r="W57" s="17"/>
      <c r="X57" s="17"/>
      <c r="Y57" s="17"/>
      <c r="Z57" s="17"/>
    </row>
    <row r="58" spans="1:26" ht="12.5">
      <c r="A58" s="17"/>
      <c r="B58" s="24"/>
      <c r="C58" s="24"/>
      <c r="D58" s="17"/>
      <c r="E58" s="24"/>
      <c r="F58" s="17"/>
      <c r="G58" s="17"/>
      <c r="H58" s="17"/>
      <c r="I58" s="17"/>
      <c r="J58" s="17"/>
      <c r="K58" s="17" t="str">
        <f ca="1">IFERROR(__xludf.DUMMYFUNCTION("""COMPUTED_VALUE"""),".")</f>
        <v>.</v>
      </c>
      <c r="L58" s="17"/>
      <c r="M58" s="17"/>
      <c r="N58" s="17"/>
      <c r="O58" s="17"/>
      <c r="P58" s="17"/>
      <c r="Q58" s="17"/>
      <c r="R58" s="17"/>
      <c r="S58" s="17"/>
      <c r="T58" s="17"/>
      <c r="U58" s="17"/>
      <c r="V58" s="17"/>
      <c r="W58" s="17"/>
      <c r="X58" s="17"/>
      <c r="Y58" s="17"/>
      <c r="Z58" s="17"/>
    </row>
    <row r="59" spans="1:26" ht="12.5">
      <c r="A59" s="17"/>
      <c r="B59" s="24"/>
      <c r="C59" s="24"/>
      <c r="D59" s="17"/>
      <c r="E59" s="24"/>
      <c r="F59" s="17"/>
      <c r="G59" s="17"/>
      <c r="H59" s="17"/>
      <c r="I59" s="17"/>
      <c r="J59" s="17"/>
      <c r="K59" s="17" t="str">
        <f ca="1">IFERROR(__xludf.DUMMYFUNCTION("""COMPUTED_VALUE"""),".")</f>
        <v>.</v>
      </c>
      <c r="L59" s="17"/>
      <c r="M59" s="17"/>
      <c r="N59" s="17"/>
      <c r="O59" s="17"/>
      <c r="P59" s="17"/>
      <c r="Q59" s="17"/>
      <c r="R59" s="17"/>
      <c r="S59" s="17"/>
      <c r="T59" s="17"/>
      <c r="U59" s="17"/>
      <c r="V59" s="17"/>
      <c r="W59" s="17"/>
      <c r="X59" s="17"/>
      <c r="Y59" s="17"/>
      <c r="Z59" s="17"/>
    </row>
    <row r="60" spans="1:26" ht="12.5">
      <c r="A60" s="17"/>
      <c r="B60" s="24"/>
      <c r="C60" s="24"/>
      <c r="D60" s="17"/>
      <c r="E60" s="24"/>
      <c r="F60" s="17"/>
      <c r="G60" s="17"/>
      <c r="H60" s="17"/>
      <c r="I60" s="17"/>
      <c r="J60" s="17"/>
      <c r="K60" s="17" t="str">
        <f ca="1">IFERROR(__xludf.DUMMYFUNCTION("""COMPUTED_VALUE"""),".")</f>
        <v>.</v>
      </c>
      <c r="L60" s="17"/>
      <c r="M60" s="17"/>
      <c r="N60" s="17"/>
      <c r="O60" s="17"/>
      <c r="P60" s="17"/>
      <c r="Q60" s="17"/>
      <c r="R60" s="17"/>
      <c r="S60" s="17"/>
      <c r="T60" s="17"/>
      <c r="U60" s="17"/>
      <c r="V60" s="17"/>
      <c r="W60" s="17"/>
      <c r="X60" s="17"/>
      <c r="Y60" s="17"/>
      <c r="Z60" s="17"/>
    </row>
    <row r="61" spans="1:26" ht="12.5">
      <c r="A61" s="17"/>
      <c r="B61" s="24"/>
      <c r="C61" s="24"/>
      <c r="D61" s="17"/>
      <c r="E61" s="24"/>
      <c r="F61" s="17"/>
      <c r="G61" s="17"/>
      <c r="H61" s="17"/>
      <c r="I61" s="17"/>
      <c r="J61" s="17"/>
      <c r="K61" s="17" t="str">
        <f ca="1">IFERROR(__xludf.DUMMYFUNCTION("""COMPUTED_VALUE"""),".")</f>
        <v>.</v>
      </c>
      <c r="L61" s="17"/>
      <c r="M61" s="17"/>
      <c r="N61" s="17"/>
      <c r="O61" s="17"/>
      <c r="P61" s="17"/>
      <c r="Q61" s="17"/>
      <c r="R61" s="17"/>
      <c r="S61" s="17"/>
      <c r="T61" s="17"/>
      <c r="U61" s="17"/>
      <c r="V61" s="17"/>
      <c r="W61" s="17"/>
      <c r="X61" s="17"/>
      <c r="Y61" s="17"/>
      <c r="Z61" s="17"/>
    </row>
    <row r="62" spans="1:26" ht="12.5">
      <c r="A62" s="17"/>
      <c r="B62" s="24"/>
      <c r="C62" s="24"/>
      <c r="D62" s="17"/>
      <c r="E62" s="24"/>
      <c r="F62" s="17"/>
      <c r="G62" s="17"/>
      <c r="H62" s="17"/>
      <c r="I62" s="17"/>
      <c r="J62" s="17"/>
      <c r="K62" s="17" t="str">
        <f ca="1">IFERROR(__xludf.DUMMYFUNCTION("""COMPUTED_VALUE"""),".")</f>
        <v>.</v>
      </c>
      <c r="L62" s="17"/>
      <c r="M62" s="17"/>
      <c r="N62" s="17"/>
      <c r="O62" s="17"/>
      <c r="P62" s="17"/>
      <c r="Q62" s="17"/>
      <c r="R62" s="17"/>
      <c r="S62" s="17"/>
      <c r="T62" s="17"/>
      <c r="U62" s="17"/>
      <c r="V62" s="17"/>
      <c r="W62" s="17"/>
      <c r="X62" s="17"/>
      <c r="Y62" s="17"/>
      <c r="Z62" s="17"/>
    </row>
    <row r="63" spans="1:26" ht="12.5">
      <c r="A63" s="17"/>
      <c r="B63" s="24"/>
      <c r="C63" s="24"/>
      <c r="D63" s="17"/>
      <c r="E63" s="24"/>
      <c r="F63" s="17"/>
      <c r="G63" s="17"/>
      <c r="H63" s="17"/>
      <c r="I63" s="17"/>
      <c r="J63" s="17"/>
      <c r="K63" s="17" t="str">
        <f ca="1">IFERROR(__xludf.DUMMYFUNCTION("""COMPUTED_VALUE"""),".")</f>
        <v>.</v>
      </c>
      <c r="L63" s="17"/>
      <c r="M63" s="17"/>
      <c r="N63" s="17"/>
      <c r="O63" s="17"/>
      <c r="P63" s="17"/>
      <c r="Q63" s="17"/>
      <c r="R63" s="17"/>
      <c r="S63" s="17"/>
      <c r="T63" s="17"/>
      <c r="U63" s="17"/>
      <c r="V63" s="17"/>
      <c r="W63" s="17"/>
      <c r="X63" s="17"/>
      <c r="Y63" s="17"/>
      <c r="Z63" s="17"/>
    </row>
    <row r="64" spans="1:26" ht="12.5">
      <c r="A64" s="17"/>
      <c r="B64" s="24"/>
      <c r="C64" s="24"/>
      <c r="D64" s="17"/>
      <c r="E64" s="24"/>
      <c r="F64" s="17"/>
      <c r="G64" s="17"/>
      <c r="H64" s="17"/>
      <c r="I64" s="17"/>
      <c r="J64" s="17"/>
      <c r="K64" s="17" t="str">
        <f ca="1">IFERROR(__xludf.DUMMYFUNCTION("""COMPUTED_VALUE"""),".")</f>
        <v>.</v>
      </c>
      <c r="L64" s="17"/>
      <c r="M64" s="17"/>
      <c r="N64" s="17"/>
      <c r="O64" s="17"/>
      <c r="P64" s="17"/>
      <c r="Q64" s="17"/>
      <c r="R64" s="17"/>
      <c r="S64" s="17"/>
      <c r="T64" s="17"/>
      <c r="U64" s="17"/>
      <c r="V64" s="17"/>
      <c r="W64" s="17"/>
      <c r="X64" s="17"/>
      <c r="Y64" s="17"/>
      <c r="Z64" s="17"/>
    </row>
    <row r="65" spans="1:26" ht="12.5">
      <c r="A65" s="17"/>
      <c r="B65" s="24"/>
      <c r="C65" s="24"/>
      <c r="D65" s="17"/>
      <c r="E65" s="24"/>
      <c r="F65" s="17"/>
      <c r="G65" s="17"/>
      <c r="H65" s="17"/>
      <c r="I65" s="17"/>
      <c r="J65" s="17"/>
      <c r="K65" s="17" t="str">
        <f ca="1">IFERROR(__xludf.DUMMYFUNCTION("""COMPUTED_VALUE"""),".")</f>
        <v>.</v>
      </c>
      <c r="L65" s="17"/>
      <c r="M65" s="17"/>
      <c r="N65" s="17"/>
      <c r="O65" s="17"/>
      <c r="P65" s="17"/>
      <c r="Q65" s="17"/>
      <c r="R65" s="17"/>
      <c r="S65" s="17"/>
      <c r="T65" s="17"/>
      <c r="U65" s="17"/>
      <c r="V65" s="17"/>
      <c r="W65" s="17"/>
      <c r="X65" s="17"/>
      <c r="Y65" s="17"/>
      <c r="Z65" s="17"/>
    </row>
    <row r="66" spans="1:26" ht="12.5">
      <c r="A66" s="17"/>
      <c r="B66" s="24"/>
      <c r="C66" s="24"/>
      <c r="D66" s="17"/>
      <c r="E66" s="24"/>
      <c r="F66" s="17"/>
      <c r="G66" s="17"/>
      <c r="H66" s="17"/>
      <c r="I66" s="17"/>
      <c r="J66" s="17"/>
      <c r="K66" s="17" t="str">
        <f ca="1">IFERROR(__xludf.DUMMYFUNCTION("""COMPUTED_VALUE"""),".")</f>
        <v>.</v>
      </c>
      <c r="L66" s="17"/>
      <c r="M66" s="17"/>
      <c r="N66" s="17"/>
      <c r="O66" s="17"/>
      <c r="P66" s="17"/>
      <c r="Q66" s="17"/>
      <c r="R66" s="17"/>
      <c r="S66" s="17"/>
      <c r="T66" s="17"/>
      <c r="U66" s="17"/>
      <c r="V66" s="17"/>
      <c r="W66" s="17"/>
      <c r="X66" s="17"/>
      <c r="Y66" s="17"/>
      <c r="Z66" s="17"/>
    </row>
    <row r="67" spans="1:26" ht="12.5">
      <c r="A67" s="17"/>
      <c r="B67" s="24"/>
      <c r="C67" s="24"/>
      <c r="D67" s="17"/>
      <c r="E67" s="24"/>
      <c r="F67" s="17"/>
      <c r="G67" s="17"/>
      <c r="H67" s="17"/>
      <c r="I67" s="17"/>
      <c r="J67" s="17"/>
      <c r="K67" s="17" t="str">
        <f ca="1">IFERROR(__xludf.DUMMYFUNCTION("""COMPUTED_VALUE"""),".")</f>
        <v>.</v>
      </c>
      <c r="L67" s="17"/>
      <c r="M67" s="17"/>
      <c r="N67" s="17"/>
      <c r="O67" s="17"/>
      <c r="P67" s="17"/>
      <c r="Q67" s="17"/>
      <c r="R67" s="17"/>
      <c r="S67" s="17"/>
      <c r="T67" s="17"/>
      <c r="U67" s="17"/>
      <c r="V67" s="17"/>
      <c r="W67" s="17"/>
      <c r="X67" s="17"/>
      <c r="Y67" s="17"/>
      <c r="Z67" s="17"/>
    </row>
    <row r="68" spans="1:26" ht="12.5">
      <c r="A68" s="17"/>
      <c r="B68" s="24"/>
      <c r="C68" s="24"/>
      <c r="D68" s="17"/>
      <c r="E68" s="24"/>
      <c r="F68" s="17"/>
      <c r="G68" s="17"/>
      <c r="H68" s="17"/>
      <c r="I68" s="17"/>
      <c r="J68" s="17"/>
      <c r="K68" s="17" t="str">
        <f ca="1">IFERROR(__xludf.DUMMYFUNCTION("""COMPUTED_VALUE"""),".")</f>
        <v>.</v>
      </c>
      <c r="L68" s="17"/>
      <c r="M68" s="17"/>
      <c r="N68" s="17"/>
      <c r="O68" s="17"/>
      <c r="P68" s="17"/>
      <c r="Q68" s="17"/>
      <c r="R68" s="17"/>
      <c r="S68" s="17"/>
      <c r="T68" s="17"/>
      <c r="U68" s="17"/>
      <c r="V68" s="17"/>
      <c r="W68" s="17"/>
      <c r="X68" s="17"/>
      <c r="Y68" s="17"/>
      <c r="Z68" s="17"/>
    </row>
    <row r="69" spans="1:26" ht="12.5">
      <c r="A69" s="17"/>
      <c r="B69" s="24"/>
      <c r="C69" s="24"/>
      <c r="D69" s="17"/>
      <c r="E69" s="24"/>
      <c r="F69" s="17"/>
      <c r="G69" s="17"/>
      <c r="H69" s="17"/>
      <c r="I69" s="17"/>
      <c r="J69" s="17"/>
      <c r="K69" s="17" t="str">
        <f ca="1">IFERROR(__xludf.DUMMYFUNCTION("""COMPUTED_VALUE"""),".")</f>
        <v>.</v>
      </c>
      <c r="L69" s="17"/>
      <c r="M69" s="17"/>
      <c r="N69" s="17"/>
      <c r="O69" s="17"/>
      <c r="P69" s="17"/>
      <c r="Q69" s="17"/>
      <c r="R69" s="17"/>
      <c r="S69" s="17"/>
      <c r="T69" s="17"/>
      <c r="U69" s="17"/>
      <c r="V69" s="17"/>
      <c r="W69" s="17"/>
      <c r="X69" s="17"/>
      <c r="Y69" s="17"/>
      <c r="Z69" s="17"/>
    </row>
    <row r="70" spans="1:26" ht="12.5">
      <c r="A70" s="17"/>
      <c r="B70" s="24"/>
      <c r="C70" s="24"/>
      <c r="D70" s="17"/>
      <c r="E70" s="24"/>
      <c r="F70" s="17"/>
      <c r="G70" s="17"/>
      <c r="H70" s="17"/>
      <c r="I70" s="17"/>
      <c r="J70" s="17"/>
      <c r="K70" s="17" t="str">
        <f ca="1">IFERROR(__xludf.DUMMYFUNCTION("""COMPUTED_VALUE"""),".")</f>
        <v>.</v>
      </c>
      <c r="L70" s="17"/>
      <c r="M70" s="17"/>
      <c r="N70" s="17"/>
      <c r="O70" s="17"/>
      <c r="P70" s="17"/>
      <c r="Q70" s="17"/>
      <c r="R70" s="17"/>
      <c r="S70" s="17"/>
      <c r="T70" s="17"/>
      <c r="U70" s="17"/>
      <c r="V70" s="17"/>
      <c r="W70" s="17"/>
      <c r="X70" s="17"/>
      <c r="Y70" s="17"/>
      <c r="Z70" s="17"/>
    </row>
    <row r="71" spans="1:26" ht="12.5">
      <c r="A71" s="17"/>
      <c r="B71" s="24"/>
      <c r="C71" s="24"/>
      <c r="D71" s="17"/>
      <c r="E71" s="24"/>
      <c r="F71" s="17"/>
      <c r="G71" s="17"/>
      <c r="H71" s="17"/>
      <c r="I71" s="17"/>
      <c r="J71" s="17"/>
      <c r="K71" s="17" t="str">
        <f ca="1">IFERROR(__xludf.DUMMYFUNCTION("""COMPUTED_VALUE"""),".")</f>
        <v>.</v>
      </c>
      <c r="L71" s="17"/>
      <c r="M71" s="17"/>
      <c r="N71" s="17"/>
      <c r="O71" s="17"/>
      <c r="P71" s="17"/>
      <c r="Q71" s="17"/>
      <c r="R71" s="17"/>
      <c r="S71" s="17"/>
      <c r="T71" s="17"/>
      <c r="U71" s="17"/>
      <c r="V71" s="17"/>
      <c r="W71" s="17"/>
      <c r="X71" s="17"/>
      <c r="Y71" s="17"/>
      <c r="Z71" s="17"/>
    </row>
    <row r="72" spans="1:26" ht="12.5">
      <c r="A72" s="17"/>
      <c r="B72" s="24"/>
      <c r="C72" s="24"/>
      <c r="D72" s="17"/>
      <c r="E72" s="24"/>
      <c r="F72" s="17"/>
      <c r="G72" s="17"/>
      <c r="H72" s="17"/>
      <c r="I72" s="17"/>
      <c r="J72" s="17"/>
      <c r="K72" s="17" t="str">
        <f ca="1">IFERROR(__xludf.DUMMYFUNCTION("""COMPUTED_VALUE"""),".")</f>
        <v>.</v>
      </c>
      <c r="L72" s="17"/>
      <c r="M72" s="17"/>
      <c r="N72" s="17"/>
      <c r="O72" s="17"/>
      <c r="P72" s="17"/>
      <c r="Q72" s="17"/>
      <c r="R72" s="17"/>
      <c r="S72" s="17"/>
      <c r="T72" s="17"/>
      <c r="U72" s="17"/>
      <c r="V72" s="17"/>
      <c r="W72" s="17"/>
      <c r="X72" s="17"/>
      <c r="Y72" s="17"/>
      <c r="Z72" s="17"/>
    </row>
    <row r="73" spans="1:26" ht="12.5">
      <c r="A73" s="17"/>
      <c r="B73" s="24"/>
      <c r="C73" s="24"/>
      <c r="D73" s="17"/>
      <c r="E73" s="24"/>
      <c r="F73" s="17"/>
      <c r="G73" s="17"/>
      <c r="H73" s="17"/>
      <c r="I73" s="17"/>
      <c r="J73" s="17"/>
      <c r="K73" s="17" t="str">
        <f ca="1">IFERROR(__xludf.DUMMYFUNCTION("""COMPUTED_VALUE"""),".")</f>
        <v>.</v>
      </c>
      <c r="L73" s="17"/>
      <c r="M73" s="17"/>
      <c r="N73" s="17"/>
      <c r="O73" s="17"/>
      <c r="P73" s="17"/>
      <c r="Q73" s="17"/>
      <c r="R73" s="17"/>
      <c r="S73" s="17"/>
      <c r="T73" s="17"/>
      <c r="U73" s="17"/>
      <c r="V73" s="17"/>
      <c r="W73" s="17"/>
      <c r="X73" s="17"/>
      <c r="Y73" s="17"/>
      <c r="Z73" s="17"/>
    </row>
    <row r="74" spans="1:26" ht="12.5">
      <c r="A74" s="17"/>
      <c r="B74" s="24"/>
      <c r="C74" s="24"/>
      <c r="D74" s="17"/>
      <c r="E74" s="24"/>
      <c r="F74" s="17"/>
      <c r="G74" s="17"/>
      <c r="H74" s="17"/>
      <c r="I74" s="17"/>
      <c r="J74" s="17"/>
      <c r="K74" s="17" t="str">
        <f ca="1">IFERROR(__xludf.DUMMYFUNCTION("""COMPUTED_VALUE"""),".")</f>
        <v>.</v>
      </c>
      <c r="L74" s="17"/>
      <c r="M74" s="17"/>
      <c r="N74" s="17"/>
      <c r="O74" s="17"/>
      <c r="P74" s="17"/>
      <c r="Q74" s="17"/>
      <c r="R74" s="17"/>
      <c r="S74" s="17"/>
      <c r="T74" s="17"/>
      <c r="U74" s="17"/>
      <c r="V74" s="17"/>
      <c r="W74" s="17"/>
      <c r="X74" s="17"/>
      <c r="Y74" s="17"/>
      <c r="Z74" s="17"/>
    </row>
    <row r="75" spans="1:26" ht="12.5">
      <c r="A75" s="17"/>
      <c r="B75" s="24"/>
      <c r="C75" s="24"/>
      <c r="D75" s="17"/>
      <c r="E75" s="24"/>
      <c r="F75" s="17"/>
      <c r="G75" s="17"/>
      <c r="H75" s="17"/>
      <c r="I75" s="17"/>
      <c r="J75" s="17"/>
      <c r="K75" s="17" t="str">
        <f ca="1">IFERROR(__xludf.DUMMYFUNCTION("""COMPUTED_VALUE"""),".")</f>
        <v>.</v>
      </c>
      <c r="L75" s="17"/>
      <c r="M75" s="17"/>
      <c r="N75" s="17"/>
      <c r="O75" s="17"/>
      <c r="P75" s="17"/>
      <c r="Q75" s="17"/>
      <c r="R75" s="17"/>
      <c r="S75" s="17"/>
      <c r="T75" s="17"/>
      <c r="U75" s="17"/>
      <c r="V75" s="17"/>
      <c r="W75" s="17"/>
      <c r="X75" s="17"/>
      <c r="Y75" s="17"/>
      <c r="Z75" s="17"/>
    </row>
    <row r="76" spans="1:26" ht="12.5">
      <c r="A76" s="17"/>
      <c r="B76" s="24"/>
      <c r="C76" s="24"/>
      <c r="D76" s="17"/>
      <c r="E76" s="24"/>
      <c r="F76" s="17"/>
      <c r="G76" s="17"/>
      <c r="H76" s="17"/>
      <c r="I76" s="17"/>
      <c r="J76" s="17"/>
      <c r="K76" s="17" t="str">
        <f ca="1">IFERROR(__xludf.DUMMYFUNCTION("""COMPUTED_VALUE"""),".")</f>
        <v>.</v>
      </c>
      <c r="L76" s="17"/>
      <c r="M76" s="17"/>
      <c r="N76" s="17"/>
      <c r="O76" s="17"/>
      <c r="P76" s="17"/>
      <c r="Q76" s="17"/>
      <c r="R76" s="17"/>
      <c r="S76" s="17"/>
      <c r="T76" s="17"/>
      <c r="U76" s="17"/>
      <c r="V76" s="17"/>
      <c r="W76" s="17"/>
      <c r="X76" s="17"/>
      <c r="Y76" s="17"/>
      <c r="Z76" s="17"/>
    </row>
    <row r="77" spans="1:26" ht="12.5">
      <c r="A77" s="17"/>
      <c r="B77" s="24"/>
      <c r="C77" s="24"/>
      <c r="D77" s="17"/>
      <c r="E77" s="24"/>
      <c r="F77" s="17"/>
      <c r="G77" s="17"/>
      <c r="H77" s="17"/>
      <c r="I77" s="17"/>
      <c r="J77" s="17"/>
      <c r="K77" s="17" t="str">
        <f ca="1">IFERROR(__xludf.DUMMYFUNCTION("""COMPUTED_VALUE"""),".")</f>
        <v>.</v>
      </c>
      <c r="L77" s="17"/>
      <c r="M77" s="17"/>
      <c r="N77" s="17"/>
      <c r="O77" s="17"/>
      <c r="P77" s="17"/>
      <c r="Q77" s="17"/>
      <c r="R77" s="17"/>
      <c r="S77" s="17"/>
      <c r="T77" s="17"/>
      <c r="U77" s="17"/>
      <c r="V77" s="17"/>
      <c r="W77" s="17"/>
      <c r="X77" s="17"/>
      <c r="Y77" s="17"/>
      <c r="Z77" s="17"/>
    </row>
    <row r="78" spans="1:26" ht="12.5">
      <c r="A78" s="17"/>
      <c r="B78" s="24"/>
      <c r="C78" s="24"/>
      <c r="D78" s="17"/>
      <c r="E78" s="24"/>
      <c r="F78" s="17"/>
      <c r="G78" s="17"/>
      <c r="H78" s="17"/>
      <c r="I78" s="17"/>
      <c r="J78" s="17"/>
      <c r="K78" s="17" t="str">
        <f ca="1">IFERROR(__xludf.DUMMYFUNCTION("""COMPUTED_VALUE"""),".")</f>
        <v>.</v>
      </c>
      <c r="L78" s="17"/>
      <c r="M78" s="17"/>
      <c r="N78" s="17"/>
      <c r="O78" s="17"/>
      <c r="P78" s="17"/>
      <c r="Q78" s="17"/>
      <c r="R78" s="17"/>
      <c r="S78" s="17"/>
      <c r="T78" s="17"/>
      <c r="U78" s="17"/>
      <c r="V78" s="17"/>
      <c r="W78" s="17"/>
      <c r="X78" s="17"/>
      <c r="Y78" s="17"/>
      <c r="Z78" s="17"/>
    </row>
    <row r="79" spans="1:26" ht="12.5">
      <c r="A79" s="17"/>
      <c r="B79" s="24"/>
      <c r="C79" s="24"/>
      <c r="D79" s="17"/>
      <c r="E79" s="24"/>
      <c r="F79" s="17"/>
      <c r="G79" s="17"/>
      <c r="H79" s="17"/>
      <c r="I79" s="17"/>
      <c r="J79" s="17"/>
      <c r="K79" s="17" t="str">
        <f ca="1">IFERROR(__xludf.DUMMYFUNCTION("""COMPUTED_VALUE"""),".")</f>
        <v>.</v>
      </c>
      <c r="L79" s="17"/>
      <c r="M79" s="17"/>
      <c r="N79" s="17"/>
      <c r="O79" s="17"/>
      <c r="P79" s="17"/>
      <c r="Q79" s="17"/>
      <c r="R79" s="17"/>
      <c r="S79" s="17"/>
      <c r="T79" s="17"/>
      <c r="U79" s="17"/>
      <c r="V79" s="17"/>
      <c r="W79" s="17"/>
      <c r="X79" s="17"/>
      <c r="Y79" s="17"/>
      <c r="Z79" s="17"/>
    </row>
    <row r="80" spans="1:26" ht="12.5">
      <c r="A80" s="17"/>
      <c r="B80" s="24"/>
      <c r="C80" s="24"/>
      <c r="D80" s="17"/>
      <c r="E80" s="24"/>
      <c r="F80" s="17"/>
      <c r="G80" s="17"/>
      <c r="H80" s="17"/>
      <c r="I80" s="17"/>
      <c r="J80" s="17"/>
      <c r="K80" s="17" t="str">
        <f ca="1">IFERROR(__xludf.DUMMYFUNCTION("""COMPUTED_VALUE"""),".")</f>
        <v>.</v>
      </c>
      <c r="L80" s="17"/>
      <c r="M80" s="17"/>
      <c r="N80" s="17"/>
      <c r="O80" s="17"/>
      <c r="P80" s="17"/>
      <c r="Q80" s="17"/>
      <c r="R80" s="17"/>
      <c r="S80" s="17"/>
      <c r="T80" s="17"/>
      <c r="U80" s="17"/>
      <c r="V80" s="17"/>
      <c r="W80" s="17"/>
      <c r="X80" s="17"/>
      <c r="Y80" s="17"/>
      <c r="Z80" s="17"/>
    </row>
    <row r="81" spans="1:26" ht="12.5">
      <c r="A81" s="17"/>
      <c r="B81" s="24"/>
      <c r="C81" s="24"/>
      <c r="D81" s="17"/>
      <c r="E81" s="24"/>
      <c r="F81" s="17"/>
      <c r="G81" s="17"/>
      <c r="H81" s="17"/>
      <c r="I81" s="17"/>
      <c r="J81" s="17"/>
      <c r="K81" s="17"/>
      <c r="L81" s="17"/>
      <c r="M81" s="17"/>
      <c r="N81" s="17"/>
      <c r="O81" s="17"/>
      <c r="P81" s="17"/>
      <c r="Q81" s="17"/>
      <c r="R81" s="17"/>
      <c r="S81" s="17"/>
      <c r="T81" s="17"/>
      <c r="U81" s="17"/>
      <c r="V81" s="17"/>
      <c r="W81" s="17"/>
      <c r="X81" s="17"/>
      <c r="Y81" s="17"/>
      <c r="Z81" s="17"/>
    </row>
    <row r="82" spans="1:26" ht="12.5">
      <c r="A82" s="17"/>
      <c r="B82" s="24"/>
      <c r="C82" s="24"/>
      <c r="D82" s="17"/>
      <c r="E82" s="24"/>
      <c r="F82" s="17"/>
      <c r="G82" s="17"/>
      <c r="H82" s="17"/>
      <c r="I82" s="17"/>
      <c r="J82" s="17"/>
      <c r="K82" s="17"/>
      <c r="L82" s="17"/>
      <c r="M82" s="17"/>
      <c r="N82" s="17"/>
      <c r="O82" s="17"/>
      <c r="P82" s="17"/>
      <c r="Q82" s="17"/>
      <c r="R82" s="17"/>
      <c r="S82" s="17"/>
      <c r="T82" s="17"/>
      <c r="U82" s="17"/>
      <c r="V82" s="17"/>
      <c r="W82" s="17"/>
      <c r="X82" s="17"/>
      <c r="Y82" s="17"/>
      <c r="Z82" s="17"/>
    </row>
    <row r="83" spans="1:26" ht="12.5">
      <c r="A83" s="17"/>
      <c r="B83" s="24"/>
      <c r="C83" s="24"/>
      <c r="D83" s="17"/>
      <c r="E83" s="24"/>
      <c r="F83" s="17"/>
      <c r="G83" s="17"/>
      <c r="H83" s="17"/>
      <c r="I83" s="17"/>
      <c r="J83" s="17"/>
      <c r="K83" s="17"/>
      <c r="L83" s="17"/>
      <c r="M83" s="17"/>
      <c r="N83" s="17"/>
      <c r="O83" s="17"/>
      <c r="P83" s="17"/>
      <c r="Q83" s="17"/>
      <c r="R83" s="17"/>
      <c r="S83" s="17"/>
      <c r="T83" s="17"/>
      <c r="U83" s="17"/>
      <c r="V83" s="17"/>
      <c r="W83" s="17"/>
      <c r="X83" s="17"/>
      <c r="Y83" s="17"/>
      <c r="Z83" s="17"/>
    </row>
    <row r="84" spans="1:26" ht="12.5">
      <c r="A84" s="17"/>
      <c r="B84" s="24"/>
      <c r="C84" s="24"/>
      <c r="D84" s="17"/>
      <c r="E84" s="24"/>
      <c r="F84" s="17"/>
      <c r="G84" s="17"/>
      <c r="H84" s="17"/>
      <c r="I84" s="17"/>
      <c r="J84" s="17"/>
      <c r="K84" s="17"/>
      <c r="L84" s="17"/>
      <c r="M84" s="17"/>
      <c r="N84" s="17"/>
      <c r="O84" s="17"/>
      <c r="P84" s="17"/>
      <c r="Q84" s="17"/>
      <c r="R84" s="17"/>
      <c r="S84" s="17"/>
      <c r="T84" s="17"/>
      <c r="U84" s="17"/>
      <c r="V84" s="17"/>
      <c r="W84" s="17"/>
      <c r="X84" s="17"/>
      <c r="Y84" s="17"/>
      <c r="Z84" s="17"/>
    </row>
    <row r="85" spans="1:26" ht="12.5">
      <c r="A85" s="17"/>
      <c r="B85" s="24"/>
      <c r="C85" s="24"/>
      <c r="D85" s="17"/>
      <c r="E85" s="24"/>
      <c r="F85" s="17"/>
      <c r="G85" s="17"/>
      <c r="H85" s="17"/>
      <c r="I85" s="17"/>
      <c r="J85" s="17"/>
      <c r="K85" s="17"/>
      <c r="L85" s="17"/>
      <c r="M85" s="17"/>
      <c r="N85" s="17"/>
      <c r="O85" s="17"/>
      <c r="P85" s="17"/>
      <c r="Q85" s="17"/>
      <c r="R85" s="17"/>
      <c r="S85" s="17"/>
      <c r="T85" s="17"/>
      <c r="U85" s="17"/>
      <c r="V85" s="17"/>
      <c r="W85" s="17"/>
      <c r="X85" s="17"/>
      <c r="Y85" s="17"/>
      <c r="Z85" s="17"/>
    </row>
    <row r="86" spans="1:26" ht="12.5">
      <c r="A86" s="17"/>
      <c r="B86" s="24"/>
      <c r="C86" s="24"/>
      <c r="D86" s="17"/>
      <c r="E86" s="24"/>
      <c r="F86" s="17"/>
      <c r="G86" s="17"/>
      <c r="H86" s="17"/>
      <c r="I86" s="17"/>
      <c r="J86" s="17"/>
      <c r="K86" s="17"/>
      <c r="L86" s="17"/>
      <c r="M86" s="17"/>
      <c r="N86" s="17"/>
      <c r="O86" s="17"/>
      <c r="P86" s="17"/>
      <c r="Q86" s="17"/>
      <c r="R86" s="17"/>
      <c r="S86" s="17"/>
      <c r="T86" s="17"/>
      <c r="U86" s="17"/>
      <c r="V86" s="17"/>
      <c r="W86" s="17"/>
      <c r="X86" s="17"/>
      <c r="Y86" s="17"/>
      <c r="Z86" s="17"/>
    </row>
    <row r="87" spans="1:26" ht="12.5">
      <c r="A87" s="17"/>
      <c r="B87" s="24"/>
      <c r="C87" s="24"/>
      <c r="D87" s="17"/>
      <c r="E87" s="24"/>
      <c r="F87" s="17"/>
      <c r="G87" s="17"/>
      <c r="H87" s="17"/>
      <c r="I87" s="17"/>
      <c r="J87" s="17"/>
      <c r="K87" s="17"/>
      <c r="L87" s="17"/>
      <c r="M87" s="17"/>
      <c r="N87" s="17"/>
      <c r="O87" s="17"/>
      <c r="P87" s="17"/>
      <c r="Q87" s="17"/>
      <c r="R87" s="17"/>
      <c r="S87" s="17"/>
      <c r="T87" s="17"/>
      <c r="U87" s="17"/>
      <c r="V87" s="17"/>
      <c r="W87" s="17"/>
      <c r="X87" s="17"/>
      <c r="Y87" s="17"/>
      <c r="Z87" s="17"/>
    </row>
    <row r="88" spans="1:26" ht="12.5">
      <c r="A88" s="17"/>
      <c r="B88" s="24"/>
      <c r="C88" s="24"/>
      <c r="D88" s="17"/>
      <c r="E88" s="24"/>
      <c r="F88" s="17"/>
      <c r="G88" s="17"/>
      <c r="H88" s="17"/>
      <c r="I88" s="17"/>
      <c r="J88" s="17"/>
      <c r="K88" s="17"/>
      <c r="L88" s="17"/>
      <c r="M88" s="17"/>
      <c r="N88" s="17"/>
      <c r="O88" s="17"/>
      <c r="P88" s="17"/>
      <c r="Q88" s="17"/>
      <c r="R88" s="17"/>
      <c r="S88" s="17"/>
      <c r="T88" s="17"/>
      <c r="U88" s="17"/>
      <c r="V88" s="17"/>
      <c r="W88" s="17"/>
      <c r="X88" s="17"/>
      <c r="Y88" s="17"/>
      <c r="Z88" s="17"/>
    </row>
    <row r="89" spans="1:26" ht="12.5">
      <c r="A89" s="17"/>
      <c r="B89" s="24"/>
      <c r="C89" s="24"/>
      <c r="D89" s="17"/>
      <c r="E89" s="24"/>
      <c r="F89" s="17"/>
      <c r="G89" s="17"/>
      <c r="H89" s="17"/>
      <c r="I89" s="17"/>
      <c r="J89" s="17"/>
      <c r="K89" s="17"/>
      <c r="L89" s="17"/>
      <c r="M89" s="17"/>
      <c r="N89" s="17"/>
      <c r="O89" s="17"/>
      <c r="P89" s="17"/>
      <c r="Q89" s="17"/>
      <c r="R89" s="17"/>
      <c r="S89" s="17"/>
      <c r="T89" s="17"/>
      <c r="U89" s="17"/>
      <c r="V89" s="17"/>
      <c r="W89" s="17"/>
      <c r="X89" s="17"/>
      <c r="Y89" s="17"/>
      <c r="Z89" s="17"/>
    </row>
    <row r="90" spans="1:26" ht="12.5">
      <c r="A90" s="17"/>
      <c r="B90" s="24"/>
      <c r="C90" s="24"/>
      <c r="D90" s="17"/>
      <c r="E90" s="24"/>
      <c r="F90" s="17"/>
      <c r="G90" s="17"/>
      <c r="H90" s="17"/>
      <c r="I90" s="17"/>
      <c r="J90" s="17"/>
      <c r="K90" s="17"/>
      <c r="L90" s="17"/>
      <c r="M90" s="17"/>
      <c r="N90" s="17"/>
      <c r="O90" s="17"/>
      <c r="P90" s="17"/>
      <c r="Q90" s="17"/>
      <c r="R90" s="17"/>
      <c r="S90" s="17"/>
      <c r="T90" s="17"/>
      <c r="U90" s="17"/>
      <c r="V90" s="17"/>
      <c r="W90" s="17"/>
      <c r="X90" s="17"/>
      <c r="Y90" s="17"/>
      <c r="Z90" s="17"/>
    </row>
    <row r="91" spans="1:26" ht="12.5">
      <c r="A91" s="17"/>
      <c r="B91" s="24"/>
      <c r="C91" s="24"/>
      <c r="D91" s="17"/>
      <c r="E91" s="24"/>
      <c r="F91" s="17"/>
      <c r="G91" s="17"/>
      <c r="H91" s="17"/>
      <c r="I91" s="17"/>
      <c r="J91" s="17"/>
      <c r="K91" s="17"/>
      <c r="L91" s="17"/>
      <c r="M91" s="17"/>
      <c r="N91" s="17"/>
      <c r="O91" s="17"/>
      <c r="P91" s="17"/>
      <c r="Q91" s="17"/>
      <c r="R91" s="17"/>
      <c r="S91" s="17"/>
      <c r="T91" s="17"/>
      <c r="U91" s="17"/>
      <c r="V91" s="17"/>
      <c r="W91" s="17"/>
      <c r="X91" s="17"/>
      <c r="Y91" s="17"/>
      <c r="Z91" s="17"/>
    </row>
    <row r="92" spans="1:26" ht="12.5">
      <c r="A92" s="17"/>
      <c r="B92" s="24"/>
      <c r="C92" s="24"/>
      <c r="D92" s="17"/>
      <c r="E92" s="24"/>
      <c r="F92" s="17"/>
      <c r="G92" s="17"/>
      <c r="H92" s="17"/>
      <c r="I92" s="17"/>
      <c r="J92" s="17"/>
      <c r="K92" s="17"/>
      <c r="L92" s="17"/>
      <c r="M92" s="17"/>
      <c r="N92" s="17"/>
      <c r="O92" s="17"/>
      <c r="P92" s="17"/>
      <c r="Q92" s="17"/>
      <c r="R92" s="17"/>
      <c r="S92" s="17"/>
      <c r="T92" s="17"/>
      <c r="U92" s="17"/>
      <c r="V92" s="17"/>
      <c r="W92" s="17"/>
      <c r="X92" s="17"/>
      <c r="Y92" s="17"/>
      <c r="Z92" s="17"/>
    </row>
    <row r="93" spans="1:26" ht="12.5">
      <c r="A93" s="17"/>
      <c r="B93" s="24"/>
      <c r="C93" s="24"/>
      <c r="D93" s="17"/>
      <c r="E93" s="24"/>
      <c r="F93" s="17"/>
      <c r="G93" s="17"/>
      <c r="H93" s="17"/>
      <c r="I93" s="17"/>
      <c r="J93" s="17"/>
      <c r="K93" s="17"/>
      <c r="L93" s="17"/>
      <c r="M93" s="17"/>
      <c r="N93" s="17"/>
      <c r="O93" s="17"/>
      <c r="P93" s="17"/>
      <c r="Q93" s="17"/>
      <c r="R93" s="17"/>
      <c r="S93" s="17"/>
      <c r="T93" s="17"/>
      <c r="U93" s="17"/>
      <c r="V93" s="17"/>
      <c r="W93" s="17"/>
      <c r="X93" s="17"/>
      <c r="Y93" s="17"/>
      <c r="Z93" s="17"/>
    </row>
    <row r="94" spans="1:26" ht="12.5">
      <c r="A94" s="17"/>
      <c r="B94" s="24"/>
      <c r="C94" s="24"/>
      <c r="D94" s="17"/>
      <c r="E94" s="24"/>
      <c r="F94" s="17"/>
      <c r="G94" s="17"/>
      <c r="H94" s="17"/>
      <c r="I94" s="17"/>
      <c r="J94" s="17"/>
      <c r="K94" s="17"/>
      <c r="L94" s="17"/>
      <c r="M94" s="17"/>
      <c r="N94" s="17"/>
      <c r="O94" s="17"/>
      <c r="P94" s="17"/>
      <c r="Q94" s="17"/>
      <c r="R94" s="17"/>
      <c r="S94" s="17"/>
      <c r="T94" s="17"/>
      <c r="U94" s="17"/>
      <c r="V94" s="17"/>
      <c r="W94" s="17"/>
      <c r="X94" s="17"/>
      <c r="Y94" s="17"/>
      <c r="Z94" s="17"/>
    </row>
    <row r="95" spans="1:26" ht="12.5">
      <c r="A95" s="17"/>
      <c r="B95" s="24"/>
      <c r="C95" s="24"/>
      <c r="D95" s="17"/>
      <c r="E95" s="24"/>
      <c r="F95" s="17"/>
      <c r="G95" s="17"/>
      <c r="H95" s="17"/>
      <c r="I95" s="17"/>
      <c r="J95" s="17"/>
      <c r="K95" s="17"/>
      <c r="L95" s="17"/>
      <c r="M95" s="17"/>
      <c r="N95" s="17"/>
      <c r="O95" s="17"/>
      <c r="P95" s="17"/>
      <c r="Q95" s="17"/>
      <c r="R95" s="17"/>
      <c r="S95" s="17"/>
      <c r="T95" s="17"/>
      <c r="U95" s="17"/>
      <c r="V95" s="17"/>
      <c r="W95" s="17"/>
      <c r="X95" s="17"/>
      <c r="Y95" s="17"/>
      <c r="Z95" s="17"/>
    </row>
    <row r="96" spans="1:26" ht="12.5">
      <c r="A96" s="17"/>
      <c r="B96" s="24"/>
      <c r="C96" s="24"/>
      <c r="D96" s="17"/>
      <c r="E96" s="24"/>
      <c r="F96" s="17"/>
      <c r="G96" s="17"/>
      <c r="H96" s="17"/>
      <c r="I96" s="17"/>
      <c r="J96" s="17"/>
      <c r="K96" s="17"/>
      <c r="L96" s="17"/>
      <c r="M96" s="17"/>
      <c r="N96" s="17"/>
      <c r="O96" s="17"/>
      <c r="P96" s="17"/>
      <c r="Q96" s="17"/>
      <c r="R96" s="17"/>
      <c r="S96" s="17"/>
      <c r="T96" s="17"/>
      <c r="U96" s="17"/>
      <c r="V96" s="17"/>
      <c r="W96" s="17"/>
      <c r="X96" s="17"/>
      <c r="Y96" s="17"/>
      <c r="Z96" s="17"/>
    </row>
    <row r="97" spans="1:26" ht="12.5">
      <c r="A97" s="17"/>
      <c r="B97" s="24"/>
      <c r="C97" s="24"/>
      <c r="D97" s="17"/>
      <c r="E97" s="24"/>
      <c r="F97" s="17"/>
      <c r="G97" s="17"/>
      <c r="H97" s="17"/>
      <c r="I97" s="17"/>
      <c r="J97" s="17"/>
      <c r="K97" s="17"/>
      <c r="L97" s="17"/>
      <c r="M97" s="17"/>
      <c r="N97" s="17"/>
      <c r="O97" s="17"/>
      <c r="P97" s="17"/>
      <c r="Q97" s="17"/>
      <c r="R97" s="17"/>
      <c r="S97" s="17"/>
      <c r="T97" s="17"/>
      <c r="U97" s="17"/>
      <c r="V97" s="17"/>
      <c r="W97" s="17"/>
      <c r="X97" s="17"/>
      <c r="Y97" s="17"/>
      <c r="Z97" s="17"/>
    </row>
    <row r="98" spans="1:26" ht="12.5">
      <c r="A98" s="17"/>
      <c r="B98" s="24"/>
      <c r="C98" s="24"/>
      <c r="D98" s="17"/>
      <c r="E98" s="24"/>
      <c r="F98" s="17"/>
      <c r="G98" s="17"/>
      <c r="H98" s="17"/>
      <c r="I98" s="17"/>
      <c r="J98" s="17"/>
      <c r="K98" s="17"/>
      <c r="L98" s="17"/>
      <c r="M98" s="17"/>
      <c r="N98" s="17"/>
      <c r="O98" s="17"/>
      <c r="P98" s="17"/>
      <c r="Q98" s="17"/>
      <c r="R98" s="17"/>
      <c r="S98" s="17"/>
      <c r="T98" s="17"/>
      <c r="U98" s="17"/>
      <c r="V98" s="17"/>
      <c r="W98" s="17"/>
      <c r="X98" s="17"/>
      <c r="Y98" s="17"/>
      <c r="Z98" s="17"/>
    </row>
    <row r="99" spans="1:26" ht="12.5">
      <c r="A99" s="17"/>
      <c r="B99" s="24"/>
      <c r="C99" s="24"/>
      <c r="D99" s="17"/>
      <c r="E99" s="24"/>
      <c r="F99" s="17"/>
      <c r="G99" s="17"/>
      <c r="H99" s="17"/>
      <c r="I99" s="17"/>
      <c r="J99" s="17"/>
      <c r="K99" s="17"/>
      <c r="L99" s="17"/>
      <c r="M99" s="17"/>
      <c r="N99" s="17"/>
      <c r="O99" s="17"/>
      <c r="P99" s="17"/>
      <c r="Q99" s="17"/>
      <c r="R99" s="17"/>
      <c r="S99" s="17"/>
      <c r="T99" s="17"/>
      <c r="U99" s="17"/>
      <c r="V99" s="17"/>
      <c r="W99" s="17"/>
      <c r="X99" s="17"/>
      <c r="Y99" s="17"/>
      <c r="Z99" s="17"/>
    </row>
    <row r="100" spans="1:26" ht="12.5">
      <c r="A100" s="17"/>
      <c r="B100" s="24"/>
      <c r="C100" s="24"/>
      <c r="D100" s="17"/>
      <c r="E100" s="24"/>
      <c r="F100" s="17"/>
      <c r="G100" s="17"/>
      <c r="H100" s="17"/>
      <c r="I100" s="17"/>
      <c r="J100" s="17"/>
      <c r="K100" s="17"/>
      <c r="L100" s="17"/>
      <c r="M100" s="17"/>
      <c r="N100" s="17"/>
      <c r="O100" s="17"/>
      <c r="P100" s="17"/>
      <c r="Q100" s="17"/>
      <c r="R100" s="17"/>
      <c r="S100" s="17"/>
      <c r="T100" s="17"/>
      <c r="U100" s="17"/>
      <c r="V100" s="17"/>
      <c r="W100" s="17"/>
      <c r="X100" s="17"/>
      <c r="Y100" s="17"/>
      <c r="Z100" s="17"/>
    </row>
    <row r="101" spans="1:26" ht="12.5">
      <c r="A101" s="17"/>
      <c r="B101" s="24"/>
      <c r="C101" s="24"/>
      <c r="D101" s="17"/>
      <c r="E101" s="24"/>
      <c r="F101" s="17"/>
      <c r="G101" s="17"/>
      <c r="H101" s="17"/>
      <c r="I101" s="17"/>
      <c r="J101" s="17"/>
      <c r="K101" s="17"/>
      <c r="L101" s="17"/>
      <c r="M101" s="17"/>
      <c r="N101" s="17"/>
      <c r="O101" s="17"/>
      <c r="P101" s="17"/>
      <c r="Q101" s="17"/>
      <c r="R101" s="17"/>
      <c r="S101" s="17"/>
      <c r="T101" s="17"/>
      <c r="U101" s="17"/>
      <c r="V101" s="17"/>
      <c r="W101" s="17"/>
      <c r="X101" s="17"/>
      <c r="Y101" s="17"/>
      <c r="Z101" s="17"/>
    </row>
    <row r="102" spans="1:26" ht="12.5">
      <c r="A102" s="17"/>
      <c r="B102" s="24"/>
      <c r="C102" s="24"/>
      <c r="D102" s="17"/>
      <c r="E102" s="24"/>
      <c r="F102" s="17"/>
      <c r="G102" s="17"/>
      <c r="H102" s="17"/>
      <c r="I102" s="17"/>
      <c r="J102" s="17"/>
      <c r="K102" s="17"/>
      <c r="L102" s="17"/>
      <c r="M102" s="17"/>
      <c r="N102" s="17"/>
      <c r="O102" s="17"/>
      <c r="P102" s="17"/>
      <c r="Q102" s="17"/>
      <c r="R102" s="17"/>
      <c r="S102" s="17"/>
      <c r="T102" s="17"/>
      <c r="U102" s="17"/>
      <c r="V102" s="17"/>
      <c r="W102" s="17"/>
      <c r="X102" s="17"/>
      <c r="Y102" s="17"/>
      <c r="Z102" s="17"/>
    </row>
    <row r="103" spans="1:26" ht="12.5">
      <c r="A103" s="17"/>
      <c r="B103" s="24"/>
      <c r="C103" s="24"/>
      <c r="D103" s="17"/>
      <c r="E103" s="24"/>
      <c r="F103" s="17"/>
      <c r="G103" s="17"/>
      <c r="H103" s="17"/>
      <c r="I103" s="17"/>
      <c r="J103" s="17"/>
      <c r="K103" s="17"/>
      <c r="L103" s="17"/>
      <c r="M103" s="17"/>
      <c r="N103" s="17"/>
      <c r="O103" s="17"/>
      <c r="P103" s="17"/>
      <c r="Q103" s="17"/>
      <c r="R103" s="17"/>
      <c r="S103" s="17"/>
      <c r="T103" s="17"/>
      <c r="U103" s="17"/>
      <c r="V103" s="17"/>
      <c r="W103" s="17"/>
      <c r="X103" s="17"/>
      <c r="Y103" s="17"/>
      <c r="Z103" s="17"/>
    </row>
    <row r="104" spans="1:26" ht="12.5">
      <c r="A104" s="17"/>
      <c r="B104" s="24"/>
      <c r="C104" s="24"/>
      <c r="D104" s="17"/>
      <c r="E104" s="24"/>
      <c r="F104" s="17"/>
      <c r="G104" s="17"/>
      <c r="H104" s="17"/>
      <c r="I104" s="17"/>
      <c r="J104" s="17"/>
      <c r="K104" s="17"/>
      <c r="L104" s="17"/>
      <c r="M104" s="17"/>
      <c r="N104" s="17"/>
      <c r="O104" s="17"/>
      <c r="P104" s="17"/>
      <c r="Q104" s="17"/>
      <c r="R104" s="17"/>
      <c r="S104" s="17"/>
      <c r="T104" s="17"/>
      <c r="U104" s="17"/>
      <c r="V104" s="17"/>
      <c r="W104" s="17"/>
      <c r="X104" s="17"/>
      <c r="Y104" s="17"/>
      <c r="Z104" s="17"/>
    </row>
    <row r="105" spans="1:26" ht="12.5">
      <c r="A105" s="17"/>
      <c r="B105" s="24"/>
      <c r="C105" s="24"/>
      <c r="D105" s="17"/>
      <c r="E105" s="24"/>
      <c r="F105" s="17"/>
      <c r="G105" s="17"/>
      <c r="H105" s="17"/>
      <c r="I105" s="17"/>
      <c r="J105" s="17"/>
      <c r="K105" s="17"/>
      <c r="L105" s="17"/>
      <c r="M105" s="17"/>
      <c r="N105" s="17"/>
      <c r="O105" s="17"/>
      <c r="P105" s="17"/>
      <c r="Q105" s="17"/>
      <c r="R105" s="17"/>
      <c r="S105" s="17"/>
      <c r="T105" s="17"/>
      <c r="U105" s="17"/>
      <c r="V105" s="17"/>
      <c r="W105" s="17"/>
      <c r="X105" s="17"/>
      <c r="Y105" s="17"/>
      <c r="Z105" s="17"/>
    </row>
    <row r="106" spans="1:26" ht="12.5">
      <c r="A106" s="17"/>
      <c r="B106" s="24"/>
      <c r="C106" s="24"/>
      <c r="D106" s="17"/>
      <c r="E106" s="24"/>
      <c r="F106" s="17"/>
      <c r="G106" s="17"/>
      <c r="H106" s="17"/>
      <c r="I106" s="17"/>
      <c r="J106" s="17"/>
      <c r="K106" s="17"/>
      <c r="L106" s="17"/>
      <c r="M106" s="17"/>
      <c r="N106" s="17"/>
      <c r="O106" s="17"/>
      <c r="P106" s="17"/>
      <c r="Q106" s="17"/>
      <c r="R106" s="17"/>
      <c r="S106" s="17"/>
      <c r="T106" s="17"/>
      <c r="U106" s="17"/>
      <c r="V106" s="17"/>
      <c r="W106" s="17"/>
      <c r="X106" s="17"/>
      <c r="Y106" s="17"/>
      <c r="Z106" s="17"/>
    </row>
    <row r="107" spans="1:26" ht="12.5">
      <c r="A107" s="17"/>
      <c r="B107" s="24"/>
      <c r="C107" s="24"/>
      <c r="D107" s="17"/>
      <c r="E107" s="24"/>
      <c r="F107" s="17"/>
      <c r="G107" s="17"/>
      <c r="H107" s="17"/>
      <c r="I107" s="17"/>
      <c r="J107" s="17"/>
      <c r="K107" s="17"/>
      <c r="L107" s="17"/>
      <c r="M107" s="17"/>
      <c r="N107" s="17"/>
      <c r="O107" s="17"/>
      <c r="P107" s="17"/>
      <c r="Q107" s="17"/>
      <c r="R107" s="17"/>
      <c r="S107" s="17"/>
      <c r="T107" s="17"/>
      <c r="U107" s="17"/>
      <c r="V107" s="17"/>
      <c r="W107" s="17"/>
      <c r="X107" s="17"/>
      <c r="Y107" s="17"/>
      <c r="Z107" s="17"/>
    </row>
    <row r="108" spans="1:26" ht="12.5">
      <c r="A108" s="17"/>
      <c r="B108" s="24"/>
      <c r="C108" s="24"/>
      <c r="D108" s="17"/>
      <c r="E108" s="24"/>
      <c r="F108" s="17"/>
      <c r="G108" s="17"/>
      <c r="H108" s="17"/>
      <c r="I108" s="17"/>
      <c r="J108" s="17"/>
      <c r="K108" s="17"/>
      <c r="L108" s="17"/>
      <c r="M108" s="17"/>
      <c r="N108" s="17"/>
      <c r="O108" s="17"/>
      <c r="P108" s="17"/>
      <c r="Q108" s="17"/>
      <c r="R108" s="17"/>
      <c r="S108" s="17"/>
      <c r="T108" s="17"/>
      <c r="U108" s="17"/>
      <c r="V108" s="17"/>
      <c r="W108" s="17"/>
      <c r="X108" s="17"/>
      <c r="Y108" s="17"/>
      <c r="Z108" s="17"/>
    </row>
    <row r="109" spans="1:26" ht="12.5">
      <c r="A109" s="17"/>
      <c r="B109" s="24"/>
      <c r="C109" s="24"/>
      <c r="D109" s="17"/>
      <c r="E109" s="24"/>
      <c r="F109" s="17"/>
      <c r="G109" s="17"/>
      <c r="H109" s="17"/>
      <c r="I109" s="17"/>
      <c r="J109" s="17"/>
      <c r="K109" s="17"/>
      <c r="L109" s="17"/>
      <c r="M109" s="17"/>
      <c r="N109" s="17"/>
      <c r="O109" s="17"/>
      <c r="P109" s="17"/>
      <c r="Q109" s="17"/>
      <c r="R109" s="17"/>
      <c r="S109" s="17"/>
      <c r="T109" s="17"/>
      <c r="U109" s="17"/>
      <c r="V109" s="17"/>
      <c r="W109" s="17"/>
      <c r="X109" s="17"/>
      <c r="Y109" s="17"/>
      <c r="Z109" s="17"/>
    </row>
    <row r="110" spans="1:26" ht="12.5">
      <c r="A110" s="17"/>
      <c r="B110" s="24"/>
      <c r="C110" s="24"/>
      <c r="D110" s="17"/>
      <c r="E110" s="24"/>
      <c r="F110" s="17"/>
      <c r="G110" s="17"/>
      <c r="H110" s="17"/>
      <c r="I110" s="17"/>
      <c r="J110" s="17"/>
      <c r="K110" s="17"/>
      <c r="L110" s="17"/>
      <c r="M110" s="17"/>
      <c r="N110" s="17"/>
      <c r="O110" s="17"/>
      <c r="P110" s="17"/>
      <c r="Q110" s="17"/>
      <c r="R110" s="17"/>
      <c r="S110" s="17"/>
      <c r="T110" s="17"/>
      <c r="U110" s="17"/>
      <c r="V110" s="17"/>
      <c r="W110" s="17"/>
      <c r="X110" s="17"/>
      <c r="Y110" s="17"/>
      <c r="Z110" s="17"/>
    </row>
    <row r="111" spans="1:26" ht="12.5">
      <c r="A111" s="17"/>
      <c r="B111" s="24"/>
      <c r="C111" s="24"/>
      <c r="D111" s="17"/>
      <c r="E111" s="24"/>
      <c r="F111" s="17"/>
      <c r="G111" s="17"/>
      <c r="H111" s="17"/>
      <c r="I111" s="17"/>
      <c r="J111" s="17"/>
      <c r="K111" s="17"/>
      <c r="L111" s="17"/>
      <c r="M111" s="17"/>
      <c r="N111" s="17"/>
      <c r="O111" s="17"/>
      <c r="P111" s="17"/>
      <c r="Q111" s="17"/>
      <c r="R111" s="17"/>
      <c r="S111" s="17"/>
      <c r="T111" s="17"/>
      <c r="U111" s="17"/>
      <c r="V111" s="17"/>
      <c r="W111" s="17"/>
      <c r="X111" s="17"/>
      <c r="Y111" s="17"/>
      <c r="Z111" s="17"/>
    </row>
    <row r="112" spans="1:26" ht="12.5">
      <c r="A112" s="17"/>
      <c r="B112" s="24"/>
      <c r="C112" s="24"/>
      <c r="D112" s="17"/>
      <c r="E112" s="24"/>
      <c r="F112" s="17"/>
      <c r="G112" s="17"/>
      <c r="H112" s="17"/>
      <c r="I112" s="17"/>
      <c r="J112" s="17"/>
      <c r="K112" s="17"/>
      <c r="L112" s="17"/>
      <c r="M112" s="17"/>
      <c r="N112" s="17"/>
      <c r="O112" s="17"/>
      <c r="P112" s="17"/>
      <c r="Q112" s="17"/>
      <c r="R112" s="17"/>
      <c r="S112" s="17"/>
      <c r="T112" s="17"/>
      <c r="U112" s="17"/>
      <c r="V112" s="17"/>
      <c r="W112" s="17"/>
      <c r="X112" s="17"/>
      <c r="Y112" s="17"/>
      <c r="Z112" s="17"/>
    </row>
    <row r="113" spans="1:26" ht="12.5">
      <c r="A113" s="17"/>
      <c r="B113" s="24"/>
      <c r="C113" s="24"/>
      <c r="D113" s="17"/>
      <c r="E113" s="24"/>
      <c r="F113" s="17"/>
      <c r="G113" s="17"/>
      <c r="H113" s="17"/>
      <c r="I113" s="17"/>
      <c r="J113" s="17"/>
      <c r="K113" s="17"/>
      <c r="L113" s="17"/>
      <c r="M113" s="17"/>
      <c r="N113" s="17"/>
      <c r="O113" s="17"/>
      <c r="P113" s="17"/>
      <c r="Q113" s="17"/>
      <c r="R113" s="17"/>
      <c r="S113" s="17"/>
      <c r="T113" s="17"/>
      <c r="U113" s="17"/>
      <c r="V113" s="17"/>
      <c r="W113" s="17"/>
      <c r="X113" s="17"/>
      <c r="Y113" s="17"/>
      <c r="Z113" s="17"/>
    </row>
    <row r="114" spans="1:26" ht="12.5">
      <c r="A114" s="17"/>
      <c r="B114" s="24"/>
      <c r="C114" s="24"/>
      <c r="D114" s="17"/>
      <c r="E114" s="24"/>
      <c r="F114" s="17"/>
      <c r="G114" s="17"/>
      <c r="H114" s="17"/>
      <c r="I114" s="17"/>
      <c r="J114" s="17"/>
      <c r="K114" s="17"/>
      <c r="L114" s="17"/>
      <c r="M114" s="17"/>
      <c r="N114" s="17"/>
      <c r="O114" s="17"/>
      <c r="P114" s="17"/>
      <c r="Q114" s="17"/>
      <c r="R114" s="17"/>
      <c r="S114" s="17"/>
      <c r="T114" s="17"/>
      <c r="U114" s="17"/>
      <c r="V114" s="17"/>
      <c r="W114" s="17"/>
      <c r="X114" s="17"/>
      <c r="Y114" s="17"/>
      <c r="Z114" s="17"/>
    </row>
    <row r="115" spans="1:26" ht="12.5">
      <c r="A115" s="17"/>
      <c r="B115" s="24"/>
      <c r="C115" s="24"/>
      <c r="D115" s="17"/>
      <c r="E115" s="24"/>
      <c r="F115" s="17"/>
      <c r="G115" s="17"/>
      <c r="H115" s="17"/>
      <c r="I115" s="17"/>
      <c r="J115" s="17"/>
      <c r="K115" s="17"/>
      <c r="L115" s="17"/>
      <c r="M115" s="17"/>
      <c r="N115" s="17"/>
      <c r="O115" s="17"/>
      <c r="P115" s="17"/>
      <c r="Q115" s="17"/>
      <c r="R115" s="17"/>
      <c r="S115" s="17"/>
      <c r="T115" s="17"/>
      <c r="U115" s="17"/>
      <c r="V115" s="17"/>
      <c r="W115" s="17"/>
      <c r="X115" s="17"/>
      <c r="Y115" s="17"/>
      <c r="Z115" s="17"/>
    </row>
    <row r="116" spans="1:26" ht="12.5">
      <c r="A116" s="17"/>
      <c r="B116" s="24"/>
      <c r="C116" s="24"/>
      <c r="D116" s="17"/>
      <c r="E116" s="24"/>
      <c r="F116" s="17"/>
      <c r="G116" s="17"/>
      <c r="H116" s="17"/>
      <c r="I116" s="17"/>
      <c r="J116" s="17"/>
      <c r="K116" s="17"/>
      <c r="L116" s="17"/>
      <c r="M116" s="17"/>
      <c r="N116" s="17"/>
      <c r="O116" s="17"/>
      <c r="P116" s="17"/>
      <c r="Q116" s="17"/>
      <c r="R116" s="17"/>
      <c r="S116" s="17"/>
      <c r="T116" s="17"/>
      <c r="U116" s="17"/>
      <c r="V116" s="17"/>
      <c r="W116" s="17"/>
      <c r="X116" s="17"/>
      <c r="Y116" s="17"/>
      <c r="Z116" s="17"/>
    </row>
    <row r="117" spans="1:26" ht="12.5">
      <c r="A117" s="17"/>
      <c r="B117" s="24"/>
      <c r="C117" s="24"/>
      <c r="D117" s="17"/>
      <c r="E117" s="24"/>
      <c r="F117" s="17"/>
      <c r="G117" s="17"/>
      <c r="H117" s="17"/>
      <c r="I117" s="17"/>
      <c r="J117" s="17"/>
      <c r="K117" s="17"/>
      <c r="L117" s="17"/>
      <c r="M117" s="17"/>
      <c r="N117" s="17"/>
      <c r="O117" s="17"/>
      <c r="P117" s="17"/>
      <c r="Q117" s="17"/>
      <c r="R117" s="17"/>
      <c r="S117" s="17"/>
      <c r="T117" s="17"/>
      <c r="U117" s="17"/>
      <c r="V117" s="17"/>
      <c r="W117" s="17"/>
      <c r="X117" s="17"/>
      <c r="Y117" s="17"/>
      <c r="Z117" s="17"/>
    </row>
    <row r="118" spans="1:26" ht="12.5">
      <c r="A118" s="17"/>
      <c r="B118" s="24"/>
      <c r="C118" s="24"/>
      <c r="D118" s="17"/>
      <c r="E118" s="24"/>
      <c r="F118" s="17"/>
      <c r="G118" s="17"/>
      <c r="H118" s="17"/>
      <c r="I118" s="17"/>
      <c r="J118" s="17"/>
      <c r="K118" s="17"/>
      <c r="L118" s="17"/>
      <c r="M118" s="17"/>
      <c r="N118" s="17"/>
      <c r="O118" s="17"/>
      <c r="P118" s="17"/>
      <c r="Q118" s="17"/>
      <c r="R118" s="17"/>
      <c r="S118" s="17"/>
      <c r="T118" s="17"/>
      <c r="U118" s="17"/>
      <c r="V118" s="17"/>
      <c r="W118" s="17"/>
      <c r="X118" s="17"/>
      <c r="Y118" s="17"/>
      <c r="Z118" s="17"/>
    </row>
    <row r="119" spans="1:26" ht="12.5">
      <c r="A119" s="17"/>
      <c r="B119" s="24"/>
      <c r="C119" s="24"/>
      <c r="D119" s="17"/>
      <c r="E119" s="24"/>
      <c r="F119" s="17"/>
      <c r="G119" s="17"/>
      <c r="H119" s="17"/>
      <c r="I119" s="17"/>
      <c r="J119" s="17"/>
      <c r="K119" s="17"/>
      <c r="L119" s="17"/>
      <c r="M119" s="17"/>
      <c r="N119" s="17"/>
      <c r="O119" s="17"/>
      <c r="P119" s="17"/>
      <c r="Q119" s="17"/>
      <c r="R119" s="17"/>
      <c r="S119" s="17"/>
      <c r="T119" s="17"/>
      <c r="U119" s="17"/>
      <c r="V119" s="17"/>
      <c r="W119" s="17"/>
      <c r="X119" s="17"/>
      <c r="Y119" s="17"/>
      <c r="Z119" s="17"/>
    </row>
    <row r="120" spans="1:26" ht="12.5">
      <c r="A120" s="17"/>
      <c r="B120" s="24"/>
      <c r="C120" s="24"/>
      <c r="D120" s="17"/>
      <c r="E120" s="24"/>
      <c r="F120" s="17"/>
      <c r="G120" s="17"/>
      <c r="H120" s="17"/>
      <c r="I120" s="17"/>
      <c r="J120" s="17"/>
      <c r="K120" s="17"/>
      <c r="L120" s="17"/>
      <c r="M120" s="17"/>
      <c r="N120" s="17"/>
      <c r="O120" s="17"/>
      <c r="P120" s="17"/>
      <c r="Q120" s="17"/>
      <c r="R120" s="17"/>
      <c r="S120" s="17"/>
      <c r="T120" s="17"/>
      <c r="U120" s="17"/>
      <c r="V120" s="17"/>
      <c r="W120" s="17"/>
      <c r="X120" s="17"/>
      <c r="Y120" s="17"/>
      <c r="Z120" s="17"/>
    </row>
    <row r="121" spans="1:26" ht="12.5">
      <c r="A121" s="17"/>
      <c r="B121" s="24"/>
      <c r="C121" s="24"/>
      <c r="D121" s="17"/>
      <c r="E121" s="24"/>
      <c r="F121" s="17"/>
      <c r="G121" s="17"/>
      <c r="H121" s="17"/>
      <c r="I121" s="17"/>
      <c r="J121" s="17"/>
      <c r="K121" s="17"/>
      <c r="L121" s="17"/>
      <c r="M121" s="17"/>
      <c r="N121" s="17"/>
      <c r="O121" s="17"/>
      <c r="P121" s="17"/>
      <c r="Q121" s="17"/>
      <c r="R121" s="17"/>
      <c r="S121" s="17"/>
      <c r="T121" s="17"/>
      <c r="U121" s="17"/>
      <c r="V121" s="17"/>
      <c r="W121" s="17"/>
      <c r="X121" s="17"/>
      <c r="Y121" s="17"/>
      <c r="Z121" s="17"/>
    </row>
    <row r="122" spans="1:26" ht="12.5">
      <c r="A122" s="17"/>
      <c r="B122" s="24"/>
      <c r="C122" s="24"/>
      <c r="D122" s="17"/>
      <c r="E122" s="24"/>
      <c r="F122" s="17"/>
      <c r="G122" s="17"/>
      <c r="H122" s="17"/>
      <c r="I122" s="17"/>
      <c r="J122" s="17"/>
      <c r="K122" s="17"/>
      <c r="L122" s="17"/>
      <c r="M122" s="17"/>
      <c r="N122" s="17"/>
      <c r="O122" s="17"/>
      <c r="P122" s="17"/>
      <c r="Q122" s="17"/>
      <c r="R122" s="17"/>
      <c r="S122" s="17"/>
      <c r="T122" s="17"/>
      <c r="U122" s="17"/>
      <c r="V122" s="17"/>
      <c r="W122" s="17"/>
      <c r="X122" s="17"/>
      <c r="Y122" s="17"/>
      <c r="Z122" s="17"/>
    </row>
    <row r="123" spans="1:26" ht="12.5">
      <c r="A123" s="17"/>
      <c r="B123" s="24"/>
      <c r="C123" s="24"/>
      <c r="D123" s="17"/>
      <c r="E123" s="24"/>
      <c r="F123" s="17"/>
      <c r="G123" s="17"/>
      <c r="H123" s="17"/>
      <c r="I123" s="17"/>
      <c r="J123" s="17"/>
      <c r="K123" s="17"/>
      <c r="L123" s="17"/>
      <c r="M123" s="17"/>
      <c r="N123" s="17"/>
      <c r="O123" s="17"/>
      <c r="P123" s="17"/>
      <c r="Q123" s="17"/>
      <c r="R123" s="17"/>
      <c r="S123" s="17"/>
      <c r="T123" s="17"/>
      <c r="U123" s="17"/>
      <c r="V123" s="17"/>
      <c r="W123" s="17"/>
      <c r="X123" s="17"/>
      <c r="Y123" s="17"/>
      <c r="Z123" s="17"/>
    </row>
    <row r="124" spans="1:26" ht="12.5">
      <c r="A124" s="17"/>
      <c r="B124" s="24"/>
      <c r="C124" s="24"/>
      <c r="D124" s="17"/>
      <c r="E124" s="24"/>
      <c r="F124" s="17"/>
      <c r="G124" s="17"/>
      <c r="H124" s="17"/>
      <c r="I124" s="17"/>
      <c r="J124" s="17"/>
      <c r="K124" s="17"/>
      <c r="L124" s="17"/>
      <c r="M124" s="17"/>
      <c r="N124" s="17"/>
      <c r="O124" s="17"/>
      <c r="P124" s="17"/>
      <c r="Q124" s="17"/>
      <c r="R124" s="17"/>
      <c r="S124" s="17"/>
      <c r="T124" s="17"/>
      <c r="U124" s="17"/>
      <c r="V124" s="17"/>
      <c r="W124" s="17"/>
      <c r="X124" s="17"/>
      <c r="Y124" s="17"/>
      <c r="Z124" s="17"/>
    </row>
    <row r="125" spans="1:26" ht="12.5">
      <c r="A125" s="17"/>
      <c r="B125" s="24"/>
      <c r="C125" s="24"/>
      <c r="D125" s="17"/>
      <c r="E125" s="24"/>
      <c r="F125" s="17"/>
      <c r="G125" s="17"/>
      <c r="H125" s="17"/>
      <c r="I125" s="17"/>
      <c r="J125" s="17"/>
      <c r="K125" s="17"/>
      <c r="L125" s="17"/>
      <c r="M125" s="17"/>
      <c r="N125" s="17"/>
      <c r="O125" s="17"/>
      <c r="P125" s="17"/>
      <c r="Q125" s="17"/>
      <c r="R125" s="17"/>
      <c r="S125" s="17"/>
      <c r="T125" s="17"/>
      <c r="U125" s="17"/>
      <c r="V125" s="17"/>
      <c r="W125" s="17"/>
      <c r="X125" s="17"/>
      <c r="Y125" s="17"/>
      <c r="Z125" s="17"/>
    </row>
    <row r="126" spans="1:26" ht="12.5">
      <c r="A126" s="17"/>
      <c r="B126" s="24"/>
      <c r="C126" s="24"/>
      <c r="D126" s="17"/>
      <c r="E126" s="24"/>
      <c r="F126" s="17"/>
      <c r="G126" s="17"/>
      <c r="H126" s="17"/>
      <c r="I126" s="17"/>
      <c r="J126" s="17"/>
      <c r="K126" s="17"/>
      <c r="L126" s="17"/>
      <c r="M126" s="17"/>
      <c r="N126" s="17"/>
      <c r="O126" s="17"/>
      <c r="P126" s="17"/>
      <c r="Q126" s="17"/>
      <c r="R126" s="17"/>
      <c r="S126" s="17"/>
      <c r="T126" s="17"/>
      <c r="U126" s="17"/>
      <c r="V126" s="17"/>
      <c r="W126" s="17"/>
      <c r="X126" s="17"/>
      <c r="Y126" s="17"/>
      <c r="Z126" s="17"/>
    </row>
    <row r="127" spans="1:26" ht="12.5">
      <c r="A127" s="17"/>
      <c r="B127" s="24"/>
      <c r="C127" s="24"/>
      <c r="D127" s="17"/>
      <c r="E127" s="24"/>
      <c r="F127" s="17"/>
      <c r="G127" s="17"/>
      <c r="H127" s="17"/>
      <c r="I127" s="17"/>
      <c r="J127" s="17"/>
      <c r="K127" s="17"/>
      <c r="L127" s="17"/>
      <c r="M127" s="17"/>
      <c r="N127" s="17"/>
      <c r="O127" s="17"/>
      <c r="P127" s="17"/>
      <c r="Q127" s="17"/>
      <c r="R127" s="17"/>
      <c r="S127" s="17"/>
      <c r="T127" s="17"/>
      <c r="U127" s="17"/>
      <c r="V127" s="17"/>
      <c r="W127" s="17"/>
      <c r="X127" s="17"/>
      <c r="Y127" s="17"/>
      <c r="Z127" s="17"/>
    </row>
    <row r="128" spans="1:26" ht="12.5">
      <c r="A128" s="17"/>
      <c r="B128" s="24"/>
      <c r="C128" s="24"/>
      <c r="D128" s="17"/>
      <c r="E128" s="24"/>
      <c r="F128" s="17"/>
      <c r="G128" s="17"/>
      <c r="H128" s="17"/>
      <c r="I128" s="17"/>
      <c r="J128" s="17"/>
      <c r="K128" s="17"/>
      <c r="L128" s="17"/>
      <c r="M128" s="17"/>
      <c r="N128" s="17"/>
      <c r="O128" s="17"/>
      <c r="P128" s="17"/>
      <c r="Q128" s="17"/>
      <c r="R128" s="17"/>
      <c r="S128" s="17"/>
      <c r="T128" s="17"/>
      <c r="U128" s="17"/>
      <c r="V128" s="17"/>
      <c r="W128" s="17"/>
      <c r="X128" s="17"/>
      <c r="Y128" s="17"/>
      <c r="Z128" s="17"/>
    </row>
    <row r="129" spans="1:26" ht="12.5">
      <c r="A129" s="17"/>
      <c r="B129" s="24"/>
      <c r="C129" s="24"/>
      <c r="D129" s="17"/>
      <c r="E129" s="24"/>
      <c r="F129" s="17"/>
      <c r="G129" s="17"/>
      <c r="H129" s="17"/>
      <c r="I129" s="17"/>
      <c r="J129" s="17"/>
      <c r="K129" s="17"/>
      <c r="L129" s="17"/>
      <c r="M129" s="17"/>
      <c r="N129" s="17"/>
      <c r="O129" s="17"/>
      <c r="P129" s="17"/>
      <c r="Q129" s="17"/>
      <c r="R129" s="17"/>
      <c r="S129" s="17"/>
      <c r="T129" s="17"/>
      <c r="U129" s="17"/>
      <c r="V129" s="17"/>
      <c r="W129" s="17"/>
      <c r="X129" s="17"/>
      <c r="Y129" s="17"/>
      <c r="Z129" s="17"/>
    </row>
    <row r="130" spans="1:26" ht="12.5">
      <c r="A130" s="17"/>
      <c r="B130" s="24"/>
      <c r="C130" s="24"/>
      <c r="D130" s="17"/>
      <c r="E130" s="24"/>
      <c r="F130" s="17"/>
      <c r="G130" s="17"/>
      <c r="H130" s="17"/>
      <c r="I130" s="17"/>
      <c r="J130" s="17"/>
      <c r="K130" s="17"/>
      <c r="L130" s="17"/>
      <c r="M130" s="17"/>
      <c r="N130" s="17"/>
      <c r="O130" s="17"/>
      <c r="P130" s="17"/>
      <c r="Q130" s="17"/>
      <c r="R130" s="17"/>
      <c r="S130" s="17"/>
      <c r="T130" s="17"/>
      <c r="U130" s="17"/>
      <c r="V130" s="17"/>
      <c r="W130" s="17"/>
      <c r="X130" s="17"/>
      <c r="Y130" s="17"/>
      <c r="Z130" s="17"/>
    </row>
    <row r="131" spans="1:26" ht="12.5">
      <c r="A131" s="17"/>
      <c r="B131" s="24"/>
      <c r="C131" s="24"/>
      <c r="D131" s="17"/>
      <c r="E131" s="24"/>
      <c r="F131" s="17"/>
      <c r="G131" s="17"/>
      <c r="H131" s="17"/>
      <c r="I131" s="17"/>
      <c r="J131" s="17"/>
      <c r="K131" s="17"/>
      <c r="L131" s="17"/>
      <c r="M131" s="17"/>
      <c r="N131" s="17"/>
      <c r="O131" s="17"/>
      <c r="P131" s="17"/>
      <c r="Q131" s="17"/>
      <c r="R131" s="17"/>
      <c r="S131" s="17"/>
      <c r="T131" s="17"/>
      <c r="U131" s="17"/>
      <c r="V131" s="17"/>
      <c r="W131" s="17"/>
      <c r="X131" s="17"/>
      <c r="Y131" s="17"/>
      <c r="Z131" s="17"/>
    </row>
    <row r="132" spans="1:26" ht="12.5">
      <c r="A132" s="17"/>
      <c r="B132" s="24"/>
      <c r="C132" s="24"/>
      <c r="D132" s="17"/>
      <c r="E132" s="24"/>
      <c r="F132" s="17"/>
      <c r="G132" s="17"/>
      <c r="H132" s="17"/>
      <c r="I132" s="17"/>
      <c r="J132" s="17"/>
      <c r="K132" s="17"/>
      <c r="L132" s="17"/>
      <c r="M132" s="17"/>
      <c r="N132" s="17"/>
      <c r="O132" s="17"/>
      <c r="P132" s="17"/>
      <c r="Q132" s="17"/>
      <c r="R132" s="17"/>
      <c r="S132" s="17"/>
      <c r="T132" s="17"/>
      <c r="U132" s="17"/>
      <c r="V132" s="17"/>
      <c r="W132" s="17"/>
      <c r="X132" s="17"/>
      <c r="Y132" s="17"/>
      <c r="Z132" s="17"/>
    </row>
    <row r="133" spans="1:26" ht="12.5">
      <c r="A133" s="17"/>
      <c r="B133" s="24"/>
      <c r="C133" s="24"/>
      <c r="D133" s="17"/>
      <c r="E133" s="24"/>
      <c r="F133" s="17"/>
      <c r="G133" s="17"/>
      <c r="H133" s="17"/>
      <c r="I133" s="17"/>
      <c r="J133" s="17"/>
      <c r="K133" s="17"/>
      <c r="L133" s="17"/>
      <c r="M133" s="17"/>
      <c r="N133" s="17"/>
      <c r="O133" s="17"/>
      <c r="P133" s="17"/>
      <c r="Q133" s="17"/>
      <c r="R133" s="17"/>
      <c r="S133" s="17"/>
      <c r="T133" s="17"/>
      <c r="U133" s="17"/>
      <c r="V133" s="17"/>
      <c r="W133" s="17"/>
      <c r="X133" s="17"/>
      <c r="Y133" s="17"/>
      <c r="Z133" s="17"/>
    </row>
    <row r="134" spans="1:26" ht="12.5">
      <c r="A134" s="17"/>
      <c r="B134" s="24"/>
      <c r="C134" s="24"/>
      <c r="D134" s="17"/>
      <c r="E134" s="24"/>
      <c r="F134" s="17"/>
      <c r="G134" s="17"/>
      <c r="H134" s="17"/>
      <c r="I134" s="17"/>
      <c r="J134" s="17"/>
      <c r="K134" s="17"/>
      <c r="L134" s="17"/>
      <c r="M134" s="17"/>
      <c r="N134" s="17"/>
      <c r="O134" s="17"/>
      <c r="P134" s="17"/>
      <c r="Q134" s="17"/>
      <c r="R134" s="17"/>
      <c r="S134" s="17"/>
      <c r="T134" s="17"/>
      <c r="U134" s="17"/>
      <c r="V134" s="17"/>
      <c r="W134" s="17"/>
      <c r="X134" s="17"/>
      <c r="Y134" s="17"/>
      <c r="Z134" s="17"/>
    </row>
    <row r="135" spans="1:26" ht="12.5">
      <c r="A135" s="17"/>
      <c r="B135" s="24"/>
      <c r="C135" s="24"/>
      <c r="D135" s="17"/>
      <c r="E135" s="24"/>
      <c r="F135" s="17"/>
      <c r="G135" s="17"/>
      <c r="H135" s="17"/>
      <c r="I135" s="17"/>
      <c r="J135" s="17"/>
      <c r="K135" s="17"/>
      <c r="L135" s="17"/>
      <c r="M135" s="17"/>
      <c r="N135" s="17"/>
      <c r="O135" s="17"/>
      <c r="P135" s="17"/>
      <c r="Q135" s="17"/>
      <c r="R135" s="17"/>
      <c r="S135" s="17"/>
      <c r="T135" s="17"/>
      <c r="U135" s="17"/>
      <c r="V135" s="17"/>
      <c r="W135" s="17"/>
      <c r="X135" s="17"/>
      <c r="Y135" s="17"/>
      <c r="Z135" s="17"/>
    </row>
    <row r="136" spans="1:26" ht="12.5">
      <c r="A136" s="17"/>
      <c r="B136" s="24"/>
      <c r="C136" s="24"/>
      <c r="D136" s="17"/>
      <c r="E136" s="24"/>
      <c r="F136" s="17"/>
      <c r="G136" s="17"/>
      <c r="H136" s="17"/>
      <c r="I136" s="17"/>
      <c r="J136" s="17"/>
      <c r="K136" s="17"/>
      <c r="L136" s="17"/>
      <c r="M136" s="17"/>
      <c r="N136" s="17"/>
      <c r="O136" s="17"/>
      <c r="P136" s="17"/>
      <c r="Q136" s="17"/>
      <c r="R136" s="17"/>
      <c r="S136" s="17"/>
      <c r="T136" s="17"/>
      <c r="U136" s="17"/>
      <c r="V136" s="17"/>
      <c r="W136" s="17"/>
      <c r="X136" s="17"/>
      <c r="Y136" s="17"/>
      <c r="Z136" s="17"/>
    </row>
    <row r="137" spans="1:26" ht="12.5">
      <c r="A137" s="17"/>
      <c r="B137" s="24"/>
      <c r="C137" s="24"/>
      <c r="D137" s="17"/>
      <c r="E137" s="24"/>
      <c r="F137" s="17"/>
      <c r="G137" s="17"/>
      <c r="H137" s="17"/>
      <c r="I137" s="17"/>
      <c r="J137" s="17"/>
      <c r="K137" s="17"/>
      <c r="L137" s="17"/>
      <c r="M137" s="17"/>
      <c r="N137" s="17"/>
      <c r="O137" s="17"/>
      <c r="P137" s="17"/>
      <c r="Q137" s="17"/>
      <c r="R137" s="17"/>
      <c r="S137" s="17"/>
      <c r="T137" s="17"/>
      <c r="U137" s="17"/>
      <c r="V137" s="17"/>
      <c r="W137" s="17"/>
      <c r="X137" s="17"/>
      <c r="Y137" s="17"/>
      <c r="Z137" s="17"/>
    </row>
    <row r="138" spans="1:26" ht="12.5">
      <c r="A138" s="17"/>
      <c r="B138" s="24"/>
      <c r="C138" s="24"/>
      <c r="D138" s="17"/>
      <c r="E138" s="24"/>
      <c r="F138" s="17"/>
      <c r="G138" s="17"/>
      <c r="H138" s="17"/>
      <c r="I138" s="17"/>
      <c r="J138" s="17"/>
      <c r="K138" s="17"/>
      <c r="L138" s="17"/>
      <c r="M138" s="17"/>
      <c r="N138" s="17"/>
      <c r="O138" s="17"/>
      <c r="P138" s="17"/>
      <c r="Q138" s="17"/>
      <c r="R138" s="17"/>
      <c r="S138" s="17"/>
      <c r="T138" s="17"/>
      <c r="U138" s="17"/>
      <c r="V138" s="17"/>
      <c r="W138" s="17"/>
      <c r="X138" s="17"/>
      <c r="Y138" s="17"/>
      <c r="Z138" s="17"/>
    </row>
    <row r="139" spans="1:26" ht="12.5">
      <c r="A139" s="17"/>
      <c r="B139" s="24"/>
      <c r="C139" s="24"/>
      <c r="D139" s="17"/>
      <c r="E139" s="24"/>
      <c r="F139" s="17"/>
      <c r="G139" s="17"/>
      <c r="H139" s="17"/>
      <c r="I139" s="17"/>
      <c r="J139" s="17"/>
      <c r="K139" s="17"/>
      <c r="L139" s="17"/>
      <c r="M139" s="17"/>
      <c r="N139" s="17"/>
      <c r="O139" s="17"/>
      <c r="P139" s="17"/>
      <c r="Q139" s="17"/>
      <c r="R139" s="17"/>
      <c r="S139" s="17"/>
      <c r="T139" s="17"/>
      <c r="U139" s="17"/>
      <c r="V139" s="17"/>
      <c r="W139" s="17"/>
      <c r="X139" s="17"/>
      <c r="Y139" s="17"/>
      <c r="Z139" s="17"/>
    </row>
    <row r="140" spans="1:26" ht="12.5">
      <c r="A140" s="17"/>
      <c r="B140" s="24"/>
      <c r="C140" s="24"/>
      <c r="D140" s="17"/>
      <c r="E140" s="24"/>
      <c r="F140" s="17"/>
      <c r="G140" s="17"/>
      <c r="H140" s="17"/>
      <c r="I140" s="17"/>
      <c r="J140" s="17"/>
      <c r="K140" s="17"/>
      <c r="L140" s="17"/>
      <c r="M140" s="17"/>
      <c r="N140" s="17"/>
      <c r="O140" s="17"/>
      <c r="P140" s="17"/>
      <c r="Q140" s="17"/>
      <c r="R140" s="17"/>
      <c r="S140" s="17"/>
      <c r="T140" s="17"/>
      <c r="U140" s="17"/>
      <c r="V140" s="17"/>
      <c r="W140" s="17"/>
      <c r="X140" s="17"/>
      <c r="Y140" s="17"/>
      <c r="Z140" s="17"/>
    </row>
    <row r="141" spans="1:26" ht="12.5">
      <c r="A141" s="17"/>
      <c r="B141" s="24"/>
      <c r="C141" s="24"/>
      <c r="D141" s="17"/>
      <c r="E141" s="24"/>
      <c r="F141" s="17"/>
      <c r="G141" s="17"/>
      <c r="H141" s="17"/>
      <c r="I141" s="17"/>
      <c r="J141" s="17"/>
      <c r="K141" s="17"/>
      <c r="L141" s="17"/>
      <c r="M141" s="17"/>
      <c r="N141" s="17"/>
      <c r="O141" s="17"/>
      <c r="P141" s="17"/>
      <c r="Q141" s="17"/>
      <c r="R141" s="17"/>
      <c r="S141" s="17"/>
      <c r="T141" s="17"/>
      <c r="U141" s="17"/>
      <c r="V141" s="17"/>
      <c r="W141" s="17"/>
      <c r="X141" s="17"/>
      <c r="Y141" s="17"/>
      <c r="Z141" s="17"/>
    </row>
    <row r="142" spans="1:26" ht="12.5">
      <c r="A142" s="17"/>
      <c r="B142" s="24"/>
      <c r="C142" s="24"/>
      <c r="D142" s="17"/>
      <c r="E142" s="24"/>
      <c r="F142" s="17"/>
      <c r="G142" s="17"/>
      <c r="H142" s="17"/>
      <c r="I142" s="17"/>
      <c r="J142" s="17"/>
      <c r="K142" s="17"/>
      <c r="L142" s="17"/>
      <c r="M142" s="17"/>
      <c r="N142" s="17"/>
      <c r="O142" s="17"/>
      <c r="P142" s="17"/>
      <c r="Q142" s="17"/>
      <c r="R142" s="17"/>
      <c r="S142" s="17"/>
      <c r="T142" s="17"/>
      <c r="U142" s="17"/>
      <c r="V142" s="17"/>
      <c r="W142" s="17"/>
      <c r="X142" s="17"/>
      <c r="Y142" s="17"/>
      <c r="Z142" s="17"/>
    </row>
    <row r="143" spans="1:26" ht="12.5">
      <c r="A143" s="17"/>
      <c r="B143" s="24"/>
      <c r="C143" s="24"/>
      <c r="D143" s="17"/>
      <c r="E143" s="24"/>
      <c r="F143" s="17"/>
      <c r="G143" s="17"/>
      <c r="H143" s="17"/>
      <c r="I143" s="17"/>
      <c r="J143" s="17"/>
      <c r="K143" s="17"/>
      <c r="L143" s="17"/>
      <c r="M143" s="17"/>
      <c r="N143" s="17"/>
      <c r="O143" s="17"/>
      <c r="P143" s="17"/>
      <c r="Q143" s="17"/>
      <c r="R143" s="17"/>
      <c r="S143" s="17"/>
      <c r="T143" s="17"/>
      <c r="U143" s="17"/>
      <c r="V143" s="17"/>
      <c r="W143" s="17"/>
      <c r="X143" s="17"/>
      <c r="Y143" s="17"/>
      <c r="Z143" s="17"/>
    </row>
    <row r="144" spans="1:26" ht="12.5">
      <c r="A144" s="17"/>
      <c r="B144" s="24"/>
      <c r="C144" s="24"/>
      <c r="D144" s="17"/>
      <c r="E144" s="24"/>
      <c r="F144" s="17"/>
      <c r="G144" s="17"/>
      <c r="H144" s="17"/>
      <c r="I144" s="17"/>
      <c r="J144" s="17"/>
      <c r="K144" s="17"/>
      <c r="L144" s="17"/>
      <c r="M144" s="17"/>
      <c r="N144" s="17"/>
      <c r="O144" s="17"/>
      <c r="P144" s="17"/>
      <c r="Q144" s="17"/>
      <c r="R144" s="17"/>
      <c r="S144" s="17"/>
      <c r="T144" s="17"/>
      <c r="U144" s="17"/>
      <c r="V144" s="17"/>
      <c r="W144" s="17"/>
      <c r="X144" s="17"/>
      <c r="Y144" s="17"/>
      <c r="Z144" s="17"/>
    </row>
    <row r="145" spans="1:26" ht="12.5">
      <c r="A145" s="17"/>
      <c r="B145" s="24"/>
      <c r="C145" s="24"/>
      <c r="D145" s="17"/>
      <c r="E145" s="24"/>
      <c r="F145" s="17"/>
      <c r="G145" s="17"/>
      <c r="H145" s="17"/>
      <c r="I145" s="17"/>
      <c r="J145" s="17"/>
      <c r="K145" s="17"/>
      <c r="L145" s="17"/>
      <c r="M145" s="17"/>
      <c r="N145" s="17"/>
      <c r="O145" s="17"/>
      <c r="P145" s="17"/>
      <c r="Q145" s="17"/>
      <c r="R145" s="17"/>
      <c r="S145" s="17"/>
      <c r="T145" s="17"/>
      <c r="U145" s="17"/>
      <c r="V145" s="17"/>
      <c r="W145" s="17"/>
      <c r="X145" s="17"/>
      <c r="Y145" s="17"/>
      <c r="Z145" s="17"/>
    </row>
    <row r="146" spans="1:26" ht="12.5">
      <c r="A146" s="17"/>
      <c r="B146" s="24"/>
      <c r="C146" s="24"/>
      <c r="D146" s="17"/>
      <c r="E146" s="24"/>
      <c r="F146" s="17"/>
      <c r="G146" s="17"/>
      <c r="H146" s="17"/>
      <c r="I146" s="17"/>
      <c r="J146" s="17"/>
      <c r="K146" s="17"/>
      <c r="L146" s="17"/>
      <c r="M146" s="17"/>
      <c r="N146" s="17"/>
      <c r="O146" s="17"/>
      <c r="P146" s="17"/>
      <c r="Q146" s="17"/>
      <c r="R146" s="17"/>
      <c r="S146" s="17"/>
      <c r="T146" s="17"/>
      <c r="U146" s="17"/>
      <c r="V146" s="17"/>
      <c r="W146" s="17"/>
      <c r="X146" s="17"/>
      <c r="Y146" s="17"/>
      <c r="Z146" s="17"/>
    </row>
    <row r="147" spans="1:26" ht="12.5">
      <c r="A147" s="17"/>
      <c r="B147" s="24"/>
      <c r="C147" s="24"/>
      <c r="D147" s="17"/>
      <c r="E147" s="24"/>
      <c r="F147" s="17"/>
      <c r="G147" s="17"/>
      <c r="H147" s="17"/>
      <c r="I147" s="17"/>
      <c r="J147" s="17"/>
      <c r="K147" s="17"/>
      <c r="L147" s="17"/>
      <c r="M147" s="17"/>
      <c r="N147" s="17"/>
      <c r="O147" s="17"/>
      <c r="P147" s="17"/>
      <c r="Q147" s="17"/>
      <c r="R147" s="17"/>
      <c r="S147" s="17"/>
      <c r="T147" s="17"/>
      <c r="U147" s="17"/>
      <c r="V147" s="17"/>
      <c r="W147" s="17"/>
      <c r="X147" s="17"/>
      <c r="Y147" s="17"/>
      <c r="Z147" s="17"/>
    </row>
    <row r="148" spans="1:26" ht="12.5">
      <c r="A148" s="17"/>
      <c r="B148" s="24"/>
      <c r="C148" s="24"/>
      <c r="D148" s="17"/>
      <c r="E148" s="24"/>
      <c r="F148" s="17"/>
      <c r="G148" s="17"/>
      <c r="H148" s="17"/>
      <c r="I148" s="17"/>
      <c r="J148" s="17"/>
      <c r="K148" s="17"/>
      <c r="L148" s="17"/>
      <c r="M148" s="17"/>
      <c r="N148" s="17"/>
      <c r="O148" s="17"/>
      <c r="P148" s="17"/>
      <c r="Q148" s="17"/>
      <c r="R148" s="17"/>
      <c r="S148" s="17"/>
      <c r="T148" s="17"/>
      <c r="U148" s="17"/>
      <c r="V148" s="17"/>
      <c r="W148" s="17"/>
      <c r="X148" s="17"/>
      <c r="Y148" s="17"/>
      <c r="Z148" s="17"/>
    </row>
    <row r="149" spans="1:26" ht="12.5">
      <c r="A149" s="17"/>
      <c r="B149" s="24"/>
      <c r="C149" s="24"/>
      <c r="D149" s="17"/>
      <c r="E149" s="24"/>
      <c r="F149" s="17"/>
      <c r="G149" s="17"/>
      <c r="H149" s="17"/>
      <c r="I149" s="17"/>
      <c r="J149" s="17"/>
      <c r="K149" s="17"/>
      <c r="L149" s="17"/>
      <c r="M149" s="17"/>
      <c r="N149" s="17"/>
      <c r="O149" s="17"/>
      <c r="P149" s="17"/>
      <c r="Q149" s="17"/>
      <c r="R149" s="17"/>
      <c r="S149" s="17"/>
      <c r="T149" s="17"/>
      <c r="U149" s="17"/>
      <c r="V149" s="17"/>
      <c r="W149" s="17"/>
      <c r="X149" s="17"/>
      <c r="Y149" s="17"/>
      <c r="Z149" s="17"/>
    </row>
    <row r="150" spans="1:26" ht="12.5">
      <c r="A150" s="17"/>
      <c r="B150" s="24"/>
      <c r="C150" s="24"/>
      <c r="D150" s="17"/>
      <c r="E150" s="24"/>
      <c r="F150" s="17"/>
      <c r="G150" s="17"/>
      <c r="H150" s="17"/>
      <c r="I150" s="17"/>
      <c r="J150" s="17"/>
      <c r="K150" s="17"/>
      <c r="L150" s="17"/>
      <c r="M150" s="17"/>
      <c r="N150" s="17"/>
      <c r="O150" s="17"/>
      <c r="P150" s="17"/>
      <c r="Q150" s="17"/>
      <c r="R150" s="17"/>
      <c r="S150" s="17"/>
      <c r="T150" s="17"/>
      <c r="U150" s="17"/>
      <c r="V150" s="17"/>
      <c r="W150" s="17"/>
      <c r="X150" s="17"/>
      <c r="Y150" s="17"/>
      <c r="Z150" s="17"/>
    </row>
    <row r="151" spans="1:26" ht="12.5">
      <c r="A151" s="17"/>
      <c r="B151" s="24"/>
      <c r="C151" s="24"/>
      <c r="D151" s="17"/>
      <c r="E151" s="24"/>
      <c r="F151" s="17"/>
      <c r="G151" s="17"/>
      <c r="H151" s="17"/>
      <c r="I151" s="17"/>
      <c r="J151" s="17"/>
      <c r="K151" s="17"/>
      <c r="L151" s="17"/>
      <c r="M151" s="17"/>
      <c r="N151" s="17"/>
      <c r="O151" s="17"/>
      <c r="P151" s="17"/>
      <c r="Q151" s="17"/>
      <c r="R151" s="17"/>
      <c r="S151" s="17"/>
      <c r="T151" s="17"/>
      <c r="U151" s="17"/>
      <c r="V151" s="17"/>
      <c r="W151" s="17"/>
      <c r="X151" s="17"/>
      <c r="Y151" s="17"/>
      <c r="Z151" s="17"/>
    </row>
    <row r="152" spans="1:26" ht="12.5">
      <c r="A152" s="17"/>
      <c r="B152" s="24"/>
      <c r="C152" s="24"/>
      <c r="D152" s="17"/>
      <c r="E152" s="24"/>
      <c r="F152" s="17"/>
      <c r="G152" s="17"/>
      <c r="H152" s="17"/>
      <c r="I152" s="17"/>
      <c r="J152" s="17"/>
      <c r="K152" s="17"/>
      <c r="L152" s="17"/>
      <c r="M152" s="17"/>
      <c r="N152" s="17"/>
      <c r="O152" s="17"/>
      <c r="P152" s="17"/>
      <c r="Q152" s="17"/>
      <c r="R152" s="17"/>
      <c r="S152" s="17"/>
      <c r="T152" s="17"/>
      <c r="U152" s="17"/>
      <c r="V152" s="17"/>
      <c r="W152" s="17"/>
      <c r="X152" s="17"/>
      <c r="Y152" s="17"/>
      <c r="Z152" s="17"/>
    </row>
    <row r="153" spans="1:26" ht="12.5">
      <c r="A153" s="17"/>
      <c r="B153" s="24"/>
      <c r="C153" s="24"/>
      <c r="D153" s="17"/>
      <c r="E153" s="24"/>
      <c r="F153" s="17"/>
      <c r="G153" s="17"/>
      <c r="H153" s="17"/>
      <c r="I153" s="17"/>
      <c r="J153" s="17"/>
      <c r="K153" s="17"/>
      <c r="L153" s="17"/>
      <c r="M153" s="17"/>
      <c r="N153" s="17"/>
      <c r="O153" s="17"/>
      <c r="P153" s="17"/>
      <c r="Q153" s="17"/>
      <c r="R153" s="17"/>
      <c r="S153" s="17"/>
      <c r="T153" s="17"/>
      <c r="U153" s="17"/>
      <c r="V153" s="17"/>
      <c r="W153" s="17"/>
      <c r="X153" s="17"/>
      <c r="Y153" s="17"/>
      <c r="Z153" s="17"/>
    </row>
    <row r="154" spans="1:26" ht="12.5">
      <c r="A154" s="17"/>
      <c r="B154" s="24"/>
      <c r="C154" s="24"/>
      <c r="D154" s="17"/>
      <c r="E154" s="24"/>
      <c r="F154" s="17"/>
      <c r="G154" s="17"/>
      <c r="H154" s="17"/>
      <c r="I154" s="17"/>
      <c r="J154" s="17"/>
      <c r="K154" s="17"/>
      <c r="L154" s="17"/>
      <c r="M154" s="17"/>
      <c r="N154" s="17"/>
      <c r="O154" s="17"/>
      <c r="P154" s="17"/>
      <c r="Q154" s="17"/>
      <c r="R154" s="17"/>
      <c r="S154" s="17"/>
      <c r="T154" s="17"/>
      <c r="U154" s="17"/>
      <c r="V154" s="17"/>
      <c r="W154" s="17"/>
      <c r="X154" s="17"/>
      <c r="Y154" s="17"/>
      <c r="Z154" s="17"/>
    </row>
    <row r="155" spans="1:26" ht="12.5">
      <c r="A155" s="17"/>
      <c r="B155" s="24"/>
      <c r="C155" s="24"/>
      <c r="D155" s="17"/>
      <c r="E155" s="24"/>
      <c r="F155" s="17"/>
      <c r="G155" s="17"/>
      <c r="H155" s="17"/>
      <c r="I155" s="17"/>
      <c r="J155" s="17"/>
      <c r="K155" s="17"/>
      <c r="L155" s="17"/>
      <c r="M155" s="17"/>
      <c r="N155" s="17"/>
      <c r="O155" s="17"/>
      <c r="P155" s="17"/>
      <c r="Q155" s="17"/>
      <c r="R155" s="17"/>
      <c r="S155" s="17"/>
      <c r="T155" s="17"/>
      <c r="U155" s="17"/>
      <c r="V155" s="17"/>
      <c r="W155" s="17"/>
      <c r="X155" s="17"/>
      <c r="Y155" s="17"/>
      <c r="Z155" s="17"/>
    </row>
    <row r="156" spans="1:26" ht="12.5">
      <c r="A156" s="17"/>
      <c r="B156" s="24"/>
      <c r="C156" s="24"/>
      <c r="D156" s="17"/>
      <c r="E156" s="24"/>
      <c r="F156" s="17"/>
      <c r="G156" s="17"/>
      <c r="H156" s="17"/>
      <c r="I156" s="17"/>
      <c r="J156" s="17"/>
      <c r="K156" s="17"/>
      <c r="L156" s="17"/>
      <c r="M156" s="17"/>
      <c r="N156" s="17"/>
      <c r="O156" s="17"/>
      <c r="P156" s="17"/>
      <c r="Q156" s="17"/>
      <c r="R156" s="17"/>
      <c r="S156" s="17"/>
      <c r="T156" s="17"/>
      <c r="U156" s="17"/>
      <c r="V156" s="17"/>
      <c r="W156" s="17"/>
      <c r="X156" s="17"/>
      <c r="Y156" s="17"/>
      <c r="Z156" s="17"/>
    </row>
    <row r="157" spans="1:26" ht="12.5">
      <c r="A157" s="17"/>
      <c r="B157" s="24"/>
      <c r="C157" s="24"/>
      <c r="D157" s="17"/>
      <c r="E157" s="24"/>
      <c r="F157" s="17"/>
      <c r="G157" s="17"/>
      <c r="H157" s="17"/>
      <c r="I157" s="17"/>
      <c r="J157" s="17"/>
      <c r="K157" s="17"/>
      <c r="L157" s="17"/>
      <c r="M157" s="17"/>
      <c r="N157" s="17"/>
      <c r="O157" s="17"/>
      <c r="P157" s="17"/>
      <c r="Q157" s="17"/>
      <c r="R157" s="17"/>
      <c r="S157" s="17"/>
      <c r="T157" s="17"/>
      <c r="U157" s="17"/>
      <c r="V157" s="17"/>
      <c r="W157" s="17"/>
      <c r="X157" s="17"/>
      <c r="Y157" s="17"/>
      <c r="Z157" s="17"/>
    </row>
    <row r="158" spans="1:26" ht="12.5">
      <c r="A158" s="17"/>
      <c r="B158" s="24"/>
      <c r="C158" s="24"/>
      <c r="D158" s="17"/>
      <c r="E158" s="24"/>
      <c r="F158" s="17"/>
      <c r="G158" s="17"/>
      <c r="H158" s="17"/>
      <c r="I158" s="17"/>
      <c r="J158" s="17"/>
      <c r="K158" s="17"/>
      <c r="L158" s="17"/>
      <c r="M158" s="17"/>
      <c r="N158" s="17"/>
      <c r="O158" s="17"/>
      <c r="P158" s="17"/>
      <c r="Q158" s="17"/>
      <c r="R158" s="17"/>
      <c r="S158" s="17"/>
      <c r="T158" s="17"/>
      <c r="U158" s="17"/>
      <c r="V158" s="17"/>
      <c r="W158" s="17"/>
      <c r="X158" s="17"/>
      <c r="Y158" s="17"/>
      <c r="Z158" s="17"/>
    </row>
    <row r="159" spans="1:26" ht="12.5">
      <c r="A159" s="17"/>
      <c r="B159" s="24"/>
      <c r="C159" s="24"/>
      <c r="D159" s="17"/>
      <c r="E159" s="24"/>
      <c r="F159" s="17"/>
      <c r="G159" s="17"/>
      <c r="H159" s="17"/>
      <c r="I159" s="17"/>
      <c r="J159" s="17"/>
      <c r="K159" s="17"/>
      <c r="L159" s="17"/>
      <c r="M159" s="17"/>
      <c r="N159" s="17"/>
      <c r="O159" s="17"/>
      <c r="P159" s="17"/>
      <c r="Q159" s="17"/>
      <c r="R159" s="17"/>
      <c r="S159" s="17"/>
      <c r="T159" s="17"/>
      <c r="U159" s="17"/>
      <c r="V159" s="17"/>
      <c r="W159" s="17"/>
      <c r="X159" s="17"/>
      <c r="Y159" s="17"/>
      <c r="Z159" s="17"/>
    </row>
    <row r="160" spans="1:26" ht="12.5">
      <c r="A160" s="17"/>
      <c r="B160" s="24"/>
      <c r="C160" s="24"/>
      <c r="D160" s="17"/>
      <c r="E160" s="24"/>
      <c r="F160" s="17"/>
      <c r="G160" s="17"/>
      <c r="H160" s="17"/>
      <c r="I160" s="17"/>
      <c r="J160" s="17"/>
      <c r="K160" s="17"/>
      <c r="L160" s="17"/>
      <c r="M160" s="17"/>
      <c r="N160" s="17"/>
      <c r="O160" s="17"/>
      <c r="P160" s="17"/>
      <c r="Q160" s="17"/>
      <c r="R160" s="17"/>
      <c r="S160" s="17"/>
      <c r="T160" s="17"/>
      <c r="U160" s="17"/>
      <c r="V160" s="17"/>
      <c r="W160" s="17"/>
      <c r="X160" s="17"/>
      <c r="Y160" s="17"/>
      <c r="Z160" s="17"/>
    </row>
    <row r="161" spans="1:26" ht="12.5">
      <c r="A161" s="17"/>
      <c r="B161" s="24"/>
      <c r="C161" s="24"/>
      <c r="D161" s="17"/>
      <c r="E161" s="24"/>
      <c r="F161" s="17"/>
      <c r="G161" s="17"/>
      <c r="H161" s="17"/>
      <c r="I161" s="17"/>
      <c r="J161" s="17"/>
      <c r="K161" s="17"/>
      <c r="L161" s="17"/>
      <c r="M161" s="17"/>
      <c r="N161" s="17"/>
      <c r="O161" s="17"/>
      <c r="P161" s="17"/>
      <c r="Q161" s="17"/>
      <c r="R161" s="17"/>
      <c r="S161" s="17"/>
      <c r="T161" s="17"/>
      <c r="U161" s="17"/>
      <c r="V161" s="17"/>
      <c r="W161" s="17"/>
      <c r="X161" s="17"/>
      <c r="Y161" s="17"/>
      <c r="Z161" s="17"/>
    </row>
    <row r="162" spans="1:26" ht="12.5">
      <c r="A162" s="17"/>
      <c r="B162" s="24"/>
      <c r="C162" s="24"/>
      <c r="D162" s="17"/>
      <c r="E162" s="24"/>
      <c r="F162" s="17"/>
      <c r="G162" s="17"/>
      <c r="H162" s="17"/>
      <c r="I162" s="17"/>
      <c r="J162" s="17"/>
      <c r="K162" s="17"/>
      <c r="L162" s="17"/>
      <c r="M162" s="17"/>
      <c r="N162" s="17"/>
      <c r="O162" s="17"/>
      <c r="P162" s="17"/>
      <c r="Q162" s="17"/>
      <c r="R162" s="17"/>
      <c r="S162" s="17"/>
      <c r="T162" s="17"/>
      <c r="U162" s="17"/>
      <c r="V162" s="17"/>
      <c r="W162" s="17"/>
      <c r="X162" s="17"/>
      <c r="Y162" s="17"/>
      <c r="Z162" s="17"/>
    </row>
    <row r="163" spans="1:26" ht="12.5">
      <c r="A163" s="17"/>
      <c r="B163" s="24"/>
      <c r="C163" s="24"/>
      <c r="D163" s="17"/>
      <c r="E163" s="24"/>
      <c r="F163" s="17"/>
      <c r="G163" s="17"/>
      <c r="H163" s="17"/>
      <c r="I163" s="17"/>
      <c r="J163" s="17"/>
      <c r="K163" s="17"/>
      <c r="L163" s="17"/>
      <c r="M163" s="17"/>
      <c r="N163" s="17"/>
      <c r="O163" s="17"/>
      <c r="P163" s="17"/>
      <c r="Q163" s="17"/>
      <c r="R163" s="17"/>
      <c r="S163" s="17"/>
      <c r="T163" s="17"/>
      <c r="U163" s="17"/>
      <c r="V163" s="17"/>
      <c r="W163" s="17"/>
      <c r="X163" s="17"/>
      <c r="Y163" s="17"/>
      <c r="Z163" s="17"/>
    </row>
    <row r="164" spans="1:26" ht="12.5">
      <c r="A164" s="17"/>
      <c r="B164" s="24"/>
      <c r="C164" s="24"/>
      <c r="D164" s="17"/>
      <c r="E164" s="24"/>
      <c r="F164" s="17"/>
      <c r="G164" s="17"/>
      <c r="H164" s="17"/>
      <c r="I164" s="17"/>
      <c r="J164" s="17"/>
      <c r="K164" s="17"/>
      <c r="L164" s="17"/>
      <c r="M164" s="17"/>
      <c r="N164" s="17"/>
      <c r="O164" s="17"/>
      <c r="P164" s="17"/>
      <c r="Q164" s="17"/>
      <c r="R164" s="17"/>
      <c r="S164" s="17"/>
      <c r="T164" s="17"/>
      <c r="U164" s="17"/>
      <c r="V164" s="17"/>
      <c r="W164" s="17"/>
      <c r="X164" s="17"/>
      <c r="Y164" s="17"/>
      <c r="Z164" s="17"/>
    </row>
    <row r="165" spans="1:26" ht="12.5">
      <c r="A165" s="17"/>
      <c r="B165" s="24"/>
      <c r="C165" s="24"/>
      <c r="D165" s="17"/>
      <c r="E165" s="24"/>
      <c r="F165" s="17"/>
      <c r="G165" s="17"/>
      <c r="H165" s="17"/>
      <c r="I165" s="17"/>
      <c r="J165" s="17"/>
      <c r="K165" s="17"/>
      <c r="L165" s="17"/>
      <c r="M165" s="17"/>
      <c r="N165" s="17"/>
      <c r="O165" s="17"/>
      <c r="P165" s="17"/>
      <c r="Q165" s="17"/>
      <c r="R165" s="17"/>
      <c r="S165" s="17"/>
      <c r="T165" s="17"/>
      <c r="U165" s="17"/>
      <c r="V165" s="17"/>
      <c r="W165" s="17"/>
      <c r="X165" s="17"/>
      <c r="Y165" s="17"/>
      <c r="Z165" s="17"/>
    </row>
    <row r="166" spans="1:26" ht="12.5">
      <c r="A166" s="17"/>
      <c r="B166" s="24"/>
      <c r="C166" s="24"/>
      <c r="D166" s="17"/>
      <c r="E166" s="24"/>
      <c r="F166" s="17"/>
      <c r="G166" s="17"/>
      <c r="H166" s="17"/>
      <c r="I166" s="17"/>
      <c r="J166" s="17"/>
      <c r="K166" s="17"/>
      <c r="L166" s="17"/>
      <c r="M166" s="17"/>
      <c r="N166" s="17"/>
      <c r="O166" s="17"/>
      <c r="P166" s="17"/>
      <c r="Q166" s="17"/>
      <c r="R166" s="17"/>
      <c r="S166" s="17"/>
      <c r="T166" s="17"/>
      <c r="U166" s="17"/>
      <c r="V166" s="17"/>
      <c r="W166" s="17"/>
      <c r="X166" s="17"/>
      <c r="Y166" s="17"/>
      <c r="Z166" s="17"/>
    </row>
    <row r="167" spans="1:26" ht="12.5">
      <c r="A167" s="17"/>
      <c r="B167" s="24"/>
      <c r="C167" s="24"/>
      <c r="D167" s="17"/>
      <c r="E167" s="24"/>
      <c r="F167" s="17"/>
      <c r="G167" s="17"/>
      <c r="H167" s="17"/>
      <c r="I167" s="17"/>
      <c r="J167" s="17"/>
      <c r="K167" s="17"/>
      <c r="L167" s="17"/>
      <c r="M167" s="17"/>
      <c r="N167" s="17"/>
      <c r="O167" s="17"/>
      <c r="P167" s="17"/>
      <c r="Q167" s="17"/>
      <c r="R167" s="17"/>
      <c r="S167" s="17"/>
      <c r="T167" s="17"/>
      <c r="U167" s="17"/>
      <c r="V167" s="17"/>
      <c r="W167" s="17"/>
      <c r="X167" s="17"/>
      <c r="Y167" s="17"/>
      <c r="Z167" s="17"/>
    </row>
    <row r="168" spans="1:26" ht="12.5">
      <c r="A168" s="17"/>
      <c r="B168" s="24"/>
      <c r="C168" s="24"/>
      <c r="D168" s="17"/>
      <c r="E168" s="24"/>
      <c r="F168" s="17"/>
      <c r="G168" s="17"/>
      <c r="H168" s="17"/>
      <c r="I168" s="17"/>
      <c r="J168" s="17"/>
      <c r="K168" s="17"/>
      <c r="L168" s="17"/>
      <c r="M168" s="17"/>
      <c r="N168" s="17"/>
      <c r="O168" s="17"/>
      <c r="P168" s="17"/>
      <c r="Q168" s="17"/>
      <c r="R168" s="17"/>
      <c r="S168" s="17"/>
      <c r="T168" s="17"/>
      <c r="U168" s="17"/>
      <c r="V168" s="17"/>
      <c r="W168" s="17"/>
      <c r="X168" s="17"/>
      <c r="Y168" s="17"/>
      <c r="Z168" s="17"/>
    </row>
    <row r="169" spans="1:26" ht="12.5">
      <c r="A169" s="17"/>
      <c r="B169" s="24"/>
      <c r="C169" s="24"/>
      <c r="D169" s="17"/>
      <c r="E169" s="24"/>
      <c r="F169" s="17"/>
      <c r="G169" s="17"/>
      <c r="H169" s="17"/>
      <c r="I169" s="17"/>
      <c r="J169" s="17"/>
      <c r="K169" s="17"/>
      <c r="L169" s="17"/>
      <c r="M169" s="17"/>
      <c r="N169" s="17"/>
      <c r="O169" s="17"/>
      <c r="P169" s="17"/>
      <c r="Q169" s="17"/>
      <c r="R169" s="17"/>
      <c r="S169" s="17"/>
      <c r="T169" s="17"/>
      <c r="U169" s="17"/>
      <c r="V169" s="17"/>
      <c r="W169" s="17"/>
      <c r="X169" s="17"/>
      <c r="Y169" s="17"/>
      <c r="Z169" s="17"/>
    </row>
    <row r="170" spans="1:26" ht="12.5">
      <c r="A170" s="17"/>
      <c r="B170" s="24"/>
      <c r="C170" s="24"/>
      <c r="D170" s="17"/>
      <c r="E170" s="24"/>
      <c r="F170" s="17"/>
      <c r="G170" s="17"/>
      <c r="H170" s="17"/>
      <c r="I170" s="17"/>
      <c r="J170" s="17"/>
      <c r="K170" s="17"/>
      <c r="L170" s="17"/>
      <c r="M170" s="17"/>
      <c r="N170" s="17"/>
      <c r="O170" s="17"/>
      <c r="P170" s="17"/>
      <c r="Q170" s="17"/>
      <c r="R170" s="17"/>
      <c r="S170" s="17"/>
      <c r="T170" s="17"/>
      <c r="U170" s="17"/>
      <c r="V170" s="17"/>
      <c r="W170" s="17"/>
      <c r="X170" s="17"/>
      <c r="Y170" s="17"/>
      <c r="Z170" s="17"/>
    </row>
    <row r="171" spans="1:26" ht="12.5">
      <c r="A171" s="17"/>
      <c r="B171" s="24"/>
      <c r="C171" s="24"/>
      <c r="D171" s="17"/>
      <c r="E171" s="24"/>
      <c r="F171" s="17"/>
      <c r="G171" s="17"/>
      <c r="H171" s="17"/>
      <c r="I171" s="17"/>
      <c r="J171" s="17"/>
      <c r="K171" s="17"/>
      <c r="L171" s="17"/>
      <c r="M171" s="17"/>
      <c r="N171" s="17"/>
      <c r="O171" s="17"/>
      <c r="P171" s="17"/>
      <c r="Q171" s="17"/>
      <c r="R171" s="17"/>
      <c r="S171" s="17"/>
      <c r="T171" s="17"/>
      <c r="U171" s="17"/>
      <c r="V171" s="17"/>
      <c r="W171" s="17"/>
      <c r="X171" s="17"/>
      <c r="Y171" s="17"/>
      <c r="Z171" s="17"/>
    </row>
    <row r="172" spans="1:26" ht="12.5">
      <c r="A172" s="17"/>
      <c r="B172" s="24"/>
      <c r="C172" s="24"/>
      <c r="D172" s="17"/>
      <c r="E172" s="24"/>
      <c r="F172" s="17"/>
      <c r="G172" s="17"/>
      <c r="H172" s="17"/>
      <c r="I172" s="17"/>
      <c r="J172" s="17"/>
      <c r="K172" s="17"/>
      <c r="L172" s="17"/>
      <c r="M172" s="17"/>
      <c r="N172" s="17"/>
      <c r="O172" s="17"/>
      <c r="P172" s="17"/>
      <c r="Q172" s="17"/>
      <c r="R172" s="17"/>
      <c r="S172" s="17"/>
      <c r="T172" s="17"/>
      <c r="U172" s="17"/>
      <c r="V172" s="17"/>
      <c r="W172" s="17"/>
      <c r="X172" s="17"/>
      <c r="Y172" s="17"/>
      <c r="Z172" s="17"/>
    </row>
    <row r="173" spans="1:26" ht="12.5">
      <c r="A173" s="17"/>
      <c r="B173" s="24"/>
      <c r="C173" s="24"/>
      <c r="D173" s="17"/>
      <c r="E173" s="24"/>
      <c r="F173" s="17"/>
      <c r="G173" s="17"/>
      <c r="H173" s="17"/>
      <c r="I173" s="17"/>
      <c r="J173" s="17"/>
      <c r="K173" s="17"/>
      <c r="L173" s="17"/>
      <c r="M173" s="17"/>
      <c r="N173" s="17"/>
      <c r="O173" s="17"/>
      <c r="P173" s="17"/>
      <c r="Q173" s="17"/>
      <c r="R173" s="17"/>
      <c r="S173" s="17"/>
      <c r="T173" s="17"/>
      <c r="U173" s="17"/>
      <c r="V173" s="17"/>
      <c r="W173" s="17"/>
      <c r="X173" s="17"/>
      <c r="Y173" s="17"/>
      <c r="Z173" s="17"/>
    </row>
    <row r="174" spans="1:26" ht="12.5">
      <c r="A174" s="17"/>
      <c r="B174" s="24"/>
      <c r="C174" s="24"/>
      <c r="D174" s="17"/>
      <c r="E174" s="24"/>
      <c r="F174" s="17"/>
      <c r="G174" s="17"/>
      <c r="H174" s="17"/>
      <c r="I174" s="17"/>
      <c r="J174" s="17"/>
      <c r="K174" s="17"/>
      <c r="L174" s="17"/>
      <c r="M174" s="17"/>
      <c r="N174" s="17"/>
      <c r="O174" s="17"/>
      <c r="P174" s="17"/>
      <c r="Q174" s="17"/>
      <c r="R174" s="17"/>
      <c r="S174" s="17"/>
      <c r="T174" s="17"/>
      <c r="U174" s="17"/>
      <c r="V174" s="17"/>
      <c r="W174" s="17"/>
      <c r="X174" s="17"/>
      <c r="Y174" s="17"/>
      <c r="Z174" s="17"/>
    </row>
    <row r="175" spans="1:26" ht="12.5">
      <c r="A175" s="17"/>
      <c r="B175" s="24"/>
      <c r="C175" s="24"/>
      <c r="D175" s="17"/>
      <c r="E175" s="24"/>
      <c r="F175" s="17"/>
      <c r="G175" s="17"/>
      <c r="H175" s="17"/>
      <c r="I175" s="17"/>
      <c r="J175" s="17"/>
      <c r="K175" s="17"/>
      <c r="L175" s="17"/>
      <c r="M175" s="17"/>
      <c r="N175" s="17"/>
      <c r="O175" s="17"/>
      <c r="P175" s="17"/>
      <c r="Q175" s="17"/>
      <c r="R175" s="17"/>
      <c r="S175" s="17"/>
      <c r="T175" s="17"/>
      <c r="U175" s="17"/>
      <c r="V175" s="17"/>
      <c r="W175" s="17"/>
      <c r="X175" s="17"/>
      <c r="Y175" s="17"/>
      <c r="Z175" s="17"/>
    </row>
    <row r="176" spans="1:26" ht="12.5">
      <c r="A176" s="17"/>
      <c r="B176" s="24"/>
      <c r="C176" s="24"/>
      <c r="D176" s="17"/>
      <c r="E176" s="24"/>
      <c r="F176" s="17"/>
      <c r="G176" s="17"/>
      <c r="H176" s="17"/>
      <c r="I176" s="17"/>
      <c r="J176" s="17"/>
      <c r="K176" s="17"/>
      <c r="L176" s="17"/>
      <c r="M176" s="17"/>
      <c r="N176" s="17"/>
      <c r="O176" s="17"/>
      <c r="P176" s="17"/>
      <c r="Q176" s="17"/>
      <c r="R176" s="17"/>
      <c r="S176" s="17"/>
      <c r="T176" s="17"/>
      <c r="U176" s="17"/>
      <c r="V176" s="17"/>
      <c r="W176" s="17"/>
      <c r="X176" s="17"/>
      <c r="Y176" s="17"/>
      <c r="Z176" s="17"/>
    </row>
    <row r="177" spans="1:26" ht="12.5">
      <c r="A177" s="17"/>
      <c r="B177" s="24"/>
      <c r="C177" s="24"/>
      <c r="D177" s="17"/>
      <c r="E177" s="24"/>
      <c r="F177" s="17"/>
      <c r="G177" s="17"/>
      <c r="H177" s="17"/>
      <c r="I177" s="17"/>
      <c r="J177" s="17"/>
      <c r="K177" s="17"/>
      <c r="L177" s="17"/>
      <c r="M177" s="17"/>
      <c r="N177" s="17"/>
      <c r="O177" s="17"/>
      <c r="P177" s="17"/>
      <c r="Q177" s="17"/>
      <c r="R177" s="17"/>
      <c r="S177" s="17"/>
      <c r="T177" s="17"/>
      <c r="U177" s="17"/>
      <c r="V177" s="17"/>
      <c r="W177" s="17"/>
      <c r="X177" s="17"/>
      <c r="Y177" s="17"/>
      <c r="Z177" s="17"/>
    </row>
    <row r="178" spans="1:26" ht="12.5">
      <c r="A178" s="17"/>
      <c r="B178" s="24"/>
      <c r="C178" s="24"/>
      <c r="D178" s="17"/>
      <c r="E178" s="24"/>
      <c r="F178" s="17"/>
      <c r="G178" s="17"/>
      <c r="H178" s="17"/>
      <c r="I178" s="17"/>
      <c r="J178" s="17"/>
      <c r="K178" s="17"/>
      <c r="L178" s="17"/>
      <c r="M178" s="17"/>
      <c r="N178" s="17"/>
      <c r="O178" s="17"/>
      <c r="P178" s="17"/>
      <c r="Q178" s="17"/>
      <c r="R178" s="17"/>
      <c r="S178" s="17"/>
      <c r="T178" s="17"/>
      <c r="U178" s="17"/>
      <c r="V178" s="17"/>
      <c r="W178" s="17"/>
      <c r="X178" s="17"/>
      <c r="Y178" s="17"/>
      <c r="Z178" s="17"/>
    </row>
    <row r="179" spans="1:26" ht="12.5">
      <c r="A179" s="17"/>
      <c r="B179" s="24"/>
      <c r="C179" s="24"/>
      <c r="D179" s="17"/>
      <c r="E179" s="24"/>
      <c r="F179" s="17"/>
      <c r="G179" s="17"/>
      <c r="H179" s="17"/>
      <c r="I179" s="17"/>
      <c r="J179" s="17"/>
      <c r="K179" s="17"/>
      <c r="L179" s="17"/>
      <c r="M179" s="17"/>
      <c r="N179" s="17"/>
      <c r="O179" s="17"/>
      <c r="P179" s="17"/>
      <c r="Q179" s="17"/>
      <c r="R179" s="17"/>
      <c r="S179" s="17"/>
      <c r="T179" s="17"/>
      <c r="U179" s="17"/>
      <c r="V179" s="17"/>
      <c r="W179" s="17"/>
      <c r="X179" s="17"/>
      <c r="Y179" s="17"/>
      <c r="Z179" s="17"/>
    </row>
    <row r="180" spans="1:26" ht="12.5">
      <c r="A180" s="17"/>
      <c r="B180" s="24"/>
      <c r="C180" s="24"/>
      <c r="D180" s="17"/>
      <c r="E180" s="24"/>
      <c r="F180" s="17"/>
      <c r="G180" s="17"/>
      <c r="H180" s="17"/>
      <c r="I180" s="17"/>
      <c r="J180" s="17"/>
      <c r="K180" s="17"/>
      <c r="L180" s="17"/>
      <c r="M180" s="17"/>
      <c r="N180" s="17"/>
      <c r="O180" s="17"/>
      <c r="P180" s="17"/>
      <c r="Q180" s="17"/>
      <c r="R180" s="17"/>
      <c r="S180" s="17"/>
      <c r="T180" s="17"/>
      <c r="U180" s="17"/>
      <c r="V180" s="17"/>
      <c r="W180" s="17"/>
      <c r="X180" s="17"/>
      <c r="Y180" s="17"/>
      <c r="Z180" s="17"/>
    </row>
    <row r="181" spans="1:26" ht="12.5">
      <c r="A181" s="17"/>
      <c r="B181" s="24"/>
      <c r="C181" s="24"/>
      <c r="D181" s="17"/>
      <c r="E181" s="24"/>
      <c r="F181" s="17"/>
      <c r="G181" s="17"/>
      <c r="H181" s="17"/>
      <c r="I181" s="17"/>
      <c r="J181" s="17"/>
      <c r="K181" s="17"/>
      <c r="L181" s="17"/>
      <c r="M181" s="17"/>
      <c r="N181" s="17"/>
      <c r="O181" s="17"/>
      <c r="P181" s="17"/>
      <c r="Q181" s="17"/>
      <c r="R181" s="17"/>
      <c r="S181" s="17"/>
      <c r="T181" s="17"/>
      <c r="U181" s="17"/>
      <c r="V181" s="17"/>
      <c r="W181" s="17"/>
      <c r="X181" s="17"/>
      <c r="Y181" s="17"/>
      <c r="Z181" s="17"/>
    </row>
    <row r="182" spans="1:26" ht="12.5">
      <c r="A182" s="17"/>
      <c r="B182" s="24"/>
      <c r="C182" s="24"/>
      <c r="D182" s="17"/>
      <c r="E182" s="24"/>
      <c r="F182" s="17"/>
      <c r="G182" s="17"/>
      <c r="H182" s="17"/>
      <c r="I182" s="17"/>
      <c r="J182" s="17"/>
      <c r="K182" s="17"/>
      <c r="L182" s="17"/>
      <c r="M182" s="17"/>
      <c r="N182" s="17"/>
      <c r="O182" s="17"/>
      <c r="P182" s="17"/>
      <c r="Q182" s="17"/>
      <c r="R182" s="17"/>
      <c r="S182" s="17"/>
      <c r="T182" s="17"/>
      <c r="U182" s="17"/>
      <c r="V182" s="17"/>
      <c r="W182" s="17"/>
      <c r="X182" s="17"/>
      <c r="Y182" s="17"/>
      <c r="Z182" s="17"/>
    </row>
    <row r="183" spans="1:26" ht="12.5">
      <c r="A183" s="17"/>
      <c r="B183" s="24"/>
      <c r="C183" s="24"/>
      <c r="D183" s="17"/>
      <c r="E183" s="24"/>
      <c r="F183" s="17"/>
      <c r="G183" s="17"/>
      <c r="H183" s="17"/>
      <c r="I183" s="17"/>
      <c r="J183" s="17"/>
      <c r="K183" s="17"/>
      <c r="L183" s="17"/>
      <c r="M183" s="17"/>
      <c r="N183" s="17"/>
      <c r="O183" s="17"/>
      <c r="P183" s="17"/>
      <c r="Q183" s="17"/>
      <c r="R183" s="17"/>
      <c r="S183" s="17"/>
      <c r="T183" s="17"/>
      <c r="U183" s="17"/>
      <c r="V183" s="17"/>
      <c r="W183" s="17"/>
      <c r="X183" s="17"/>
      <c r="Y183" s="17"/>
      <c r="Z183" s="17"/>
    </row>
    <row r="184" spans="1:26" ht="12.5">
      <c r="A184" s="17"/>
      <c r="B184" s="24"/>
      <c r="C184" s="24"/>
      <c r="D184" s="17"/>
      <c r="E184" s="24"/>
      <c r="F184" s="17"/>
      <c r="G184" s="17"/>
      <c r="H184" s="17"/>
      <c r="I184" s="17"/>
      <c r="J184" s="17"/>
      <c r="K184" s="17"/>
      <c r="L184" s="17"/>
      <c r="M184" s="17"/>
      <c r="N184" s="17"/>
      <c r="O184" s="17"/>
      <c r="P184" s="17"/>
      <c r="Q184" s="17"/>
      <c r="R184" s="17"/>
      <c r="S184" s="17"/>
      <c r="T184" s="17"/>
      <c r="U184" s="17"/>
      <c r="V184" s="17"/>
      <c r="W184" s="17"/>
      <c r="X184" s="17"/>
      <c r="Y184" s="17"/>
      <c r="Z184" s="17"/>
    </row>
    <row r="185" spans="1:26" ht="12.5">
      <c r="A185" s="17"/>
      <c r="B185" s="24"/>
      <c r="C185" s="24"/>
      <c r="D185" s="17"/>
      <c r="E185" s="24"/>
      <c r="F185" s="17"/>
      <c r="G185" s="17"/>
      <c r="H185" s="17"/>
      <c r="I185" s="17"/>
      <c r="J185" s="17"/>
      <c r="K185" s="17"/>
      <c r="L185" s="17"/>
      <c r="M185" s="17"/>
      <c r="N185" s="17"/>
      <c r="O185" s="17"/>
      <c r="P185" s="17"/>
      <c r="Q185" s="17"/>
      <c r="R185" s="17"/>
      <c r="S185" s="17"/>
      <c r="T185" s="17"/>
      <c r="U185" s="17"/>
      <c r="V185" s="17"/>
      <c r="W185" s="17"/>
      <c r="X185" s="17"/>
      <c r="Y185" s="17"/>
      <c r="Z185" s="17"/>
    </row>
    <row r="186" spans="1:26" ht="12.5">
      <c r="A186" s="17"/>
      <c r="B186" s="24"/>
      <c r="C186" s="24"/>
      <c r="D186" s="17"/>
      <c r="E186" s="24"/>
      <c r="F186" s="17"/>
      <c r="G186" s="17"/>
      <c r="H186" s="17"/>
      <c r="I186" s="17"/>
      <c r="J186" s="17"/>
      <c r="K186" s="17"/>
      <c r="L186" s="17"/>
      <c r="M186" s="17"/>
      <c r="N186" s="17"/>
      <c r="O186" s="17"/>
      <c r="P186" s="17"/>
      <c r="Q186" s="17"/>
      <c r="R186" s="17"/>
      <c r="S186" s="17"/>
      <c r="T186" s="17"/>
      <c r="U186" s="17"/>
      <c r="V186" s="17"/>
      <c r="W186" s="17"/>
      <c r="X186" s="17"/>
      <c r="Y186" s="17"/>
      <c r="Z186" s="17"/>
    </row>
    <row r="187" spans="1:26" ht="12.5">
      <c r="A187" s="17"/>
      <c r="B187" s="24"/>
      <c r="C187" s="24"/>
      <c r="D187" s="17"/>
      <c r="E187" s="24"/>
      <c r="F187" s="17"/>
      <c r="G187" s="17"/>
      <c r="H187" s="17"/>
      <c r="I187" s="17"/>
      <c r="J187" s="17"/>
      <c r="K187" s="17"/>
      <c r="L187" s="17"/>
      <c r="M187" s="17"/>
      <c r="N187" s="17"/>
      <c r="O187" s="17"/>
      <c r="P187" s="17"/>
      <c r="Q187" s="17"/>
      <c r="R187" s="17"/>
      <c r="S187" s="17"/>
      <c r="T187" s="17"/>
      <c r="U187" s="17"/>
      <c r="V187" s="17"/>
      <c r="W187" s="17"/>
      <c r="X187" s="17"/>
      <c r="Y187" s="17"/>
      <c r="Z187" s="17"/>
    </row>
    <row r="188" spans="1:26" ht="12.5">
      <c r="A188" s="17"/>
      <c r="B188" s="24"/>
      <c r="C188" s="24"/>
      <c r="D188" s="17"/>
      <c r="E188" s="24"/>
      <c r="F188" s="17"/>
      <c r="G188" s="17"/>
      <c r="H188" s="17"/>
      <c r="I188" s="17"/>
      <c r="J188" s="17"/>
      <c r="K188" s="17"/>
      <c r="L188" s="17"/>
      <c r="M188" s="17"/>
      <c r="N188" s="17"/>
      <c r="O188" s="17"/>
      <c r="P188" s="17"/>
      <c r="Q188" s="17"/>
      <c r="R188" s="17"/>
      <c r="S188" s="17"/>
      <c r="T188" s="17"/>
      <c r="U188" s="17"/>
      <c r="V188" s="17"/>
      <c r="W188" s="17"/>
      <c r="X188" s="17"/>
      <c r="Y188" s="17"/>
      <c r="Z188" s="17"/>
    </row>
    <row r="189" spans="1:26" ht="12.5">
      <c r="A189" s="17"/>
      <c r="B189" s="24"/>
      <c r="C189" s="24"/>
      <c r="D189" s="17"/>
      <c r="E189" s="24"/>
      <c r="F189" s="17"/>
      <c r="G189" s="17"/>
      <c r="H189" s="17"/>
      <c r="I189" s="17"/>
      <c r="J189" s="17"/>
      <c r="K189" s="17"/>
      <c r="L189" s="17"/>
      <c r="M189" s="17"/>
      <c r="N189" s="17"/>
      <c r="O189" s="17"/>
      <c r="P189" s="17"/>
      <c r="Q189" s="17"/>
      <c r="R189" s="17"/>
      <c r="S189" s="17"/>
      <c r="T189" s="17"/>
      <c r="U189" s="17"/>
      <c r="V189" s="17"/>
      <c r="W189" s="17"/>
      <c r="X189" s="17"/>
      <c r="Y189" s="17"/>
      <c r="Z189" s="17"/>
    </row>
    <row r="190" spans="1:26" ht="12.5">
      <c r="A190" s="17"/>
      <c r="B190" s="24"/>
      <c r="C190" s="24"/>
      <c r="D190" s="17"/>
      <c r="E190" s="24"/>
      <c r="F190" s="17"/>
      <c r="G190" s="17"/>
      <c r="H190" s="17"/>
      <c r="I190" s="17"/>
      <c r="J190" s="17"/>
      <c r="K190" s="17"/>
      <c r="L190" s="17"/>
      <c r="M190" s="17"/>
      <c r="N190" s="17"/>
      <c r="O190" s="17"/>
      <c r="P190" s="17"/>
      <c r="Q190" s="17"/>
      <c r="R190" s="17"/>
      <c r="S190" s="17"/>
      <c r="T190" s="17"/>
      <c r="U190" s="17"/>
      <c r="V190" s="17"/>
      <c r="W190" s="17"/>
      <c r="X190" s="17"/>
      <c r="Y190" s="17"/>
      <c r="Z190" s="17"/>
    </row>
    <row r="191" spans="1:26" ht="12.5">
      <c r="A191" s="17"/>
      <c r="B191" s="24"/>
      <c r="C191" s="24"/>
      <c r="D191" s="17"/>
      <c r="E191" s="24"/>
      <c r="F191" s="17"/>
      <c r="G191" s="17"/>
      <c r="H191" s="17"/>
      <c r="I191" s="17"/>
      <c r="J191" s="17"/>
      <c r="K191" s="17"/>
      <c r="L191" s="17"/>
      <c r="M191" s="17"/>
      <c r="N191" s="17"/>
      <c r="O191" s="17"/>
      <c r="P191" s="17"/>
      <c r="Q191" s="17"/>
      <c r="R191" s="17"/>
      <c r="S191" s="17"/>
      <c r="T191" s="17"/>
      <c r="U191" s="17"/>
      <c r="V191" s="17"/>
      <c r="W191" s="17"/>
      <c r="X191" s="17"/>
      <c r="Y191" s="17"/>
      <c r="Z191" s="17"/>
    </row>
    <row r="192" spans="1:26" ht="12.5">
      <c r="A192" s="17"/>
      <c r="B192" s="24"/>
      <c r="C192" s="24"/>
      <c r="D192" s="17"/>
      <c r="E192" s="24"/>
      <c r="F192" s="17"/>
      <c r="G192" s="17"/>
      <c r="H192" s="17"/>
      <c r="I192" s="17"/>
      <c r="J192" s="17"/>
      <c r="K192" s="17"/>
      <c r="L192" s="17"/>
      <c r="M192" s="17"/>
      <c r="N192" s="17"/>
      <c r="O192" s="17"/>
      <c r="P192" s="17"/>
      <c r="Q192" s="17"/>
      <c r="R192" s="17"/>
      <c r="S192" s="17"/>
      <c r="T192" s="17"/>
      <c r="U192" s="17"/>
      <c r="V192" s="17"/>
      <c r="W192" s="17"/>
      <c r="X192" s="17"/>
      <c r="Y192" s="17"/>
      <c r="Z192" s="17"/>
    </row>
    <row r="193" spans="1:26" ht="12.5">
      <c r="A193" s="17"/>
      <c r="B193" s="24"/>
      <c r="C193" s="24"/>
      <c r="D193" s="17"/>
      <c r="E193" s="24"/>
      <c r="F193" s="17"/>
      <c r="G193" s="17"/>
      <c r="H193" s="17"/>
      <c r="I193" s="17"/>
      <c r="J193" s="17"/>
      <c r="K193" s="17"/>
      <c r="L193" s="17"/>
      <c r="M193" s="17"/>
      <c r="N193" s="17"/>
      <c r="O193" s="17"/>
      <c r="P193" s="17"/>
      <c r="Q193" s="17"/>
      <c r="R193" s="17"/>
      <c r="S193" s="17"/>
      <c r="T193" s="17"/>
      <c r="U193" s="17"/>
      <c r="V193" s="17"/>
      <c r="W193" s="17"/>
      <c r="X193" s="17"/>
      <c r="Y193" s="17"/>
      <c r="Z193" s="17"/>
    </row>
    <row r="194" spans="1:26" ht="12.5">
      <c r="A194" s="17"/>
      <c r="B194" s="24"/>
      <c r="C194" s="24"/>
      <c r="D194" s="17"/>
      <c r="E194" s="24"/>
      <c r="F194" s="17"/>
      <c r="G194" s="17"/>
      <c r="H194" s="17"/>
      <c r="I194" s="17"/>
      <c r="J194" s="17"/>
      <c r="K194" s="17"/>
      <c r="L194" s="17"/>
      <c r="M194" s="17"/>
      <c r="N194" s="17"/>
      <c r="O194" s="17"/>
      <c r="P194" s="17"/>
      <c r="Q194" s="17"/>
      <c r="R194" s="17"/>
      <c r="S194" s="17"/>
      <c r="T194" s="17"/>
      <c r="U194" s="17"/>
      <c r="V194" s="17"/>
      <c r="W194" s="17"/>
      <c r="X194" s="17"/>
      <c r="Y194" s="17"/>
      <c r="Z194" s="17"/>
    </row>
    <row r="195" spans="1:26" ht="12.5">
      <c r="A195" s="17"/>
      <c r="B195" s="24"/>
      <c r="C195" s="24"/>
      <c r="D195" s="17"/>
      <c r="E195" s="24"/>
      <c r="F195" s="17"/>
      <c r="G195" s="17"/>
      <c r="H195" s="17"/>
      <c r="I195" s="17"/>
      <c r="J195" s="17"/>
      <c r="K195" s="17"/>
      <c r="L195" s="17"/>
      <c r="M195" s="17"/>
      <c r="N195" s="17"/>
      <c r="O195" s="17"/>
      <c r="P195" s="17"/>
      <c r="Q195" s="17"/>
      <c r="R195" s="17"/>
      <c r="S195" s="17"/>
      <c r="T195" s="17"/>
      <c r="U195" s="17"/>
      <c r="V195" s="17"/>
      <c r="W195" s="17"/>
      <c r="X195" s="17"/>
      <c r="Y195" s="17"/>
      <c r="Z195" s="17"/>
    </row>
    <row r="196" spans="1:26" ht="12.5">
      <c r="A196" s="17"/>
      <c r="B196" s="24"/>
      <c r="C196" s="24"/>
      <c r="D196" s="17"/>
      <c r="E196" s="24"/>
      <c r="F196" s="17"/>
      <c r="G196" s="17"/>
      <c r="H196" s="17"/>
      <c r="I196" s="17"/>
      <c r="J196" s="17"/>
      <c r="K196" s="17"/>
      <c r="L196" s="17"/>
      <c r="M196" s="17"/>
      <c r="N196" s="17"/>
      <c r="O196" s="17"/>
      <c r="P196" s="17"/>
      <c r="Q196" s="17"/>
      <c r="R196" s="17"/>
      <c r="S196" s="17"/>
      <c r="T196" s="17"/>
      <c r="U196" s="17"/>
      <c r="V196" s="17"/>
      <c r="W196" s="17"/>
      <c r="X196" s="17"/>
      <c r="Y196" s="17"/>
      <c r="Z196" s="17"/>
    </row>
    <row r="197" spans="1:26" ht="12.5">
      <c r="A197" s="17"/>
      <c r="B197" s="24"/>
      <c r="C197" s="24"/>
      <c r="D197" s="17"/>
      <c r="E197" s="24"/>
      <c r="F197" s="17"/>
      <c r="G197" s="17"/>
      <c r="H197" s="17"/>
      <c r="I197" s="17"/>
      <c r="J197" s="17"/>
      <c r="K197" s="17"/>
      <c r="L197" s="17"/>
      <c r="M197" s="17"/>
      <c r="N197" s="17"/>
      <c r="O197" s="17"/>
      <c r="P197" s="17"/>
      <c r="Q197" s="17"/>
      <c r="R197" s="17"/>
      <c r="S197" s="17"/>
      <c r="T197" s="17"/>
      <c r="U197" s="17"/>
      <c r="V197" s="17"/>
      <c r="W197" s="17"/>
      <c r="X197" s="17"/>
      <c r="Y197" s="17"/>
      <c r="Z197" s="17"/>
    </row>
    <row r="198" spans="1:26" ht="12.5">
      <c r="A198" s="17"/>
      <c r="B198" s="24"/>
      <c r="C198" s="24"/>
      <c r="D198" s="17"/>
      <c r="E198" s="24"/>
      <c r="F198" s="17"/>
      <c r="G198" s="17"/>
      <c r="H198" s="17"/>
      <c r="I198" s="17"/>
      <c r="J198" s="17"/>
      <c r="K198" s="17"/>
      <c r="L198" s="17"/>
      <c r="M198" s="17"/>
      <c r="N198" s="17"/>
      <c r="O198" s="17"/>
      <c r="P198" s="17"/>
      <c r="Q198" s="17"/>
      <c r="R198" s="17"/>
      <c r="S198" s="17"/>
      <c r="T198" s="17"/>
      <c r="U198" s="17"/>
      <c r="V198" s="17"/>
      <c r="W198" s="17"/>
      <c r="X198" s="17"/>
      <c r="Y198" s="17"/>
      <c r="Z198" s="17"/>
    </row>
    <row r="199" spans="1:26" ht="12.5">
      <c r="A199" s="17"/>
      <c r="B199" s="24"/>
      <c r="C199" s="24"/>
      <c r="D199" s="17"/>
      <c r="E199" s="24"/>
      <c r="F199" s="17"/>
      <c r="G199" s="17"/>
      <c r="H199" s="17"/>
      <c r="I199" s="17"/>
      <c r="J199" s="17"/>
      <c r="K199" s="17"/>
      <c r="L199" s="17"/>
      <c r="M199" s="17"/>
      <c r="N199" s="17"/>
      <c r="O199" s="17"/>
      <c r="P199" s="17"/>
      <c r="Q199" s="17"/>
      <c r="R199" s="17"/>
      <c r="S199" s="17"/>
      <c r="T199" s="17"/>
      <c r="U199" s="17"/>
      <c r="V199" s="17"/>
      <c r="W199" s="17"/>
      <c r="X199" s="17"/>
      <c r="Y199" s="17"/>
      <c r="Z199" s="17"/>
    </row>
    <row r="200" spans="1:26" ht="12.5">
      <c r="A200" s="17"/>
      <c r="B200" s="24"/>
      <c r="C200" s="24"/>
      <c r="D200" s="17"/>
      <c r="E200" s="24"/>
      <c r="F200" s="17"/>
      <c r="G200" s="17"/>
      <c r="H200" s="17"/>
      <c r="I200" s="17"/>
      <c r="J200" s="17"/>
      <c r="K200" s="17"/>
      <c r="L200" s="17"/>
      <c r="M200" s="17"/>
      <c r="N200" s="17"/>
      <c r="O200" s="17"/>
      <c r="P200" s="17"/>
      <c r="Q200" s="17"/>
      <c r="R200" s="17"/>
      <c r="S200" s="17"/>
      <c r="T200" s="17"/>
      <c r="U200" s="17"/>
      <c r="V200" s="17"/>
      <c r="W200" s="17"/>
      <c r="X200" s="17"/>
      <c r="Y200" s="17"/>
      <c r="Z200" s="17"/>
    </row>
    <row r="201" spans="1:26" ht="12.5">
      <c r="A201" s="17"/>
      <c r="B201" s="24"/>
      <c r="C201" s="24"/>
      <c r="D201" s="17"/>
      <c r="E201" s="24"/>
      <c r="F201" s="17"/>
      <c r="G201" s="17"/>
      <c r="H201" s="17"/>
      <c r="I201" s="17"/>
      <c r="J201" s="17"/>
      <c r="K201" s="17"/>
      <c r="L201" s="17"/>
      <c r="M201" s="17"/>
      <c r="N201" s="17"/>
      <c r="O201" s="17"/>
      <c r="P201" s="17"/>
      <c r="Q201" s="17"/>
      <c r="R201" s="17"/>
      <c r="S201" s="17"/>
      <c r="T201" s="17"/>
      <c r="U201" s="17"/>
      <c r="V201" s="17"/>
      <c r="W201" s="17"/>
      <c r="X201" s="17"/>
      <c r="Y201" s="17"/>
      <c r="Z201" s="17"/>
    </row>
    <row r="202" spans="1:26" ht="12.5">
      <c r="A202" s="17"/>
      <c r="B202" s="24"/>
      <c r="C202" s="24"/>
      <c r="D202" s="17"/>
      <c r="E202" s="24"/>
      <c r="F202" s="17"/>
      <c r="G202" s="17"/>
      <c r="H202" s="17"/>
      <c r="I202" s="17"/>
      <c r="J202" s="17"/>
      <c r="K202" s="17"/>
      <c r="L202" s="17"/>
      <c r="M202" s="17"/>
      <c r="N202" s="17"/>
      <c r="O202" s="17"/>
      <c r="P202" s="17"/>
      <c r="Q202" s="17"/>
      <c r="R202" s="17"/>
      <c r="S202" s="17"/>
      <c r="T202" s="17"/>
      <c r="U202" s="17"/>
      <c r="V202" s="17"/>
      <c r="W202" s="17"/>
      <c r="X202" s="17"/>
      <c r="Y202" s="17"/>
      <c r="Z202" s="17"/>
    </row>
    <row r="203" spans="1:26" ht="12.5">
      <c r="A203" s="17"/>
      <c r="B203" s="24"/>
      <c r="C203" s="24"/>
      <c r="D203" s="17"/>
      <c r="E203" s="24"/>
      <c r="F203" s="17"/>
      <c r="G203" s="17"/>
      <c r="H203" s="17"/>
      <c r="I203" s="17"/>
      <c r="J203" s="17"/>
      <c r="K203" s="17"/>
      <c r="L203" s="17"/>
      <c r="M203" s="17"/>
      <c r="N203" s="17"/>
      <c r="O203" s="17"/>
      <c r="P203" s="17"/>
      <c r="Q203" s="17"/>
      <c r="R203" s="17"/>
      <c r="S203" s="17"/>
      <c r="T203" s="17"/>
      <c r="U203" s="17"/>
      <c r="V203" s="17"/>
      <c r="W203" s="17"/>
      <c r="X203" s="17"/>
      <c r="Y203" s="17"/>
      <c r="Z203" s="17"/>
    </row>
    <row r="204" spans="1:26" ht="12.5">
      <c r="A204" s="17"/>
      <c r="B204" s="24"/>
      <c r="C204" s="24"/>
      <c r="D204" s="17"/>
      <c r="E204" s="24"/>
      <c r="F204" s="17"/>
      <c r="G204" s="17"/>
      <c r="H204" s="17"/>
      <c r="I204" s="17"/>
      <c r="J204" s="17"/>
      <c r="K204" s="17"/>
      <c r="L204" s="17"/>
      <c r="M204" s="17"/>
      <c r="N204" s="17"/>
      <c r="O204" s="17"/>
      <c r="P204" s="17"/>
      <c r="Q204" s="17"/>
      <c r="R204" s="17"/>
      <c r="S204" s="17"/>
      <c r="T204" s="17"/>
      <c r="U204" s="17"/>
      <c r="V204" s="17"/>
      <c r="W204" s="17"/>
      <c r="X204" s="17"/>
      <c r="Y204" s="17"/>
      <c r="Z204" s="17"/>
    </row>
    <row r="205" spans="1:26" ht="12.5">
      <c r="A205" s="17"/>
      <c r="B205" s="24"/>
      <c r="C205" s="24"/>
      <c r="D205" s="17"/>
      <c r="E205" s="24"/>
      <c r="F205" s="17"/>
      <c r="G205" s="17"/>
      <c r="H205" s="17"/>
      <c r="I205" s="17"/>
      <c r="J205" s="17"/>
      <c r="K205" s="17"/>
      <c r="L205" s="17"/>
      <c r="M205" s="17"/>
      <c r="N205" s="17"/>
      <c r="O205" s="17"/>
      <c r="P205" s="17"/>
      <c r="Q205" s="17"/>
      <c r="R205" s="17"/>
      <c r="S205" s="17"/>
      <c r="T205" s="17"/>
      <c r="U205" s="17"/>
      <c r="V205" s="17"/>
      <c r="W205" s="17"/>
      <c r="X205" s="17"/>
      <c r="Y205" s="17"/>
      <c r="Z205" s="17"/>
    </row>
    <row r="206" spans="1:26" ht="12.5">
      <c r="A206" s="17"/>
      <c r="B206" s="24"/>
      <c r="C206" s="24"/>
      <c r="D206" s="17"/>
      <c r="E206" s="24"/>
      <c r="F206" s="17"/>
      <c r="G206" s="17"/>
      <c r="H206" s="17"/>
      <c r="I206" s="17"/>
      <c r="J206" s="17"/>
      <c r="K206" s="17"/>
      <c r="L206" s="17"/>
      <c r="M206" s="17"/>
      <c r="N206" s="17"/>
      <c r="O206" s="17"/>
      <c r="P206" s="17"/>
      <c r="Q206" s="17"/>
      <c r="R206" s="17"/>
      <c r="S206" s="17"/>
      <c r="T206" s="17"/>
      <c r="U206" s="17"/>
      <c r="V206" s="17"/>
      <c r="W206" s="17"/>
      <c r="X206" s="17"/>
      <c r="Y206" s="17"/>
      <c r="Z206" s="17"/>
    </row>
    <row r="207" spans="1:26" ht="12.5">
      <c r="A207" s="17"/>
      <c r="B207" s="24"/>
      <c r="C207" s="24"/>
      <c r="D207" s="17"/>
      <c r="E207" s="24"/>
      <c r="F207" s="17"/>
      <c r="G207" s="17"/>
      <c r="H207" s="17"/>
      <c r="I207" s="17"/>
      <c r="J207" s="17"/>
      <c r="K207" s="17"/>
      <c r="L207" s="17"/>
      <c r="M207" s="17"/>
      <c r="N207" s="17"/>
      <c r="O207" s="17"/>
      <c r="P207" s="17"/>
      <c r="Q207" s="17"/>
      <c r="R207" s="17"/>
      <c r="S207" s="17"/>
      <c r="T207" s="17"/>
      <c r="U207" s="17"/>
      <c r="V207" s="17"/>
      <c r="W207" s="17"/>
      <c r="X207" s="17"/>
      <c r="Y207" s="17"/>
      <c r="Z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8.08984375" customWidth="1"/>
    <col min="3" max="3" width="11.08984375" customWidth="1"/>
    <col min="4" max="4" width="6" customWidth="1"/>
    <col min="5" max="5" width="11.6328125" customWidth="1"/>
    <col min="6" max="6" width="19.08984375" customWidth="1"/>
    <col min="7" max="8" width="30.36328125" customWidth="1"/>
    <col min="9" max="9" width="5.26953125" customWidth="1"/>
    <col min="10" max="10" width="58.72656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128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Sept'!$J$12:$J$1003=$A$2)"),"TRX1251")</f>
        <v>TRX1251</v>
      </c>
      <c r="B12" s="86" t="str">
        <f ca="1">IFERROR(__xludf.DUMMYFUNCTION("""COMPUTED_VALUE"""),"#8")</f>
        <v>#8</v>
      </c>
      <c r="C12" s="63">
        <f ca="1">IFERROR(__xludf.DUMMYFUNCTION("""COMPUTED_VALUE"""),46058.4166666666)</f>
        <v>46058.416666666599</v>
      </c>
      <c r="D12" s="65">
        <f ca="1">IFERROR(__xludf.DUMMYFUNCTION("FILTER('Edo Cta Jeeves Sept'!$G$12:$G$1003,'Edo Cta Jeeves Sept'!$J$12:$J$1003=$A$2)"),489.95)</f>
        <v>489.95</v>
      </c>
      <c r="E12" s="17" t="str">
        <f ca="1">IFERROR(__xludf.DUMMYFUNCTION("FILTER('Edo Cta Jeeves Sept'!$I$12:$I$1003,'Edo Cta Jeeves Sept'!$J$12:$J$1003=$A$2)"),"MXN")</f>
        <v>MXN</v>
      </c>
      <c r="F12" s="17" t="str">
        <f ca="1">IFERROR(__xludf.DUMMYFUNCTION("FILTER('Edo Cta Jeeves Sept'!$J$12:$J$1003,'Edo Cta Jeeves Sept'!$J$12:$J$1003=$A$2)"),"Jose Ignacio Martinez Flemate")</f>
        <v>Jose Ignacio Martinez Flemate</v>
      </c>
      <c r="G12" s="17" t="str">
        <f ca="1">IFERROR(__xludf.DUMMYFUNCTION("FILTER('Edo Cta Jeeves Sept'!$K$12:$L$1003,'Edo Cta Jeeves Sept'!$J$12:$J$1003=$A$2)"),"UBER *TRIP HELP.UBER.C CMX           MEX")</f>
        <v>UBER *TRIP HELP.UBER.C CMX           MEX</v>
      </c>
      <c r="H12" s="17" t="str">
        <f ca="1">IFERROR(__xludf.DUMMYFUNCTION("""COMPUTED_VALUE"""),"Uber")</f>
        <v>Uber</v>
      </c>
      <c r="I12" s="17" t="str">
        <f ca="1">IFERROR(__xludf.DUMMYFUNCTION("IMPORTRANGE(""https://docs.google.com/spreadsheets/d/11jz2XYKFAQt8O7VlyomTOYdNgCKk5yiwVZomRZLhmXw/edit#gid=1404531132"",""#8 Jose Ignacio!I12:K80"")"),"Transaction cost")</f>
        <v>Transaction cost</v>
      </c>
      <c r="J12" s="90" t="str">
        <f ca="1">IFERROR(__xludf.DUMMYFUNCTION("""COMPUTED_VALUE"""),"UBER PARA DEJAR HERRAMIENTA DE INSTALACION PO2023 - SAFE IN THE BOX")</f>
        <v>UBER PARA DEJAR HERRAMIENTA DE INSTALACION PO2023 - SAFE IN THE BOX</v>
      </c>
      <c r="K12" s="17" t="str">
        <f ca="1">IFERROR(__xludf.DUMMYFUNCTION("""COMPUTED_VALUE"""),".")</f>
        <v>.</v>
      </c>
      <c r="L12" s="17"/>
      <c r="M12" s="65">
        <f ca="1">SUM(D12:D22+D24+D26+D25)</f>
        <v>1402.42</v>
      </c>
      <c r="N12" s="17" t="s">
        <v>1996</v>
      </c>
      <c r="O12" s="17"/>
    </row>
    <row r="13" spans="1:15" ht="15.75" customHeight="1">
      <c r="A13" s="17" t="str">
        <f ca="1">IFERROR(__xludf.DUMMYFUNCTION("""COMPUTED_VALUE"""),"TRX1201")</f>
        <v>TRX1201</v>
      </c>
      <c r="B13" s="86" t="str">
        <f ca="1">IFERROR(__xludf.DUMMYFUNCTION("""COMPUTED_VALUE"""),"#8")</f>
        <v>#8</v>
      </c>
      <c r="C13" s="63">
        <f ca="1">IFERROR(__xludf.DUMMYFUNCTION("""COMPUTED_VALUE"""),46058.4173611111)</f>
        <v>46058.417361111096</v>
      </c>
      <c r="D13" s="65">
        <f ca="1">IFERROR(__xludf.DUMMYFUNCTION("""COMPUTED_VALUE"""),744.75)</f>
        <v>744.75</v>
      </c>
      <c r="E13" s="17" t="str">
        <f ca="1">IFERROR(__xludf.DUMMYFUNCTION("""COMPUTED_VALUE"""),"MXN")</f>
        <v>MXN</v>
      </c>
      <c r="F13" s="17" t="str">
        <f ca="1">IFERROR(__xludf.DUMMYFUNCTION("""COMPUTED_VALUE"""),"Jose Ignacio Martinez Flemate")</f>
        <v>Jose Ignacio Martinez Flemate</v>
      </c>
      <c r="G13" s="17" t="str">
        <f ca="1">IFERROR(__xludf.DUMMYFUNCTION("""COMPUTED_VALUE"""),"FAR GUAD 1052          TECAMAC EM    MEX")</f>
        <v>FAR GUAD 1052          TECAMAC EM    MEX</v>
      </c>
      <c r="H13" s="17" t="str">
        <f ca="1">IFERROR(__xludf.DUMMYFUNCTION("""COMPUTED_VALUE"""),"Far Guad 1052 Tecamac Em Mex")</f>
        <v>Far Guad 1052 Tecamac Em Mex</v>
      </c>
      <c r="I13" s="17" t="str">
        <f ca="1">IFERROR(__xludf.DUMMYFUNCTION("""COMPUTED_VALUE"""),"Transaction cost")</f>
        <v>Transaction cost</v>
      </c>
      <c r="J13" s="90" t="str">
        <f ca="1">IFERROR(__xludf.DUMMYFUNCTION("""COMPUTED_VALUE"""),"PAGO A CUENTA DE UN GASTO DE GASOLINA QUE NO PASO CON LA JEEVES PO2165 - ENSAMBLE UF/CEB MECANICO")</f>
        <v>PAGO A CUENTA DE UN GASTO DE GASOLINA QUE NO PASO CON LA JEEVES PO2165 - ENSAMBLE UF/CEB MECANICO</v>
      </c>
      <c r="K13" s="17" t="str">
        <f ca="1">IFERROR(__xludf.DUMMYFUNCTION("""COMPUTED_VALUE"""),".")</f>
        <v>.</v>
      </c>
      <c r="L13" s="17"/>
      <c r="M13" s="65">
        <f ca="1">SUM(D28:D35)</f>
        <v>5960.52</v>
      </c>
      <c r="N13" s="17" t="s">
        <v>1997</v>
      </c>
      <c r="O13" s="17"/>
    </row>
    <row r="14" spans="1:15" ht="15.75" customHeight="1">
      <c r="A14" s="17" t="str">
        <f ca="1">IFERROR(__xludf.DUMMYFUNCTION("""COMPUTED_VALUE"""),"TRX1198")</f>
        <v>TRX1198</v>
      </c>
      <c r="B14" s="86" t="str">
        <f ca="1">IFERROR(__xludf.DUMMYFUNCTION("""COMPUTED_VALUE"""),"#8")</f>
        <v>#8</v>
      </c>
      <c r="C14" s="63">
        <f ca="1">IFERROR(__xludf.DUMMYFUNCTION("""COMPUTED_VALUE"""),46058.4173611111)</f>
        <v>46058.417361111096</v>
      </c>
      <c r="D14" s="65">
        <f ca="1">IFERROR(__xludf.DUMMYFUNCTION("""COMPUTED_VALUE"""),91)</f>
        <v>91</v>
      </c>
      <c r="E14" s="17" t="str">
        <f ca="1">IFERROR(__xludf.DUMMYFUNCTION("""COMPUTED_VALUE"""),"MXN")</f>
        <v>MXN</v>
      </c>
      <c r="F14" s="17" t="str">
        <f ca="1">IFERROR(__xludf.DUMMYFUNCTION("""COMPUTED_VALUE"""),"Jose Ignacio Martinez Flemate")</f>
        <v>Jose Ignacio Martinez Flemate</v>
      </c>
      <c r="G14" s="17" t="str">
        <f ca="1">IFERROR(__xludf.DUMMYFUNCTION("""COMPUTED_VALUE"""),"OXXOSAN ANTONIO 17 MEX CUAUTITLAN EM MEX")</f>
        <v>OXXOSAN ANTONIO 17 MEX CUAUTITLAN EM MEX</v>
      </c>
      <c r="H14" s="17" t="str">
        <f ca="1">IFERROR(__xludf.DUMMYFUNCTION("""COMPUTED_VALUE"""),"Oxxosan Antonio 17 Mex Cuautitlan Em Mex")</f>
        <v>Oxxosan Antonio 17 Mex Cuautitlan Em Mex</v>
      </c>
      <c r="I14" s="17" t="str">
        <f ca="1">IFERROR(__xludf.DUMMYFUNCTION("""COMPUTED_VALUE"""),"Transaction cost")</f>
        <v>Transaction cost</v>
      </c>
      <c r="J14" s="90" t="str">
        <f ca="1">IFERROR(__xludf.DUMMYFUNCTION("""COMPUTED_VALUE"""),"COMIDA   PO2165 - ENSAMBLE UF/CEB MECANICO")</f>
        <v>COMIDA   PO2165 - ENSAMBLE UF/CEB MECANICO</v>
      </c>
      <c r="K14" s="17" t="str">
        <f ca="1">IFERROR(__xludf.DUMMYFUNCTION("""COMPUTED_VALUE"""),".")</f>
        <v>.</v>
      </c>
      <c r="L14" s="17"/>
      <c r="M14" s="65">
        <f ca="1">SUM(D36:D40)</f>
        <v>182</v>
      </c>
      <c r="N14" s="17" t="s">
        <v>1998</v>
      </c>
      <c r="O14" s="17"/>
    </row>
    <row r="15" spans="1:15" ht="15.75" customHeight="1">
      <c r="A15" s="17" t="str">
        <f ca="1">IFERROR(__xludf.DUMMYFUNCTION("""COMPUTED_VALUE"""),"TRX1676")</f>
        <v>TRX1676</v>
      </c>
      <c r="B15" s="86" t="str">
        <f ca="1">IFERROR(__xludf.DUMMYFUNCTION("""COMPUTED_VALUE"""),"#8")</f>
        <v>#8</v>
      </c>
      <c r="C15" s="63">
        <f ca="1">IFERROR(__xludf.DUMMYFUNCTION("""COMPUTED_VALUE"""),46060.4173611111)</f>
        <v>46060.417361111096</v>
      </c>
      <c r="D15" s="65">
        <f ca="1">IFERROR(__xludf.DUMMYFUNCTION("""COMPUTED_VALUE"""),60.5)</f>
        <v>60.5</v>
      </c>
      <c r="E15" s="17" t="str">
        <f ca="1">IFERROR(__xludf.DUMMYFUNCTION("""COMPUTED_VALUE"""),"MXN")</f>
        <v>MXN</v>
      </c>
      <c r="F15" s="17" t="str">
        <f ca="1">IFERROR(__xludf.DUMMYFUNCTION("""COMPUTED_VALUE"""),"Jose Ignacio Martinez Flemate")</f>
        <v>Jose Ignacio Martinez Flemate</v>
      </c>
      <c r="G15" s="17" t="str">
        <f ca="1">IFERROR(__xludf.DUMMYFUNCTION("""COMPUTED_VALUE"""),"OXXOSAN ANTONIO 17 MEX CUAUTITLAN EM MEX")</f>
        <v>OXXOSAN ANTONIO 17 MEX CUAUTITLAN EM MEX</v>
      </c>
      <c r="H15" s="17" t="str">
        <f ca="1">IFERROR(__xludf.DUMMYFUNCTION("""COMPUTED_VALUE"""),"Oxxosan Antonio 17 Mex Cuautitlan Em Mex")</f>
        <v>Oxxosan Antonio 17 Mex Cuautitlan Em Mex</v>
      </c>
      <c r="I15" s="17" t="str">
        <f ca="1">IFERROR(__xludf.DUMMYFUNCTION("""COMPUTED_VALUE"""),"Transaction cost")</f>
        <v>Transaction cost</v>
      </c>
      <c r="J15" s="90" t="str">
        <f ca="1">IFERROR(__xludf.DUMMYFUNCTION("""COMPUTED_VALUE"""),"COMIDA   PO2165 - ENSAMBLE UF/CEB MECANICO")</f>
        <v>COMIDA   PO2165 - ENSAMBLE UF/CEB MECANICO</v>
      </c>
      <c r="K15" s="17" t="str">
        <f ca="1">IFERROR(__xludf.DUMMYFUNCTION("""COMPUTED_VALUE"""),".")</f>
        <v>.</v>
      </c>
      <c r="L15" s="17"/>
      <c r="M15" s="17"/>
      <c r="N15" s="17"/>
      <c r="O15" s="17"/>
    </row>
    <row r="16" spans="1:15" ht="15.75" customHeight="1">
      <c r="A16" s="17" t="str">
        <f ca="1">IFERROR(__xludf.DUMMYFUNCTION("""COMPUTED_VALUE"""),"TRX1340")</f>
        <v>TRX1340</v>
      </c>
      <c r="B16" s="86" t="str">
        <f ca="1">IFERROR(__xludf.DUMMYFUNCTION("""COMPUTED_VALUE"""),"#8")</f>
        <v>#8</v>
      </c>
      <c r="C16" s="63">
        <f ca="1">IFERROR(__xludf.DUMMYFUNCTION("""COMPUTED_VALUE"""),46061.4166666666)</f>
        <v>46061.416666666599</v>
      </c>
      <c r="D16" s="65">
        <f ca="1">IFERROR(__xludf.DUMMYFUNCTION("""COMPUTED_VALUE"""),320)</f>
        <v>320</v>
      </c>
      <c r="E16" s="17" t="str">
        <f ca="1">IFERROR(__xludf.DUMMYFUNCTION("""COMPUTED_VALUE"""),"MXN")</f>
        <v>MXN</v>
      </c>
      <c r="F16" s="17" t="str">
        <f ca="1">IFERROR(__xludf.DUMMYFUNCTION("""COMPUTED_VALUE"""),"Jose Ignacio Martinez Flemate")</f>
        <v>Jose Ignacio Martinez Flemate</v>
      </c>
      <c r="G16" s="17" t="str">
        <f ca="1">IFERROR(__xludf.DUMMYFUNCTION("""COMPUTED_VALUE"""),"MERCADOPAGO *DOSGARDE  Tultitln      MEX")</f>
        <v>MERCADOPAGO *DOSGARDE  Tultitln      MEX</v>
      </c>
      <c r="H16" s="17" t="str">
        <f ca="1">IFERROR(__xludf.DUMMYFUNCTION("""COMPUTED_VALUE"""),"Mercadopago")</f>
        <v>Mercadopago</v>
      </c>
      <c r="I16" s="17" t="str">
        <f ca="1">IFERROR(__xludf.DUMMYFUNCTION("""COMPUTED_VALUE"""),"Transaction cost")</f>
        <v>Transaction cost</v>
      </c>
      <c r="J16" s="90" t="str">
        <f ca="1">IFERROR(__xludf.DUMMYFUNCTION("""COMPUTED_VALUE"""),"CASETAS VISITA VISITA A ESCATO PO2165 - ENSAMBLE UF/CEB MECANICO")</f>
        <v>CASETAS VISITA VISITA A ESCATO PO2165 - ENSAMBLE UF/CEB MECANICO</v>
      </c>
      <c r="K16" s="17" t="str">
        <f ca="1">IFERROR(__xludf.DUMMYFUNCTION("""COMPUTED_VALUE"""),".")</f>
        <v>.</v>
      </c>
      <c r="L16" s="17"/>
      <c r="M16" s="17"/>
      <c r="N16" s="17"/>
      <c r="O16" s="17"/>
    </row>
    <row r="17" spans="1:15" ht="15.75" customHeight="1">
      <c r="A17" s="17" t="str">
        <f ca="1">IFERROR(__xludf.DUMMYFUNCTION("""COMPUTED_VALUE"""),"TRX2021")</f>
        <v>TRX2021</v>
      </c>
      <c r="B17" s="86" t="str">
        <f ca="1">IFERROR(__xludf.DUMMYFUNCTION("""COMPUTED_VALUE"""),"#8")</f>
        <v>#8</v>
      </c>
      <c r="C17" s="63">
        <f ca="1">IFERROR(__xludf.DUMMYFUNCTION("""COMPUTED_VALUE"""),46063.4166666666)</f>
        <v>46063.416666666599</v>
      </c>
      <c r="D17" s="17">
        <f ca="1">IFERROR(__xludf.DUMMYFUNCTION("""COMPUTED_VALUE"""),802.27)</f>
        <v>802.27</v>
      </c>
      <c r="E17" s="17" t="str">
        <f ca="1">IFERROR(__xludf.DUMMYFUNCTION("""COMPUTED_VALUE"""),"MXN")</f>
        <v>MXN</v>
      </c>
      <c r="F17" s="17" t="str">
        <f ca="1">IFERROR(__xludf.DUMMYFUNCTION("""COMPUTED_VALUE"""),"Jose Ignacio Martinez Flemate")</f>
        <v>Jose Ignacio Martinez Flemate</v>
      </c>
      <c r="G17" s="17" t="str">
        <f ca="1">IFERROR(__xludf.DUMMYFUNCTION("""COMPUTED_VALUE"""),"SERV ALISAS            LERMA EM      MEX")</f>
        <v>SERV ALISAS            LERMA EM      MEX</v>
      </c>
      <c r="H17" s="17" t="str">
        <f ca="1">IFERROR(__xludf.DUMMYFUNCTION("""COMPUTED_VALUE"""),"Serv Alisas Lerma Em Mex")</f>
        <v>Serv Alisas Lerma Em Mex</v>
      </c>
      <c r="I17" s="17" t="str">
        <f ca="1">IFERROR(__xludf.DUMMYFUNCTION("""COMPUTED_VALUE"""),"Transaction cost")</f>
        <v>Transaction cost</v>
      </c>
      <c r="J17" s="90" t="str">
        <f ca="1">IFERROR(__xludf.DUMMYFUNCTION("""COMPUTED_VALUE"""),"GASOLINA VISITA A CAMI PO2165 - ENSAMBLE UF/CEB MECANICO")</f>
        <v>GASOLINA VISITA A CAMI PO2165 - ENSAMBLE UF/CEB MECANICO</v>
      </c>
      <c r="K17" s="17" t="str">
        <f ca="1">IFERROR(__xludf.DUMMYFUNCTION("""COMPUTED_VALUE"""),".")</f>
        <v>.</v>
      </c>
      <c r="L17" s="17"/>
      <c r="M17" s="17"/>
      <c r="N17" s="17"/>
      <c r="O17" s="17"/>
    </row>
    <row r="18" spans="1:15" ht="15.75" customHeight="1">
      <c r="A18" s="17" t="str">
        <f ca="1">IFERROR(__xludf.DUMMYFUNCTION("""COMPUTED_VALUE"""),"TRX1336")</f>
        <v>TRX1336</v>
      </c>
      <c r="B18" s="86" t="str">
        <f ca="1">IFERROR(__xludf.DUMMYFUNCTION("""COMPUTED_VALUE"""),"#8")</f>
        <v>#8</v>
      </c>
      <c r="C18" s="63">
        <f ca="1">IFERROR(__xludf.DUMMYFUNCTION("""COMPUTED_VALUE"""),46065.4166666666)</f>
        <v>46065.416666666599</v>
      </c>
      <c r="D18" s="65">
        <f ca="1">IFERROR(__xludf.DUMMYFUNCTION("""COMPUTED_VALUE"""),947)</f>
        <v>947</v>
      </c>
      <c r="E18" s="17" t="str">
        <f ca="1">IFERROR(__xludf.DUMMYFUNCTION("""COMPUTED_VALUE"""),"MXN")</f>
        <v>MXN</v>
      </c>
      <c r="F18" s="17" t="str">
        <f ca="1">IFERROR(__xludf.DUMMYFUNCTION("""COMPUTED_VALUE"""),"Jose Ignacio Martinez Flemate")</f>
        <v>Jose Ignacio Martinez Flemate</v>
      </c>
      <c r="G18" s="17" t="str">
        <f ca="1">IFERROR(__xludf.DUMMYFUNCTION("""COMPUTED_VALUE"""),"OFFICE MAX TECAMAC     TECAMAC       MEX")</f>
        <v>OFFICE MAX TECAMAC     TECAMAC       MEX</v>
      </c>
      <c r="H18" s="17" t="str">
        <f ca="1">IFERROR(__xludf.DUMMYFUNCTION("""COMPUTED_VALUE"""),"Office Depot")</f>
        <v>Office Depot</v>
      </c>
      <c r="I18" s="17" t="str">
        <f ca="1">IFERROR(__xludf.DUMMYFUNCTION("""COMPUTED_VALUE"""),"Transaction cost")</f>
        <v>Transaction cost</v>
      </c>
      <c r="J18" s="90" t="str">
        <f ca="1">IFERROR(__xludf.DUMMYFUNCTION("""COMPUTED_VALUE"""),"PAPELERIA PARA DOSSIER DE CALIDAD PO2165 - ENSAMBLE UF/CEB MECANICO")</f>
        <v>PAPELERIA PARA DOSSIER DE CALIDAD PO2165 - ENSAMBLE UF/CEB MECANICO</v>
      </c>
      <c r="K18" s="17" t="str">
        <f ca="1">IFERROR(__xludf.DUMMYFUNCTION("""COMPUTED_VALUE"""),".")</f>
        <v>.</v>
      </c>
      <c r="L18" s="17"/>
      <c r="M18" s="17"/>
      <c r="N18" s="17"/>
      <c r="O18" s="17"/>
    </row>
    <row r="19" spans="1:15" ht="15.75" customHeight="1">
      <c r="A19" s="17" t="str">
        <f ca="1">IFERROR(__xludf.DUMMYFUNCTION("""COMPUTED_VALUE"""),"TRX1714")</f>
        <v>TRX1714</v>
      </c>
      <c r="B19" s="86" t="str">
        <f ca="1">IFERROR(__xludf.DUMMYFUNCTION("""COMPUTED_VALUE"""),"#8")</f>
        <v>#8</v>
      </c>
      <c r="C19" s="63">
        <f ca="1">IFERROR(__xludf.DUMMYFUNCTION("""COMPUTED_VALUE"""),46065.4173611111)</f>
        <v>46065.417361111096</v>
      </c>
      <c r="D19" s="65">
        <f ca="1">IFERROR(__xludf.DUMMYFUNCTION("""COMPUTED_VALUE"""),145)</f>
        <v>145</v>
      </c>
      <c r="E19" s="17" t="str">
        <f ca="1">IFERROR(__xludf.DUMMYFUNCTION("""COMPUTED_VALUE"""),"MXN")</f>
        <v>MXN</v>
      </c>
      <c r="F19" s="17" t="str">
        <f ca="1">IFERROR(__xludf.DUMMYFUNCTION("""COMPUTED_VALUE"""),"Jose Ignacio Martinez Flemate")</f>
        <v>Jose Ignacio Martinez Flemate</v>
      </c>
      <c r="G19" s="17" t="str">
        <f ca="1">IFERROR(__xludf.DUMMYFUNCTION("""COMPUTED_VALUE"""),"HOME DEPOT TECAMAC     TECAMAC EM    MEX")</f>
        <v>HOME DEPOT TECAMAC     TECAMAC EM    MEX</v>
      </c>
      <c r="H19" s="17" t="str">
        <f ca="1">IFERROR(__xludf.DUMMYFUNCTION("""COMPUTED_VALUE"""),"The Home Depot")</f>
        <v>The Home Depot</v>
      </c>
      <c r="I19" s="17" t="str">
        <f ca="1">IFERROR(__xludf.DUMMYFUNCTION("""COMPUTED_VALUE"""),"Transaction cost")</f>
        <v>Transaction cost</v>
      </c>
      <c r="J19" s="90" t="str">
        <f ca="1">IFERROR(__xludf.DUMMYFUNCTION("""COMPUTED_VALUE"""),"PLUMONES PARA MARCAJE DE ESTRUCTURA PO2165 - ENSAMBLE UF/CEB MECANICO")</f>
        <v>PLUMONES PARA MARCAJE DE ESTRUCTURA PO2165 - ENSAMBLE UF/CEB MECANICO</v>
      </c>
      <c r="K19" s="17" t="str">
        <f ca="1">IFERROR(__xludf.DUMMYFUNCTION("""COMPUTED_VALUE"""),".")</f>
        <v>.</v>
      </c>
      <c r="L19" s="17"/>
      <c r="M19" s="17"/>
      <c r="N19" s="17"/>
      <c r="O19" s="17"/>
    </row>
    <row r="20" spans="1:15" ht="12.5">
      <c r="A20" s="17" t="str">
        <f ca="1">IFERROR(__xludf.DUMMYFUNCTION("""COMPUTED_VALUE"""),"TRX1943")</f>
        <v>TRX1943</v>
      </c>
      <c r="B20" s="86" t="str">
        <f ca="1">IFERROR(__xludf.DUMMYFUNCTION("""COMPUTED_VALUE"""),"#8")</f>
        <v>#8</v>
      </c>
      <c r="C20" s="63">
        <f ca="1">IFERROR(__xludf.DUMMYFUNCTION("""COMPUTED_VALUE"""),46065.4173611111)</f>
        <v>46065.417361111096</v>
      </c>
      <c r="D20" s="65">
        <f ca="1">IFERROR(__xludf.DUMMYFUNCTION("""COMPUTED_VALUE"""),114)</f>
        <v>114</v>
      </c>
      <c r="E20" s="17" t="str">
        <f ca="1">IFERROR(__xludf.DUMMYFUNCTION("""COMPUTED_VALUE"""),"MXN")</f>
        <v>MXN</v>
      </c>
      <c r="F20" s="17" t="str">
        <f ca="1">IFERROR(__xludf.DUMMYFUNCTION("""COMPUTED_VALUE"""),"Jose Ignacio Martinez Flemate")</f>
        <v>Jose Ignacio Martinez Flemate</v>
      </c>
      <c r="G20" s="17" t="str">
        <f ca="1">IFERROR(__xludf.DUMMYFUNCTION("""COMPUTED_VALUE"""),"OXXOSAN ANTONIO 17 MEX CUAUTITLAN EM MEX")</f>
        <v>OXXOSAN ANTONIO 17 MEX CUAUTITLAN EM MEX</v>
      </c>
      <c r="H20" s="17" t="str">
        <f ca="1">IFERROR(__xludf.DUMMYFUNCTION("""COMPUTED_VALUE"""),"Oxxosan Antonio 17 Mex Cuautitlan Em Mex")</f>
        <v>Oxxosan Antonio 17 Mex Cuautitlan Em Mex</v>
      </c>
      <c r="I20" s="17" t="str">
        <f ca="1">IFERROR(__xludf.DUMMYFUNCTION("""COMPUTED_VALUE"""),"Transaction cost")</f>
        <v>Transaction cost</v>
      </c>
      <c r="J20" s="90" t="str">
        <f ca="1">IFERROR(__xludf.DUMMYFUNCTION("""COMPUTED_VALUE"""),"COMIDA   PO2165 - ENSAMBLE UF/CEB MECANICO")</f>
        <v>COMIDA   PO2165 - ENSAMBLE UF/CEB MECANICO</v>
      </c>
      <c r="K20" s="17" t="str">
        <f ca="1">IFERROR(__xludf.DUMMYFUNCTION("""COMPUTED_VALUE"""),".")</f>
        <v>.</v>
      </c>
      <c r="L20" s="17"/>
      <c r="M20" s="17"/>
      <c r="N20" s="17"/>
      <c r="O20" s="17"/>
    </row>
    <row r="21" spans="1:15" ht="12.5">
      <c r="A21" s="17" t="str">
        <f ca="1">IFERROR(__xludf.DUMMYFUNCTION("""COMPUTED_VALUE"""),"TRX1930")</f>
        <v>TRX1930</v>
      </c>
      <c r="B21" s="86" t="str">
        <f ca="1">IFERROR(__xludf.DUMMYFUNCTION("""COMPUTED_VALUE"""),"#8")</f>
        <v>#8</v>
      </c>
      <c r="C21" s="63">
        <f ca="1">IFERROR(__xludf.DUMMYFUNCTION("""COMPUTED_VALUE"""),46067.4166666666)</f>
        <v>46067.416666666599</v>
      </c>
      <c r="D21" s="65">
        <f ca="1">IFERROR(__xludf.DUMMYFUNCTION("""COMPUTED_VALUE"""),2010)</f>
        <v>2010</v>
      </c>
      <c r="E21" s="17" t="str">
        <f ca="1">IFERROR(__xludf.DUMMYFUNCTION("""COMPUTED_VALUE"""),"MXN")</f>
        <v>MXN</v>
      </c>
      <c r="F21" s="17" t="str">
        <f ca="1">IFERROR(__xludf.DUMMYFUNCTION("""COMPUTED_VALUE"""),"Jose Ignacio Martinez Flemate")</f>
        <v>Jose Ignacio Martinez Flemate</v>
      </c>
      <c r="G21" s="17" t="str">
        <f ca="1">IFERROR(__xludf.DUMMYFUNCTION("""COMPUTED_VALUE"""),"MERCADOPAGO *PASE      Ciudad de Mex MEX")</f>
        <v>MERCADOPAGO *PASE      Ciudad de Mex MEX</v>
      </c>
      <c r="H21" s="17" t="str">
        <f ca="1">IFERROR(__xludf.DUMMYFUNCTION("""COMPUTED_VALUE"""),"Mercadopago")</f>
        <v>Mercadopago</v>
      </c>
      <c r="I21" s="17" t="str">
        <f ca="1">IFERROR(__xludf.DUMMYFUNCTION("""COMPUTED_VALUE"""),"Transaction cost")</f>
        <v>Transaction cost</v>
      </c>
      <c r="J21" s="90" t="str">
        <f ca="1">IFERROR(__xludf.DUMMYFUNCTION("""COMPUTED_VALUE"""),"CASETAS VISITA VISITA A ESCATO PO2165 - ENSAMBLE UF/CEB MECANICO")</f>
        <v>CASETAS VISITA VISITA A ESCATO PO2165 - ENSAMBLE UF/CEB MECANICO</v>
      </c>
      <c r="K21" s="17" t="str">
        <f ca="1">IFERROR(__xludf.DUMMYFUNCTION("""COMPUTED_VALUE"""),".")</f>
        <v>.</v>
      </c>
      <c r="L21" s="17"/>
      <c r="M21" s="17"/>
      <c r="N21" s="17"/>
      <c r="O21" s="17"/>
    </row>
    <row r="22" spans="1:15" ht="12.5">
      <c r="A22" s="17" t="str">
        <f ca="1">IFERROR(__xludf.DUMMYFUNCTION("""COMPUTED_VALUE"""),"TRX1799")</f>
        <v>TRX1799</v>
      </c>
      <c r="B22" s="86" t="str">
        <f ca="1">IFERROR(__xludf.DUMMYFUNCTION("""COMPUTED_VALUE"""),"#8")</f>
        <v>#8</v>
      </c>
      <c r="C22" s="63">
        <f ca="1">IFERROR(__xludf.DUMMYFUNCTION("""COMPUTED_VALUE"""),46067.4166666666)</f>
        <v>46067.416666666599</v>
      </c>
      <c r="D22" s="65">
        <f ca="1">IFERROR(__xludf.DUMMYFUNCTION("""COMPUTED_VALUE"""),709.41)</f>
        <v>709.41</v>
      </c>
      <c r="E22" s="17" t="str">
        <f ca="1">IFERROR(__xludf.DUMMYFUNCTION("""COMPUTED_VALUE"""),"MXN")</f>
        <v>MXN</v>
      </c>
      <c r="F22" s="17" t="str">
        <f ca="1">IFERROR(__xludf.DUMMYFUNCTION("""COMPUTED_VALUE"""),"Jose Ignacio Martinez Flemate")</f>
        <v>Jose Ignacio Martinez Flemate</v>
      </c>
      <c r="G22" s="17" t="str">
        <f ca="1">IFERROR(__xludf.DUMMYFUNCTION("""COMPUTED_VALUE"""),"GASOL LUNAGAS TECAMAC3 TECAMAC EM    MEX")</f>
        <v>GASOL LUNAGAS TECAMAC3 TECAMAC EM    MEX</v>
      </c>
      <c r="H22" s="17" t="str">
        <f ca="1">IFERROR(__xludf.DUMMYFUNCTION("""COMPUTED_VALUE"""),"Gasol Lunagas Tecamac3 Tecamac Em Mex")</f>
        <v>Gasol Lunagas Tecamac3 Tecamac Em Mex</v>
      </c>
      <c r="I22" s="17" t="str">
        <f ca="1">IFERROR(__xludf.DUMMYFUNCTION("""COMPUTED_VALUE"""),"Transaction cost")</f>
        <v>Transaction cost</v>
      </c>
      <c r="J22" s="90" t="str">
        <f ca="1">IFERROR(__xludf.DUMMYFUNCTION("""COMPUTED_VALUE"""),"GASOLINA VISITA A CAMI PO2165 - ENSAMBLE UF/CEB MECANICO")</f>
        <v>GASOLINA VISITA A CAMI PO2165 - ENSAMBLE UF/CEB MECANICO</v>
      </c>
      <c r="K22" s="17" t="str">
        <f ca="1">IFERROR(__xludf.DUMMYFUNCTION("""COMPUTED_VALUE"""),".")</f>
        <v>.</v>
      </c>
      <c r="L22" s="17"/>
      <c r="M22" s="17"/>
      <c r="N22" s="17"/>
      <c r="O22" s="17"/>
    </row>
    <row r="23" spans="1:15" ht="12.5">
      <c r="A23" s="17" t="str">
        <f ca="1">IFERROR(__xludf.DUMMYFUNCTION("""COMPUTED_VALUE"""),"TRX1405")</f>
        <v>TRX1405</v>
      </c>
      <c r="B23" s="86" t="str">
        <f ca="1">IFERROR(__xludf.DUMMYFUNCTION("""COMPUTED_VALUE"""),"#8")</f>
        <v>#8</v>
      </c>
      <c r="C23" s="63">
        <f ca="1">IFERROR(__xludf.DUMMYFUNCTION("""COMPUTED_VALUE"""),46068.4166666666)</f>
        <v>46068.416666666599</v>
      </c>
      <c r="D23" s="65">
        <f ca="1">IFERROR(__xludf.DUMMYFUNCTION("""COMPUTED_VALUE"""),20)</f>
        <v>20</v>
      </c>
      <c r="E23" s="17" t="str">
        <f ca="1">IFERROR(__xludf.DUMMYFUNCTION("""COMPUTED_VALUE"""),"MXN")</f>
        <v>MXN</v>
      </c>
      <c r="F23" s="17" t="str">
        <f ca="1">IFERROR(__xludf.DUMMYFUNCTION("""COMPUTED_VALUE"""),"Jose Ignacio Martinez Flemate")</f>
        <v>Jose Ignacio Martinez Flemate</v>
      </c>
      <c r="G23" s="17" t="str">
        <f ca="1">IFERROR(__xludf.DUMMYFUNCTION("""COMPUTED_VALUE"""),"UBER *TRIP HELP.UBER.C CMX           MEX")</f>
        <v>UBER *TRIP HELP.UBER.C CMX           MEX</v>
      </c>
      <c r="H23" s="17" t="str">
        <f ca="1">IFERROR(__xludf.DUMMYFUNCTION("""COMPUTED_VALUE"""),"Uber")</f>
        <v>Uber</v>
      </c>
      <c r="I23" s="17" t="str">
        <f ca="1">IFERROR(__xludf.DUMMYFUNCTION("""COMPUTED_VALUE"""),"Transaction cost")</f>
        <v>Transaction cost</v>
      </c>
      <c r="J23" s="90" t="str">
        <f ca="1">IFERROR(__xludf.DUMMYFUNCTION("""COMPUTED_VALUE"""),"UBER PARA DEJAR HERRAMIENTA DE INSTALACION PO2023 - SAFE IN THE BOX ")</f>
        <v xml:space="preserve">UBER PARA DEJAR HERRAMIENTA DE INSTALACION PO2023 - SAFE IN THE BOX </v>
      </c>
      <c r="K23" s="17" t="str">
        <f ca="1">IFERROR(__xludf.DUMMYFUNCTION("""COMPUTED_VALUE"""),".")</f>
        <v>.</v>
      </c>
      <c r="L23" s="17"/>
      <c r="M23" s="17"/>
      <c r="N23" s="17"/>
      <c r="O23" s="17"/>
    </row>
    <row r="24" spans="1:15" ht="12.5">
      <c r="A24" s="17" t="str">
        <f ca="1">IFERROR(__xludf.DUMMYFUNCTION("""COMPUTED_VALUE"""),"TRX2025")</f>
        <v>TRX2025</v>
      </c>
      <c r="B24" s="86" t="str">
        <f ca="1">IFERROR(__xludf.DUMMYFUNCTION("""COMPUTED_VALUE"""),"#8")</f>
        <v>#8</v>
      </c>
      <c r="C24" s="63">
        <f ca="1">IFERROR(__xludf.DUMMYFUNCTION("""COMPUTED_VALUE"""),46068.4166666666)</f>
        <v>46068.416666666599</v>
      </c>
      <c r="D24" s="17">
        <f ca="1">IFERROR(__xludf.DUMMYFUNCTION("""COMPUTED_VALUE"""),499.99)</f>
        <v>499.99</v>
      </c>
      <c r="E24" s="17" t="str">
        <f ca="1">IFERROR(__xludf.DUMMYFUNCTION("""COMPUTED_VALUE"""),"MXN")</f>
        <v>MXN</v>
      </c>
      <c r="F24" s="17" t="str">
        <f ca="1">IFERROR(__xludf.DUMMYFUNCTION("""COMPUTED_VALUE"""),"Jose Ignacio Martinez Flemate")</f>
        <v>Jose Ignacio Martinez Flemate</v>
      </c>
      <c r="G24" s="17" t="str">
        <f ca="1">IFERROR(__xludf.DUMMYFUNCTION("""COMPUTED_VALUE"""),"UBER * PENDING         CMX           MEX")</f>
        <v>UBER * PENDING         CMX           MEX</v>
      </c>
      <c r="H24" s="17" t="str">
        <f ca="1">IFERROR(__xludf.DUMMYFUNCTION("""COMPUTED_VALUE"""),"Uber")</f>
        <v>Uber</v>
      </c>
      <c r="I24" s="17" t="str">
        <f ca="1">IFERROR(__xludf.DUMMYFUNCTION("""COMPUTED_VALUE"""),"Transaction cost")</f>
        <v>Transaction cost</v>
      </c>
      <c r="J24" s="90" t="str">
        <f ca="1">IFERROR(__xludf.DUMMYFUNCTION("""COMPUTED_VALUE"""),"UBER VISITA A PROVEEDOR (NO CIRCULA) PO2165 - ENSAMBLE UF/CEB MECANICO")</f>
        <v>UBER VISITA A PROVEEDOR (NO CIRCULA) PO2165 - ENSAMBLE UF/CEB MECANICO</v>
      </c>
      <c r="K24" s="17" t="str">
        <f ca="1">IFERROR(__xludf.DUMMYFUNCTION("""COMPUTED_VALUE"""),".")</f>
        <v>.</v>
      </c>
      <c r="L24" s="17"/>
      <c r="M24" s="17"/>
      <c r="N24" s="17"/>
      <c r="O24" s="17"/>
    </row>
    <row r="25" spans="1:15" ht="12.5">
      <c r="A25" s="17" t="str">
        <f ca="1">IFERROR(__xludf.DUMMYFUNCTION("""COMPUTED_VALUE"""),"TRX1045")</f>
        <v>TRX1045</v>
      </c>
      <c r="B25" s="86" t="str">
        <f ca="1">IFERROR(__xludf.DUMMYFUNCTION("""COMPUTED_VALUE"""),"#8")</f>
        <v>#8</v>
      </c>
      <c r="C25" s="63">
        <f ca="1">IFERROR(__xludf.DUMMYFUNCTION("""COMPUTED_VALUE"""),46068.4166666666)</f>
        <v>46068.416666666599</v>
      </c>
      <c r="D25" s="65">
        <f ca="1">IFERROR(__xludf.DUMMYFUNCTION("""COMPUTED_VALUE"""),309.98)</f>
        <v>309.98</v>
      </c>
      <c r="E25" s="17" t="str">
        <f ca="1">IFERROR(__xludf.DUMMYFUNCTION("""COMPUTED_VALUE"""),"MXN")</f>
        <v>MXN</v>
      </c>
      <c r="F25" s="17" t="str">
        <f ca="1">IFERROR(__xludf.DUMMYFUNCTION("""COMPUTED_VALUE"""),"Jose Ignacio Martinez Flemate")</f>
        <v>Jose Ignacio Martinez Flemate</v>
      </c>
      <c r="G25" s="17" t="str">
        <f ca="1">IFERROR(__xludf.DUMMYFUNCTION("""COMPUTED_VALUE"""),"UBER * PENDING         CMX           MEX")</f>
        <v>UBER * PENDING         CMX           MEX</v>
      </c>
      <c r="H25" s="17" t="str">
        <f ca="1">IFERROR(__xludf.DUMMYFUNCTION("""COMPUTED_VALUE"""),"Uber")</f>
        <v>Uber</v>
      </c>
      <c r="I25" s="17" t="str">
        <f ca="1">IFERROR(__xludf.DUMMYFUNCTION("""COMPUTED_VALUE"""),"Transaction cost")</f>
        <v>Transaction cost</v>
      </c>
      <c r="J25" s="90" t="str">
        <f ca="1">IFERROR(__xludf.DUMMYFUNCTION("""COMPUTED_VALUE"""),"UBER VISITA A PROVEEDOR (NO CIRCULA) PO2165 - ENSAMBLE UF/CEB MECANICO")</f>
        <v>UBER VISITA A PROVEEDOR (NO CIRCULA) PO2165 - ENSAMBLE UF/CEB MECANICO</v>
      </c>
      <c r="K25" s="17" t="str">
        <f ca="1">IFERROR(__xludf.DUMMYFUNCTION("""COMPUTED_VALUE"""),".")</f>
        <v>.</v>
      </c>
      <c r="L25" s="17"/>
      <c r="M25" s="17"/>
      <c r="N25" s="17"/>
      <c r="O25" s="17"/>
    </row>
    <row r="26" spans="1:15" ht="12.5">
      <c r="A26" s="17" t="str">
        <f ca="1">IFERROR(__xludf.DUMMYFUNCTION("""COMPUTED_VALUE"""),"TRX1800")</f>
        <v>TRX1800</v>
      </c>
      <c r="B26" s="86" t="str">
        <f ca="1">IFERROR(__xludf.DUMMYFUNCTION("""COMPUTED_VALUE"""),"#8")</f>
        <v>#8</v>
      </c>
      <c r="C26" s="63">
        <f ca="1">IFERROR(__xludf.DUMMYFUNCTION("""COMPUTED_VALUE"""),46071.4166666666)</f>
        <v>46071.416666666599</v>
      </c>
      <c r="D26" s="65">
        <f ca="1">IFERROR(__xludf.DUMMYFUNCTION("""COMPUTED_VALUE"""),102.5)</f>
        <v>102.5</v>
      </c>
      <c r="E26" s="17" t="str">
        <f ca="1">IFERROR(__xludf.DUMMYFUNCTION("""COMPUTED_VALUE"""),"MXN")</f>
        <v>MXN</v>
      </c>
      <c r="F26" s="17" t="str">
        <f ca="1">IFERROR(__xludf.DUMMYFUNCTION("""COMPUTED_VALUE"""),"Jose Ignacio Martinez Flemate")</f>
        <v>Jose Ignacio Martinez Flemate</v>
      </c>
      <c r="G26" s="17" t="str">
        <f ca="1">IFERROR(__xludf.DUMMYFUNCTION("""COMPUTED_VALUE"""),"OXXOSAN ANTONIO 17 MEX CUAUTITLAN EM MEX")</f>
        <v>OXXOSAN ANTONIO 17 MEX CUAUTITLAN EM MEX</v>
      </c>
      <c r="H26" s="17" t="str">
        <f ca="1">IFERROR(__xludf.DUMMYFUNCTION("""COMPUTED_VALUE"""),"Oxxosan Antonio 17 Mex Cuautitlan Em Mex")</f>
        <v>Oxxosan Antonio 17 Mex Cuautitlan Em Mex</v>
      </c>
      <c r="I26" s="17" t="str">
        <f ca="1">IFERROR(__xludf.DUMMYFUNCTION("""COMPUTED_VALUE"""),"Transaction cost")</f>
        <v>Transaction cost</v>
      </c>
      <c r="J26" s="90" t="str">
        <f ca="1">IFERROR(__xludf.DUMMYFUNCTION("""COMPUTED_VALUE"""),"COMIDA   PO2165 - ENSAMBLE UF/CEB MECANICO")</f>
        <v>COMIDA   PO2165 - ENSAMBLE UF/CEB MECANICO</v>
      </c>
      <c r="K26" s="17" t="str">
        <f ca="1">IFERROR(__xludf.DUMMYFUNCTION("""COMPUTED_VALUE"""),".")</f>
        <v>.</v>
      </c>
      <c r="L26" s="17"/>
      <c r="M26" s="17"/>
      <c r="N26" s="17"/>
      <c r="O26" s="17"/>
    </row>
    <row r="27" spans="1:15" ht="12.5">
      <c r="A27" s="17" t="str">
        <f ca="1">IFERROR(__xludf.DUMMYFUNCTION("""COMPUTED_VALUE"""),"TRX1508")</f>
        <v>TRX1508</v>
      </c>
      <c r="B27" s="86" t="str">
        <f ca="1">IFERROR(__xludf.DUMMYFUNCTION("""COMPUTED_VALUE"""),"#8")</f>
        <v>#8</v>
      </c>
      <c r="C27" s="63">
        <f ca="1">IFERROR(__xludf.DUMMYFUNCTION("""COMPUTED_VALUE"""),46072.4173611111)</f>
        <v>46072.417361111096</v>
      </c>
      <c r="D27" s="65">
        <f ca="1">IFERROR(__xludf.DUMMYFUNCTION("""COMPUTED_VALUE"""),23.5)</f>
        <v>23.5</v>
      </c>
      <c r="E27" s="17" t="str">
        <f ca="1">IFERROR(__xludf.DUMMYFUNCTION("""COMPUTED_VALUE"""),"MXN")</f>
        <v>MXN</v>
      </c>
      <c r="F27" s="17" t="str">
        <f ca="1">IFERROR(__xludf.DUMMYFUNCTION("""COMPUTED_VALUE"""),"Jose Ignacio Martinez Flemate")</f>
        <v>Jose Ignacio Martinez Flemate</v>
      </c>
      <c r="G27" s="17" t="str">
        <f ca="1">IFERROR(__xludf.DUMMYFUNCTION("""COMPUTED_VALUE"""),"OXXOSAN ANTONIO 17 MEX CUAUTITLAN EM MEX")</f>
        <v>OXXOSAN ANTONIO 17 MEX CUAUTITLAN EM MEX</v>
      </c>
      <c r="H27" s="17" t="str">
        <f ca="1">IFERROR(__xludf.DUMMYFUNCTION("""COMPUTED_VALUE"""),"Oxxosan Antonio 17 Mex Cuautitlan Em Mex")</f>
        <v>Oxxosan Antonio 17 Mex Cuautitlan Em Mex</v>
      </c>
      <c r="I27" s="17" t="str">
        <f ca="1">IFERROR(__xludf.DUMMYFUNCTION("""COMPUTED_VALUE"""),"Transaction cost")</f>
        <v>Transaction cost</v>
      </c>
      <c r="J27" s="90" t="str">
        <f ca="1">IFERROR(__xludf.DUMMYFUNCTION("""COMPUTED_VALUE"""),"COMIDA   PO2165 - ENSAMBLE UF/CEB MECANICO")</f>
        <v>COMIDA   PO2165 - ENSAMBLE UF/CEB MECANICO</v>
      </c>
      <c r="K27" s="17" t="str">
        <f ca="1">IFERROR(__xludf.DUMMYFUNCTION("""COMPUTED_VALUE"""),".")</f>
        <v>.</v>
      </c>
      <c r="L27" s="17"/>
      <c r="M27" s="17"/>
      <c r="N27" s="17"/>
      <c r="O27" s="17"/>
    </row>
    <row r="28" spans="1:15" ht="12.5">
      <c r="A28" s="17" t="str">
        <f ca="1">IFERROR(__xludf.DUMMYFUNCTION("""COMPUTED_VALUE"""),"TRX1931")</f>
        <v>TRX1931</v>
      </c>
      <c r="B28" s="86" t="str">
        <f ca="1">IFERROR(__xludf.DUMMYFUNCTION("""COMPUTED_VALUE"""),"#8")</f>
        <v>#8</v>
      </c>
      <c r="C28" s="63">
        <f ca="1">IFERROR(__xludf.DUMMYFUNCTION("""COMPUTED_VALUE"""),46073.4166666666)</f>
        <v>46073.416666666599</v>
      </c>
      <c r="D28" s="65">
        <f ca="1">IFERROR(__xludf.DUMMYFUNCTION("""COMPUTED_VALUE"""),129)</f>
        <v>129</v>
      </c>
      <c r="E28" s="17" t="str">
        <f ca="1">IFERROR(__xludf.DUMMYFUNCTION("""COMPUTED_VALUE"""),"MXN")</f>
        <v>MXN</v>
      </c>
      <c r="F28" s="17" t="str">
        <f ca="1">IFERROR(__xludf.DUMMYFUNCTION("""COMPUTED_VALUE"""),"Jose Ignacio Martinez Flemate")</f>
        <v>Jose Ignacio Martinez Flemate</v>
      </c>
      <c r="G28" s="17" t="str">
        <f ca="1">IFERROR(__xludf.DUMMYFUNCTION("""COMPUTED_VALUE"""),"CLIP MX*TDA LAMINAS Y  CUAUTITLAN    MEX")</f>
        <v>CLIP MX*TDA LAMINAS Y  CUAUTITLAN    MEX</v>
      </c>
      <c r="H28" s="17" t="str">
        <f ca="1">IFERROR(__xludf.DUMMYFUNCTION("""COMPUTED_VALUE"""),"Clip Mx Tda Laminas Y Cuautitlan Mex")</f>
        <v>Clip Mx Tda Laminas Y Cuautitlan Mex</v>
      </c>
      <c r="I28" s="17" t="str">
        <f ca="1">IFERROR(__xludf.DUMMYFUNCTION("""COMPUTED_VALUE"""),"Transaction cost")</f>
        <v>Transaction cost</v>
      </c>
      <c r="J28" s="90" t="str">
        <f ca="1">IFERROR(__xludf.DUMMYFUNCTION("""COMPUTED_VALUE"""),"INSUMOS PARA PRUEBA DE ADHEDRENCIA  PO2165 - ENSAMBLE UF/CEB MECANICO")</f>
        <v>INSUMOS PARA PRUEBA DE ADHEDRENCIA  PO2165 - ENSAMBLE UF/CEB MECANICO</v>
      </c>
      <c r="K28" s="17" t="str">
        <f ca="1">IFERROR(__xludf.DUMMYFUNCTION("""COMPUTED_VALUE"""),".")</f>
        <v>.</v>
      </c>
      <c r="L28" s="17"/>
      <c r="M28" s="17"/>
      <c r="N28" s="17"/>
      <c r="O28" s="17"/>
    </row>
    <row r="29" spans="1:15" ht="12.5">
      <c r="A29" s="17" t="str">
        <f ca="1">IFERROR(__xludf.DUMMYFUNCTION("""COMPUTED_VALUE"""),"TRX1513")</f>
        <v>TRX1513</v>
      </c>
      <c r="B29" s="86" t="str">
        <f ca="1">IFERROR(__xludf.DUMMYFUNCTION("""COMPUTED_VALUE"""),"#8")</f>
        <v>#8</v>
      </c>
      <c r="C29" s="63">
        <f ca="1">IFERROR(__xludf.DUMMYFUNCTION("""COMPUTED_VALUE"""),46073.4166666666)</f>
        <v>46073.416666666599</v>
      </c>
      <c r="D29" s="65">
        <f ca="1">IFERROR(__xludf.DUMMYFUNCTION("""COMPUTED_VALUE"""),1376)</f>
        <v>1376</v>
      </c>
      <c r="E29" s="17" t="str">
        <f ca="1">IFERROR(__xludf.DUMMYFUNCTION("""COMPUTED_VALUE"""),"MXN")</f>
        <v>MXN</v>
      </c>
      <c r="F29" s="17" t="str">
        <f ca="1">IFERROR(__xludf.DUMMYFUNCTION("""COMPUTED_VALUE"""),"Jose Ignacio Martinez Flemate")</f>
        <v>Jose Ignacio Martinez Flemate</v>
      </c>
      <c r="G29" s="17" t="str">
        <f ca="1">IFERROR(__xludf.DUMMYFUNCTION("""COMPUTED_VALUE"""),"HOME DEPOT             CUAUTITLAN IZ MEX")</f>
        <v>HOME DEPOT             CUAUTITLAN IZ MEX</v>
      </c>
      <c r="H29" s="17" t="str">
        <f ca="1">IFERROR(__xludf.DUMMYFUNCTION("""COMPUTED_VALUE"""),"The Home Depot")</f>
        <v>The Home Depot</v>
      </c>
      <c r="I29" s="17" t="str">
        <f ca="1">IFERROR(__xludf.DUMMYFUNCTION("""COMPUTED_VALUE"""),"Transaction cost")</f>
        <v>Transaction cost</v>
      </c>
      <c r="J29" s="90" t="str">
        <f ca="1">IFERROR(__xludf.DUMMYFUNCTION("""COMPUTED_VALUE"""),"EPP E INSUMOS PARA PRUEBA DE ESPESORES DE PINTURA PO2165 - ENSAMBLE UF/CEB MECANICO")</f>
        <v>EPP E INSUMOS PARA PRUEBA DE ESPESORES DE PINTURA PO2165 - ENSAMBLE UF/CEB MECANICO</v>
      </c>
      <c r="K29" s="17" t="str">
        <f ca="1">IFERROR(__xludf.DUMMYFUNCTION("""COMPUTED_VALUE"""),".")</f>
        <v>.</v>
      </c>
      <c r="L29" s="17"/>
      <c r="M29" s="17"/>
      <c r="N29" s="17"/>
      <c r="O29" s="17"/>
    </row>
    <row r="30" spans="1:15" ht="12.5">
      <c r="A30" s="17" t="str">
        <f ca="1">IFERROR(__xludf.DUMMYFUNCTION("""COMPUTED_VALUE"""),"TRX1826")</f>
        <v>TRX1826</v>
      </c>
      <c r="B30" s="86" t="str">
        <f ca="1">IFERROR(__xludf.DUMMYFUNCTION("""COMPUTED_VALUE"""),"#8")</f>
        <v>#8</v>
      </c>
      <c r="C30" s="63">
        <f ca="1">IFERROR(__xludf.DUMMYFUNCTION("""COMPUTED_VALUE"""),46073.4173611111)</f>
        <v>46073.417361111096</v>
      </c>
      <c r="D30" s="65">
        <f ca="1">IFERROR(__xludf.DUMMYFUNCTION("""COMPUTED_VALUE"""),48.5)</f>
        <v>48.5</v>
      </c>
      <c r="E30" s="17" t="str">
        <f ca="1">IFERROR(__xludf.DUMMYFUNCTION("""COMPUTED_VALUE"""),"MXN")</f>
        <v>MXN</v>
      </c>
      <c r="F30" s="17" t="str">
        <f ca="1">IFERROR(__xludf.DUMMYFUNCTION("""COMPUTED_VALUE"""),"Jose Ignacio Martinez Flemate")</f>
        <v>Jose Ignacio Martinez Flemate</v>
      </c>
      <c r="G30" s="17" t="str">
        <f ca="1">IFERROR(__xludf.DUMMYFUNCTION("""COMPUTED_VALUE"""),"OXXOSAN ANTONIO 17 MEX CUAUTITLAN EM MEX")</f>
        <v>OXXOSAN ANTONIO 17 MEX CUAUTITLAN EM MEX</v>
      </c>
      <c r="H30" s="17" t="str">
        <f ca="1">IFERROR(__xludf.DUMMYFUNCTION("""COMPUTED_VALUE"""),"Oxxosan Antonio 17 Mex Cuautitlan Em Mex")</f>
        <v>Oxxosan Antonio 17 Mex Cuautitlan Em Mex</v>
      </c>
      <c r="I30" s="17" t="str">
        <f ca="1">IFERROR(__xludf.DUMMYFUNCTION("""COMPUTED_VALUE"""),"Transaction cost")</f>
        <v>Transaction cost</v>
      </c>
      <c r="J30" s="90" t="str">
        <f ca="1">IFERROR(__xludf.DUMMYFUNCTION("""COMPUTED_VALUE"""),"COMIDA   PO2165 - ENSAMBLE UF/CEB MECANICO")</f>
        <v>COMIDA   PO2165 - ENSAMBLE UF/CEB MECANICO</v>
      </c>
      <c r="K30" s="17" t="str">
        <f ca="1">IFERROR(__xludf.DUMMYFUNCTION("""COMPUTED_VALUE"""),".")</f>
        <v>.</v>
      </c>
      <c r="L30" s="17"/>
      <c r="M30" s="17"/>
      <c r="N30" s="17"/>
      <c r="O30" s="17"/>
    </row>
    <row r="31" spans="1:15" ht="12.5">
      <c r="A31" s="17" t="str">
        <f ca="1">IFERROR(__xludf.DUMMYFUNCTION("""COMPUTED_VALUE"""),"TRX2030")</f>
        <v>TRX2030</v>
      </c>
      <c r="B31" s="86" t="str">
        <f ca="1">IFERROR(__xludf.DUMMYFUNCTION("""COMPUTED_VALUE"""),"#8")</f>
        <v>#8</v>
      </c>
      <c r="C31" s="63">
        <f ca="1">IFERROR(__xludf.DUMMYFUNCTION("""COMPUTED_VALUE"""),46073.4173611111)</f>
        <v>46073.417361111096</v>
      </c>
      <c r="D31" s="17">
        <f ca="1">IFERROR(__xludf.DUMMYFUNCTION("""COMPUTED_VALUE"""),1946)</f>
        <v>1946</v>
      </c>
      <c r="E31" s="17" t="str">
        <f ca="1">IFERROR(__xludf.DUMMYFUNCTION("""COMPUTED_VALUE"""),"MXN")</f>
        <v>MXN</v>
      </c>
      <c r="F31" s="17" t="str">
        <f ca="1">IFERROR(__xludf.DUMMYFUNCTION("""COMPUTED_VALUE"""),"Jose Ignacio Martinez Flemate")</f>
        <v>Jose Ignacio Martinez Flemate</v>
      </c>
      <c r="G31" s="17" t="str">
        <f ca="1">IFERROR(__xludf.DUMMYFUNCTION("""COMPUTED_VALUE"""),"REST 2 LA JEFA         CUAUTITLAN EM MEX")</f>
        <v>REST 2 LA JEFA         CUAUTITLAN EM MEX</v>
      </c>
      <c r="H31" s="17" t="str">
        <f ca="1">IFERROR(__xludf.DUMMYFUNCTION("""COMPUTED_VALUE"""),"Rest 2 La Jefa Cuautitlan Em Mex")</f>
        <v>Rest 2 La Jefa Cuautitlan Em Mex</v>
      </c>
      <c r="I31" s="17" t="str">
        <f ca="1">IFERROR(__xludf.DUMMYFUNCTION("""COMPUTED_VALUE"""),"Transaction cost")</f>
        <v>Transaction cost</v>
      </c>
      <c r="J31" s="90" t="str">
        <f ca="1">IFERROR(__xludf.DUMMYFUNCTION("""COMPUTED_VALUE"""),"COMIDA - CENA VISITA A CAMI / VISITA DE CALIDAD VEOLIA PO2165 - ENSAMBLE UF/CEB MECANICO")</f>
        <v>COMIDA - CENA VISITA A CAMI / VISITA DE CALIDAD VEOLIA PO2165 - ENSAMBLE UF/CEB MECANICO</v>
      </c>
      <c r="K31" s="17" t="str">
        <f ca="1">IFERROR(__xludf.DUMMYFUNCTION("""COMPUTED_VALUE"""),".")</f>
        <v>.</v>
      </c>
      <c r="L31" s="17"/>
      <c r="M31" s="17"/>
      <c r="N31" s="17"/>
      <c r="O31" s="17"/>
    </row>
    <row r="32" spans="1:15" ht="12.5">
      <c r="A32" s="17" t="str">
        <f ca="1">IFERROR(__xludf.DUMMYFUNCTION("""COMPUTED_VALUE"""),"TRX1117")</f>
        <v>TRX1117</v>
      </c>
      <c r="B32" s="86" t="str">
        <f ca="1">IFERROR(__xludf.DUMMYFUNCTION("""COMPUTED_VALUE"""),"#8")</f>
        <v>#8</v>
      </c>
      <c r="C32" s="63">
        <f ca="1">IFERROR(__xludf.DUMMYFUNCTION("""COMPUTED_VALUE"""),46074.4166666666)</f>
        <v>46074.416666666599</v>
      </c>
      <c r="D32" s="65">
        <f ca="1">IFERROR(__xludf.DUMMYFUNCTION("""COMPUTED_VALUE"""),781.02)</f>
        <v>781.02</v>
      </c>
      <c r="E32" s="17" t="str">
        <f ca="1">IFERROR(__xludf.DUMMYFUNCTION("""COMPUTED_VALUE"""),"MXN")</f>
        <v>MXN</v>
      </c>
      <c r="F32" s="17" t="str">
        <f ca="1">IFERROR(__xludf.DUMMYFUNCTION("""COMPUTED_VALUE"""),"Jose Ignacio Martinez Flemate")</f>
        <v>Jose Ignacio Martinez Flemate</v>
      </c>
      <c r="G32" s="17" t="str">
        <f ca="1">IFERROR(__xludf.DUMMYFUNCTION("""COMPUTED_VALUE"""),"EST DE SERV EUL GUZ    TECAMAC EM    MEX")</f>
        <v>EST DE SERV EUL GUZ    TECAMAC EM    MEX</v>
      </c>
      <c r="H32" s="17" t="str">
        <f ca="1">IFERROR(__xludf.DUMMYFUNCTION("""COMPUTED_VALUE"""),"Est De Serv Eul Guz Tecamac Em Mex")</f>
        <v>Est De Serv Eul Guz Tecamac Em Mex</v>
      </c>
      <c r="I32" s="17" t="str">
        <f ca="1">IFERROR(__xludf.DUMMYFUNCTION("""COMPUTED_VALUE"""),"Transaction cost")</f>
        <v>Transaction cost</v>
      </c>
      <c r="J32" s="90" t="str">
        <f ca="1">IFERROR(__xludf.DUMMYFUNCTION("""COMPUTED_VALUE"""),"GASOLINA VISITA A CAMI PO2165 - ENSAMBLE UF/CEB MECANICO")</f>
        <v>GASOLINA VISITA A CAMI PO2165 - ENSAMBLE UF/CEB MECANICO</v>
      </c>
      <c r="K32" s="17" t="str">
        <f ca="1">IFERROR(__xludf.DUMMYFUNCTION("""COMPUTED_VALUE"""),".")</f>
        <v>.</v>
      </c>
      <c r="L32" s="17"/>
      <c r="M32" s="17"/>
      <c r="N32" s="17"/>
      <c r="O32" s="17"/>
    </row>
    <row r="33" spans="1:15" ht="12.5">
      <c r="A33" s="17" t="str">
        <f ca="1">IFERROR(__xludf.DUMMYFUNCTION("""COMPUTED_VALUE"""),"TRX1127")</f>
        <v>TRX1127</v>
      </c>
      <c r="B33" s="86" t="str">
        <f ca="1">IFERROR(__xludf.DUMMYFUNCTION("""COMPUTED_VALUE"""),"#8")</f>
        <v>#8</v>
      </c>
      <c r="C33" s="63">
        <f ca="1">IFERROR(__xludf.DUMMYFUNCTION("""COMPUTED_VALUE"""),46074.4166666666)</f>
        <v>46074.416666666599</v>
      </c>
      <c r="D33" s="65">
        <f ca="1">IFERROR(__xludf.DUMMYFUNCTION("""COMPUTED_VALUE"""),1510)</f>
        <v>1510</v>
      </c>
      <c r="E33" s="17" t="str">
        <f ca="1">IFERROR(__xludf.DUMMYFUNCTION("""COMPUTED_VALUE"""),"MXN")</f>
        <v>MXN</v>
      </c>
      <c r="F33" s="17" t="str">
        <f ca="1">IFERROR(__xludf.DUMMYFUNCTION("""COMPUTED_VALUE"""),"Jose Ignacio Martinez Flemate")</f>
        <v>Jose Ignacio Martinez Flemate</v>
      </c>
      <c r="G33" s="17" t="str">
        <f ca="1">IFERROR(__xludf.DUMMYFUNCTION("""COMPUTED_VALUE"""),"MERCADOPAGO *PASE      MIGUEL HIDALG MEX")</f>
        <v>MERCADOPAGO *PASE      MIGUEL HIDALG MEX</v>
      </c>
      <c r="H33" s="17" t="str">
        <f ca="1">IFERROR(__xludf.DUMMYFUNCTION("""COMPUTED_VALUE"""),"Mercadopago")</f>
        <v>Mercadopago</v>
      </c>
      <c r="I33" s="17" t="str">
        <f ca="1">IFERROR(__xludf.DUMMYFUNCTION("""COMPUTED_VALUE"""),"Transaction cost")</f>
        <v>Transaction cost</v>
      </c>
      <c r="J33" s="90" t="str">
        <f ca="1">IFERROR(__xludf.DUMMYFUNCTION("""COMPUTED_VALUE"""),"CASETAS VISITA VISITA A ESCATO PO2165 - ENSAMBLE UF/CEB MECANICO")</f>
        <v>CASETAS VISITA VISITA A ESCATO PO2165 - ENSAMBLE UF/CEB MECANICO</v>
      </c>
      <c r="K33" s="17" t="str">
        <f ca="1">IFERROR(__xludf.DUMMYFUNCTION("""COMPUTED_VALUE"""),".")</f>
        <v>.</v>
      </c>
      <c r="L33" s="17"/>
      <c r="M33" s="17"/>
      <c r="N33" s="17"/>
      <c r="O33" s="17"/>
    </row>
    <row r="34" spans="1:15" ht="12.5">
      <c r="A34" s="17" t="str">
        <f ca="1">IFERROR(__xludf.DUMMYFUNCTION("""COMPUTED_VALUE"""),"TRX1085")</f>
        <v>TRX1085</v>
      </c>
      <c r="B34" s="86" t="str">
        <f ca="1">IFERROR(__xludf.DUMMYFUNCTION("""COMPUTED_VALUE"""),"#8")</f>
        <v>#8</v>
      </c>
      <c r="C34" s="63">
        <f ca="1">IFERROR(__xludf.DUMMYFUNCTION("""COMPUTED_VALUE"""),46074.4166666666)</f>
        <v>46074.416666666599</v>
      </c>
      <c r="D34" s="65">
        <f ca="1">IFERROR(__xludf.DUMMYFUNCTION("""COMPUTED_VALUE"""),115)</f>
        <v>115</v>
      </c>
      <c r="E34" s="17" t="str">
        <f ca="1">IFERROR(__xludf.DUMMYFUNCTION("""COMPUTED_VALUE"""),"MXN")</f>
        <v>MXN</v>
      </c>
      <c r="F34" s="17" t="str">
        <f ca="1">IFERROR(__xludf.DUMMYFUNCTION("""COMPUTED_VALUE"""),"Jose Ignacio Martinez Flemate")</f>
        <v>Jose Ignacio Martinez Flemate</v>
      </c>
      <c r="G34" s="17" t="str">
        <f ca="1">IFERROR(__xludf.DUMMYFUNCTION("""COMPUTED_VALUE"""),"MERCADOPAGO *COMLOSOL  Tecamac       MEX")</f>
        <v>MERCADOPAGO *COMLOSOL  Tecamac       MEX</v>
      </c>
      <c r="H34" s="17" t="str">
        <f ca="1">IFERROR(__xludf.DUMMYFUNCTION("""COMPUTED_VALUE"""),"Mercadopago")</f>
        <v>Mercadopago</v>
      </c>
      <c r="I34" s="17" t="str">
        <f ca="1">IFERROR(__xludf.DUMMYFUNCTION("""COMPUTED_VALUE"""),"Transaction cost")</f>
        <v>Transaction cost</v>
      </c>
      <c r="J34" s="90" t="str">
        <f ca="1">IFERROR(__xludf.DUMMYFUNCTION("""COMPUTED_VALUE"""),"CENA   PO2165 - ENSAMBLE UF/CEB MECANICO")</f>
        <v>CENA   PO2165 - ENSAMBLE UF/CEB MECANICO</v>
      </c>
      <c r="K34" s="17" t="str">
        <f ca="1">IFERROR(__xludf.DUMMYFUNCTION("""COMPUTED_VALUE"""),".")</f>
        <v>.</v>
      </c>
      <c r="L34" s="17"/>
      <c r="M34" s="17"/>
      <c r="N34" s="17"/>
      <c r="O34" s="17"/>
    </row>
    <row r="35" spans="1:15" ht="12.5">
      <c r="A35" s="17" t="str">
        <f ca="1">IFERROR(__xludf.DUMMYFUNCTION("""COMPUTED_VALUE"""),"TRX1075")</f>
        <v>TRX1075</v>
      </c>
      <c r="B35" s="86" t="str">
        <f ca="1">IFERROR(__xludf.DUMMYFUNCTION("""COMPUTED_VALUE"""),"#8")</f>
        <v>#8</v>
      </c>
      <c r="C35" s="63">
        <f ca="1">IFERROR(__xludf.DUMMYFUNCTION("""COMPUTED_VALUE"""),46075.4173611111)</f>
        <v>46075.417361111096</v>
      </c>
      <c r="D35" s="65">
        <f ca="1">IFERROR(__xludf.DUMMYFUNCTION("""COMPUTED_VALUE"""),55)</f>
        <v>55</v>
      </c>
      <c r="E35" s="17" t="str">
        <f ca="1">IFERROR(__xludf.DUMMYFUNCTION("""COMPUTED_VALUE"""),"MXN")</f>
        <v>MXN</v>
      </c>
      <c r="F35" s="17" t="str">
        <f ca="1">IFERROR(__xludf.DUMMYFUNCTION("""COMPUTED_VALUE"""),"Jose Ignacio Martinez Flemate")</f>
        <v>Jose Ignacio Martinez Flemate</v>
      </c>
      <c r="G35" s="17" t="str">
        <f ca="1">IFERROR(__xludf.DUMMYFUNCTION("""COMPUTED_VALUE"""),"DLO*Uber               CDMX          MEX")</f>
        <v>DLO*Uber               CDMX          MEX</v>
      </c>
      <c r="H35" s="17" t="str">
        <f ca="1">IFERROR(__xludf.DUMMYFUNCTION("""COMPUTED_VALUE"""),"Uber")</f>
        <v>Uber</v>
      </c>
      <c r="I35" s="17" t="str">
        <f ca="1">IFERROR(__xludf.DUMMYFUNCTION("""COMPUTED_VALUE"""),"Transaction cost")</f>
        <v>Transaction cost</v>
      </c>
      <c r="J35" s="90" t="str">
        <f ca="1">IFERROR(__xludf.DUMMYFUNCTION("""COMPUTED_VALUE"""),"CASETAS POR VISITA A CAMI (NO CIRCULA) PO2165 - ENSAMBLE UF/CEB MECANICO")</f>
        <v>CASETAS POR VISITA A CAMI (NO CIRCULA) PO2165 - ENSAMBLE UF/CEB MECANICO</v>
      </c>
      <c r="K35" s="17" t="str">
        <f ca="1">IFERROR(__xludf.DUMMYFUNCTION("""COMPUTED_VALUE"""),".")</f>
        <v>.</v>
      </c>
      <c r="L35" s="17"/>
      <c r="M35" s="17"/>
      <c r="N35" s="17"/>
      <c r="O35" s="17"/>
    </row>
    <row r="36" spans="1:15" ht="12.5">
      <c r="A36" s="17" t="str">
        <f ca="1">IFERROR(__xludf.DUMMYFUNCTION("""COMPUTED_VALUE"""),"TRX1078")</f>
        <v>TRX1078</v>
      </c>
      <c r="B36" s="86" t="str">
        <f ca="1">IFERROR(__xludf.DUMMYFUNCTION("""COMPUTED_VALUE"""),"#8")</f>
        <v>#8</v>
      </c>
      <c r="C36" s="63">
        <f ca="1">IFERROR(__xludf.DUMMYFUNCTION("""COMPUTED_VALUE"""),46075.4173611111)</f>
        <v>46075.417361111096</v>
      </c>
      <c r="D36" s="65">
        <f ca="1">IFERROR(__xludf.DUMMYFUNCTION("""COMPUTED_VALUE"""),182)</f>
        <v>182</v>
      </c>
      <c r="E36" s="17" t="str">
        <f ca="1">IFERROR(__xludf.DUMMYFUNCTION("""COMPUTED_VALUE"""),"MXN")</f>
        <v>MXN</v>
      </c>
      <c r="F36" s="17" t="str">
        <f ca="1">IFERROR(__xludf.DUMMYFUNCTION("""COMPUTED_VALUE"""),"Jose Ignacio Martinez Flemate")</f>
        <v>Jose Ignacio Martinez Flemate</v>
      </c>
      <c r="G36" s="17" t="str">
        <f ca="1">IFERROR(__xludf.DUMMYFUNCTION("""COMPUTED_VALUE"""),"DLO*Uber               CDMX          MEX")</f>
        <v>DLO*Uber               CDMX          MEX</v>
      </c>
      <c r="H36" s="17" t="str">
        <f ca="1">IFERROR(__xludf.DUMMYFUNCTION("""COMPUTED_VALUE"""),"Uber")</f>
        <v>Uber</v>
      </c>
      <c r="I36" s="17" t="str">
        <f ca="1">IFERROR(__xludf.DUMMYFUNCTION("""COMPUTED_VALUE"""),"Transaction cost")</f>
        <v>Transaction cost</v>
      </c>
      <c r="J36" s="90" t="str">
        <f ca="1">IFERROR(__xludf.DUMMYFUNCTION("""COMPUTED_VALUE"""),"CASETAS POR VISITA A CAMI (NO CIRCULA) PO2165 - ENSAMBLE UF/CEB MECANICO")</f>
        <v>CASETAS POR VISITA A CAMI (NO CIRCULA) PO2165 - ENSAMBLE UF/CEB MECANICO</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IFERROR(__xludf.DUMMYFUNCTION("""COMPUTED_VALUE"""),"G&amp;A expenses")</f>
        <v>G&amp;A expenses</v>
      </c>
      <c r="J37" s="90" t="str">
        <f ca="1">IFERROR(__xludf.DUMMYFUNCTION("""COMPUTED_VALUE"""),"UBER VISITA A PROVEEDOR (NO CIRCULA) PO2165 - ENSAMBLE UF/CEB MECANICO")</f>
        <v>UBER VISITA A PROVEEDOR (NO CIRCULA) PO2165 - ENSAMBLE UF/CEB MECANICO</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IFERROR(__xludf.DUMMYFUNCTION("""COMPUTED_VALUE"""),"Transaction cost")</f>
        <v>Transaction cost</v>
      </c>
      <c r="J38" s="90" t="str">
        <f ca="1">IFERROR(__xludf.DUMMYFUNCTION("""COMPUTED_VALUE"""),"GASOLINA VISITA A CAMI PO2165 - ENSAMBLE UF/CEB MECANICO")</f>
        <v>GASOLINA VISITA A CAMI PO2165 - ENSAMBLE UF/CEB MECANICO</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IFERROR(__xludf.DUMMYFUNCTION("""COMPUTED_VALUE"""),"Transaction cost")</f>
        <v>Transaction cost</v>
      </c>
      <c r="J39" s="90" t="str">
        <f ca="1">IFERROR(__xludf.DUMMYFUNCTION("""COMPUTED_VALUE"""),"INSUMOS, AGUAS VISITA A CAMI PO2165 - ENSAMBLE UF/CEB MECANICO")</f>
        <v>INSUMOS, AGUAS VISITA A CAMI PO2165 - ENSAMBLE UF/CEB MECANICO</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IFERROR(__xludf.DUMMYFUNCTION("""COMPUTED_VALUE"""),"Transaction cost")</f>
        <v>Transaction cost</v>
      </c>
      <c r="J40" s="90" t="str">
        <f ca="1">IFERROR(__xludf.DUMMYFUNCTION("""COMPUTED_VALUE"""),"DESAYUNO - COMIDA  VISITA A CAMI PO2165 - ENSAMBLE UF/CEB MECANICO")</f>
        <v>DESAYUNO - COMIDA  VISITA A CAMI PO2165 - ENSAMBLE UF/CEB MECANICO</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IFERROR(__xludf.DUMMYFUNCTION("""COMPUTED_VALUE"""),"Tech&amp;Product")</f>
        <v>Tech&amp;Product</v>
      </c>
      <c r="J41" s="90" t="str">
        <f ca="1">IFERROR(__xludf.DUMMYFUNCTION("""COMPUTED_VALUE"""),"INSUMOS PARA VIDRIEROS ESCALERAS VWS (RFQ 2553)")</f>
        <v>INSUMOS PARA VIDRIEROS ESCALERAS VWS (RFQ 2553)</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IFERROR(__xludf.DUMMYFUNCTION("""COMPUTED_VALUE"""),"Transaction cost")</f>
        <v>Transaction cost</v>
      </c>
      <c r="J42" s="90" t="str">
        <f ca="1">IFERROR(__xludf.DUMMYFUNCTION("""COMPUTED_VALUE"""),"CENA  ESCALERAS VWS (RFQ 2553)")</f>
        <v>CENA  ESCALERAS VWS (RFQ 2553)</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IFERROR(__xludf.DUMMYFUNCTION("""COMPUTED_VALUE"""),"Transaction cost")</f>
        <v>Transaction cost</v>
      </c>
      <c r="J43" s="90" t="str">
        <f ca="1">IFERROR(__xludf.DUMMYFUNCTION("""COMPUTED_VALUE"""),"ESTACIONAMIENTO  ESCALERAS VWS (RFQ 2553)")</f>
        <v>ESTACIONAMIENTO  ESCALERAS VWS (RFQ 2553)</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IFERROR(__xludf.DUMMYFUNCTION("""COMPUTED_VALUE"""),"Transaction cost")</f>
        <v>Transaction cost</v>
      </c>
      <c r="J44" s="90" t="str">
        <f ca="1">IFERROR(__xludf.DUMMYFUNCTION("""COMPUTED_VALUE"""),"ENTREGA DE GARANTIAS FDA (RFQ 320)")</f>
        <v>ENTREGA DE GARANTIAS FDA (RFQ 320)</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IFERROR(__xludf.DUMMYFUNCTION("""COMPUTED_VALUE"""),"Transaction cost")</f>
        <v>Transaction cost</v>
      </c>
      <c r="J45" s="90" t="str">
        <f ca="1">IFERROR(__xludf.DUMMYFUNCTION("""COMPUTED_VALUE"""),"ENTREGA DE GARANTIAS FDA (RFQ 320)")</f>
        <v>ENTREGA DE GARANTIAS FDA (RFQ 320)</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IFERROR(__xludf.DUMMYFUNCTION("""COMPUTED_VALUE"""),"Transaction cost")</f>
        <v>Transaction cost</v>
      </c>
      <c r="J46" s="90" t="str">
        <f ca="1">IFERROR(__xludf.DUMMYFUNCTION("""COMPUTED_VALUE"""),"INSUMOS PARA VIDRIEROS ESCALERAS VWS (RFQ 2553)")</f>
        <v>INSUMOS PARA VIDRIEROS ESCALERAS VWS (RFQ 2553)</v>
      </c>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IFERROR(__xludf.DUMMYFUNCTION("""COMPUTED_VALUE"""),"Transaction cost")</f>
        <v>Transaction cost</v>
      </c>
      <c r="J47" s="90" t="str">
        <f ca="1">IFERROR(__xludf.DUMMYFUNCTION("""COMPUTED_VALUE"""),"INSUMOS PARA VIDRIEROS ESCALERAS VWS (RFQ 2553)")</f>
        <v>INSUMOS PARA VIDRIEROS ESCALERAS VWS (RFQ 2553)</v>
      </c>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IFERROR(__xludf.DUMMYFUNCTION("""COMPUTED_VALUE"""),"Transaction cost")</f>
        <v>Transaction cost</v>
      </c>
      <c r="J48" s="90" t="str">
        <f ca="1">IFERROR(__xludf.DUMMYFUNCTION("""COMPUTED_VALUE"""),"CASETAS VISITA VISITA A ESCATO - FDA (320) / TECNOGONDOLA - CIRCLE K (4711)")</f>
        <v>CASETAS VISITA VISITA A ESCATO - FDA (320) / TECNOGONDOLA - CIRCLE K (4711)</v>
      </c>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IFERROR(__xludf.DUMMYFUNCTION("""COMPUTED_VALUE"""),"Transaction cost")</f>
        <v>Transaction cost</v>
      </c>
      <c r="J49" s="90" t="str">
        <f ca="1">IFERROR(__xludf.DUMMYFUNCTION("""COMPUTED_VALUE"""),"GASOLINA VISITA VISITA A ESCATO - FDA (320) / TECNOGONDOLA - CIRCLE K (4711)")</f>
        <v>GASOLINA VISITA VISITA A ESCATO - FDA (320) / TECNOGONDOLA - CIRCLE K (4711)</v>
      </c>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IFERROR(__xludf.DUMMYFUNCTION("""COMPUTED_VALUE"""),"Transaction cost")</f>
        <v>Transaction cost</v>
      </c>
      <c r="J50" s="90" t="str">
        <f ca="1">IFERROR(__xludf.DUMMYFUNCTION("""COMPUTED_VALUE"""),"DESAYUNO VISITA A TECNOGONDOLA - CIRCLE K (RFQ 4711)")</f>
        <v>DESAYUNO VISITA A TECNOGONDOLA - CIRCLE K (RFQ 4711)</v>
      </c>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IFERROR(__xludf.DUMMYFUNCTION("""COMPUTED_VALUE"""),"Transaction cost")</f>
        <v>Transaction cost</v>
      </c>
      <c r="J51" s="17" t="str">
        <f ca="1">IFERROR(__xludf.DUMMYFUNCTION("""COMPUTED_VALUE"""),"INSUMOS PARA CARGAS DE - FDA (320)")</f>
        <v>INSUMOS PARA CARGAS DE - FDA (320)</v>
      </c>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IFERROR(__xludf.DUMMYFUNCTION("""COMPUTED_VALUE"""),"Transaction cost")</f>
        <v>Transaction cost</v>
      </c>
      <c r="J52" s="17" t="str">
        <f ca="1">IFERROR(__xludf.DUMMYFUNCTION("""COMPUTED_VALUE"""),"GASOLINA VISITA VISITA A ESCATO - FDA (320)")</f>
        <v>GASOLINA VISITA VISITA A ESCATO - FDA (320)</v>
      </c>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IFERROR(__xludf.DUMMYFUNCTION("""COMPUTED_VALUE"""),"Transaction cost")</f>
        <v>Transaction cost</v>
      </c>
      <c r="J53" s="17" t="str">
        <f ca="1">IFERROR(__xludf.DUMMYFUNCTION("""COMPUTED_VALUE"""),"CASETAS VISITA ESCATO  (RFQ 320)")</f>
        <v>CASETAS VISITA ESCATO  (RFQ 320)</v>
      </c>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IFERROR(__xludf.DUMMYFUNCTION("""COMPUTED_VALUE"""),"Transaction cost")</f>
        <v>Transaction cost</v>
      </c>
      <c r="J54" s="17" t="str">
        <f ca="1">IFERROR(__xludf.DUMMYFUNCTION("""COMPUTED_VALUE"""),"COMIDA VISITA A ESCATO (RFQ 320)")</f>
        <v>COMIDA VISITA A ESCATO (RFQ 320)</v>
      </c>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IFERROR(__xludf.DUMMYFUNCTION("""COMPUTED_VALUE"""),"Transaction cost")</f>
        <v>Transaction cost</v>
      </c>
      <c r="J55" s="17" t="str">
        <f ca="1">IFERROR(__xludf.DUMMYFUNCTION("""COMPUTED_VALUE"""),"COMIDA VISITA A ESCATO (RFQ 320)")</f>
        <v>COMIDA VISITA A ESCATO (RFQ 320)</v>
      </c>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IFERROR(__xludf.DUMMYFUNCTION("""COMPUTED_VALUE"""),"Sales")</f>
        <v>Sales</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IFERROR(__xludf.DUMMYFUNCTION("""COMPUTED_VALUE"""),"Sales")</f>
        <v>Sales</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IFERROR(__xludf.DUMMYFUNCTION("""COMPUTED_VALUE"""),"Sales")</f>
        <v>Sales</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IFERROR(__xludf.DUMMYFUNCTION("""COMPUTED_VALUE"""),"Sales")</f>
        <v>Sales</v>
      </c>
      <c r="J66" s="17"/>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IFERROR(__xludf.DUMMYFUNCTION("""COMPUTED_VALUE"""),"Sales")</f>
        <v>Sales</v>
      </c>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08984375" customWidth="1"/>
    <col min="3" max="3" width="11.26953125" customWidth="1"/>
    <col min="4" max="4" width="6.08984375" customWidth="1"/>
    <col min="5" max="5" width="6.90625" customWidth="1"/>
    <col min="6" max="6" width="18.7265625" customWidth="1"/>
    <col min="7" max="7" width="21.26953125" customWidth="1"/>
    <col min="8" max="8" width="32.08984375" customWidth="1"/>
    <col min="9" max="9" width="20.6328125" customWidth="1"/>
    <col min="10" max="10" width="36.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91" t="s">
        <v>134</v>
      </c>
      <c r="B2" s="143" t="s">
        <v>134</v>
      </c>
      <c r="C2" s="139"/>
      <c r="D2" s="139"/>
      <c r="E2" s="17"/>
      <c r="F2" s="141" t="s">
        <v>63</v>
      </c>
      <c r="G2" s="139"/>
      <c r="H2" s="69" t="s">
        <v>1975</v>
      </c>
      <c r="I2" s="17"/>
      <c r="J2" s="17" t="s">
        <v>1999</v>
      </c>
      <c r="K2" s="17"/>
      <c r="L2" s="17"/>
      <c r="M2" s="17"/>
      <c r="N2" s="17"/>
      <c r="O2" s="17"/>
    </row>
    <row r="3" spans="1:15" ht="15.75" customHeight="1">
      <c r="A3" s="26"/>
      <c r="B3" s="26"/>
      <c r="C3" s="10"/>
      <c r="D3" s="13"/>
      <c r="E3" s="13"/>
      <c r="F3" s="142" t="s">
        <v>74</v>
      </c>
      <c r="G3" s="139"/>
      <c r="H3" s="70" t="s">
        <v>1976</v>
      </c>
      <c r="I3" s="13"/>
      <c r="J3" s="13"/>
      <c r="K3" s="13"/>
      <c r="L3" s="13"/>
      <c r="M3" s="13"/>
      <c r="N3" s="17"/>
      <c r="O3" s="17"/>
    </row>
    <row r="4" spans="1:15" ht="15.75" customHeight="1">
      <c r="A4" s="71"/>
      <c r="B4" s="71"/>
      <c r="C4" s="72"/>
      <c r="D4" s="73"/>
      <c r="E4" s="76"/>
      <c r="F4" s="138" t="s">
        <v>83</v>
      </c>
      <c r="G4" s="139"/>
      <c r="H4" s="70" t="s">
        <v>1977</v>
      </c>
      <c r="I4" s="13"/>
      <c r="J4" s="71"/>
      <c r="K4" s="17"/>
      <c r="L4" s="17"/>
      <c r="M4" s="17"/>
      <c r="N4" s="75"/>
      <c r="O4" s="75"/>
    </row>
    <row r="5" spans="1:15" ht="15.75" customHeight="1">
      <c r="A5" s="71"/>
      <c r="B5" s="71"/>
      <c r="C5" s="72"/>
      <c r="D5" s="73"/>
      <c r="E5" s="76"/>
      <c r="F5" s="142" t="s">
        <v>94</v>
      </c>
      <c r="G5" s="139"/>
      <c r="H5" s="70" t="s">
        <v>1978</v>
      </c>
      <c r="I5" s="13"/>
      <c r="J5" s="71"/>
      <c r="K5" s="17"/>
      <c r="L5" s="17"/>
      <c r="M5" s="17"/>
      <c r="N5" s="75"/>
      <c r="O5" s="75"/>
    </row>
    <row r="6" spans="1:15" ht="15.75" customHeight="1">
      <c r="A6" s="71"/>
      <c r="B6" s="71"/>
      <c r="C6" s="72"/>
      <c r="D6" s="73"/>
      <c r="E6" s="76"/>
      <c r="F6" s="141" t="s">
        <v>103</v>
      </c>
      <c r="G6" s="139"/>
      <c r="H6" s="70" t="s">
        <v>1980</v>
      </c>
      <c r="I6" s="13"/>
      <c r="J6" s="71"/>
      <c r="K6" s="17"/>
      <c r="L6" s="17"/>
      <c r="M6" s="17"/>
      <c r="N6" s="75"/>
      <c r="O6" s="75"/>
    </row>
    <row r="7" spans="1:15" ht="15.75" customHeight="1">
      <c r="A7" s="71"/>
      <c r="B7" s="71"/>
      <c r="C7" s="72"/>
      <c r="D7" s="73"/>
      <c r="E7" s="76"/>
      <c r="F7" s="142" t="s">
        <v>113</v>
      </c>
      <c r="G7" s="139"/>
      <c r="H7" s="70" t="s">
        <v>1981</v>
      </c>
      <c r="I7" s="13"/>
      <c r="J7" s="71"/>
      <c r="K7" s="17"/>
      <c r="L7" s="17"/>
      <c r="M7" s="17"/>
      <c r="N7" s="75"/>
      <c r="O7" s="75"/>
    </row>
    <row r="8" spans="1:15" ht="15.75" customHeight="1">
      <c r="A8" s="71"/>
      <c r="B8" s="71"/>
      <c r="C8" s="72"/>
      <c r="D8" s="73"/>
      <c r="E8" s="76"/>
      <c r="F8" s="141" t="s">
        <v>120</v>
      </c>
      <c r="G8" s="139"/>
      <c r="H8" s="70" t="s">
        <v>1982</v>
      </c>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Sept'!$J$12:$J$1003=$A$2)"),"TRX1244")</f>
        <v>TRX1244</v>
      </c>
      <c r="B12" s="86" t="str">
        <f ca="1">IFERROR(__xludf.DUMMYFUNCTION("""COMPUTED_VALUE"""),"#9")</f>
        <v>#9</v>
      </c>
      <c r="C12" s="63">
        <f ca="1">IFERROR(__xludf.DUMMYFUNCTION("""COMPUTED_VALUE"""),46058.4166666666)</f>
        <v>46058.416666666599</v>
      </c>
      <c r="D12" s="65">
        <f ca="1">IFERROR(__xludf.DUMMYFUNCTION("FILTER('Edo Cta Jeeves Sept'!$G$12:$G$1003,'Edo Cta Jeeves Sept'!$J$12:$J$1003=$A$2)"),700)</f>
        <v>700</v>
      </c>
      <c r="E12" s="17" t="str">
        <f ca="1">IFERROR(__xludf.DUMMYFUNCTION("FILTER('Edo Cta Jeeves Sept'!$I$12:$I$1003,'Edo Cta Jeeves Sept'!$J$12:$J$1003=$A$2)"),"MXN")</f>
        <v>MXN</v>
      </c>
      <c r="F12" s="17" t="str">
        <f ca="1">IFERROR(__xludf.DUMMYFUNCTION("FILTER('Edo Cta Jeeves Sept'!$J$12:$J$1003,'Edo Cta Jeeves Sept'!$J$12:$J$1003=$A$2)"),"Jose Maria Garcia Hernandez")</f>
        <v>Jose Maria Garcia Hernandez</v>
      </c>
      <c r="G12" s="17" t="str">
        <f ca="1">IFERROR(__xludf.DUMMYFUNCTION("FILTER('Edo Cta Jeeves Sept'!$K$12:$L$1003,'Edo Cta Jeeves Sept'!$J$12:$J$1003=$A$2)"),"GASOLINERIA ES 06254   HUIXQUILUCAN  MEX")</f>
        <v>GASOLINERIA ES 06254   HUIXQUILUCAN  MEX</v>
      </c>
      <c r="H12" s="17" t="str">
        <f ca="1">IFERROR(__xludf.DUMMYFUNCTION("""COMPUTED_VALUE"""),"Gasolineria Es Huixquilucan Mex")</f>
        <v>Gasolineria Es Huixquilucan Mex</v>
      </c>
      <c r="I12" s="17" t="str">
        <f ca="1">IFERROR(__xludf.DUMMYFUNCTION("IMPORTRANGE(""https://docs.google.com/spreadsheets/d/1k00Wlzrx5xV9V9Ju0ODkMBL8gsh2fh1iXH7FMJdS23k/edit#gid=1404531132"",""#9 Jose Maria!I12:K80"")"),"Sales")</f>
        <v>Sales</v>
      </c>
      <c r="J12" s="17" t="str">
        <f ca="1">IFERROR(__xludf.DUMMYFUNCTION("""COMPUTED_VALUE"""),"Vuelo Mty Grupo GI ")</f>
        <v xml:space="preserve">Vuelo Mty Grupo GI </v>
      </c>
      <c r="K12" s="17" t="str">
        <f ca="1">IFERROR(__xludf.DUMMYFUNCTION("""COMPUTED_VALUE"""),".")</f>
        <v>.</v>
      </c>
      <c r="L12" s="17"/>
      <c r="M12" s="17"/>
      <c r="N12" s="17"/>
      <c r="O12" s="17"/>
    </row>
    <row r="13" spans="1:15" ht="15.75" customHeight="1">
      <c r="A13" s="17" t="str">
        <f ca="1">IFERROR(__xludf.DUMMYFUNCTION("""COMPUTED_VALUE"""),"TRX1237")</f>
        <v>TRX1237</v>
      </c>
      <c r="B13" s="86" t="str">
        <f ca="1">IFERROR(__xludf.DUMMYFUNCTION("""COMPUTED_VALUE"""),"#9")</f>
        <v>#9</v>
      </c>
      <c r="C13" s="63">
        <f ca="1">IFERROR(__xludf.DUMMYFUNCTION("""COMPUTED_VALUE"""),46058.4166666666)</f>
        <v>46058.416666666599</v>
      </c>
      <c r="D13" s="65">
        <f ca="1">IFERROR(__xludf.DUMMYFUNCTION("""COMPUTED_VALUE"""),210)</f>
        <v>210</v>
      </c>
      <c r="E13" s="17" t="str">
        <f ca="1">IFERROR(__xludf.DUMMYFUNCTION("""COMPUTED_VALUE"""),"MXN")</f>
        <v>MXN</v>
      </c>
      <c r="F13" s="17" t="str">
        <f ca="1">IFERROR(__xludf.DUMMYFUNCTION("""COMPUTED_VALUE"""),"Jose Maria Garcia Hernandez")</f>
        <v>Jose Maria Garcia Hernandez</v>
      </c>
      <c r="G13" s="17" t="str">
        <f ca="1">IFERROR(__xludf.DUMMYFUNCTION("""COMPUTED_VALUE"""),"MERCADOPAGO *PASE      MIGUEL HIDALG MEX")</f>
        <v>MERCADOPAGO *PASE      MIGUEL HIDALG MEX</v>
      </c>
      <c r="H13" s="17" t="str">
        <f ca="1">IFERROR(__xludf.DUMMYFUNCTION("""COMPUTED_VALUE"""),"Mercadopago")</f>
        <v>Mercadopago</v>
      </c>
      <c r="I13" s="17" t="str">
        <f ca="1">IFERROR(__xludf.DUMMYFUNCTION("""COMPUTED_VALUE"""),"Sales")</f>
        <v>Sales</v>
      </c>
      <c r="J13" s="17" t="str">
        <f ca="1">IFERROR(__xludf.DUMMYFUNCTION("""COMPUTED_VALUE"""),"Comida 2KDC")</f>
        <v>Comida 2KDC</v>
      </c>
      <c r="K13" s="17" t="str">
        <f ca="1">IFERROR(__xludf.DUMMYFUNCTION("""COMPUTED_VALUE"""),".")</f>
        <v>.</v>
      </c>
      <c r="L13" s="17"/>
      <c r="M13" s="17"/>
      <c r="N13" s="17"/>
      <c r="O13" s="17"/>
    </row>
    <row r="14" spans="1:15" ht="15.75" customHeight="1">
      <c r="A14" s="17" t="str">
        <f ca="1">IFERROR(__xludf.DUMMYFUNCTION("""COMPUTED_VALUE"""),"TRX1346")</f>
        <v>TRX1346</v>
      </c>
      <c r="B14" s="86" t="str">
        <f ca="1">IFERROR(__xludf.DUMMYFUNCTION("""COMPUTED_VALUE"""),"#9")</f>
        <v>#9</v>
      </c>
      <c r="C14" s="63">
        <f ca="1">IFERROR(__xludf.DUMMYFUNCTION("""COMPUTED_VALUE"""),46060.4166666666)</f>
        <v>46060.416666666599</v>
      </c>
      <c r="D14" s="65">
        <f ca="1">IFERROR(__xludf.DUMMYFUNCTION("""COMPUTED_VALUE"""),510)</f>
        <v>510</v>
      </c>
      <c r="E14" s="17" t="str">
        <f ca="1">IFERROR(__xludf.DUMMYFUNCTION("""COMPUTED_VALUE"""),"MXN")</f>
        <v>MXN</v>
      </c>
      <c r="F14" s="17" t="str">
        <f ca="1">IFERROR(__xludf.DUMMYFUNCTION("""COMPUTED_VALUE"""),"Jose Maria Garcia Hernandez")</f>
        <v>Jose Maria Garcia Hernandez</v>
      </c>
      <c r="G14" s="17" t="str">
        <f ca="1">IFERROR(__xludf.DUMMYFUNCTION("""COMPUTED_VALUE"""),"MERCADOPAGO *PASE      MIGUEL HIDALG MEX")</f>
        <v>MERCADOPAGO *PASE      MIGUEL HIDALG MEX</v>
      </c>
      <c r="H14" s="17" t="str">
        <f ca="1">IFERROR(__xludf.DUMMYFUNCTION("""COMPUTED_VALUE"""),"Mercadopago")</f>
        <v>Mercadopago</v>
      </c>
      <c r="I14" s="17" t="str">
        <f ca="1">IFERROR(__xludf.DUMMYFUNCTION("""COMPUTED_VALUE"""),"Sales")</f>
        <v>Sales</v>
      </c>
      <c r="J14" s="17" t="str">
        <f ca="1">IFERROR(__xludf.DUMMYFUNCTION("""COMPUTED_VALUE"""),"TAG ")</f>
        <v xml:space="preserve">TAG </v>
      </c>
      <c r="K14" s="17" t="str">
        <f ca="1">IFERROR(__xludf.DUMMYFUNCTION("""COMPUTED_VALUE"""),".")</f>
        <v>.</v>
      </c>
      <c r="L14" s="17"/>
      <c r="M14" s="17"/>
      <c r="N14" s="17"/>
      <c r="O14" s="17"/>
    </row>
    <row r="15" spans="1:15" ht="15.75" customHeight="1">
      <c r="A15" s="17" t="str">
        <f ca="1">IFERROR(__xludf.DUMMYFUNCTION("""COMPUTED_VALUE"""),"TRX1435")</f>
        <v>TRX1435</v>
      </c>
      <c r="B15" s="86" t="str">
        <f ca="1">IFERROR(__xludf.DUMMYFUNCTION("""COMPUTED_VALUE"""),"#9")</f>
        <v>#9</v>
      </c>
      <c r="C15" s="63">
        <f ca="1">IFERROR(__xludf.DUMMYFUNCTION("""COMPUTED_VALUE"""),46063.4166666666)</f>
        <v>46063.416666666599</v>
      </c>
      <c r="D15" s="65">
        <f ca="1">IFERROR(__xludf.DUMMYFUNCTION("""COMPUTED_VALUE"""),810)</f>
        <v>810</v>
      </c>
      <c r="E15" s="17" t="str">
        <f ca="1">IFERROR(__xludf.DUMMYFUNCTION("""COMPUTED_VALUE"""),"MXN")</f>
        <v>MXN</v>
      </c>
      <c r="F15" s="17" t="str">
        <f ca="1">IFERROR(__xludf.DUMMYFUNCTION("""COMPUTED_VALUE"""),"Jose Maria Garcia Hernandez")</f>
        <v>Jose Maria Garcia Hernandez</v>
      </c>
      <c r="G15" s="17" t="str">
        <f ca="1">IFERROR(__xludf.DUMMYFUNCTION("""COMPUTED_VALUE"""),"MERCADOPAGO *PASE      MIGUEL HIDALG MEX")</f>
        <v>MERCADOPAGO *PASE      MIGUEL HIDALG MEX</v>
      </c>
      <c r="H15" s="17" t="str">
        <f ca="1">IFERROR(__xludf.DUMMYFUNCTION("""COMPUTED_VALUE"""),"Mercadopago")</f>
        <v>Mercadopago</v>
      </c>
      <c r="I15" s="17" t="str">
        <f ca="1">IFERROR(__xludf.DUMMYFUNCTION("""COMPUTED_VALUE"""),"Sales")</f>
        <v>Sales</v>
      </c>
      <c r="J15" s="17" t="str">
        <f ca="1">IFERROR(__xludf.DUMMYFUNCTION("""COMPUTED_VALUE"""),"TAXI MTY")</f>
        <v>TAXI MTY</v>
      </c>
      <c r="K15" s="17" t="str">
        <f ca="1">IFERROR(__xludf.DUMMYFUNCTION("""COMPUTED_VALUE"""),".")</f>
        <v>.</v>
      </c>
      <c r="L15" s="17"/>
      <c r="M15" s="17"/>
      <c r="N15" s="17"/>
      <c r="O15" s="17"/>
    </row>
    <row r="16" spans="1:15" ht="15.75" customHeight="1">
      <c r="A16" s="17" t="str">
        <f ca="1">IFERROR(__xludf.DUMMYFUNCTION("""COMPUTED_VALUE"""),"TRX1018")</f>
        <v>TRX1018</v>
      </c>
      <c r="B16" s="86" t="str">
        <f ca="1">IFERROR(__xludf.DUMMYFUNCTION("""COMPUTED_VALUE"""),"#9")</f>
        <v>#9</v>
      </c>
      <c r="C16" s="63">
        <f ca="1">IFERROR(__xludf.DUMMYFUNCTION("""COMPUTED_VALUE"""),46067.4166666666)</f>
        <v>46067.416666666599</v>
      </c>
      <c r="D16" s="65">
        <f ca="1">IFERROR(__xludf.DUMMYFUNCTION("""COMPUTED_VALUE"""),3777)</f>
        <v>3777</v>
      </c>
      <c r="E16" s="17" t="str">
        <f ca="1">IFERROR(__xludf.DUMMYFUNCTION("""COMPUTED_VALUE"""),"MXN")</f>
        <v>MXN</v>
      </c>
      <c r="F16" s="17" t="str">
        <f ca="1">IFERROR(__xludf.DUMMYFUNCTION("""COMPUTED_VALUE"""),"Jose Maria Garcia Hernandez")</f>
        <v>Jose Maria Garcia Hernandez</v>
      </c>
      <c r="G16" s="17" t="str">
        <f ca="1">IFERROR(__xludf.DUMMYFUNCTION("""COMPUTED_VALUE"""),"FISHERS HOUSE SATELITE NAUCALPAN DE  MEX")</f>
        <v>FISHERS HOUSE SATELITE NAUCALPAN DE  MEX</v>
      </c>
      <c r="H16" s="17" t="str">
        <f ca="1">IFERROR(__xludf.DUMMYFUNCTION("""COMPUTED_VALUE"""),"Fishers House Satelite Naucalpan De Mex")</f>
        <v>Fishers House Satelite Naucalpan De Mex</v>
      </c>
      <c r="I16" s="17" t="str">
        <f ca="1">IFERROR(__xludf.DUMMYFUNCTION("""COMPUTED_VALUE"""),"Sales")</f>
        <v>Sales</v>
      </c>
      <c r="J16" s="17" t="str">
        <f ca="1">IFERROR(__xludf.DUMMYFUNCTION("""COMPUTED_VALUE"""),"Desayuno con Fabian de grupo GI")</f>
        <v>Desayuno con Fabian de grupo GI</v>
      </c>
      <c r="K16" s="17" t="str">
        <f ca="1">IFERROR(__xludf.DUMMYFUNCTION("""COMPUTED_VALUE"""),".")</f>
        <v>.</v>
      </c>
      <c r="L16" s="17"/>
      <c r="M16" s="17"/>
      <c r="N16" s="17"/>
      <c r="O16" s="17"/>
    </row>
    <row r="17" spans="1:15" ht="15.75" customHeight="1">
      <c r="A17" s="17" t="str">
        <f ca="1">IFERROR(__xludf.DUMMYFUNCTION("""COMPUTED_VALUE"""),"TRX1166")</f>
        <v>TRX1166</v>
      </c>
      <c r="B17" s="86" t="str">
        <f ca="1">IFERROR(__xludf.DUMMYFUNCTION("""COMPUTED_VALUE"""),"#9")</f>
        <v>#9</v>
      </c>
      <c r="C17" s="63">
        <f ca="1">IFERROR(__xludf.DUMMYFUNCTION("""COMPUTED_VALUE"""),46072.4173611111)</f>
        <v>46072.417361111096</v>
      </c>
      <c r="D17" s="65">
        <f ca="1">IFERROR(__xludf.DUMMYFUNCTION("""COMPUTED_VALUE"""),500)</f>
        <v>500</v>
      </c>
      <c r="E17" s="17" t="str">
        <f ca="1">IFERROR(__xludf.DUMMYFUNCTION("""COMPUTED_VALUE"""),"MXN")</f>
        <v>MXN</v>
      </c>
      <c r="F17" s="17" t="str">
        <f ca="1">IFERROR(__xludf.DUMMYFUNCTION("""COMPUTED_VALUE"""),"Jose Maria Garcia Hernandez")</f>
        <v>Jose Maria Garcia Hernandez</v>
      </c>
      <c r="G17" s="17" t="str">
        <f ca="1">IFERROR(__xludf.DUMMYFUNCTION("""COMPUTED_VALUE"""),"GASOL VALERO LOMALINDA CIUDAD DE MEX MEX")</f>
        <v>GASOL VALERO LOMALINDA CIUDAD DE MEX MEX</v>
      </c>
      <c r="H17" s="17" t="str">
        <f ca="1">IFERROR(__xludf.DUMMYFUNCTION("""COMPUTED_VALUE"""),"Gasol Valero Lomalinda Ciudad De Mex Mex")</f>
        <v>Gasol Valero Lomalinda Ciudad De Mex Mex</v>
      </c>
      <c r="I17" s="17" t="str">
        <f ca="1">IFERROR(__xludf.DUMMYFUNCTION("""COMPUTED_VALUE"""),"Sales")</f>
        <v>Sales</v>
      </c>
      <c r="J17" s="17" t="str">
        <f ca="1">IFERROR(__xludf.DUMMYFUNCTION("""COMPUTED_VALUE"""),"Hotel mty ")</f>
        <v xml:space="preserve">Hotel mty </v>
      </c>
      <c r="K17" s="17" t="str">
        <f ca="1">IFERROR(__xludf.DUMMYFUNCTION("""COMPUTED_VALUE"""),".")</f>
        <v>.</v>
      </c>
      <c r="L17" s="17"/>
      <c r="M17" s="17"/>
      <c r="N17" s="17"/>
      <c r="O17" s="17"/>
    </row>
    <row r="18" spans="1:15" ht="15.75" customHeight="1">
      <c r="A18" s="17" t="str">
        <f ca="1">IFERROR(__xludf.DUMMYFUNCTION("""COMPUTED_VALUE"""),"TRX1070")</f>
        <v>TRX1070</v>
      </c>
      <c r="B18" s="86" t="str">
        <f ca="1">IFERROR(__xludf.DUMMYFUNCTION("""COMPUTED_VALUE"""),"#9")</f>
        <v>#9</v>
      </c>
      <c r="C18" s="63">
        <f ca="1">IFERROR(__xludf.DUMMYFUNCTION("""COMPUTED_VALUE"""),46072.4173611111)</f>
        <v>46072.417361111096</v>
      </c>
      <c r="D18" s="65">
        <f ca="1">IFERROR(__xludf.DUMMYFUNCTION("""COMPUTED_VALUE"""),1432.9)</f>
        <v>1432.9</v>
      </c>
      <c r="E18" s="17" t="str">
        <f ca="1">IFERROR(__xludf.DUMMYFUNCTION("""COMPUTED_VALUE"""),"MXN")</f>
        <v>MXN</v>
      </c>
      <c r="F18" s="17" t="str">
        <f ca="1">IFERROR(__xludf.DUMMYFUNCTION("""COMPUTED_VALUE"""),"Jose Maria Garcia Hernandez")</f>
        <v>Jose Maria Garcia Hernandez</v>
      </c>
      <c r="G18" s="17" t="str">
        <f ca="1">IFERROR(__xludf.DUMMYFUNCTION("""COMPUTED_VALUE"""),"REST SLIDERS           CIUDAD DE MEX MEX")</f>
        <v>REST SLIDERS           CIUDAD DE MEX MEX</v>
      </c>
      <c r="H18" s="17" t="str">
        <f ca="1">IFERROR(__xludf.DUMMYFUNCTION("""COMPUTED_VALUE"""),"Rest Sliders Ciudad De Mex Mex")</f>
        <v>Rest Sliders Ciudad De Mex Mex</v>
      </c>
      <c r="I18" s="17" t="str">
        <f ca="1">IFERROR(__xludf.DUMMYFUNCTION("""COMPUTED_VALUE"""),"Sales")</f>
        <v>Sales</v>
      </c>
      <c r="J18" s="17" t="str">
        <f ca="1">IFERROR(__xludf.DUMMYFUNCTION("""COMPUTED_VALUE"""),"Uber")</f>
        <v>Uber</v>
      </c>
      <c r="K18" s="17" t="str">
        <f ca="1">IFERROR(__xludf.DUMMYFUNCTION("""COMPUTED_VALUE"""),".")</f>
        <v>.</v>
      </c>
      <c r="L18" s="17"/>
      <c r="M18" s="17"/>
      <c r="N18" s="17"/>
      <c r="O18" s="17"/>
    </row>
    <row r="19" spans="1:15" ht="15.75" customHeight="1">
      <c r="A19" s="17" t="str">
        <f ca="1">IFERROR(__xludf.DUMMYFUNCTION("""COMPUTED_VALUE"""),"TRX1413")</f>
        <v>TRX1413</v>
      </c>
      <c r="B19" s="86" t="str">
        <f ca="1">IFERROR(__xludf.DUMMYFUNCTION("""COMPUTED_VALUE"""),"#9")</f>
        <v>#9</v>
      </c>
      <c r="C19" s="63">
        <f ca="1">IFERROR(__xludf.DUMMYFUNCTION("""COMPUTED_VALUE"""),46074.4166666666)</f>
        <v>46074.416666666599</v>
      </c>
      <c r="D19" s="65">
        <f ca="1">IFERROR(__xludf.DUMMYFUNCTION("""COMPUTED_VALUE"""),1555.95)</f>
        <v>1555.95</v>
      </c>
      <c r="E19" s="17" t="str">
        <f ca="1">IFERROR(__xludf.DUMMYFUNCTION("""COMPUTED_VALUE"""),"MXN")</f>
        <v>MXN</v>
      </c>
      <c r="F19" s="17" t="str">
        <f ca="1">IFERROR(__xludf.DUMMYFUNCTION("""COMPUTED_VALUE"""),"Jose Maria Garcia Hernandez")</f>
        <v>Jose Maria Garcia Hernandez</v>
      </c>
      <c r="G19" s="17" t="str">
        <f ca="1">IFERROR(__xludf.DUMMYFUNCTION("""COMPUTED_VALUE"""),"LE PAIN QUOTIDIEN      CIUDAD DE MEX MEX")</f>
        <v>LE PAIN QUOTIDIEN      CIUDAD DE MEX MEX</v>
      </c>
      <c r="H19" s="17" t="str">
        <f ca="1">IFERROR(__xludf.DUMMYFUNCTION("""COMPUTED_VALUE"""),"Le Pain Quotidien")</f>
        <v>Le Pain Quotidien</v>
      </c>
      <c r="I19" s="17" t="str">
        <f ca="1">IFERROR(__xludf.DUMMYFUNCTION("""COMPUTED_VALUE"""),"Sales")</f>
        <v>Sales</v>
      </c>
      <c r="J19" s="17" t="str">
        <f ca="1">IFERROR(__xludf.DUMMYFUNCTION("""COMPUTED_VALUE"""),"Comida Mty viatico")</f>
        <v>Comida Mty viatico</v>
      </c>
      <c r="K19" s="17" t="str">
        <f ca="1">IFERROR(__xludf.DUMMYFUNCTION("""COMPUTED_VALUE"""),".")</f>
        <v>.</v>
      </c>
      <c r="L19" s="17"/>
      <c r="M19" s="17"/>
      <c r="N19" s="17"/>
      <c r="O19" s="17"/>
    </row>
    <row r="20" spans="1:15" ht="12.5">
      <c r="A20" s="17" t="str">
        <f ca="1">IFERROR(__xludf.DUMMYFUNCTION("""COMPUTED_VALUE"""),"TRX1132")</f>
        <v>TRX1132</v>
      </c>
      <c r="B20" s="86" t="str">
        <f ca="1">IFERROR(__xludf.DUMMYFUNCTION("""COMPUTED_VALUE"""),"#9")</f>
        <v>#9</v>
      </c>
      <c r="C20" s="63">
        <f ca="1">IFERROR(__xludf.DUMMYFUNCTION("""COMPUTED_VALUE"""),46078.4166666666)</f>
        <v>46078.416666666599</v>
      </c>
      <c r="D20" s="65">
        <f ca="1">IFERROR(__xludf.DUMMYFUNCTION("""COMPUTED_VALUE"""),500)</f>
        <v>500</v>
      </c>
      <c r="E20" s="17" t="str">
        <f ca="1">IFERROR(__xludf.DUMMYFUNCTION("""COMPUTED_VALUE"""),"MXN")</f>
        <v>MXN</v>
      </c>
      <c r="F20" s="17" t="str">
        <f ca="1">IFERROR(__xludf.DUMMYFUNCTION("""COMPUTED_VALUE"""),"Jose Maria Garcia Hernandez")</f>
        <v>Jose Maria Garcia Hernandez</v>
      </c>
      <c r="G20" s="17" t="str">
        <f ca="1">IFERROR(__xludf.DUMMYFUNCTION("""COMPUTED_VALUE"""),"GASOL VEVEGA           HUIXQUILUCAN  MEX")</f>
        <v>GASOL VEVEGA           HUIXQUILUCAN  MEX</v>
      </c>
      <c r="H20" s="17" t="str">
        <f ca="1">IFERROR(__xludf.DUMMYFUNCTION("""COMPUTED_VALUE"""),"Gasol Vevega Huixquilucan Mex")</f>
        <v>Gasol Vevega Huixquilucan Mex</v>
      </c>
      <c r="I20" s="17" t="str">
        <f ca="1">IFERROR(__xludf.DUMMYFUNCTION("""COMPUTED_VALUE"""),"Sales")</f>
        <v>Sales</v>
      </c>
      <c r="J20" s="17" t="str">
        <f ca="1">IFERROR(__xludf.DUMMYFUNCTION("""COMPUTED_VALUE"""),"uber")</f>
        <v>uber</v>
      </c>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IFERROR(__xludf.DUMMYFUNCTION("""COMPUTED_VALUE"""),"uber")</f>
        <v>uber</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IFERROR(__xludf.DUMMYFUNCTION("""COMPUTED_VALUE"""),"Comida Mty Viatico")</f>
        <v>Comida Mty Viatico</v>
      </c>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IFERROR(__xludf.DUMMYFUNCTION("""COMPUTED_VALUE"""),"Sales")</f>
        <v>Sales</v>
      </c>
      <c r="J23" s="17" t="str">
        <f ca="1">IFERROR(__xludf.DUMMYFUNCTION("""COMPUTED_VALUE"""),"Estacionamiento Aeropuerto ")</f>
        <v xml:space="preserve">Estacionamiento Aeropuerto </v>
      </c>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IFERROR(__xludf.DUMMYFUNCTION("""COMPUTED_VALUE"""),"TAG ")</f>
        <v xml:space="preserve">TAG </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IFERROR(__xludf.DUMMYFUNCTION("""COMPUTED_VALUE"""),"Sales")</f>
        <v>Sales</v>
      </c>
      <c r="J25" s="17" t="str">
        <f ca="1">IFERROR(__xludf.DUMMYFUNCTION("""COMPUTED_VALUE"""),"Comida Andres Monroy de la Moderna ")</f>
        <v xml:space="preserve">Comida Andres Monroy de la Moderna </v>
      </c>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IFERROR(__xludf.DUMMYFUNCTION("""COMPUTED_VALUE"""),"Sales")</f>
        <v>Sales</v>
      </c>
      <c r="J26" s="17" t="str">
        <f ca="1">IFERROR(__xludf.DUMMYFUNCTION("""COMPUTED_VALUE"""),"Gasolina ")</f>
        <v xml:space="preserve">Gasolina </v>
      </c>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IFERROR(__xludf.DUMMYFUNCTION("""COMPUTED_VALUE"""),"Vuelo Mty HyA")</f>
        <v>Vuelo Mty HyA</v>
      </c>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IFERROR(__xludf.DUMMYFUNCTION("""COMPUTED_VALUE"""),"Uber")</f>
        <v>Uber</v>
      </c>
      <c r="K28" s="17" t="str">
        <f ca="1">IFERROR(__xludf.DUMMYFUNCTION("""COMPUTED_VALUE"""),".")</f>
        <v>.</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IFERROR(__xludf.DUMMYFUNCTION("""COMPUTED_VALUE"""),"TAXI MTY")</f>
        <v>TAXI MTY</v>
      </c>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IFERROR(__xludf.DUMMYFUNCTION("""COMPUTED_VALUE"""),"Sales")</f>
        <v>Sales</v>
      </c>
      <c r="J30" s="17" t="str">
        <f ca="1">IFERROR(__xludf.DUMMYFUNCTION("""COMPUTED_VALUE"""),"Caseta")</f>
        <v>Caseta</v>
      </c>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IFERROR(__xludf.DUMMYFUNCTION("""COMPUTED_VALUE"""),"Hotel Mty ")</f>
        <v xml:space="preserve">Hotel Mty </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IFERROR(__xludf.DUMMYFUNCTION("""COMPUTED_VALUE"""),"Desayuno ")</f>
        <v xml:space="preserve">Desayuno </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IFERROR(__xludf.DUMMYFUNCTION("""COMPUTED_VALUE"""),"TAXI MTY")</f>
        <v>TAXI MTY</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IFERROR(__xludf.DUMMYFUNCTION("""COMPUTED_VALUE"""),"uber")</f>
        <v>uber</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IFERROR(__xludf.DUMMYFUNCTION("""COMPUTED_VALUE"""),"Vuelo HMO Contruplan ")</f>
        <v xml:space="preserve">Vuelo HMO Contruplan </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IFERROR(__xludf.DUMMYFUNCTION("""COMPUTED_VALUE"""),"Tag ")</f>
        <v xml:space="preserve">Tag </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IFERROR(__xludf.DUMMYFUNCTION("""COMPUTED_VALUE"""),"Gasolina ")</f>
        <v xml:space="preserve">Gasolina </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IFERROR(__xludf.DUMMYFUNCTION("""COMPUTED_VALUE"""),"Desayuno Turia")</f>
        <v>Desayuno Turia</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IFERROR(__xludf.DUMMYFUNCTION("""COMPUTED_VALUE"""),"Uber")</f>
        <v>Uber</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IFERROR(__xludf.DUMMYFUNCTION("""COMPUTED_VALUE"""),"Hotel HMO")</f>
        <v>Hotel HMO</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t="str">
        <f ca="1">IFERROR(__xludf.DUMMYFUNCTION("""COMPUTED_VALUE"""),"Cena Hotel HMO")</f>
        <v>Cena Hotel HMO</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IFERROR(__xludf.DUMMYFUNCTION("""COMPUTED_VALUE"""),"Uber ")</f>
        <v xml:space="preserve">Uber </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t="str">
        <f ca="1">IFERROR(__xludf.DUMMYFUNCTION("""COMPUTED_VALUE"""),"Uber")</f>
        <v>Uber</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t="str">
        <f ca="1">IFERROR(__xludf.DUMMYFUNCTION("""COMPUTED_VALUE"""),"Desayuno HMO")</f>
        <v>Desayuno HMO</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t="str">
        <f ca="1">IFERROR(__xludf.DUMMYFUNCTION("""COMPUTED_VALUE"""),"Uber ")</f>
        <v xml:space="preserve">Uber </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IFERROR(__xludf.DUMMYFUNCTION("""COMPUTED_VALUE"""),"Sales")</f>
        <v>Sales</v>
      </c>
      <c r="J48" s="17"/>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IFERROR(__xludf.DUMMYFUNCTION("""COMPUTED_VALUE"""),"Sales")</f>
        <v>Sales</v>
      </c>
      <c r="J49" s="17"/>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IFERROR(__xludf.DUMMYFUNCTION("""COMPUTED_VALUE"""),"Sales")</f>
        <v>Sales</v>
      </c>
      <c r="J50" s="17"/>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IFERROR(__xludf.DUMMYFUNCTION("""COMPUTED_VALUE"""),"Sales")</f>
        <v>Sales</v>
      </c>
      <c r="J51" s="17"/>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IFERROR(__xludf.DUMMYFUNCTION("""COMPUTED_VALUE"""),"Sales")</f>
        <v>Sales</v>
      </c>
      <c r="J52" s="17"/>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IFERROR(__xludf.DUMMYFUNCTION("""COMPUTED_VALUE"""),"Sales")</f>
        <v>Sales</v>
      </c>
      <c r="J53" s="17"/>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IFERROR(__xludf.DUMMYFUNCTION("""COMPUTED_VALUE"""),"Sales")</f>
        <v>Sales</v>
      </c>
      <c r="J54" s="17"/>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IFERROR(__xludf.DUMMYFUNCTION("""COMPUTED_VALUE"""),"Sales")</f>
        <v>Sales</v>
      </c>
      <c r="J55" s="17"/>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IFERROR(__xludf.DUMMYFUNCTION("""COMPUTED_VALUE"""),"Sales")</f>
        <v>Sales</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IFERROR(__xludf.DUMMYFUNCTION("""COMPUTED_VALUE"""),"Sales")</f>
        <v>Sales</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IFERROR(__xludf.DUMMYFUNCTION("""COMPUTED_VALUE"""),"Sales")</f>
        <v>Sales</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IFERROR(__xludf.DUMMYFUNCTION("""COMPUTED_VALUE"""),"Sales")</f>
        <v>Sales</v>
      </c>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F6:G6"/>
    <mergeCell ref="F7:G7"/>
    <mergeCell ref="F8:G8"/>
    <mergeCell ref="B2:D2"/>
    <mergeCell ref="F2:G2"/>
    <mergeCell ref="F3:G3"/>
    <mergeCell ref="F4:G4"/>
    <mergeCell ref="F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6.08984375" customWidth="1"/>
    <col min="3" max="3" width="12.90625" customWidth="1"/>
    <col min="4" max="4" width="6" customWidth="1"/>
    <col min="5" max="5" width="11.6328125" customWidth="1"/>
    <col min="6" max="6" width="13.08984375" customWidth="1"/>
    <col min="7" max="7" width="30.26953125" customWidth="1"/>
    <col min="8" max="8" width="32.6328125" customWidth="1"/>
    <col min="9" max="9" width="20" customWidth="1"/>
    <col min="10" max="10" width="50.26953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66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7" t="s">
        <v>0</v>
      </c>
      <c r="B11" s="77" t="s">
        <v>1</v>
      </c>
      <c r="C11" s="92" t="s">
        <v>2</v>
      </c>
      <c r="D11" s="93" t="s">
        <v>3</v>
      </c>
      <c r="E11" s="94" t="s">
        <v>4</v>
      </c>
      <c r="F11" s="95" t="s">
        <v>5</v>
      </c>
      <c r="G11" s="96" t="s">
        <v>6</v>
      </c>
      <c r="H11" s="95" t="s">
        <v>7</v>
      </c>
      <c r="I11" s="97" t="s">
        <v>8</v>
      </c>
      <c r="J11" s="35" t="s">
        <v>9</v>
      </c>
      <c r="K11" s="35" t="s">
        <v>10</v>
      </c>
      <c r="L11" s="17"/>
      <c r="M11" s="17"/>
      <c r="N11" s="75"/>
      <c r="O11" s="75"/>
    </row>
    <row r="12" spans="1:15" ht="15.75" customHeight="1">
      <c r="A12" s="24" t="str">
        <f ca="1">IFERROR(__xludf.DUMMYFUNCTION("FILTER('Edo Cta Jeeves Sept'!$A$12:$C$1003,'Edo Cta Jeeves Sept'!$J$12:$J$1003=$A$2)"),"TRX1627")</f>
        <v>TRX1627</v>
      </c>
      <c r="B12" s="86" t="str">
        <f ca="1">IFERROR(__xludf.DUMMYFUNCTION("""COMPUTED_VALUE"""),"#13")</f>
        <v>#13</v>
      </c>
      <c r="C12" s="63">
        <f ca="1">IFERROR(__xludf.DUMMYFUNCTION("""COMPUTED_VALUE"""),46060.4166666666)</f>
        <v>46060.416666666599</v>
      </c>
      <c r="D12" s="65">
        <f ca="1">IFERROR(__xludf.DUMMYFUNCTION("FILTER('Edo Cta Jeeves Sept'!$G$12:$G$1003,'Edo Cta Jeeves Sept'!$J$12:$J$1003=$A$2)"),99.93)</f>
        <v>99.93</v>
      </c>
      <c r="E12" s="17" t="str">
        <f ca="1">IFERROR(__xludf.DUMMYFUNCTION("FILTER('Edo Cta Jeeves Sept'!$I$12:$I$1003,'Edo Cta Jeeves Sept'!$J$12:$J$1003=$A$2)"),"MXN")</f>
        <v>MXN</v>
      </c>
      <c r="F12" s="17" t="str">
        <f ca="1">IFERROR(__xludf.DUMMYFUNCTION("FILTER('Edo Cta Jeeves Sept'!$J$12:$J$1003,'Edo Cta Jeeves Sept'!$J$12:$J$1003=$A$2)"),"Miguel De Lascurain")</f>
        <v>Miguel De Lascurain</v>
      </c>
      <c r="G12" s="17" t="str">
        <f ca="1">IFERROR(__xludf.DUMMYFUNCTION("FILTER('Edo Cta Jeeves Sept'!$K$12:$L$1003,'Edo Cta Jeeves Sept'!$J$12:$J$1003=$A$2)"),"UBER *TRIP HELP.UBER.C CMX           MEX")</f>
        <v>UBER *TRIP HELP.UBER.C CMX           MEX</v>
      </c>
      <c r="H12" s="17" t="str">
        <f ca="1">IFERROR(__xludf.DUMMYFUNCTION("""COMPUTED_VALUE"""),"Uber")</f>
        <v>Uber</v>
      </c>
      <c r="I12" s="17" t="str">
        <f ca="1">IFERROR(__xludf.DUMMYFUNCTION("IMPORTRANGE(""https://docs.google.com/spreadsheets/d/1UlFEOrE1rV0PC5eXTnAnjuhLeVl7w9duJVLofK1_zMM/edit#gid=1404531132"",""#13 Miguel!I12:K80"")"),"Sales")</f>
        <v>Sales</v>
      </c>
      <c r="J12" s="17" t="str">
        <f ca="1">IFERROR(__xludf.DUMMYFUNCTION("""COMPUTED_VALUE"""),"Update de casetas: ida hacia comida Onest")</f>
        <v>Update de casetas: ida hacia comida Onest</v>
      </c>
      <c r="K12" s="17" t="str">
        <f ca="1">IFERROR(__xludf.DUMMYFUNCTION("""COMPUTED_VALUE"""),"NA")</f>
        <v>NA</v>
      </c>
      <c r="L12" s="17"/>
      <c r="M12" s="17"/>
      <c r="N12" s="17"/>
      <c r="O12" s="17"/>
    </row>
    <row r="13" spans="1:15" ht="15.75" customHeight="1">
      <c r="A13" s="17" t="str">
        <f ca="1">IFERROR(__xludf.DUMMYFUNCTION("""COMPUTED_VALUE"""),"TRX1801")</f>
        <v>TRX1801</v>
      </c>
      <c r="B13" s="86" t="str">
        <f ca="1">IFERROR(__xludf.DUMMYFUNCTION("""COMPUTED_VALUE"""),"#13")</f>
        <v>#13</v>
      </c>
      <c r="C13" s="63">
        <f ca="1">IFERROR(__xludf.DUMMYFUNCTION("""COMPUTED_VALUE"""),46060.4166666666)</f>
        <v>46060.416666666599</v>
      </c>
      <c r="D13" s="65">
        <f ca="1">IFERROR(__xludf.DUMMYFUNCTION("""COMPUTED_VALUE"""),60.13)</f>
        <v>60.13</v>
      </c>
      <c r="E13" s="17" t="str">
        <f ca="1">IFERROR(__xludf.DUMMYFUNCTION("""COMPUTED_VALUE"""),"MXN")</f>
        <v>MXN</v>
      </c>
      <c r="F13" s="17" t="str">
        <f ca="1">IFERROR(__xludf.DUMMYFUNCTION("""COMPUTED_VALUE"""),"Miguel De Lascurain")</f>
        <v>Miguel De Lascurain</v>
      </c>
      <c r="G13" s="17" t="str">
        <f ca="1">IFERROR(__xludf.DUMMYFUNCTION("""COMPUTED_VALUE"""),"UBER *TRIP HELP.UBER.C CMX           MEX")</f>
        <v>UBER *TRIP HELP.UBER.C CMX           MEX</v>
      </c>
      <c r="H13" s="17" t="str">
        <f ca="1">IFERROR(__xludf.DUMMYFUNCTION("""COMPUTED_VALUE"""),"Uber")</f>
        <v>Uber</v>
      </c>
      <c r="I13" s="17" t="str">
        <f ca="1">IFERROR(__xludf.DUMMYFUNCTION("""COMPUTED_VALUE"""),"Sales")</f>
        <v>Sales</v>
      </c>
      <c r="J13" s="17" t="str">
        <f ca="1">IFERROR(__xludf.DUMMYFUNCTION("""COMPUTED_VALUE"""),"Update de casetas: regreso desde comida Onest")</f>
        <v>Update de casetas: regreso desde comida Onest</v>
      </c>
      <c r="K13" s="17" t="str">
        <f ca="1">IFERROR(__xludf.DUMMYFUNCTION("""COMPUTED_VALUE"""),"NA")</f>
        <v>NA</v>
      </c>
      <c r="L13" s="17"/>
      <c r="M13" s="17"/>
      <c r="N13" s="17"/>
      <c r="O13" s="17"/>
    </row>
    <row r="14" spans="1:15" ht="15.75" customHeight="1">
      <c r="A14" s="17" t="str">
        <f ca="1">IFERROR(__xludf.DUMMYFUNCTION("""COMPUTED_VALUE"""),"TRX1290")</f>
        <v>TRX1290</v>
      </c>
      <c r="B14" s="86" t="str">
        <f ca="1">IFERROR(__xludf.DUMMYFUNCTION("""COMPUTED_VALUE"""),"#13")</f>
        <v>#13</v>
      </c>
      <c r="C14" s="63">
        <f ca="1">IFERROR(__xludf.DUMMYFUNCTION("""COMPUTED_VALUE"""),46066.4173611111)</f>
        <v>46066.417361111096</v>
      </c>
      <c r="D14" s="65">
        <f ca="1">IFERROR(__xludf.DUMMYFUNCTION("""COMPUTED_VALUE"""),1298.35)</f>
        <v>1298.3499999999999</v>
      </c>
      <c r="E14" s="17" t="str">
        <f ca="1">IFERROR(__xludf.DUMMYFUNCTION("""COMPUTED_VALUE"""),"MXN")</f>
        <v>MXN</v>
      </c>
      <c r="F14" s="17" t="str">
        <f ca="1">IFERROR(__xludf.DUMMYFUNCTION("""COMPUTED_VALUE"""),"Miguel De Lascurain")</f>
        <v>Miguel De Lascurain</v>
      </c>
      <c r="G14" s="17" t="str">
        <f ca="1">IFERROR(__xludf.DUMMYFUNCTION("""COMPUTED_VALUE"""),"REST MACA Y LOLO SA DE CIUDAD DE MEX MEX")</f>
        <v>REST MACA Y LOLO SA DE CIUDAD DE MEX MEX</v>
      </c>
      <c r="H14" s="17" t="str">
        <f ca="1">IFERROR(__xludf.DUMMYFUNCTION("""COMPUTED_VALUE"""),"Rest Maca Y Lolo Sa De Ciudad De Mex Mex")</f>
        <v>Rest Maca Y Lolo Sa De Ciudad De Mex Mex</v>
      </c>
      <c r="I14" s="17" t="str">
        <f ca="1">IFERROR(__xludf.DUMMYFUNCTION("""COMPUTED_VALUE"""),"Sales")</f>
        <v>Sales</v>
      </c>
      <c r="J14" s="17" t="str">
        <f ca="1">IFERROR(__xludf.DUMMYFUNCTION("""COMPUTED_VALUE"""),"Comida Cliente. Asistentes:
- Mariela Martínez (Gaya)
- Kenia Durán (Gaya)
- Miguel de Lascurain (Prima)
- Alfonso Bello (Prima)")</f>
        <v>Comida Cliente. Asistentes:
- Mariela Martínez (Gaya)
- Kenia Durán (Gaya)
- Miguel de Lascurain (Prima)
- Alfonso Bello (Prima)</v>
      </c>
      <c r="K14" s="17" t="str">
        <f ca="1">IFERROR(__xludf.DUMMYFUNCTION("""COMPUTED_VALUE"""),"8787B2CF-A15D-4633-8ACA-5D36673EEA82103181561770853649271")</f>
        <v>8787B2CF-A15D-4633-8ACA-5D36673EEA82103181561770853649271</v>
      </c>
      <c r="L14" s="17"/>
      <c r="M14" s="17"/>
      <c r="N14" s="17"/>
      <c r="O14" s="17"/>
    </row>
    <row r="15" spans="1:15" ht="15.75" customHeight="1">
      <c r="A15" s="17" t="str">
        <f ca="1">IFERROR(__xludf.DUMMYFUNCTION("""COMPUTED_VALUE"""),"TRX1187")</f>
        <v>TRX1187</v>
      </c>
      <c r="B15" s="86" t="str">
        <f ca="1">IFERROR(__xludf.DUMMYFUNCTION("""COMPUTED_VALUE"""),"#13")</f>
        <v>#13</v>
      </c>
      <c r="C15" s="63">
        <f ca="1">IFERROR(__xludf.DUMMYFUNCTION("""COMPUTED_VALUE"""),46067.4173611111)</f>
        <v>46067.417361111096</v>
      </c>
      <c r="D15" s="65">
        <f ca="1">IFERROR(__xludf.DUMMYFUNCTION("""COMPUTED_VALUE"""),1834.25)</f>
        <v>1834.25</v>
      </c>
      <c r="E15" s="17" t="str">
        <f ca="1">IFERROR(__xludf.DUMMYFUNCTION("""COMPUTED_VALUE"""),"MXN")</f>
        <v>MXN</v>
      </c>
      <c r="F15" s="17" t="str">
        <f ca="1">IFERROR(__xludf.DUMMYFUNCTION("""COMPUTED_VALUE"""),"Miguel De Lascurain")</f>
        <v>Miguel De Lascurain</v>
      </c>
      <c r="G15" s="17" t="str">
        <f ca="1">IFERROR(__xludf.DUMMYFUNCTION("""COMPUTED_VALUE"""),"REST ESTIATORIO NOSTOS CIUDAD DE MEX MEX")</f>
        <v>REST ESTIATORIO NOSTOS CIUDAD DE MEX MEX</v>
      </c>
      <c r="H15" s="17" t="str">
        <f ca="1">IFERROR(__xludf.DUMMYFUNCTION("""COMPUTED_VALUE"""),"Rest Estiatorio Nostos Ciudad De Mex Mex")</f>
        <v>Rest Estiatorio Nostos Ciudad De Mex Mex</v>
      </c>
      <c r="I15" s="17" t="str">
        <f ca="1">IFERROR(__xludf.DUMMYFUNCTION("""COMPUTED_VALUE"""),"Sales")</f>
        <v>Sales</v>
      </c>
      <c r="J15" s="17" t="str">
        <f ca="1">IFERROR(__xludf.DUMMYFUNCTION("""COMPUTED_VALUE"""),"Comida Cliente. Asistentes:
- Mariano García (Plexo)
- Miguel de Lascurain (Prima)")</f>
        <v>Comida Cliente. Asistentes:
- Mariano García (Plexo)
- Miguel de Lascurain (Prima)</v>
      </c>
      <c r="K15" s="17" t="str">
        <f ca="1">IFERROR(__xludf.DUMMYFUNCTION("""COMPUTED_VALUE"""),"18D35FF7-B120-4B07-8A58-A31600016077103297401771006817878")</f>
        <v>18D35FF7-B120-4B07-8A58-A31600016077103297401771006817878</v>
      </c>
      <c r="L15" s="17"/>
      <c r="M15" s="17"/>
      <c r="N15" s="17"/>
      <c r="O15" s="17"/>
    </row>
    <row r="16" spans="1:15" ht="15.75" customHeight="1">
      <c r="A16" s="17" t="str">
        <f ca="1">IFERROR(__xludf.DUMMYFUNCTION("""COMPUTED_VALUE"""),"TRX1558")</f>
        <v>TRX1558</v>
      </c>
      <c r="B16" s="86" t="str">
        <f ca="1">IFERROR(__xludf.DUMMYFUNCTION("""COMPUTED_VALUE"""),"#13")</f>
        <v>#13</v>
      </c>
      <c r="C16" s="63">
        <f ca="1">IFERROR(__xludf.DUMMYFUNCTION("""COMPUTED_VALUE"""),46071.4173611111)</f>
        <v>46071.417361111096</v>
      </c>
      <c r="D16" s="65">
        <f ca="1">IFERROR(__xludf.DUMMYFUNCTION("""COMPUTED_VALUE"""),3966)</f>
        <v>3966</v>
      </c>
      <c r="E16" s="17" t="str">
        <f ca="1">IFERROR(__xludf.DUMMYFUNCTION("""COMPUTED_VALUE"""),"MXN")</f>
        <v>MXN</v>
      </c>
      <c r="F16" s="17" t="str">
        <f ca="1">IFERROR(__xludf.DUMMYFUNCTION("""COMPUTED_VALUE"""),"Miguel De Lascurain")</f>
        <v>Miguel De Lascurain</v>
      </c>
      <c r="G16" s="17" t="str">
        <f ca="1">IFERROR(__xludf.DUMMYFUNCTION("""COMPUTED_VALUE"""),"REST CARMELA Y SAL     CIUDAD DE MEX MEX")</f>
        <v>REST CARMELA Y SAL     CIUDAD DE MEX MEX</v>
      </c>
      <c r="H16" s="17" t="str">
        <f ca="1">IFERROR(__xludf.DUMMYFUNCTION("""COMPUTED_VALUE"""),"Rest Carmela Y Sal Ciudad De Mex Mex")</f>
        <v>Rest Carmela Y Sal Ciudad De Mex Mex</v>
      </c>
      <c r="I16" s="17" t="str">
        <f ca="1">IFERROR(__xludf.DUMMYFUNCTION("""COMPUTED_VALUE"""),"Office expenses")</f>
        <v>Office expenses</v>
      </c>
      <c r="J16" s="17" t="str">
        <f ca="1">IFERROR(__xludf.DUMMYFUNCTION("""COMPUTED_VALUE"""),"Comida trimestral Engineering. Asistentes:
- Eduardo González
- Daniel Rojas
- Jorge Peña
- Tonancy Isidoro
- Ernesto Anaya
- Miguel de Lascurain")</f>
        <v>Comida trimestral Engineering. Asistentes:
- Eduardo González
- Daniel Rojas
- Jorge Peña
- Tonancy Isidoro
- Ernesto Anaya
- Miguel de Lascurain</v>
      </c>
      <c r="K16" s="17" t="str">
        <f ca="1">IFERROR(__xludf.DUMMYFUNCTION("""COMPUTED_VALUE"""),"84520D68-07C5-4274-B4CE-85FC8AA3612A103599061771628471541")</f>
        <v>84520D68-07C5-4274-B4CE-85FC8AA3612A103599061771628471541</v>
      </c>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O207"/>
  <sheetViews>
    <sheetView workbookViewId="0"/>
  </sheetViews>
  <sheetFormatPr baseColWidth="10" defaultColWidth="12.6328125" defaultRowHeight="15.75" customHeight="1"/>
  <cols>
    <col min="1" max="1" width="13.7265625" customWidth="1"/>
    <col min="2" max="2" width="6.26953125" customWidth="1"/>
    <col min="3" max="3" width="10.7265625" customWidth="1"/>
    <col min="4" max="4" width="6" customWidth="1"/>
    <col min="5" max="5" width="11.6328125" customWidth="1"/>
    <col min="6" max="6" width="10.08984375" customWidth="1"/>
    <col min="7" max="7" width="30.26953125" customWidth="1"/>
    <col min="8" max="8" width="29.6328125" customWidth="1"/>
    <col min="9" max="10" width="20.6328125"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1935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Sept'!$J$12:$J$1003=$A$2)"),"#N/A")</f>
        <v>#N/A</v>
      </c>
      <c r="B12" s="86"/>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c r="J12" s="17"/>
      <c r="K12" s="17"/>
      <c r="L12" s="17"/>
      <c r="M12" s="17"/>
      <c r="N12" s="17"/>
      <c r="O12" s="17"/>
    </row>
    <row r="13" spans="1:15" ht="15.75" customHeight="1">
      <c r="A13" s="17"/>
      <c r="B13" s="24"/>
      <c r="C13" s="24"/>
      <c r="D13" s="17"/>
      <c r="E13" s="17"/>
      <c r="F13" s="17"/>
      <c r="G13" s="17"/>
      <c r="H13" s="17"/>
      <c r="I13" s="17"/>
      <c r="J13" s="17"/>
      <c r="K13" s="17"/>
      <c r="L13" s="17"/>
      <c r="M13" s="17"/>
      <c r="N13" s="17"/>
      <c r="O13" s="17"/>
    </row>
    <row r="14" spans="1:15" ht="15.75" customHeight="1">
      <c r="A14" s="17"/>
      <c r="B14" s="24"/>
      <c r="C14" s="24"/>
      <c r="D14" s="17"/>
      <c r="E14" s="17"/>
      <c r="F14" s="17"/>
      <c r="G14" s="17"/>
      <c r="H14" s="17"/>
      <c r="I14" s="17"/>
      <c r="J14" s="17"/>
      <c r="K14" s="17"/>
      <c r="L14" s="17"/>
      <c r="M14" s="17"/>
      <c r="N14" s="17"/>
      <c r="O14" s="17"/>
    </row>
    <row r="15" spans="1:15" ht="15.75" customHeight="1">
      <c r="A15" s="17"/>
      <c r="B15" s="24"/>
      <c r="C15" s="24"/>
      <c r="D15" s="17"/>
      <c r="E15" s="17"/>
      <c r="F15" s="17"/>
      <c r="G15" s="17"/>
      <c r="H15" s="17"/>
      <c r="I15" s="17"/>
      <c r="J15" s="17"/>
      <c r="K15" s="17"/>
      <c r="L15" s="17"/>
      <c r="M15" s="17"/>
      <c r="N15" s="17"/>
      <c r="O15" s="17"/>
    </row>
    <row r="16" spans="1:15" ht="15.75" customHeight="1">
      <c r="A16" s="17"/>
      <c r="B16" s="24"/>
      <c r="C16" s="24"/>
      <c r="D16" s="17"/>
      <c r="E16" s="17"/>
      <c r="F16" s="17"/>
      <c r="G16" s="17"/>
      <c r="H16" s="17"/>
      <c r="I16" s="17"/>
      <c r="J16" s="17"/>
      <c r="K16" s="17"/>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O207"/>
  <sheetViews>
    <sheetView workbookViewId="0"/>
  </sheetViews>
  <sheetFormatPr baseColWidth="10" defaultColWidth="12.6328125" defaultRowHeight="15.75" customHeight="1"/>
  <cols>
    <col min="1" max="1" width="13.7265625" customWidth="1"/>
    <col min="2" max="2" width="7" customWidth="1"/>
    <col min="3" max="3" width="12.7265625" customWidth="1"/>
    <col min="4" max="4" width="6" customWidth="1"/>
    <col min="5" max="5" width="11.6328125" customWidth="1"/>
    <col min="6" max="6" width="16.453125" customWidth="1"/>
    <col min="7" max="8" width="24.26953125" customWidth="1"/>
    <col min="9" max="10" width="20.906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43" t="s">
        <v>1938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Sept'!$J$12:$J$1003=$A$2)"),"#N/A")</f>
        <v>#N/A</v>
      </c>
      <c r="B12" s="86"/>
      <c r="C12" s="24"/>
      <c r="D12" s="17" t="str">
        <f ca="1">IFERROR(__xludf.DUMMYFUNCTION("FILTER('Edo Cta Jeeves Sept'!$G$12:$G$1003,'Edo Cta Jeeves Sept'!$J$12:$J$1003=$A$2)"),"#N/A")</f>
        <v>#N/A</v>
      </c>
      <c r="E12" s="24"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IFERROR(__xludf.DUMMYFUNCTION("IMPORTRANGE(""https://docs.google.com/spreadsheets/d/1ikzR0NkiifF6EvEHSa0Ifk5cUaYdilHOhXGyi71Ecvk/edit#gid=1404531132"",""#12 Macarena!I12:K80"")"),"")</f>
        <v/>
      </c>
      <c r="J12" s="17"/>
      <c r="K12" s="17" t="str">
        <f ca="1">IFERROR(__xludf.DUMMYFUNCTION("""COMPUTED_VALUE"""),".")</f>
        <v>.</v>
      </c>
      <c r="L12" s="17"/>
      <c r="M12" s="17"/>
      <c r="N12" s="17"/>
      <c r="O12" s="17"/>
    </row>
    <row r="13" spans="1:15" ht="15.75" customHeight="1">
      <c r="A13" s="17"/>
      <c r="B13" s="24"/>
      <c r="C13" s="24"/>
      <c r="D13" s="17"/>
      <c r="E13" s="24"/>
      <c r="F13" s="17"/>
      <c r="G13" s="17"/>
      <c r="H13" s="17"/>
      <c r="I13" s="17"/>
      <c r="J13" s="17"/>
      <c r="K13" s="17" t="str">
        <f ca="1">IFERROR(__xludf.DUMMYFUNCTION("""COMPUTED_VALUE"""),".")</f>
        <v>.</v>
      </c>
      <c r="L13" s="17"/>
      <c r="M13" s="17"/>
      <c r="N13" s="17"/>
      <c r="O13" s="17"/>
    </row>
    <row r="14" spans="1:15" ht="15.75" customHeight="1">
      <c r="A14" s="17"/>
      <c r="B14" s="24"/>
      <c r="C14" s="24"/>
      <c r="D14" s="17"/>
      <c r="E14" s="24"/>
      <c r="F14" s="17"/>
      <c r="G14" s="17"/>
      <c r="H14" s="17"/>
      <c r="I14" s="17"/>
      <c r="J14" s="17"/>
      <c r="K14" s="17" t="str">
        <f ca="1">IFERROR(__xludf.DUMMYFUNCTION("""COMPUTED_VALUE"""),".")</f>
        <v>.</v>
      </c>
      <c r="L14" s="17"/>
      <c r="M14" s="17"/>
      <c r="N14" s="17"/>
      <c r="O14" s="17"/>
    </row>
    <row r="15" spans="1:15" ht="15.75" customHeight="1">
      <c r="A15" s="17"/>
      <c r="B15" s="24"/>
      <c r="C15" s="24"/>
      <c r="D15" s="17"/>
      <c r="E15" s="24"/>
      <c r="F15" s="17"/>
      <c r="G15" s="17"/>
      <c r="H15" s="17"/>
      <c r="I15" s="17"/>
      <c r="J15" s="17"/>
      <c r="K15" s="17" t="str">
        <f ca="1">IFERROR(__xludf.DUMMYFUNCTION("""COMPUTED_VALUE"""),".")</f>
        <v>.</v>
      </c>
      <c r="L15" s="17"/>
      <c r="M15" s="17"/>
      <c r="N15" s="17"/>
      <c r="O15" s="17"/>
    </row>
    <row r="16" spans="1:15" ht="15.75" customHeight="1">
      <c r="A16" s="17"/>
      <c r="B16" s="24"/>
      <c r="C16" s="24"/>
      <c r="D16" s="17"/>
      <c r="E16" s="24"/>
      <c r="F16" s="17"/>
      <c r="G16" s="17"/>
      <c r="H16" s="17"/>
      <c r="I16" s="17"/>
      <c r="J16" s="17"/>
      <c r="K16" s="17" t="str">
        <f ca="1">IFERROR(__xludf.DUMMYFUNCTION("""COMPUTED_VALUE"""),".")</f>
        <v>.</v>
      </c>
      <c r="L16" s="17"/>
      <c r="M16" s="17"/>
      <c r="N16" s="17"/>
      <c r="O16" s="17"/>
    </row>
    <row r="17" spans="1:15" ht="15.75" customHeight="1">
      <c r="A17" s="17"/>
      <c r="B17" s="24"/>
      <c r="C17" s="24"/>
      <c r="D17" s="17"/>
      <c r="E17" s="24"/>
      <c r="F17" s="17"/>
      <c r="G17" s="17"/>
      <c r="H17" s="17"/>
      <c r="I17" s="17"/>
      <c r="J17" s="17"/>
      <c r="K17" s="17" t="str">
        <f ca="1">IFERROR(__xludf.DUMMYFUNCTION("""COMPUTED_VALUE"""),".")</f>
        <v>.</v>
      </c>
      <c r="L17" s="17"/>
      <c r="M17" s="17"/>
      <c r="N17" s="17"/>
      <c r="O17" s="17"/>
    </row>
    <row r="18" spans="1:15" ht="15.75" customHeight="1">
      <c r="A18" s="17"/>
      <c r="B18" s="24"/>
      <c r="C18" s="24"/>
      <c r="D18" s="17"/>
      <c r="E18" s="24"/>
      <c r="F18" s="17"/>
      <c r="G18" s="17"/>
      <c r="H18" s="17"/>
      <c r="I18" s="17"/>
      <c r="J18" s="17"/>
      <c r="K18" s="17" t="str">
        <f ca="1">IFERROR(__xludf.DUMMYFUNCTION("""COMPUTED_VALUE"""),".")</f>
        <v>.</v>
      </c>
      <c r="L18" s="17"/>
      <c r="M18" s="17"/>
      <c r="N18" s="17"/>
      <c r="O18" s="17"/>
    </row>
    <row r="19" spans="1:15" ht="15.75" customHeight="1">
      <c r="A19" s="17"/>
      <c r="B19" s="24"/>
      <c r="C19" s="24"/>
      <c r="D19" s="17"/>
      <c r="E19" s="24"/>
      <c r="F19" s="17"/>
      <c r="G19" s="17"/>
      <c r="H19" s="17"/>
      <c r="I19" s="17"/>
      <c r="J19" s="17"/>
      <c r="K19" s="17" t="str">
        <f ca="1">IFERROR(__xludf.DUMMYFUNCTION("""COMPUTED_VALUE"""),".")</f>
        <v>.</v>
      </c>
      <c r="L19" s="17"/>
      <c r="M19" s="17"/>
      <c r="N19" s="17"/>
      <c r="O19" s="17"/>
    </row>
    <row r="20" spans="1:15" ht="12.5">
      <c r="A20" s="17"/>
      <c r="B20" s="24"/>
      <c r="C20" s="24"/>
      <c r="D20" s="17"/>
      <c r="E20" s="24"/>
      <c r="F20" s="17"/>
      <c r="G20" s="17"/>
      <c r="H20" s="17"/>
      <c r="I20" s="17"/>
      <c r="J20" s="17"/>
      <c r="K20" s="17" t="str">
        <f ca="1">IFERROR(__xludf.DUMMYFUNCTION("""COMPUTED_VALUE"""),".")</f>
        <v>.</v>
      </c>
      <c r="L20" s="17"/>
      <c r="M20" s="17"/>
      <c r="N20" s="17"/>
      <c r="O20" s="17"/>
    </row>
    <row r="21" spans="1:15" ht="12.5">
      <c r="A21" s="17"/>
      <c r="B21" s="24"/>
      <c r="C21" s="24"/>
      <c r="D21" s="17"/>
      <c r="E21" s="24"/>
      <c r="F21" s="17"/>
      <c r="G21" s="17"/>
      <c r="H21" s="17"/>
      <c r="I21" s="17"/>
      <c r="J21" s="17"/>
      <c r="K21" s="17" t="str">
        <f ca="1">IFERROR(__xludf.DUMMYFUNCTION("""COMPUTED_VALUE"""),".")</f>
        <v>.</v>
      </c>
      <c r="L21" s="17"/>
      <c r="M21" s="17"/>
      <c r="N21" s="17"/>
      <c r="O21" s="17"/>
    </row>
    <row r="22" spans="1:15" ht="12.5">
      <c r="A22" s="17"/>
      <c r="B22" s="24"/>
      <c r="C22" s="24"/>
      <c r="D22" s="17"/>
      <c r="E22" s="24"/>
      <c r="F22" s="17"/>
      <c r="G22" s="17"/>
      <c r="H22" s="17"/>
      <c r="I22" s="17"/>
      <c r="J22" s="17"/>
      <c r="K22" s="17" t="str">
        <f ca="1">IFERROR(__xludf.DUMMYFUNCTION("""COMPUTED_VALUE"""),".")</f>
        <v>.</v>
      </c>
      <c r="L22" s="17"/>
      <c r="M22" s="17"/>
      <c r="N22" s="17"/>
      <c r="O22" s="17"/>
    </row>
    <row r="23" spans="1:15" ht="12.5">
      <c r="A23" s="17"/>
      <c r="B23" s="24"/>
      <c r="C23" s="24"/>
      <c r="D23" s="17"/>
      <c r="E23" s="24"/>
      <c r="F23" s="17"/>
      <c r="G23" s="17"/>
      <c r="H23" s="17"/>
      <c r="I23" s="17"/>
      <c r="J23" s="17"/>
      <c r="K23" s="17" t="str">
        <f ca="1">IFERROR(__xludf.DUMMYFUNCTION("""COMPUTED_VALUE"""),".")</f>
        <v>.</v>
      </c>
      <c r="L23" s="17"/>
      <c r="M23" s="17"/>
      <c r="N23" s="17"/>
      <c r="O23" s="17"/>
    </row>
    <row r="24" spans="1:15" ht="12.5">
      <c r="A24" s="17"/>
      <c r="B24" s="24"/>
      <c r="C24" s="24"/>
      <c r="D24" s="17"/>
      <c r="E24" s="24"/>
      <c r="F24" s="17"/>
      <c r="G24" s="17"/>
      <c r="H24" s="17"/>
      <c r="I24" s="17"/>
      <c r="J24" s="17"/>
      <c r="K24" s="17" t="str">
        <f ca="1">IFERROR(__xludf.DUMMYFUNCTION("""COMPUTED_VALUE"""),".")</f>
        <v>.</v>
      </c>
      <c r="L24" s="17"/>
      <c r="M24" s="17"/>
      <c r="N24" s="17"/>
      <c r="O24" s="17"/>
    </row>
    <row r="25" spans="1:15" ht="12.5">
      <c r="A25" s="17"/>
      <c r="B25" s="24"/>
      <c r="C25" s="24"/>
      <c r="D25" s="17"/>
      <c r="E25" s="24"/>
      <c r="F25" s="17"/>
      <c r="G25" s="17"/>
      <c r="H25" s="17"/>
      <c r="I25" s="17"/>
      <c r="J25" s="17"/>
      <c r="K25" s="17" t="str">
        <f ca="1">IFERROR(__xludf.DUMMYFUNCTION("""COMPUTED_VALUE"""),".")</f>
        <v>.</v>
      </c>
      <c r="L25" s="17"/>
      <c r="M25" s="17"/>
      <c r="N25" s="17"/>
      <c r="O25" s="17"/>
    </row>
    <row r="26" spans="1:15" ht="12.5">
      <c r="A26" s="17"/>
      <c r="B26" s="24"/>
      <c r="C26" s="24"/>
      <c r="D26" s="17"/>
      <c r="E26" s="24"/>
      <c r="F26" s="17"/>
      <c r="G26" s="17"/>
      <c r="H26" s="17"/>
      <c r="I26" s="17"/>
      <c r="J26" s="17"/>
      <c r="K26" s="17" t="str">
        <f ca="1">IFERROR(__xludf.DUMMYFUNCTION("""COMPUTED_VALUE"""),".")</f>
        <v>.</v>
      </c>
      <c r="L26" s="17"/>
      <c r="M26" s="17"/>
      <c r="N26" s="17"/>
      <c r="O26" s="17"/>
    </row>
    <row r="27" spans="1:15" ht="12.5">
      <c r="A27" s="17"/>
      <c r="B27" s="24"/>
      <c r="C27" s="24"/>
      <c r="D27" s="17"/>
      <c r="E27" s="24"/>
      <c r="F27" s="17"/>
      <c r="G27" s="17"/>
      <c r="H27" s="17"/>
      <c r="I27" s="17"/>
      <c r="J27" s="17"/>
      <c r="K27" s="17" t="str">
        <f ca="1">IFERROR(__xludf.DUMMYFUNCTION("""COMPUTED_VALUE"""),".")</f>
        <v>.</v>
      </c>
      <c r="L27" s="17"/>
      <c r="M27" s="17"/>
      <c r="N27" s="17"/>
      <c r="O27" s="17"/>
    </row>
    <row r="28" spans="1:15" ht="12.5">
      <c r="A28" s="17"/>
      <c r="B28" s="24"/>
      <c r="C28" s="24"/>
      <c r="D28" s="17"/>
      <c r="E28" s="24"/>
      <c r="F28" s="17"/>
      <c r="G28" s="17"/>
      <c r="H28" s="17"/>
      <c r="I28" s="17"/>
      <c r="J28" s="17"/>
      <c r="K28" s="17" t="str">
        <f ca="1">IFERROR(__xludf.DUMMYFUNCTION("""COMPUTED_VALUE"""),".")</f>
        <v>.</v>
      </c>
      <c r="L28" s="17"/>
      <c r="M28" s="17"/>
      <c r="N28" s="17"/>
      <c r="O28" s="17"/>
    </row>
    <row r="29" spans="1:15" ht="12.5">
      <c r="A29" s="17"/>
      <c r="B29" s="24"/>
      <c r="C29" s="24"/>
      <c r="D29" s="17"/>
      <c r="E29" s="24"/>
      <c r="F29" s="17"/>
      <c r="G29" s="17"/>
      <c r="H29" s="17"/>
      <c r="I29" s="17"/>
      <c r="J29" s="17"/>
      <c r="K29" s="17" t="str">
        <f ca="1">IFERROR(__xludf.DUMMYFUNCTION("""COMPUTED_VALUE"""),".")</f>
        <v>.</v>
      </c>
      <c r="L29" s="17"/>
      <c r="M29" s="17"/>
      <c r="N29" s="17"/>
      <c r="O29" s="17"/>
    </row>
    <row r="30" spans="1:15" ht="12.5">
      <c r="A30" s="17"/>
      <c r="B30" s="24"/>
      <c r="C30" s="24"/>
      <c r="D30" s="17"/>
      <c r="E30" s="24"/>
      <c r="F30" s="17"/>
      <c r="G30" s="17"/>
      <c r="H30" s="17"/>
      <c r="I30" s="17"/>
      <c r="J30" s="17"/>
      <c r="K30" s="17" t="str">
        <f ca="1">IFERROR(__xludf.DUMMYFUNCTION("""COMPUTED_VALUE"""),".")</f>
        <v>.</v>
      </c>
      <c r="L30" s="17"/>
      <c r="M30" s="17"/>
      <c r="N30" s="17"/>
      <c r="O30" s="17"/>
    </row>
    <row r="31" spans="1:15" ht="12.5">
      <c r="A31" s="17"/>
      <c r="B31" s="24"/>
      <c r="C31" s="24"/>
      <c r="D31" s="17"/>
      <c r="E31" s="24"/>
      <c r="F31" s="17"/>
      <c r="G31" s="17"/>
      <c r="H31" s="17"/>
      <c r="I31" s="17"/>
      <c r="J31" s="17"/>
      <c r="K31" s="17" t="str">
        <f ca="1">IFERROR(__xludf.DUMMYFUNCTION("""COMPUTED_VALUE"""),".")</f>
        <v>.</v>
      </c>
      <c r="L31" s="17"/>
      <c r="M31" s="17"/>
      <c r="N31" s="17"/>
      <c r="O31" s="17"/>
    </row>
    <row r="32" spans="1:15" ht="12.5">
      <c r="A32" s="17"/>
      <c r="B32" s="24"/>
      <c r="C32" s="24"/>
      <c r="D32" s="17"/>
      <c r="E32" s="24"/>
      <c r="F32" s="17"/>
      <c r="G32" s="17"/>
      <c r="H32" s="17"/>
      <c r="I32" s="17"/>
      <c r="J32" s="17"/>
      <c r="K32" s="17" t="str">
        <f ca="1">IFERROR(__xludf.DUMMYFUNCTION("""COMPUTED_VALUE"""),".")</f>
        <v>.</v>
      </c>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6.90625" customWidth="1"/>
    <col min="3" max="3" width="14.08984375" customWidth="1"/>
    <col min="4" max="4" width="6.08984375" customWidth="1"/>
    <col min="5" max="5" width="8" customWidth="1"/>
    <col min="6" max="6" width="17.6328125" customWidth="1"/>
    <col min="7" max="8" width="26.6328125" customWidth="1"/>
    <col min="9" max="9" width="21.26953125" customWidth="1"/>
    <col min="10" max="10" width="30.0898437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43" t="s">
        <v>1936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Sept'!$J$12:$J$1003=$A$2)"),"#N/A")</f>
        <v>#N/A</v>
      </c>
      <c r="B12" s="86"/>
      <c r="C12" s="24"/>
      <c r="D12" s="17" t="str">
        <f ca="1">IFERROR(__xludf.DUMMYFUNCTION("FILTER('Edo Cta Jeeves Sept'!$G$12:$G$1003,'Edo Cta Jeeves Sept'!$J$12:$J$1003=$A$2)"),"#N/A")</f>
        <v>#N/A</v>
      </c>
      <c r="E12" s="24"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IFERROR(__xludf.DUMMYFUNCTION("IMPORTRANGE(""https://docs.google.com/spreadsheets/d/1EwnCGBNWSGkjbY33O7_8vhoDUJ1nznWyUa_94BEtcbI/edit#gid=1404531132"",""#11 Juan Carlos!I12:K80"")"),"Transaction cost")</f>
        <v>Transaction cost</v>
      </c>
      <c r="J12" s="17" t="str">
        <f ca="1">IFERROR(__xludf.DUMMYFUNCTION("""COMPUTED_VALUE"""),"RFQ-820 Radio Flyer Compra de muestras")</f>
        <v>RFQ-820 Radio Flyer Compra de muestras</v>
      </c>
      <c r="K12" s="17"/>
      <c r="L12" s="17"/>
      <c r="M12" s="17"/>
      <c r="N12" s="17"/>
      <c r="O12" s="17"/>
    </row>
    <row r="13" spans="1:15" ht="15.75" customHeight="1">
      <c r="A13" s="17"/>
      <c r="B13" s="24"/>
      <c r="C13" s="24"/>
      <c r="D13" s="17"/>
      <c r="E13" s="24"/>
      <c r="F13" s="17"/>
      <c r="G13" s="17"/>
      <c r="H13" s="17"/>
      <c r="I13" s="17" t="str">
        <f ca="1">IFERROR(__xludf.DUMMYFUNCTION("""COMPUTED_VALUE"""),"Transaction cost")</f>
        <v>Transaction cost</v>
      </c>
      <c r="J13" s="17" t="str">
        <f ca="1">IFERROR(__xludf.DUMMYFUNCTION("""COMPUTED_VALUE"""),"RFQ-820 Radio Flyer visita a proveedores PU TAG")</f>
        <v>RFQ-820 Radio Flyer visita a proveedores PU TAG</v>
      </c>
      <c r="K13" s="17"/>
      <c r="L13" s="17"/>
      <c r="M13" s="17"/>
      <c r="N13" s="17"/>
      <c r="O13" s="17"/>
    </row>
    <row r="14" spans="1:15" ht="15.75" customHeight="1">
      <c r="A14" s="17"/>
      <c r="B14" s="24"/>
      <c r="C14" s="24"/>
      <c r="D14" s="17"/>
      <c r="E14" s="24"/>
      <c r="F14" s="17"/>
      <c r="G14" s="17"/>
      <c r="H14" s="17"/>
      <c r="I14" s="17" t="str">
        <f ca="1">IFERROR(__xludf.DUMMYFUNCTION("""COMPUTED_VALUE"""),"Transaction cost")</f>
        <v>Transaction cost</v>
      </c>
      <c r="J14" s="17" t="str">
        <f ca="1">IFERROR(__xludf.DUMMYFUNCTION("""COMPUTED_VALUE"""),"RFQ-903 Comida")</f>
        <v>RFQ-903 Comida</v>
      </c>
      <c r="K14" s="17" t="str">
        <f ca="1">IFERROR(__xludf.DUMMYFUNCTION("""COMPUTED_VALUE"""),"A-4981")</f>
        <v>A-4981</v>
      </c>
      <c r="L14" s="17"/>
      <c r="M14" s="17"/>
      <c r="N14" s="17"/>
      <c r="O14" s="17"/>
    </row>
    <row r="15" spans="1:15" ht="15.75" customHeight="1">
      <c r="A15" s="17"/>
      <c r="B15" s="24"/>
      <c r="C15" s="24"/>
      <c r="D15" s="17"/>
      <c r="E15" s="24"/>
      <c r="F15" s="17"/>
      <c r="G15" s="17"/>
      <c r="H15" s="17"/>
      <c r="I15" s="17" t="str">
        <f ca="1">IFERROR(__xludf.DUMMYFUNCTION("""COMPUTED_VALUE"""),"Transaction cost")</f>
        <v>Transaction cost</v>
      </c>
      <c r="J15" s="17" t="str">
        <f ca="1">IFERROR(__xludf.DUMMYFUNCTION("""COMPUTED_VALUE"""),"RFQ-820 Radio Flyer visita a proveedores PU Gasolina")</f>
        <v>RFQ-820 Radio Flyer visita a proveedores PU Gasolina</v>
      </c>
      <c r="K15" s="17"/>
      <c r="L15" s="17"/>
      <c r="M15" s="17"/>
      <c r="N15" s="17"/>
      <c r="O15" s="17"/>
    </row>
    <row r="16" spans="1:15" ht="15.75" customHeight="1">
      <c r="A16" s="17"/>
      <c r="B16" s="24"/>
      <c r="C16" s="24"/>
      <c r="D16" s="17"/>
      <c r="E16" s="24"/>
      <c r="F16" s="17"/>
      <c r="G16" s="17"/>
      <c r="H16" s="17"/>
      <c r="I16" s="17" t="str">
        <f ca="1">IFERROR(__xludf.DUMMYFUNCTION("""COMPUTED_VALUE"""),"Transaction cost")</f>
        <v>Transaction cost</v>
      </c>
      <c r="J16" s="17" t="str">
        <f ca="1">IFERROR(__xludf.DUMMYFUNCTION("""COMPUTED_VALUE"""),"RFQ-903 Gasolina")</f>
        <v>RFQ-903 Gasolina</v>
      </c>
      <c r="K16" s="17"/>
      <c r="L16" s="17"/>
      <c r="M16" s="17"/>
      <c r="N16" s="17"/>
      <c r="O16" s="17"/>
    </row>
    <row r="17" spans="1:15" ht="15.75" customHeight="1">
      <c r="A17" s="17"/>
      <c r="B17" s="24"/>
      <c r="C17" s="24"/>
      <c r="D17" s="17"/>
      <c r="E17" s="24"/>
      <c r="F17" s="17"/>
      <c r="G17" s="17"/>
      <c r="H17" s="17"/>
      <c r="I17" s="17" t="str">
        <f ca="1">IFERROR(__xludf.DUMMYFUNCTION("""COMPUTED_VALUE"""),"Transaction cost")</f>
        <v>Transaction cost</v>
      </c>
      <c r="J17" s="17" t="str">
        <f ca="1">IFERROR(__xludf.DUMMYFUNCTION("""COMPUTED_VALUE"""),"RFQ-903 Comida")</f>
        <v>RFQ-903 Comida</v>
      </c>
      <c r="K17" s="17"/>
      <c r="L17" s="17"/>
      <c r="M17" s="17"/>
      <c r="N17" s="17"/>
      <c r="O17" s="17"/>
    </row>
    <row r="18" spans="1:15" ht="15.75" customHeight="1">
      <c r="A18" s="17"/>
      <c r="B18" s="24"/>
      <c r="C18" s="24"/>
      <c r="D18" s="17"/>
      <c r="E18" s="24"/>
      <c r="F18" s="17"/>
      <c r="G18" s="17"/>
      <c r="H18" s="17"/>
      <c r="I18" s="17" t="str">
        <f ca="1">IFERROR(__xludf.DUMMYFUNCTION("""COMPUTED_VALUE"""),"Transaction cost")</f>
        <v>Transaction cost</v>
      </c>
      <c r="J18" s="17" t="str">
        <f ca="1">IFERROR(__xludf.DUMMYFUNCTION("""COMPUTED_VALUE"""),"RFQ-903 Gasolina")</f>
        <v>RFQ-903 Gasolina</v>
      </c>
      <c r="K18" s="17"/>
      <c r="L18" s="17"/>
      <c r="M18" s="17"/>
      <c r="N18" s="17"/>
      <c r="O18" s="17"/>
    </row>
    <row r="19" spans="1:15" ht="15.75" customHeight="1">
      <c r="A19" s="17"/>
      <c r="B19" s="24"/>
      <c r="C19" s="24"/>
      <c r="D19" s="17"/>
      <c r="E19" s="24"/>
      <c r="F19" s="17"/>
      <c r="G19" s="17"/>
      <c r="H19" s="17"/>
      <c r="I19" s="17" t="str">
        <f ca="1">IFERROR(__xludf.DUMMYFUNCTION("""COMPUTED_VALUE"""),"Transaction cost")</f>
        <v>Transaction cost</v>
      </c>
      <c r="J19" s="17"/>
      <c r="K19" s="17"/>
      <c r="L19" s="17"/>
      <c r="M19" s="17"/>
      <c r="N19" s="17"/>
      <c r="O19" s="17"/>
    </row>
    <row r="20" spans="1:15" ht="12.5">
      <c r="A20" s="17"/>
      <c r="B20" s="24"/>
      <c r="C20" s="24"/>
      <c r="D20" s="17"/>
      <c r="E20" s="24"/>
      <c r="F20" s="17"/>
      <c r="G20" s="17"/>
      <c r="H20" s="17"/>
      <c r="I20" s="17" t="str">
        <f ca="1">IFERROR(__xludf.DUMMYFUNCTION("""COMPUTED_VALUE"""),"Transaction cost")</f>
        <v>Transaction cost</v>
      </c>
      <c r="J20" s="17"/>
      <c r="K20" s="17"/>
      <c r="L20" s="17"/>
      <c r="M20" s="17"/>
      <c r="N20" s="17"/>
      <c r="O20" s="17"/>
    </row>
    <row r="21" spans="1:15" ht="12.5">
      <c r="A21" s="17"/>
      <c r="B21" s="24"/>
      <c r="C21" s="24"/>
      <c r="D21" s="17"/>
      <c r="E21" s="24"/>
      <c r="F21" s="17"/>
      <c r="G21" s="17"/>
      <c r="H21" s="17"/>
      <c r="I21" s="17" t="str">
        <f ca="1">IFERROR(__xludf.DUMMYFUNCTION("""COMPUTED_VALUE"""),"Transaction cost")</f>
        <v>Transaction cost</v>
      </c>
      <c r="J21" s="17"/>
      <c r="K21" s="17"/>
      <c r="L21" s="17"/>
      <c r="M21" s="17"/>
      <c r="N21" s="17"/>
      <c r="O21" s="17"/>
    </row>
    <row r="22" spans="1:15" ht="12.5">
      <c r="A22" s="17"/>
      <c r="B22" s="24"/>
      <c r="C22" s="24"/>
      <c r="D22" s="17"/>
      <c r="E22" s="24"/>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24"/>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24"/>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24"/>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24"/>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24"/>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24"/>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24"/>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24"/>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24"/>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24"/>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24"/>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24"/>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24"/>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24"/>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24"/>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24"/>
      <c r="F38" s="17"/>
      <c r="G38" s="17"/>
      <c r="H38" s="17"/>
      <c r="I38" s="17" t="str">
        <f ca="1">IFERROR(__xludf.DUMMYFUNCTION("""COMPUTED_VALUE"""),"Transaction cost")</f>
        <v>Transaction cost</v>
      </c>
      <c r="J38" s="17"/>
      <c r="K38" s="17" t="str">
        <f ca="1">IFERROR(__xludf.DUMMYFUNCTION("""COMPUTED_VALUE"""),".")</f>
        <v>.</v>
      </c>
      <c r="L38" s="17"/>
      <c r="M38" s="17"/>
      <c r="N38" s="17"/>
      <c r="O38" s="17"/>
    </row>
    <row r="39" spans="1:15" ht="12.5">
      <c r="A39" s="17"/>
      <c r="B39" s="24"/>
      <c r="C39" s="24"/>
      <c r="D39" s="17"/>
      <c r="E39" s="24"/>
      <c r="F39" s="17"/>
      <c r="G39" s="17"/>
      <c r="H39" s="17"/>
      <c r="I39" s="17" t="str">
        <f ca="1">IFERROR(__xludf.DUMMYFUNCTION("""COMPUTED_VALUE"""),"Transaction cost")</f>
        <v>Transaction cost</v>
      </c>
      <c r="J39" s="17"/>
      <c r="K39" s="17" t="str">
        <f ca="1">IFERROR(__xludf.DUMMYFUNCTION("""COMPUTED_VALUE"""),".")</f>
        <v>.</v>
      </c>
      <c r="L39" s="17"/>
      <c r="M39" s="17"/>
      <c r="N39" s="17"/>
      <c r="O39" s="17"/>
    </row>
    <row r="40" spans="1:15" ht="12.5">
      <c r="A40" s="17"/>
      <c r="B40" s="24"/>
      <c r="C40" s="24"/>
      <c r="D40" s="17"/>
      <c r="E40" s="24"/>
      <c r="F40" s="17"/>
      <c r="G40" s="17"/>
      <c r="H40" s="17"/>
      <c r="I40" s="17" t="str">
        <f ca="1">IFERROR(__xludf.DUMMYFUNCTION("""COMPUTED_VALUE"""),"Transaction cost")</f>
        <v>Transaction cost</v>
      </c>
      <c r="J40" s="17"/>
      <c r="K40" s="17" t="str">
        <f ca="1">IFERROR(__xludf.DUMMYFUNCTION("""COMPUTED_VALUE"""),".")</f>
        <v>.</v>
      </c>
      <c r="L40" s="17"/>
      <c r="M40" s="17"/>
      <c r="N40" s="17"/>
      <c r="O40" s="17"/>
    </row>
    <row r="41" spans="1:15" ht="12.5">
      <c r="A41" s="17"/>
      <c r="B41" s="24"/>
      <c r="C41" s="24"/>
      <c r="D41" s="17"/>
      <c r="E41" s="24"/>
      <c r="F41" s="17"/>
      <c r="G41" s="17"/>
      <c r="H41" s="17"/>
      <c r="I41" s="17" t="str">
        <f ca="1">IFERROR(__xludf.DUMMYFUNCTION("""COMPUTED_VALUE"""),"Transaction cost")</f>
        <v>Transaction cost</v>
      </c>
      <c r="J41" s="17"/>
      <c r="K41" s="17" t="str">
        <f ca="1">IFERROR(__xludf.DUMMYFUNCTION("""COMPUTED_VALUE"""),".")</f>
        <v>.</v>
      </c>
      <c r="L41" s="17"/>
      <c r="M41" s="17"/>
      <c r="N41" s="17"/>
      <c r="O41" s="17"/>
    </row>
    <row r="42" spans="1:15" ht="12.5">
      <c r="A42" s="17"/>
      <c r="B42" s="24"/>
      <c r="C42" s="24"/>
      <c r="D42" s="17"/>
      <c r="E42" s="24"/>
      <c r="F42" s="17"/>
      <c r="G42" s="17"/>
      <c r="H42" s="17"/>
      <c r="I42" s="17" t="str">
        <f ca="1">IFERROR(__xludf.DUMMYFUNCTION("""COMPUTED_VALUE"""),"Transaction cost")</f>
        <v>Transaction cost</v>
      </c>
      <c r="J42" s="17"/>
      <c r="K42" s="17" t="str">
        <f ca="1">IFERROR(__xludf.DUMMYFUNCTION("""COMPUTED_VALUE"""),".")</f>
        <v>.</v>
      </c>
      <c r="L42" s="17"/>
      <c r="M42" s="17"/>
      <c r="N42" s="17"/>
      <c r="O42" s="17"/>
    </row>
    <row r="43" spans="1:15" ht="12.5">
      <c r="A43" s="17"/>
      <c r="B43" s="24"/>
      <c r="C43" s="24"/>
      <c r="D43" s="17"/>
      <c r="E43" s="24"/>
      <c r="F43" s="17"/>
      <c r="G43" s="17"/>
      <c r="H43" s="17"/>
      <c r="I43" s="17" t="str">
        <f ca="1">IFERROR(__xludf.DUMMYFUNCTION("""COMPUTED_VALUE"""),"Transaction cost")</f>
        <v>Transaction cost</v>
      </c>
      <c r="J43" s="17"/>
      <c r="K43" s="17" t="str">
        <f ca="1">IFERROR(__xludf.DUMMYFUNCTION("""COMPUTED_VALUE"""),".")</f>
        <v>.</v>
      </c>
      <c r="L43" s="17"/>
      <c r="M43" s="17"/>
      <c r="N43" s="17"/>
      <c r="O43" s="17"/>
    </row>
    <row r="44" spans="1:15" ht="12.5">
      <c r="A44" s="17"/>
      <c r="B44" s="24"/>
      <c r="C44" s="24"/>
      <c r="D44" s="17"/>
      <c r="E44" s="24"/>
      <c r="F44" s="17"/>
      <c r="G44" s="17"/>
      <c r="H44" s="17"/>
      <c r="I44" s="17" t="str">
        <f ca="1">IFERROR(__xludf.DUMMYFUNCTION("""COMPUTED_VALUE"""),"Transaction cost")</f>
        <v>Transaction cost</v>
      </c>
      <c r="J44" s="17"/>
      <c r="K44" s="17" t="str">
        <f ca="1">IFERROR(__xludf.DUMMYFUNCTION("""COMPUTED_VALUE"""),".")</f>
        <v>.</v>
      </c>
      <c r="L44" s="17"/>
      <c r="M44" s="17"/>
      <c r="N44" s="17"/>
      <c r="O44" s="17"/>
    </row>
    <row r="45" spans="1:15" ht="12.5">
      <c r="A45" s="17"/>
      <c r="B45" s="24"/>
      <c r="C45" s="24"/>
      <c r="D45" s="17"/>
      <c r="E45" s="24"/>
      <c r="F45" s="17"/>
      <c r="G45" s="17"/>
      <c r="H45" s="17"/>
      <c r="I45" s="17" t="str">
        <f ca="1">IFERROR(__xludf.DUMMYFUNCTION("""COMPUTED_VALUE"""),"Transaction cost")</f>
        <v>Transaction cost</v>
      </c>
      <c r="J45" s="17"/>
      <c r="K45" s="17" t="str">
        <f ca="1">IFERROR(__xludf.DUMMYFUNCTION("""COMPUTED_VALUE"""),".")</f>
        <v>.</v>
      </c>
      <c r="L45" s="17"/>
      <c r="M45" s="17"/>
      <c r="N45" s="17"/>
      <c r="O45" s="17"/>
    </row>
    <row r="46" spans="1:15" ht="12.5">
      <c r="A46" s="17"/>
      <c r="B46" s="24"/>
      <c r="C46" s="24"/>
      <c r="D46" s="17"/>
      <c r="E46" s="24"/>
      <c r="F46" s="17"/>
      <c r="G46" s="17"/>
      <c r="H46" s="17"/>
      <c r="I46" s="17" t="str">
        <f ca="1">IFERROR(__xludf.DUMMYFUNCTION("""COMPUTED_VALUE"""),"Transaction cost")</f>
        <v>Transaction cost</v>
      </c>
      <c r="J46" s="17"/>
      <c r="K46" s="17" t="str">
        <f ca="1">IFERROR(__xludf.DUMMYFUNCTION("""COMPUTED_VALUE"""),".")</f>
        <v>.</v>
      </c>
      <c r="L46" s="17"/>
      <c r="M46" s="17"/>
      <c r="N46" s="17"/>
      <c r="O46" s="17"/>
    </row>
    <row r="47" spans="1:15" ht="12.5">
      <c r="A47" s="17"/>
      <c r="B47" s="24"/>
      <c r="C47" s="24"/>
      <c r="D47" s="17"/>
      <c r="E47" s="24"/>
      <c r="F47" s="17"/>
      <c r="G47" s="17"/>
      <c r="H47" s="17"/>
      <c r="I47" s="17" t="str">
        <f ca="1">IFERROR(__xludf.DUMMYFUNCTION("""COMPUTED_VALUE"""),"Transaction cost")</f>
        <v>Transaction cost</v>
      </c>
      <c r="J47" s="17"/>
      <c r="K47" s="17" t="str">
        <f ca="1">IFERROR(__xludf.DUMMYFUNCTION("""COMPUTED_VALUE"""),".")</f>
        <v>.</v>
      </c>
      <c r="L47" s="17"/>
      <c r="M47" s="17"/>
      <c r="N47" s="17"/>
      <c r="O47" s="17"/>
    </row>
    <row r="48" spans="1:15" ht="12.5">
      <c r="A48" s="17"/>
      <c r="B48" s="24"/>
      <c r="C48" s="24"/>
      <c r="D48" s="17"/>
      <c r="E48" s="24"/>
      <c r="F48" s="17"/>
      <c r="G48" s="17"/>
      <c r="H48" s="17"/>
      <c r="I48" s="17" t="str">
        <f ca="1">IFERROR(__xludf.DUMMYFUNCTION("""COMPUTED_VALUE"""),"Transaction cost")</f>
        <v>Transaction cost</v>
      </c>
      <c r="J48" s="17"/>
      <c r="K48" s="17" t="str">
        <f ca="1">IFERROR(__xludf.DUMMYFUNCTION("""COMPUTED_VALUE"""),".")</f>
        <v>.</v>
      </c>
      <c r="L48" s="17"/>
      <c r="M48" s="17"/>
      <c r="N48" s="17"/>
      <c r="O48" s="17"/>
    </row>
    <row r="49" spans="1:15" ht="12.5">
      <c r="A49" s="17"/>
      <c r="B49" s="24"/>
      <c r="C49" s="24"/>
      <c r="D49" s="17"/>
      <c r="E49" s="24"/>
      <c r="F49" s="17"/>
      <c r="G49" s="17"/>
      <c r="H49" s="17"/>
      <c r="I49" s="17" t="str">
        <f ca="1">IFERROR(__xludf.DUMMYFUNCTION("""COMPUTED_VALUE"""),"Transaction cost")</f>
        <v>Transaction cost</v>
      </c>
      <c r="J49" s="17"/>
      <c r="K49" s="17" t="str">
        <f ca="1">IFERROR(__xludf.DUMMYFUNCTION("""COMPUTED_VALUE"""),".")</f>
        <v>.</v>
      </c>
      <c r="L49" s="17"/>
      <c r="M49" s="17"/>
      <c r="N49" s="17"/>
      <c r="O49" s="17"/>
    </row>
    <row r="50" spans="1:15" ht="12.5">
      <c r="A50" s="17"/>
      <c r="B50" s="24"/>
      <c r="C50" s="24"/>
      <c r="D50" s="17"/>
      <c r="E50" s="24"/>
      <c r="F50" s="17"/>
      <c r="G50" s="17"/>
      <c r="H50" s="17"/>
      <c r="I50" s="17" t="str">
        <f ca="1">IFERROR(__xludf.DUMMYFUNCTION("""COMPUTED_VALUE"""),"Transaction cost")</f>
        <v>Transaction cost</v>
      </c>
      <c r="J50" s="17"/>
      <c r="K50" s="17" t="str">
        <f ca="1">IFERROR(__xludf.DUMMYFUNCTION("""COMPUTED_VALUE"""),".")</f>
        <v>.</v>
      </c>
      <c r="L50" s="17"/>
      <c r="M50" s="17"/>
      <c r="N50" s="17"/>
      <c r="O50" s="17"/>
    </row>
    <row r="51" spans="1:15" ht="12.5">
      <c r="A51" s="17"/>
      <c r="B51" s="24"/>
      <c r="C51" s="24"/>
      <c r="D51" s="17"/>
      <c r="E51" s="24"/>
      <c r="F51" s="17"/>
      <c r="G51" s="17"/>
      <c r="H51" s="17"/>
      <c r="I51" s="17" t="str">
        <f ca="1">IFERROR(__xludf.DUMMYFUNCTION("""COMPUTED_VALUE"""),"Transaction cost")</f>
        <v>Transaction cost</v>
      </c>
      <c r="J51" s="17"/>
      <c r="K51" s="17" t="str">
        <f ca="1">IFERROR(__xludf.DUMMYFUNCTION("""COMPUTED_VALUE"""),".")</f>
        <v>.</v>
      </c>
      <c r="L51" s="17"/>
      <c r="M51" s="17"/>
      <c r="N51" s="17"/>
      <c r="O51" s="17"/>
    </row>
    <row r="52" spans="1:15" ht="12.5">
      <c r="A52" s="17"/>
      <c r="B52" s="24"/>
      <c r="C52" s="24"/>
      <c r="D52" s="17"/>
      <c r="E52" s="24"/>
      <c r="F52" s="17"/>
      <c r="G52" s="17"/>
      <c r="H52" s="17"/>
      <c r="I52" s="17" t="str">
        <f ca="1">IFERROR(__xludf.DUMMYFUNCTION("""COMPUTED_VALUE"""),"Transaction cost")</f>
        <v>Transaction cost</v>
      </c>
      <c r="J52" s="17"/>
      <c r="K52" s="17" t="str">
        <f ca="1">IFERROR(__xludf.DUMMYFUNCTION("""COMPUTED_VALUE"""),".")</f>
        <v>.</v>
      </c>
      <c r="L52" s="17"/>
      <c r="M52" s="17"/>
      <c r="N52" s="17"/>
      <c r="O52" s="17"/>
    </row>
    <row r="53" spans="1:15" ht="12.5">
      <c r="A53" s="17"/>
      <c r="B53" s="24"/>
      <c r="C53" s="24"/>
      <c r="D53" s="17"/>
      <c r="E53" s="24"/>
      <c r="F53" s="17"/>
      <c r="G53" s="17"/>
      <c r="H53" s="17"/>
      <c r="I53" s="17" t="str">
        <f ca="1">IFERROR(__xludf.DUMMYFUNCTION("""COMPUTED_VALUE"""),"Transaction cost")</f>
        <v>Transaction cost</v>
      </c>
      <c r="J53" s="17"/>
      <c r="K53" s="17" t="str">
        <f ca="1">IFERROR(__xludf.DUMMYFUNCTION("""COMPUTED_VALUE"""),".")</f>
        <v>.</v>
      </c>
      <c r="L53" s="17"/>
      <c r="M53" s="17"/>
      <c r="N53" s="17"/>
      <c r="O53" s="17"/>
    </row>
    <row r="54" spans="1:15" ht="12.5">
      <c r="A54" s="17"/>
      <c r="B54" s="24"/>
      <c r="C54" s="24"/>
      <c r="D54" s="17"/>
      <c r="E54" s="24"/>
      <c r="F54" s="17"/>
      <c r="G54" s="17"/>
      <c r="H54" s="17"/>
      <c r="I54" s="17" t="str">
        <f ca="1">IFERROR(__xludf.DUMMYFUNCTION("""COMPUTED_VALUE"""),"Transaction cost")</f>
        <v>Transaction cost</v>
      </c>
      <c r="J54" s="17"/>
      <c r="K54" s="17" t="str">
        <f ca="1">IFERROR(__xludf.DUMMYFUNCTION("""COMPUTED_VALUE"""),".")</f>
        <v>.</v>
      </c>
      <c r="L54" s="17"/>
      <c r="M54" s="17"/>
      <c r="N54" s="17"/>
      <c r="O54" s="17"/>
    </row>
    <row r="55" spans="1:15" ht="12.5">
      <c r="A55" s="17"/>
      <c r="B55" s="24"/>
      <c r="C55" s="24"/>
      <c r="D55" s="17"/>
      <c r="E55" s="24"/>
      <c r="F55" s="17"/>
      <c r="G55" s="17"/>
      <c r="H55" s="17"/>
      <c r="I55" s="17" t="str">
        <f ca="1">IFERROR(__xludf.DUMMYFUNCTION("""COMPUTED_VALUE"""),"Transaction cost")</f>
        <v>Transaction cost</v>
      </c>
      <c r="J55" s="17"/>
      <c r="K55" s="17" t="str">
        <f ca="1">IFERROR(__xludf.DUMMYFUNCTION("""COMPUTED_VALUE"""),".")</f>
        <v>.</v>
      </c>
      <c r="L55" s="17"/>
      <c r="M55" s="17"/>
      <c r="N55" s="17"/>
      <c r="O55" s="17"/>
    </row>
    <row r="56" spans="1:15" ht="12.5">
      <c r="A56" s="17"/>
      <c r="B56" s="24"/>
      <c r="C56" s="24"/>
      <c r="D56" s="17"/>
      <c r="E56" s="24"/>
      <c r="F56" s="17"/>
      <c r="G56" s="17"/>
      <c r="H56" s="17"/>
      <c r="I56" s="17" t="str">
        <f ca="1">IFERROR(__xludf.DUMMYFUNCTION("""COMPUTED_VALUE"""),"Transaction cost")</f>
        <v>Transaction cost</v>
      </c>
      <c r="J56" s="17"/>
      <c r="K56" s="17" t="str">
        <f ca="1">IFERROR(__xludf.DUMMYFUNCTION("""COMPUTED_VALUE"""),".")</f>
        <v>.</v>
      </c>
      <c r="L56" s="17"/>
      <c r="M56" s="17"/>
      <c r="N56" s="17"/>
      <c r="O56" s="17"/>
    </row>
    <row r="57" spans="1:15" ht="12.5">
      <c r="A57" s="17"/>
      <c r="B57" s="24"/>
      <c r="C57" s="24"/>
      <c r="D57" s="17"/>
      <c r="E57" s="24"/>
      <c r="F57" s="17"/>
      <c r="G57" s="17"/>
      <c r="H57" s="17"/>
      <c r="I57" s="17" t="str">
        <f ca="1">IFERROR(__xludf.DUMMYFUNCTION("""COMPUTED_VALUE"""),"Transaction cost")</f>
        <v>Transaction cost</v>
      </c>
      <c r="J57" s="17"/>
      <c r="K57" s="17" t="str">
        <f ca="1">IFERROR(__xludf.DUMMYFUNCTION("""COMPUTED_VALUE"""),".")</f>
        <v>.</v>
      </c>
      <c r="L57" s="17"/>
      <c r="M57" s="17"/>
      <c r="N57" s="17"/>
      <c r="O57" s="17"/>
    </row>
    <row r="58" spans="1:15" ht="12.5">
      <c r="A58" s="17"/>
      <c r="B58" s="24"/>
      <c r="C58" s="24"/>
      <c r="D58" s="17"/>
      <c r="E58" s="24"/>
      <c r="F58" s="17"/>
      <c r="G58" s="17"/>
      <c r="H58" s="17"/>
      <c r="I58" s="17" t="str">
        <f ca="1">IFERROR(__xludf.DUMMYFUNCTION("""COMPUTED_VALUE"""),"Transaction cost")</f>
        <v>Transaction cost</v>
      </c>
      <c r="J58" s="17"/>
      <c r="K58" s="17" t="str">
        <f ca="1">IFERROR(__xludf.DUMMYFUNCTION("""COMPUTED_VALUE"""),".")</f>
        <v>.</v>
      </c>
      <c r="L58" s="17"/>
      <c r="M58" s="17"/>
      <c r="N58" s="17"/>
      <c r="O58" s="17"/>
    </row>
    <row r="59" spans="1:15" ht="12.5">
      <c r="A59" s="17"/>
      <c r="B59" s="24"/>
      <c r="C59" s="24"/>
      <c r="D59" s="17"/>
      <c r="E59" s="24"/>
      <c r="F59" s="17"/>
      <c r="G59" s="17"/>
      <c r="H59" s="17"/>
      <c r="I59" s="17" t="str">
        <f ca="1">IFERROR(__xludf.DUMMYFUNCTION("""COMPUTED_VALUE"""),"Transaction cost")</f>
        <v>Transaction cost</v>
      </c>
      <c r="J59" s="17"/>
      <c r="K59" s="17" t="str">
        <f ca="1">IFERROR(__xludf.DUMMYFUNCTION("""COMPUTED_VALUE"""),".")</f>
        <v>.</v>
      </c>
      <c r="L59" s="17"/>
      <c r="M59" s="17"/>
      <c r="N59" s="17"/>
      <c r="O59" s="17"/>
    </row>
    <row r="60" spans="1:15" ht="12.5">
      <c r="A60" s="17"/>
      <c r="B60" s="24"/>
      <c r="C60" s="24"/>
      <c r="D60" s="17"/>
      <c r="E60" s="24"/>
      <c r="F60" s="17"/>
      <c r="G60" s="17"/>
      <c r="H60" s="17"/>
      <c r="I60" s="17" t="str">
        <f ca="1">IFERROR(__xludf.DUMMYFUNCTION("""COMPUTED_VALUE"""),"Transaction cost")</f>
        <v>Transaction cost</v>
      </c>
      <c r="J60" s="17"/>
      <c r="K60" s="17" t="str">
        <f ca="1">IFERROR(__xludf.DUMMYFUNCTION("""COMPUTED_VALUE"""),".")</f>
        <v>.</v>
      </c>
      <c r="L60" s="17"/>
      <c r="M60" s="17"/>
      <c r="N60" s="17"/>
      <c r="O60" s="17"/>
    </row>
    <row r="61" spans="1:15" ht="12.5">
      <c r="A61" s="17"/>
      <c r="B61" s="24"/>
      <c r="C61" s="24"/>
      <c r="D61" s="17"/>
      <c r="E61" s="24"/>
      <c r="F61" s="17"/>
      <c r="G61" s="17"/>
      <c r="H61" s="17"/>
      <c r="I61" s="17" t="str">
        <f ca="1">IFERROR(__xludf.DUMMYFUNCTION("""COMPUTED_VALUE"""),"Transaction cost")</f>
        <v>Transaction cost</v>
      </c>
      <c r="J61" s="17"/>
      <c r="K61" s="17" t="str">
        <f ca="1">IFERROR(__xludf.DUMMYFUNCTION("""COMPUTED_VALUE"""),".")</f>
        <v>.</v>
      </c>
      <c r="L61" s="17"/>
      <c r="M61" s="17"/>
      <c r="N61" s="17"/>
      <c r="O61" s="17"/>
    </row>
    <row r="62" spans="1:15" ht="12.5">
      <c r="A62" s="17"/>
      <c r="B62" s="24"/>
      <c r="C62" s="24"/>
      <c r="D62" s="17"/>
      <c r="E62" s="24"/>
      <c r="F62" s="17"/>
      <c r="G62" s="17"/>
      <c r="H62" s="17"/>
      <c r="I62" s="17" t="str">
        <f ca="1">IFERROR(__xludf.DUMMYFUNCTION("""COMPUTED_VALUE"""),"Transaction cost")</f>
        <v>Transaction cost</v>
      </c>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CC0000"/>
    <outlinePr summaryBelow="0" summaryRight="0"/>
  </sheetPr>
  <dimension ref="A1:O207"/>
  <sheetViews>
    <sheetView workbookViewId="0"/>
  </sheetViews>
  <sheetFormatPr baseColWidth="10" defaultColWidth="12.6328125" defaultRowHeight="15.75" customHeight="1"/>
  <cols>
    <col min="1" max="1" width="13.7265625" customWidth="1"/>
    <col min="2" max="2" width="5.6328125" customWidth="1"/>
    <col min="3" max="3" width="12.08984375" customWidth="1"/>
    <col min="4" max="4" width="6.90625" customWidth="1"/>
    <col min="5" max="5" width="11.6328125" customWidth="1"/>
    <col min="6" max="6" width="16.7265625" customWidth="1"/>
    <col min="7" max="7" width="30.26953125" customWidth="1"/>
    <col min="8" max="8" width="32.36328125" customWidth="1"/>
    <col min="9" max="10" width="21.90625" customWidth="1"/>
    <col min="11" max="11" width="14.26953125" customWidth="1"/>
    <col min="12" max="12" width="8.90625" customWidth="1"/>
    <col min="13" max="13" width="12.08984375" customWidth="1"/>
  </cols>
  <sheetData>
    <row r="1" spans="1:15" ht="15.75" customHeight="1">
      <c r="A1" s="17"/>
      <c r="B1" s="17"/>
      <c r="C1" s="24"/>
      <c r="D1" s="17"/>
      <c r="E1" s="24"/>
      <c r="F1" s="17"/>
      <c r="G1" s="17"/>
      <c r="H1" s="17"/>
      <c r="I1" s="17"/>
      <c r="J1" s="17"/>
      <c r="K1" s="17"/>
      <c r="L1" s="17"/>
      <c r="M1" s="17"/>
      <c r="N1" s="17"/>
      <c r="O1" s="17"/>
    </row>
    <row r="2" spans="1:15" ht="15.75" customHeight="1">
      <c r="A2" s="143" t="s">
        <v>76</v>
      </c>
      <c r="B2" s="139"/>
      <c r="C2" s="139"/>
      <c r="D2" s="68"/>
      <c r="E2" s="141" t="s">
        <v>63</v>
      </c>
      <c r="F2" s="139"/>
      <c r="G2" s="69" t="s">
        <v>1975</v>
      </c>
      <c r="H2" s="17"/>
      <c r="I2" s="17" t="s">
        <v>2000</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Sept'!$J$12:$J$1003=$A$2)"),"TRX1248")</f>
        <v>TRX1248</v>
      </c>
      <c r="B12" s="86" t="str">
        <f ca="1">IFERROR(__xludf.DUMMYFUNCTION("""COMPUTED_VALUE"""),"#14")</f>
        <v>#14</v>
      </c>
      <c r="C12" s="63">
        <f ca="1">IFERROR(__xludf.DUMMYFUNCTION("""COMPUTED_VALUE"""),46058.4166666666)</f>
        <v>46058.416666666599</v>
      </c>
      <c r="D12" s="65">
        <f ca="1">IFERROR(__xludf.DUMMYFUNCTION("FILTER('Edo Cta Jeeves Sept'!$G$12:$G$1003,'Edo Cta Jeeves Sept'!$J$12:$J$1003=$A$2)"),10)</f>
        <v>10</v>
      </c>
      <c r="E12" s="24" t="str">
        <f ca="1">IFERROR(__xludf.DUMMYFUNCTION("FILTER('Edo Cta Jeeves Sept'!$I$12:$I$1003,'Edo Cta Jeeves Sept'!$J$12:$J$1003=$A$2)"),"MXN")</f>
        <v>MXN</v>
      </c>
      <c r="F12" s="17" t="str">
        <f ca="1">IFERROR(__xludf.DUMMYFUNCTION("FILTER('Edo Cta Jeeves Sept'!$J$12:$J$1003,'Edo Cta Jeeves Sept'!$J$12:$J$1003=$A$2)"),"Patricio Servitje Azcarraga")</f>
        <v>Patricio Servitje Azcarraga</v>
      </c>
      <c r="G12" s="17" t="str">
        <f ca="1">IFERROR(__xludf.DUMMYFUNCTION("FILTER('Edo Cta Jeeves Sept'!$K$12:$L$1003,'Edo Cta Jeeves Sept'!$J$12:$J$1003=$A$2)"),"UBER *TRIP HELP.UBER.C CMX           MEX")</f>
        <v>UBER *TRIP HELP.UBER.C CMX           MEX</v>
      </c>
      <c r="H12" s="17" t="str">
        <f ca="1">IFERROR(__xludf.DUMMYFUNCTION("""COMPUTED_VALUE"""),"Uber")</f>
        <v>Uber</v>
      </c>
      <c r="I12" s="17" t="str">
        <f ca="1">IFERROR(__xludf.DUMMYFUNCTION("IMPORTRANGE(""https://docs.google.com/spreadsheets/d/1XQL_Tcm8ICyqg6WO3BNIaQE1jsJL3qc_F7NT2w4vj1M/edit#gid=1404531132"",""#14 Patricio.!I12:K80"")"),"")</f>
        <v/>
      </c>
      <c r="J12" s="17"/>
      <c r="K12" s="17" t="str">
        <f ca="1">IFERROR(__xludf.DUMMYFUNCTION("""COMPUTED_VALUE"""),".")</f>
        <v>.</v>
      </c>
      <c r="L12" s="17"/>
      <c r="M12" s="17"/>
      <c r="N12" s="17"/>
      <c r="O12" s="17"/>
    </row>
    <row r="13" spans="1:15" ht="15.75" customHeight="1">
      <c r="A13" s="17" t="str">
        <f ca="1">IFERROR(__xludf.DUMMYFUNCTION("""COMPUTED_VALUE"""),"TRX1201")</f>
        <v>TRX1201</v>
      </c>
      <c r="B13" s="86" t="str">
        <f ca="1">IFERROR(__xludf.DUMMYFUNCTION("""COMPUTED_VALUE"""),"#14")</f>
        <v>#14</v>
      </c>
      <c r="C13" s="63">
        <f ca="1">IFERROR(__xludf.DUMMYFUNCTION("""COMPUTED_VALUE"""),46059.4173611111)</f>
        <v>46059.417361111096</v>
      </c>
      <c r="D13" s="65">
        <f ca="1">IFERROR(__xludf.DUMMYFUNCTION("""COMPUTED_VALUE"""),2939.4)</f>
        <v>2939.4</v>
      </c>
      <c r="E13" s="24" t="str">
        <f ca="1">IFERROR(__xludf.DUMMYFUNCTION("""COMPUTED_VALUE"""),"MXN")</f>
        <v>MXN</v>
      </c>
      <c r="F13" s="17" t="str">
        <f ca="1">IFERROR(__xludf.DUMMYFUNCTION("""COMPUTED_VALUE"""),"Patricio Servitje Azcarraga")</f>
        <v>Patricio Servitje Azcarraga</v>
      </c>
      <c r="G13" s="17" t="str">
        <f ca="1">IFERROR(__xludf.DUMMYFUNCTION("""COMPUTED_VALUE"""),"CLIP MX*REST SAKS POLA MIGUEL HIDALG MEX")</f>
        <v>CLIP MX*REST SAKS POLA MIGUEL HIDALG MEX</v>
      </c>
      <c r="H13" s="17" t="str">
        <f ca="1">IFERROR(__xludf.DUMMYFUNCTION("""COMPUTED_VALUE"""),"Clip Mx Rest Saks Pola Miguel Hidalg Mex")</f>
        <v>Clip Mx Rest Saks Pola Miguel Hidalg Mex</v>
      </c>
      <c r="I13" s="17"/>
      <c r="J13" s="17"/>
      <c r="K13" s="17" t="str">
        <f ca="1">IFERROR(__xludf.DUMMYFUNCTION("""COMPUTED_VALUE"""),".")</f>
        <v>.</v>
      </c>
      <c r="L13" s="17"/>
      <c r="M13" s="17"/>
      <c r="N13" s="17"/>
      <c r="O13" s="17"/>
    </row>
    <row r="14" spans="1:15" ht="15.75" customHeight="1">
      <c r="A14" s="17"/>
      <c r="B14" s="24"/>
      <c r="C14" s="24"/>
      <c r="D14" s="17"/>
      <c r="E14" s="24"/>
      <c r="F14" s="17"/>
      <c r="G14" s="17"/>
      <c r="H14" s="17"/>
      <c r="I14" s="17"/>
      <c r="J14" s="17"/>
      <c r="K14" s="17" t="str">
        <f ca="1">IFERROR(__xludf.DUMMYFUNCTION("""COMPUTED_VALUE"""),".")</f>
        <v>.</v>
      </c>
      <c r="L14" s="17"/>
      <c r="M14" s="17"/>
      <c r="N14" s="17"/>
      <c r="O14" s="17"/>
    </row>
    <row r="15" spans="1:15" ht="15.75" customHeight="1">
      <c r="A15" s="17"/>
      <c r="B15" s="24"/>
      <c r="C15" s="24"/>
      <c r="D15" s="17"/>
      <c r="E15" s="24"/>
      <c r="F15" s="17"/>
      <c r="G15" s="17"/>
      <c r="H15" s="17"/>
      <c r="I15" s="17"/>
      <c r="J15" s="17"/>
      <c r="K15" s="17" t="str">
        <f ca="1">IFERROR(__xludf.DUMMYFUNCTION("""COMPUTED_VALUE"""),".")</f>
        <v>.</v>
      </c>
      <c r="L15" s="17"/>
      <c r="M15" s="17"/>
      <c r="N15" s="17"/>
      <c r="O15" s="17"/>
    </row>
    <row r="16" spans="1:15" ht="15.75" customHeight="1">
      <c r="A16" s="17"/>
      <c r="B16" s="24"/>
      <c r="C16" s="24"/>
      <c r="D16" s="17"/>
      <c r="E16" s="24"/>
      <c r="F16" s="17"/>
      <c r="G16" s="17"/>
      <c r="H16" s="17"/>
      <c r="I16" s="17"/>
      <c r="J16" s="17"/>
      <c r="K16" s="17" t="str">
        <f ca="1">IFERROR(__xludf.DUMMYFUNCTION("""COMPUTED_VALUE"""),".")</f>
        <v>.</v>
      </c>
      <c r="L16" s="17"/>
      <c r="M16" s="17"/>
      <c r="N16" s="17"/>
      <c r="O16" s="17"/>
    </row>
    <row r="17" spans="1:15" ht="15.75" customHeight="1">
      <c r="A17" s="17"/>
      <c r="B17" s="24"/>
      <c r="C17" s="24"/>
      <c r="D17" s="17"/>
      <c r="E17" s="24"/>
      <c r="F17" s="17"/>
      <c r="G17" s="17"/>
      <c r="H17" s="17"/>
      <c r="I17" s="17"/>
      <c r="J17" s="17"/>
      <c r="K17" s="17" t="str">
        <f ca="1">IFERROR(__xludf.DUMMYFUNCTION("""COMPUTED_VALUE"""),".")</f>
        <v>.</v>
      </c>
      <c r="L17" s="17"/>
      <c r="M17" s="17"/>
      <c r="N17" s="17"/>
      <c r="O17" s="17"/>
    </row>
    <row r="18" spans="1:15" ht="15.75" customHeight="1">
      <c r="A18" s="17"/>
      <c r="B18" s="24"/>
      <c r="C18" s="24"/>
      <c r="D18" s="17"/>
      <c r="E18" s="24"/>
      <c r="F18" s="17"/>
      <c r="G18" s="17"/>
      <c r="H18" s="17"/>
      <c r="I18" s="17"/>
      <c r="J18" s="17"/>
      <c r="K18" s="17" t="str">
        <f ca="1">IFERROR(__xludf.DUMMYFUNCTION("""COMPUTED_VALUE"""),".")</f>
        <v>.</v>
      </c>
      <c r="L18" s="17"/>
      <c r="M18" s="17"/>
      <c r="N18" s="17"/>
      <c r="O18" s="17"/>
    </row>
    <row r="19" spans="1:15" ht="15.75" customHeight="1">
      <c r="A19" s="17"/>
      <c r="B19" s="24"/>
      <c r="C19" s="24"/>
      <c r="D19" s="17"/>
      <c r="E19" s="24"/>
      <c r="F19" s="17"/>
      <c r="G19" s="17"/>
      <c r="H19" s="17"/>
      <c r="I19" s="17"/>
      <c r="J19" s="17"/>
      <c r="K19" s="17" t="str">
        <f ca="1">IFERROR(__xludf.DUMMYFUNCTION("""COMPUTED_VALUE"""),".")</f>
        <v>.</v>
      </c>
      <c r="L19" s="17"/>
      <c r="M19" s="17"/>
      <c r="N19" s="17"/>
      <c r="O19" s="17"/>
    </row>
    <row r="20" spans="1:15" ht="12.5">
      <c r="A20" s="17"/>
      <c r="B20" s="24"/>
      <c r="C20" s="24"/>
      <c r="D20" s="17"/>
      <c r="E20" s="24"/>
      <c r="F20" s="17"/>
      <c r="G20" s="17"/>
      <c r="H20" s="17"/>
      <c r="I20" s="17"/>
      <c r="J20" s="17"/>
      <c r="K20" s="17" t="str">
        <f ca="1">IFERROR(__xludf.DUMMYFUNCTION("""COMPUTED_VALUE"""),".")</f>
        <v>.</v>
      </c>
      <c r="L20" s="17"/>
      <c r="M20" s="17"/>
      <c r="N20" s="17"/>
      <c r="O20" s="17"/>
    </row>
    <row r="21" spans="1:15" ht="12.5">
      <c r="A21" s="17"/>
      <c r="B21" s="24"/>
      <c r="C21" s="24"/>
      <c r="D21" s="17"/>
      <c r="E21" s="24"/>
      <c r="F21" s="17"/>
      <c r="G21" s="17"/>
      <c r="H21" s="17"/>
      <c r="I21" s="17"/>
      <c r="J21" s="17"/>
      <c r="K21" s="17" t="str">
        <f ca="1">IFERROR(__xludf.DUMMYFUNCTION("""COMPUTED_VALUE"""),".")</f>
        <v>.</v>
      </c>
      <c r="L21" s="17"/>
      <c r="M21" s="17"/>
      <c r="N21" s="17"/>
      <c r="O21" s="17"/>
    </row>
    <row r="22" spans="1:15" ht="12.5">
      <c r="A22" s="17"/>
      <c r="B22" s="24"/>
      <c r="C22" s="24"/>
      <c r="D22" s="17"/>
      <c r="E22" s="24"/>
      <c r="F22" s="17"/>
      <c r="G22" s="17"/>
      <c r="H22" s="17"/>
      <c r="I22" s="17"/>
      <c r="J22" s="17"/>
      <c r="K22" s="17" t="str">
        <f ca="1">IFERROR(__xludf.DUMMYFUNCTION("""COMPUTED_VALUE"""),".")</f>
        <v>.</v>
      </c>
      <c r="L22" s="17"/>
      <c r="M22" s="17"/>
      <c r="N22" s="17"/>
      <c r="O22" s="17"/>
    </row>
    <row r="23" spans="1:15" ht="12.5">
      <c r="A23" s="17"/>
      <c r="B23" s="24"/>
      <c r="C23" s="24"/>
      <c r="D23" s="17"/>
      <c r="E23" s="24"/>
      <c r="F23" s="17"/>
      <c r="G23" s="17"/>
      <c r="H23" s="17"/>
      <c r="I23" s="17"/>
      <c r="J23" s="17"/>
      <c r="K23" s="17" t="str">
        <f ca="1">IFERROR(__xludf.DUMMYFUNCTION("""COMPUTED_VALUE"""),".")</f>
        <v>.</v>
      </c>
      <c r="L23" s="17"/>
      <c r="M23" s="17"/>
      <c r="N23" s="17"/>
      <c r="O23" s="17"/>
    </row>
    <row r="24" spans="1:15" ht="12.5">
      <c r="A24" s="17"/>
      <c r="B24" s="24"/>
      <c r="C24" s="24"/>
      <c r="D24" s="17"/>
      <c r="E24" s="24"/>
      <c r="F24" s="17"/>
      <c r="G24" s="17"/>
      <c r="H24" s="17"/>
      <c r="I24" s="17"/>
      <c r="J24" s="17"/>
      <c r="K24" s="17" t="str">
        <f ca="1">IFERROR(__xludf.DUMMYFUNCTION("""COMPUTED_VALUE"""),".")</f>
        <v>.</v>
      </c>
      <c r="L24" s="17"/>
      <c r="M24" s="17"/>
      <c r="N24" s="17"/>
      <c r="O24" s="17"/>
    </row>
    <row r="25" spans="1:15" ht="12.5">
      <c r="A25" s="17"/>
      <c r="B25" s="24"/>
      <c r="C25" s="24"/>
      <c r="D25" s="17"/>
      <c r="E25" s="24"/>
      <c r="F25" s="17"/>
      <c r="G25" s="17"/>
      <c r="H25" s="17"/>
      <c r="I25" s="17"/>
      <c r="J25" s="17"/>
      <c r="K25" s="17" t="str">
        <f ca="1">IFERROR(__xludf.DUMMYFUNCTION("""COMPUTED_VALUE"""),".")</f>
        <v>.</v>
      </c>
      <c r="L25" s="17"/>
      <c r="M25" s="17"/>
      <c r="N25" s="17"/>
      <c r="O25" s="17"/>
    </row>
    <row r="26" spans="1:15" ht="12.5">
      <c r="A26" s="17"/>
      <c r="B26" s="24"/>
      <c r="C26" s="24"/>
      <c r="D26" s="17"/>
      <c r="E26" s="24"/>
      <c r="F26" s="17"/>
      <c r="G26" s="17"/>
      <c r="H26" s="17"/>
      <c r="I26" s="17"/>
      <c r="J26" s="17"/>
      <c r="K26" s="17" t="str">
        <f ca="1">IFERROR(__xludf.DUMMYFUNCTION("""COMPUTED_VALUE"""),".")</f>
        <v>.</v>
      </c>
      <c r="L26" s="17"/>
      <c r="M26" s="17"/>
      <c r="N26" s="17"/>
      <c r="O26" s="17"/>
    </row>
    <row r="27" spans="1:15" ht="12.5">
      <c r="A27" s="17"/>
      <c r="B27" s="24"/>
      <c r="C27" s="24"/>
      <c r="D27" s="17"/>
      <c r="E27" s="24"/>
      <c r="F27" s="17"/>
      <c r="G27" s="17"/>
      <c r="H27" s="17"/>
      <c r="I27" s="17"/>
      <c r="J27" s="17"/>
      <c r="K27" s="17" t="str">
        <f ca="1">IFERROR(__xludf.DUMMYFUNCTION("""COMPUTED_VALUE"""),".")</f>
        <v>.</v>
      </c>
      <c r="L27" s="17"/>
      <c r="M27" s="17"/>
      <c r="N27" s="17"/>
      <c r="O27" s="17"/>
    </row>
    <row r="28" spans="1:15" ht="12.5">
      <c r="A28" s="17"/>
      <c r="B28" s="24"/>
      <c r="C28" s="24"/>
      <c r="D28" s="17"/>
      <c r="E28" s="24"/>
      <c r="F28" s="17"/>
      <c r="G28" s="17"/>
      <c r="H28" s="17"/>
      <c r="I28" s="17"/>
      <c r="J28" s="17"/>
      <c r="K28" s="17" t="str">
        <f ca="1">IFERROR(__xludf.DUMMYFUNCTION("""COMPUTED_VALUE"""),".")</f>
        <v>.</v>
      </c>
      <c r="L28" s="17"/>
      <c r="M28" s="17"/>
      <c r="N28" s="17"/>
      <c r="O28" s="17"/>
    </row>
    <row r="29" spans="1:15" ht="12.5">
      <c r="A29" s="17"/>
      <c r="B29" s="24"/>
      <c r="C29" s="24"/>
      <c r="D29" s="17"/>
      <c r="E29" s="24"/>
      <c r="F29" s="17"/>
      <c r="G29" s="17"/>
      <c r="H29" s="17"/>
      <c r="I29" s="17"/>
      <c r="J29" s="17"/>
      <c r="K29" s="17" t="str">
        <f ca="1">IFERROR(__xludf.DUMMYFUNCTION("""COMPUTED_VALUE"""),".")</f>
        <v>.</v>
      </c>
      <c r="L29" s="17"/>
      <c r="M29" s="17"/>
      <c r="N29" s="17"/>
      <c r="O29" s="17"/>
    </row>
    <row r="30" spans="1:15" ht="12.5">
      <c r="A30" s="17"/>
      <c r="B30" s="24"/>
      <c r="C30" s="24"/>
      <c r="D30" s="17"/>
      <c r="E30" s="24"/>
      <c r="F30" s="17"/>
      <c r="G30" s="17"/>
      <c r="H30" s="17"/>
      <c r="I30" s="17"/>
      <c r="J30" s="17"/>
      <c r="K30" s="17" t="str">
        <f ca="1">IFERROR(__xludf.DUMMYFUNCTION("""COMPUTED_VALUE"""),".")</f>
        <v>.</v>
      </c>
      <c r="L30" s="17"/>
      <c r="M30" s="17"/>
      <c r="N30" s="17"/>
      <c r="O30" s="17"/>
    </row>
    <row r="31" spans="1:15" ht="12.5">
      <c r="A31" s="17"/>
      <c r="B31" s="24"/>
      <c r="C31" s="24"/>
      <c r="D31" s="17"/>
      <c r="E31" s="24"/>
      <c r="F31" s="17"/>
      <c r="G31" s="17"/>
      <c r="H31" s="17"/>
      <c r="I31" s="17"/>
      <c r="J31" s="17"/>
      <c r="K31" s="17" t="str">
        <f ca="1">IFERROR(__xludf.DUMMYFUNCTION("""COMPUTED_VALUE"""),".")</f>
        <v>.</v>
      </c>
      <c r="L31" s="17"/>
      <c r="M31" s="17"/>
      <c r="N31" s="17"/>
      <c r="O31" s="17"/>
    </row>
    <row r="32" spans="1:15" ht="12.5">
      <c r="A32" s="17"/>
      <c r="B32" s="24"/>
      <c r="C32" s="24"/>
      <c r="D32" s="17"/>
      <c r="E32" s="24"/>
      <c r="F32" s="17"/>
      <c r="G32" s="17"/>
      <c r="H32" s="17"/>
      <c r="I32" s="17"/>
      <c r="J32" s="17"/>
      <c r="K32" s="17" t="str">
        <f ca="1">IFERROR(__xludf.DUMMYFUNCTION("""COMPUTED_VALUE"""),".")</f>
        <v>.</v>
      </c>
      <c r="L32" s="17"/>
      <c r="M32" s="17"/>
      <c r="N32" s="17"/>
      <c r="O32" s="17"/>
    </row>
    <row r="33" spans="1:15" ht="12.5">
      <c r="A33" s="17"/>
      <c r="B33" s="24"/>
      <c r="C33" s="24"/>
      <c r="D33" s="17"/>
      <c r="E33" s="24"/>
      <c r="F33" s="17"/>
      <c r="G33" s="17"/>
      <c r="H33" s="17"/>
      <c r="I33" s="17"/>
      <c r="J33" s="17"/>
      <c r="K33" s="17" t="str">
        <f ca="1">IFERROR(__xludf.DUMMYFUNCTION("""COMPUTED_VALUE"""),".")</f>
        <v>.</v>
      </c>
      <c r="L33" s="17"/>
      <c r="M33" s="17"/>
      <c r="N33" s="17"/>
      <c r="O33" s="17"/>
    </row>
    <row r="34" spans="1:15" ht="12.5">
      <c r="A34" s="17"/>
      <c r="B34" s="24"/>
      <c r="C34" s="24"/>
      <c r="D34" s="17"/>
      <c r="E34" s="24"/>
      <c r="F34" s="17"/>
      <c r="G34" s="17"/>
      <c r="H34" s="17"/>
      <c r="I34" s="17"/>
      <c r="J34" s="17"/>
      <c r="K34" s="17" t="str">
        <f ca="1">IFERROR(__xludf.DUMMYFUNCTION("""COMPUTED_VALUE"""),".")</f>
        <v>.</v>
      </c>
      <c r="L34" s="17"/>
      <c r="M34" s="17"/>
      <c r="N34" s="17"/>
      <c r="O34" s="17"/>
    </row>
    <row r="35" spans="1:15" ht="12.5">
      <c r="A35" s="17"/>
      <c r="B35" s="24"/>
      <c r="C35" s="24"/>
      <c r="D35" s="17"/>
      <c r="E35" s="24"/>
      <c r="F35" s="17"/>
      <c r="G35" s="17"/>
      <c r="H35" s="17"/>
      <c r="I35" s="17"/>
      <c r="J35" s="17"/>
      <c r="K35" s="17" t="str">
        <f ca="1">IFERROR(__xludf.DUMMYFUNCTION("""COMPUTED_VALUE"""),".")</f>
        <v>.</v>
      </c>
      <c r="L35" s="17"/>
      <c r="M35" s="17"/>
      <c r="N35" s="17"/>
      <c r="O35" s="17"/>
    </row>
    <row r="36" spans="1:15" ht="12.5">
      <c r="A36" s="17"/>
      <c r="B36" s="24"/>
      <c r="C36" s="24"/>
      <c r="D36" s="17"/>
      <c r="E36" s="24"/>
      <c r="F36" s="17"/>
      <c r="G36" s="17"/>
      <c r="H36" s="17"/>
      <c r="I36" s="17"/>
      <c r="J36" s="17"/>
      <c r="K36" s="17" t="str">
        <f ca="1">IFERROR(__xludf.DUMMYFUNCTION("""COMPUTED_VALUE"""),".")</f>
        <v>.</v>
      </c>
      <c r="L36" s="17"/>
      <c r="M36" s="17"/>
      <c r="N36" s="17"/>
      <c r="O36" s="17"/>
    </row>
    <row r="37" spans="1:15" ht="12.5">
      <c r="A37" s="17"/>
      <c r="B37" s="24"/>
      <c r="C37" s="24"/>
      <c r="D37" s="17"/>
      <c r="E37" s="24"/>
      <c r="F37" s="17"/>
      <c r="G37" s="17"/>
      <c r="H37" s="17"/>
      <c r="I37" s="17"/>
      <c r="J37" s="17"/>
      <c r="K37" s="17" t="str">
        <f ca="1">IFERROR(__xludf.DUMMYFUNCTION("""COMPUTED_VALUE"""),".")</f>
        <v>.</v>
      </c>
      <c r="L37" s="17"/>
      <c r="M37" s="17"/>
      <c r="N37" s="17"/>
      <c r="O37" s="17"/>
    </row>
    <row r="38" spans="1:15" ht="12.5">
      <c r="A38" s="17"/>
      <c r="B38" s="24"/>
      <c r="C38" s="24"/>
      <c r="D38" s="17"/>
      <c r="E38" s="24"/>
      <c r="F38" s="17"/>
      <c r="G38" s="17"/>
      <c r="H38" s="17"/>
      <c r="I38" s="17"/>
      <c r="J38" s="17"/>
      <c r="K38" s="17" t="str">
        <f ca="1">IFERROR(__xludf.DUMMYFUNCTION("""COMPUTED_VALUE"""),".")</f>
        <v>.</v>
      </c>
      <c r="L38" s="17"/>
      <c r="M38" s="17"/>
      <c r="N38" s="17"/>
      <c r="O38" s="17"/>
    </row>
    <row r="39" spans="1:15" ht="12.5">
      <c r="A39" s="17"/>
      <c r="B39" s="24"/>
      <c r="C39" s="24"/>
      <c r="D39" s="17"/>
      <c r="E39" s="24"/>
      <c r="F39" s="17"/>
      <c r="G39" s="17"/>
      <c r="H39" s="17"/>
      <c r="I39" s="17"/>
      <c r="J39" s="17"/>
      <c r="K39" s="17" t="str">
        <f ca="1">IFERROR(__xludf.DUMMYFUNCTION("""COMPUTED_VALUE"""),".")</f>
        <v>.</v>
      </c>
      <c r="L39" s="17"/>
      <c r="M39" s="17"/>
      <c r="N39" s="17"/>
      <c r="O39" s="17"/>
    </row>
    <row r="40" spans="1:15" ht="12.5">
      <c r="A40" s="17"/>
      <c r="B40" s="24"/>
      <c r="C40" s="24"/>
      <c r="D40" s="17"/>
      <c r="E40" s="24"/>
      <c r="F40" s="17"/>
      <c r="G40" s="17"/>
      <c r="H40" s="17"/>
      <c r="I40" s="17"/>
      <c r="J40" s="17"/>
      <c r="K40" s="17" t="str">
        <f ca="1">IFERROR(__xludf.DUMMYFUNCTION("""COMPUTED_VALUE"""),".")</f>
        <v>.</v>
      </c>
      <c r="L40" s="17"/>
      <c r="M40" s="17"/>
      <c r="N40" s="17"/>
      <c r="O40" s="17"/>
    </row>
    <row r="41" spans="1:15" ht="12.5">
      <c r="A41" s="17"/>
      <c r="B41" s="24"/>
      <c r="C41" s="24"/>
      <c r="D41" s="17"/>
      <c r="E41" s="24"/>
      <c r="F41" s="17"/>
      <c r="G41" s="17"/>
      <c r="H41" s="17"/>
      <c r="I41" s="17"/>
      <c r="J41" s="17"/>
      <c r="K41" s="17" t="str">
        <f ca="1">IFERROR(__xludf.DUMMYFUNCTION("""COMPUTED_VALUE"""),".")</f>
        <v>.</v>
      </c>
      <c r="L41" s="17"/>
      <c r="M41" s="17"/>
      <c r="N41" s="17"/>
      <c r="O41" s="17"/>
    </row>
    <row r="42" spans="1:15" ht="12.5">
      <c r="A42" s="17"/>
      <c r="B42" s="24"/>
      <c r="C42" s="24"/>
      <c r="D42" s="17"/>
      <c r="E42" s="24"/>
      <c r="F42" s="17"/>
      <c r="G42" s="17"/>
      <c r="H42" s="17"/>
      <c r="I42" s="17"/>
      <c r="J42" s="17"/>
      <c r="K42" s="17" t="str">
        <f ca="1">IFERROR(__xludf.DUMMYFUNCTION("""COMPUTED_VALUE"""),".")</f>
        <v>.</v>
      </c>
      <c r="L42" s="17"/>
      <c r="M42" s="17"/>
      <c r="N42" s="17"/>
      <c r="O42" s="17"/>
    </row>
    <row r="43" spans="1:15" ht="12.5">
      <c r="A43" s="17"/>
      <c r="B43" s="24"/>
      <c r="C43" s="24"/>
      <c r="D43" s="17"/>
      <c r="E43" s="24"/>
      <c r="F43" s="17"/>
      <c r="G43" s="17"/>
      <c r="H43" s="17"/>
      <c r="I43" s="17"/>
      <c r="J43" s="17"/>
      <c r="K43" s="17" t="str">
        <f ca="1">IFERROR(__xludf.DUMMYFUNCTION("""COMPUTED_VALUE"""),".")</f>
        <v>.</v>
      </c>
      <c r="L43" s="17"/>
      <c r="M43" s="17"/>
      <c r="N43" s="17"/>
      <c r="O43" s="17"/>
    </row>
    <row r="44" spans="1:15" ht="12.5">
      <c r="A44" s="17"/>
      <c r="B44" s="24"/>
      <c r="C44" s="24"/>
      <c r="D44" s="17"/>
      <c r="E44" s="24"/>
      <c r="F44" s="17"/>
      <c r="G44" s="17"/>
      <c r="H44" s="17"/>
      <c r="I44" s="17"/>
      <c r="J44" s="17"/>
      <c r="K44" s="17" t="str">
        <f ca="1">IFERROR(__xludf.DUMMYFUNCTION("""COMPUTED_VALUE"""),".")</f>
        <v>.</v>
      </c>
      <c r="L44" s="17"/>
      <c r="M44" s="17"/>
      <c r="N44" s="17"/>
      <c r="O44" s="17"/>
    </row>
    <row r="45" spans="1:15" ht="12.5">
      <c r="A45" s="17"/>
      <c r="B45" s="24"/>
      <c r="C45" s="24"/>
      <c r="D45" s="17"/>
      <c r="E45" s="24"/>
      <c r="F45" s="17"/>
      <c r="G45" s="17"/>
      <c r="H45" s="17"/>
      <c r="I45" s="17"/>
      <c r="J45" s="17"/>
      <c r="K45" s="17" t="str">
        <f ca="1">IFERROR(__xludf.DUMMYFUNCTION("""COMPUTED_VALUE"""),".")</f>
        <v>.</v>
      </c>
      <c r="L45" s="17"/>
      <c r="M45" s="17"/>
      <c r="N45" s="17"/>
      <c r="O45" s="17"/>
    </row>
    <row r="46" spans="1:15" ht="12.5">
      <c r="A46" s="17"/>
      <c r="B46" s="24"/>
      <c r="C46" s="24"/>
      <c r="D46" s="17"/>
      <c r="E46" s="24"/>
      <c r="F46" s="17"/>
      <c r="G46" s="17"/>
      <c r="H46" s="17"/>
      <c r="I46" s="17"/>
      <c r="J46" s="17"/>
      <c r="K46" s="17" t="str">
        <f ca="1">IFERROR(__xludf.DUMMYFUNCTION("""COMPUTED_VALUE"""),".")</f>
        <v>.</v>
      </c>
      <c r="L46" s="17"/>
      <c r="M46" s="17"/>
      <c r="N46" s="17"/>
      <c r="O46" s="17"/>
    </row>
    <row r="47" spans="1:15" ht="12.5">
      <c r="A47" s="17"/>
      <c r="B47" s="24"/>
      <c r="C47" s="24"/>
      <c r="D47" s="17"/>
      <c r="E47" s="24"/>
      <c r="F47" s="17"/>
      <c r="G47" s="17"/>
      <c r="H47" s="17"/>
      <c r="I47" s="17"/>
      <c r="J47" s="17"/>
      <c r="K47" s="17" t="str">
        <f ca="1">IFERROR(__xludf.DUMMYFUNCTION("""COMPUTED_VALUE"""),".")</f>
        <v>.</v>
      </c>
      <c r="L47" s="17"/>
      <c r="M47" s="17"/>
      <c r="N47" s="17"/>
      <c r="O47" s="17"/>
    </row>
    <row r="48" spans="1:15" ht="12.5">
      <c r="A48" s="17"/>
      <c r="B48" s="24"/>
      <c r="C48" s="24"/>
      <c r="D48" s="17"/>
      <c r="E48" s="24"/>
      <c r="F48" s="17"/>
      <c r="G48" s="17"/>
      <c r="H48" s="17"/>
      <c r="I48" s="17"/>
      <c r="J48" s="17"/>
      <c r="K48" s="17" t="str">
        <f ca="1">IFERROR(__xludf.DUMMYFUNCTION("""COMPUTED_VALUE"""),".")</f>
        <v>.</v>
      </c>
      <c r="L48" s="17"/>
      <c r="M48" s="17"/>
      <c r="N48" s="17"/>
      <c r="O48" s="17"/>
    </row>
    <row r="49" spans="1:15" ht="12.5">
      <c r="A49" s="17"/>
      <c r="B49" s="24"/>
      <c r="C49" s="24"/>
      <c r="D49" s="17"/>
      <c r="E49" s="24"/>
      <c r="F49" s="17"/>
      <c r="G49" s="17"/>
      <c r="H49" s="17"/>
      <c r="I49" s="17"/>
      <c r="J49" s="17"/>
      <c r="K49" s="17" t="str">
        <f ca="1">IFERROR(__xludf.DUMMYFUNCTION("""COMPUTED_VALUE"""),".")</f>
        <v>.</v>
      </c>
      <c r="L49" s="17"/>
      <c r="M49" s="17"/>
      <c r="N49" s="17"/>
      <c r="O49" s="17"/>
    </row>
    <row r="50" spans="1:15" ht="12.5">
      <c r="A50" s="17"/>
      <c r="B50" s="24"/>
      <c r="C50" s="24"/>
      <c r="D50" s="17"/>
      <c r="E50" s="24"/>
      <c r="F50" s="17"/>
      <c r="G50" s="17"/>
      <c r="H50" s="17"/>
      <c r="I50" s="17"/>
      <c r="J50" s="17"/>
      <c r="K50" s="17" t="str">
        <f ca="1">IFERROR(__xludf.DUMMYFUNCTION("""COMPUTED_VALUE"""),".")</f>
        <v>.</v>
      </c>
      <c r="L50" s="17"/>
      <c r="M50" s="17"/>
      <c r="N50" s="17"/>
      <c r="O50" s="17"/>
    </row>
    <row r="51" spans="1:15" ht="12.5">
      <c r="A51" s="17"/>
      <c r="B51" s="24"/>
      <c r="C51" s="24"/>
      <c r="D51" s="17"/>
      <c r="E51" s="24"/>
      <c r="F51" s="17"/>
      <c r="G51" s="17"/>
      <c r="H51" s="17"/>
      <c r="I51" s="17"/>
      <c r="J51" s="17"/>
      <c r="K51" s="17" t="str">
        <f ca="1">IFERROR(__xludf.DUMMYFUNCTION("""COMPUTED_VALUE"""),".")</f>
        <v>.</v>
      </c>
      <c r="L51" s="17"/>
      <c r="M51" s="17"/>
      <c r="N51" s="17"/>
      <c r="O51" s="17"/>
    </row>
    <row r="52" spans="1:15" ht="12.5">
      <c r="A52" s="17"/>
      <c r="B52" s="24"/>
      <c r="C52" s="24"/>
      <c r="D52" s="17"/>
      <c r="E52" s="24"/>
      <c r="F52" s="17"/>
      <c r="G52" s="17"/>
      <c r="H52" s="17"/>
      <c r="I52" s="17"/>
      <c r="J52" s="17"/>
      <c r="K52" s="17" t="str">
        <f ca="1">IFERROR(__xludf.DUMMYFUNCTION("""COMPUTED_VALUE"""),".")</f>
        <v>.</v>
      </c>
      <c r="L52" s="17"/>
      <c r="M52" s="17"/>
      <c r="N52" s="17"/>
      <c r="O52" s="17"/>
    </row>
    <row r="53" spans="1:15" ht="12.5">
      <c r="A53" s="17"/>
      <c r="B53" s="24"/>
      <c r="C53" s="24"/>
      <c r="D53" s="17"/>
      <c r="E53" s="24"/>
      <c r="F53" s="17"/>
      <c r="G53" s="17"/>
      <c r="H53" s="17"/>
      <c r="I53" s="17"/>
      <c r="J53" s="17"/>
      <c r="K53" s="17" t="str">
        <f ca="1">IFERROR(__xludf.DUMMYFUNCTION("""COMPUTED_VALUE"""),".")</f>
        <v>.</v>
      </c>
      <c r="L53" s="17"/>
      <c r="M53" s="17"/>
      <c r="N53" s="17"/>
      <c r="O53" s="17"/>
    </row>
    <row r="54" spans="1:15" ht="12.5">
      <c r="A54" s="17"/>
      <c r="B54" s="24"/>
      <c r="C54" s="24"/>
      <c r="D54" s="17"/>
      <c r="E54" s="24"/>
      <c r="F54" s="17"/>
      <c r="G54" s="17"/>
      <c r="H54" s="17"/>
      <c r="I54" s="17"/>
      <c r="J54" s="17"/>
      <c r="K54" s="17" t="str">
        <f ca="1">IFERROR(__xludf.DUMMYFUNCTION("""COMPUTED_VALUE"""),".")</f>
        <v>.</v>
      </c>
      <c r="L54" s="17"/>
      <c r="M54" s="17"/>
      <c r="N54" s="17"/>
      <c r="O54" s="17"/>
    </row>
    <row r="55" spans="1:15" ht="12.5">
      <c r="A55" s="17"/>
      <c r="B55" s="24"/>
      <c r="C55" s="24"/>
      <c r="D55" s="17"/>
      <c r="E55" s="24"/>
      <c r="F55" s="17"/>
      <c r="G55" s="17"/>
      <c r="H55" s="17"/>
      <c r="I55" s="17"/>
      <c r="J55" s="17"/>
      <c r="K55" s="17" t="str">
        <f ca="1">IFERROR(__xludf.DUMMYFUNCTION("""COMPUTED_VALUE"""),".")</f>
        <v>.</v>
      </c>
      <c r="L55" s="17"/>
      <c r="M55" s="17"/>
      <c r="N55" s="17"/>
      <c r="O55" s="17"/>
    </row>
    <row r="56" spans="1:15" ht="12.5">
      <c r="A56" s="17"/>
      <c r="B56" s="24"/>
      <c r="C56" s="24"/>
      <c r="D56" s="17"/>
      <c r="E56" s="24"/>
      <c r="F56" s="17"/>
      <c r="G56" s="17"/>
      <c r="H56" s="17"/>
      <c r="I56" s="17"/>
      <c r="J56" s="17"/>
      <c r="K56" s="17" t="str">
        <f ca="1">IFERROR(__xludf.DUMMYFUNCTION("""COMPUTED_VALUE"""),".")</f>
        <v>.</v>
      </c>
      <c r="L56" s="17"/>
      <c r="M56" s="17"/>
      <c r="N56" s="17"/>
      <c r="O56" s="17"/>
    </row>
    <row r="57" spans="1:15" ht="12.5">
      <c r="A57" s="17"/>
      <c r="B57" s="24"/>
      <c r="C57" s="24"/>
      <c r="D57" s="17"/>
      <c r="E57" s="24"/>
      <c r="F57" s="17"/>
      <c r="G57" s="17"/>
      <c r="H57" s="17"/>
      <c r="I57" s="17"/>
      <c r="J57" s="17"/>
      <c r="K57" s="17" t="str">
        <f ca="1">IFERROR(__xludf.DUMMYFUNCTION("""COMPUTED_VALUE"""),".")</f>
        <v>.</v>
      </c>
      <c r="L57" s="17"/>
      <c r="M57" s="17"/>
      <c r="N57" s="17"/>
      <c r="O57" s="17"/>
    </row>
    <row r="58" spans="1:15" ht="12.5">
      <c r="A58" s="17"/>
      <c r="B58" s="24"/>
      <c r="C58" s="24"/>
      <c r="D58" s="17"/>
      <c r="E58" s="24"/>
      <c r="F58" s="17"/>
      <c r="G58" s="17"/>
      <c r="H58" s="17"/>
      <c r="I58" s="17"/>
      <c r="J58" s="17"/>
      <c r="K58" s="17" t="str">
        <f ca="1">IFERROR(__xludf.DUMMYFUNCTION("""COMPUTED_VALUE"""),".")</f>
        <v>.</v>
      </c>
      <c r="L58" s="17"/>
      <c r="M58" s="17"/>
      <c r="N58" s="17"/>
      <c r="O58" s="17"/>
    </row>
    <row r="59" spans="1:15" ht="12.5">
      <c r="A59" s="17"/>
      <c r="B59" s="24"/>
      <c r="C59" s="24"/>
      <c r="D59" s="17"/>
      <c r="E59" s="24"/>
      <c r="F59" s="17"/>
      <c r="G59" s="17"/>
      <c r="H59" s="17"/>
      <c r="I59" s="17"/>
      <c r="J59" s="17"/>
      <c r="K59" s="17" t="str">
        <f ca="1">IFERROR(__xludf.DUMMYFUNCTION("""COMPUTED_VALUE"""),".")</f>
        <v>.</v>
      </c>
      <c r="L59" s="17"/>
      <c r="M59" s="17"/>
      <c r="N59" s="17"/>
      <c r="O59" s="17"/>
    </row>
    <row r="60" spans="1:15" ht="12.5">
      <c r="A60" s="17"/>
      <c r="B60" s="24"/>
      <c r="C60" s="24"/>
      <c r="D60" s="17"/>
      <c r="E60" s="24"/>
      <c r="F60" s="17"/>
      <c r="G60" s="17"/>
      <c r="H60" s="17"/>
      <c r="I60" s="17"/>
      <c r="J60" s="17"/>
      <c r="K60" s="17" t="str">
        <f ca="1">IFERROR(__xludf.DUMMYFUNCTION("""COMPUTED_VALUE"""),".")</f>
        <v>.</v>
      </c>
      <c r="L60" s="17"/>
      <c r="M60" s="17"/>
      <c r="N60" s="17"/>
      <c r="O60" s="17"/>
    </row>
    <row r="61" spans="1:15" ht="12.5">
      <c r="A61" s="17"/>
      <c r="B61" s="24"/>
      <c r="C61" s="24"/>
      <c r="D61" s="17"/>
      <c r="E61" s="24"/>
      <c r="F61" s="17"/>
      <c r="G61" s="17"/>
      <c r="H61" s="17"/>
      <c r="I61" s="17"/>
      <c r="J61" s="17"/>
      <c r="K61" s="17" t="str">
        <f ca="1">IFERROR(__xludf.DUMMYFUNCTION("""COMPUTED_VALUE"""),".")</f>
        <v>.</v>
      </c>
      <c r="L61" s="17"/>
      <c r="M61" s="17"/>
      <c r="N61" s="17"/>
      <c r="O61" s="17"/>
    </row>
    <row r="62" spans="1:15" ht="12.5">
      <c r="A62" s="17"/>
      <c r="B62" s="24"/>
      <c r="C62" s="24"/>
      <c r="D62" s="17"/>
      <c r="E62" s="24"/>
      <c r="F62" s="17"/>
      <c r="G62" s="17"/>
      <c r="H62" s="17"/>
      <c r="I62" s="17"/>
      <c r="J62" s="17"/>
      <c r="K62" s="17" t="str">
        <f ca="1">IFERROR(__xludf.DUMMYFUNCTION("""COMPUTED_VALUE"""),".")</f>
        <v>.</v>
      </c>
      <c r="L62" s="17"/>
      <c r="M62" s="17"/>
      <c r="N62" s="17"/>
      <c r="O62" s="17"/>
    </row>
    <row r="63" spans="1:15" ht="12.5">
      <c r="A63" s="17"/>
      <c r="B63" s="24"/>
      <c r="C63" s="24"/>
      <c r="D63" s="17"/>
      <c r="E63" s="24"/>
      <c r="F63" s="17"/>
      <c r="G63" s="17"/>
      <c r="H63" s="17"/>
      <c r="I63" s="17"/>
      <c r="J63" s="17"/>
      <c r="K63" s="17" t="str">
        <f ca="1">IFERROR(__xludf.DUMMYFUNCTION("""COMPUTED_VALUE"""),".")</f>
        <v>.</v>
      </c>
      <c r="L63" s="17"/>
      <c r="M63" s="17"/>
      <c r="N63" s="17"/>
      <c r="O63" s="17"/>
    </row>
    <row r="64" spans="1:15" ht="12.5">
      <c r="A64" s="17"/>
      <c r="B64" s="24"/>
      <c r="C64" s="24"/>
      <c r="D64" s="17"/>
      <c r="E64" s="24"/>
      <c r="F64" s="17"/>
      <c r="G64" s="17"/>
      <c r="H64" s="17"/>
      <c r="I64" s="17"/>
      <c r="J64" s="17"/>
      <c r="K64" s="17" t="str">
        <f ca="1">IFERROR(__xludf.DUMMYFUNCTION("""COMPUTED_VALUE"""),".")</f>
        <v>.</v>
      </c>
      <c r="L64" s="17"/>
      <c r="M64" s="17"/>
      <c r="N64" s="17"/>
      <c r="O64" s="17"/>
    </row>
    <row r="65" spans="1:15" ht="12.5">
      <c r="A65" s="17"/>
      <c r="B65" s="24"/>
      <c r="C65" s="24"/>
      <c r="D65" s="17"/>
      <c r="E65" s="24"/>
      <c r="F65" s="17"/>
      <c r="G65" s="17"/>
      <c r="H65" s="17"/>
      <c r="I65" s="17"/>
      <c r="J65" s="17"/>
      <c r="K65" s="17" t="str">
        <f ca="1">IFERROR(__xludf.DUMMYFUNCTION("""COMPUTED_VALUE"""),".")</f>
        <v>.</v>
      </c>
      <c r="L65" s="17"/>
      <c r="M65" s="17"/>
      <c r="N65" s="17"/>
      <c r="O65" s="17"/>
    </row>
    <row r="66" spans="1:15" ht="12.5">
      <c r="A66" s="17"/>
      <c r="B66" s="24"/>
      <c r="C66" s="24"/>
      <c r="D66" s="17"/>
      <c r="E66" s="24"/>
      <c r="F66" s="17"/>
      <c r="G66" s="17"/>
      <c r="H66" s="17"/>
      <c r="I66" s="17"/>
      <c r="J66" s="17"/>
      <c r="K66" s="17" t="str">
        <f ca="1">IFERROR(__xludf.DUMMYFUNCTION("""COMPUTED_VALUE"""),".")</f>
        <v>.</v>
      </c>
      <c r="L66" s="17"/>
      <c r="M66" s="17"/>
      <c r="N66" s="17"/>
      <c r="O66" s="17"/>
    </row>
    <row r="67" spans="1:15" ht="12.5">
      <c r="A67" s="17"/>
      <c r="B67" s="24"/>
      <c r="C67" s="24"/>
      <c r="D67" s="17"/>
      <c r="E67" s="24"/>
      <c r="F67" s="17"/>
      <c r="G67" s="17"/>
      <c r="H67" s="17"/>
      <c r="I67" s="17"/>
      <c r="J67" s="17"/>
      <c r="K67" s="17" t="str">
        <f ca="1">IFERROR(__xludf.DUMMYFUNCTION("""COMPUTED_VALUE"""),".")</f>
        <v>.</v>
      </c>
      <c r="L67" s="17"/>
      <c r="M67" s="17"/>
      <c r="N67" s="17"/>
      <c r="O67" s="17"/>
    </row>
    <row r="68" spans="1:15" ht="12.5">
      <c r="A68" s="17"/>
      <c r="B68" s="24"/>
      <c r="C68" s="24"/>
      <c r="D68" s="17"/>
      <c r="E68" s="24"/>
      <c r="F68" s="17"/>
      <c r="G68" s="17"/>
      <c r="H68" s="17"/>
      <c r="I68" s="17"/>
      <c r="J68" s="17"/>
      <c r="K68" s="17" t="str">
        <f ca="1">IFERROR(__xludf.DUMMYFUNCTION("""COMPUTED_VALUE"""),".")</f>
        <v>.</v>
      </c>
      <c r="L68" s="17"/>
      <c r="M68" s="17"/>
      <c r="N68" s="17"/>
      <c r="O68" s="17"/>
    </row>
    <row r="69" spans="1:15" ht="12.5">
      <c r="A69" s="17"/>
      <c r="B69" s="24"/>
      <c r="C69" s="24"/>
      <c r="D69" s="17"/>
      <c r="E69" s="24"/>
      <c r="F69" s="17"/>
      <c r="G69" s="17"/>
      <c r="H69" s="17"/>
      <c r="I69" s="17"/>
      <c r="J69" s="17"/>
      <c r="K69" s="17" t="str">
        <f ca="1">IFERROR(__xludf.DUMMYFUNCTION("""COMPUTED_VALUE"""),".")</f>
        <v>.</v>
      </c>
      <c r="L69" s="17"/>
      <c r="M69" s="17"/>
      <c r="N69" s="17"/>
      <c r="O69" s="17"/>
    </row>
    <row r="70" spans="1:15" ht="12.5">
      <c r="A70" s="17"/>
      <c r="B70" s="24"/>
      <c r="C70" s="24"/>
      <c r="D70" s="17"/>
      <c r="E70" s="24"/>
      <c r="F70" s="17"/>
      <c r="G70" s="17"/>
      <c r="H70" s="17"/>
      <c r="I70" s="17"/>
      <c r="J70" s="17"/>
      <c r="K70" s="17" t="str">
        <f ca="1">IFERROR(__xludf.DUMMYFUNCTION("""COMPUTED_VALUE"""),".")</f>
        <v>.</v>
      </c>
      <c r="L70" s="17"/>
      <c r="M70" s="17"/>
      <c r="N70" s="17"/>
      <c r="O70" s="17"/>
    </row>
    <row r="71" spans="1:15" ht="12.5">
      <c r="A71" s="17"/>
      <c r="B71" s="24"/>
      <c r="C71" s="24"/>
      <c r="D71" s="17"/>
      <c r="E71" s="24"/>
      <c r="F71" s="17"/>
      <c r="G71" s="17"/>
      <c r="H71" s="17"/>
      <c r="I71" s="17"/>
      <c r="J71" s="17"/>
      <c r="K71" s="17" t="str">
        <f ca="1">IFERROR(__xludf.DUMMYFUNCTION("""COMPUTED_VALUE"""),".")</f>
        <v>.</v>
      </c>
      <c r="L71" s="17"/>
      <c r="M71" s="17"/>
      <c r="N71" s="17"/>
      <c r="O71" s="17"/>
    </row>
    <row r="72" spans="1:15" ht="12.5">
      <c r="A72" s="17"/>
      <c r="B72" s="24"/>
      <c r="C72" s="24"/>
      <c r="D72" s="17"/>
      <c r="E72" s="24"/>
      <c r="F72" s="17"/>
      <c r="G72" s="17"/>
      <c r="H72" s="17"/>
      <c r="I72" s="17"/>
      <c r="J72" s="17"/>
      <c r="K72" s="17" t="str">
        <f ca="1">IFERROR(__xludf.DUMMYFUNCTION("""COMPUTED_VALUE"""),".")</f>
        <v>.</v>
      </c>
      <c r="L72" s="17"/>
      <c r="M72" s="17"/>
      <c r="N72" s="17"/>
      <c r="O72" s="17"/>
    </row>
    <row r="73" spans="1:15" ht="12.5">
      <c r="A73" s="17"/>
      <c r="B73" s="24"/>
      <c r="C73" s="24"/>
      <c r="D73" s="17"/>
      <c r="E73" s="24"/>
      <c r="F73" s="17"/>
      <c r="G73" s="17"/>
      <c r="H73" s="17"/>
      <c r="I73" s="17"/>
      <c r="J73" s="17"/>
      <c r="K73" s="17" t="str">
        <f ca="1">IFERROR(__xludf.DUMMYFUNCTION("""COMPUTED_VALUE"""),".")</f>
        <v>.</v>
      </c>
      <c r="L73" s="17"/>
      <c r="M73" s="17"/>
      <c r="N73" s="17"/>
      <c r="O73" s="17"/>
    </row>
    <row r="74" spans="1:15" ht="12.5">
      <c r="A74" s="17"/>
      <c r="B74" s="24"/>
      <c r="C74" s="24"/>
      <c r="D74" s="17"/>
      <c r="E74" s="24"/>
      <c r="F74" s="17"/>
      <c r="G74" s="17"/>
      <c r="H74" s="17"/>
      <c r="I74" s="17"/>
      <c r="J74" s="17"/>
      <c r="K74" s="17" t="str">
        <f ca="1">IFERROR(__xludf.DUMMYFUNCTION("""COMPUTED_VALUE"""),".")</f>
        <v>.</v>
      </c>
      <c r="L74" s="17"/>
      <c r="M74" s="17"/>
      <c r="N74" s="17"/>
      <c r="O74" s="17"/>
    </row>
    <row r="75" spans="1:15" ht="12.5">
      <c r="A75" s="17"/>
      <c r="B75" s="24"/>
      <c r="C75" s="24"/>
      <c r="D75" s="17"/>
      <c r="E75" s="24"/>
      <c r="F75" s="17"/>
      <c r="G75" s="17"/>
      <c r="H75" s="17"/>
      <c r="I75" s="17"/>
      <c r="J75" s="17"/>
      <c r="K75" s="17" t="str">
        <f ca="1">IFERROR(__xludf.DUMMYFUNCTION("""COMPUTED_VALUE"""),".")</f>
        <v>.</v>
      </c>
      <c r="L75" s="17"/>
      <c r="M75" s="17"/>
      <c r="N75" s="17"/>
      <c r="O75" s="17"/>
    </row>
    <row r="76" spans="1:15" ht="12.5">
      <c r="A76" s="17"/>
      <c r="B76" s="24"/>
      <c r="C76" s="24"/>
      <c r="D76" s="17"/>
      <c r="E76" s="24"/>
      <c r="F76" s="17"/>
      <c r="G76" s="17"/>
      <c r="H76" s="17"/>
      <c r="I76" s="17"/>
      <c r="J76" s="17"/>
      <c r="K76" s="17" t="str">
        <f ca="1">IFERROR(__xludf.DUMMYFUNCTION("""COMPUTED_VALUE"""),".")</f>
        <v>.</v>
      </c>
      <c r="L76" s="17"/>
      <c r="M76" s="17"/>
      <c r="N76" s="17"/>
      <c r="O76" s="17"/>
    </row>
    <row r="77" spans="1:15" ht="12.5">
      <c r="A77" s="17"/>
      <c r="B77" s="24"/>
      <c r="C77" s="24"/>
      <c r="D77" s="17"/>
      <c r="E77" s="24"/>
      <c r="F77" s="17"/>
      <c r="G77" s="17"/>
      <c r="H77" s="17"/>
      <c r="I77" s="17"/>
      <c r="J77" s="17"/>
      <c r="K77" s="17" t="str">
        <f ca="1">IFERROR(__xludf.DUMMYFUNCTION("""COMPUTED_VALUE"""),".")</f>
        <v>.</v>
      </c>
      <c r="L77" s="17"/>
      <c r="M77" s="17"/>
      <c r="N77" s="17"/>
      <c r="O77" s="17"/>
    </row>
    <row r="78" spans="1:15" ht="12.5">
      <c r="A78" s="17"/>
      <c r="B78" s="24"/>
      <c r="C78" s="24"/>
      <c r="D78" s="17"/>
      <c r="E78" s="24"/>
      <c r="F78" s="17"/>
      <c r="G78" s="17"/>
      <c r="H78" s="17"/>
      <c r="I78" s="17"/>
      <c r="J78" s="17"/>
      <c r="K78" s="17" t="str">
        <f ca="1">IFERROR(__xludf.DUMMYFUNCTION("""COMPUTED_VALUE"""),".")</f>
        <v>.</v>
      </c>
      <c r="L78" s="17"/>
      <c r="M78" s="17"/>
      <c r="N78" s="17"/>
      <c r="O78" s="17"/>
    </row>
    <row r="79" spans="1:15" ht="12.5">
      <c r="A79" s="17"/>
      <c r="B79" s="24"/>
      <c r="C79" s="24"/>
      <c r="D79" s="17"/>
      <c r="E79" s="24"/>
      <c r="F79" s="17"/>
      <c r="G79" s="17"/>
      <c r="H79" s="17"/>
      <c r="I79" s="17"/>
      <c r="J79" s="17"/>
      <c r="K79" s="17" t="str">
        <f ca="1">IFERROR(__xludf.DUMMYFUNCTION("""COMPUTED_VALUE"""),".")</f>
        <v>.</v>
      </c>
      <c r="L79" s="17"/>
      <c r="M79" s="17"/>
      <c r="N79" s="17"/>
      <c r="O79" s="17"/>
    </row>
    <row r="80" spans="1:15" ht="12.5">
      <c r="A80" s="17"/>
      <c r="B80" s="24"/>
      <c r="C80" s="24"/>
      <c r="D80" s="17"/>
      <c r="E80" s="24"/>
      <c r="F80" s="17"/>
      <c r="G80" s="17"/>
      <c r="H80" s="17"/>
      <c r="I80" s="17"/>
      <c r="J80" s="17"/>
      <c r="K80" s="17" t="str">
        <f ca="1">IFERROR(__xludf.DUMMYFUNCTION("""COMPUTED_VALUE"""),".")</f>
        <v>.</v>
      </c>
      <c r="L80" s="17"/>
      <c r="M80" s="17"/>
      <c r="N80" s="17"/>
      <c r="O80" s="17"/>
    </row>
    <row r="81" spans="1:15" ht="12.5">
      <c r="A81" s="17"/>
      <c r="B81" s="24"/>
      <c r="C81" s="24"/>
      <c r="D81" s="17"/>
      <c r="E81" s="24"/>
      <c r="F81" s="17"/>
      <c r="G81" s="17"/>
      <c r="H81" s="17"/>
      <c r="I81" s="17"/>
      <c r="J81" s="17"/>
      <c r="K81" s="17"/>
      <c r="L81" s="17"/>
      <c r="M81" s="17"/>
      <c r="N81" s="17"/>
      <c r="O81" s="17"/>
    </row>
    <row r="82" spans="1:15" ht="12.5">
      <c r="A82" s="17"/>
      <c r="B82" s="24"/>
      <c r="C82" s="24"/>
      <c r="D82" s="17"/>
      <c r="E82" s="24"/>
      <c r="F82" s="17"/>
      <c r="G82" s="17"/>
      <c r="H82" s="17"/>
      <c r="I82" s="17"/>
      <c r="J82" s="17"/>
      <c r="K82" s="17"/>
      <c r="L82" s="17"/>
      <c r="M82" s="17"/>
      <c r="N82" s="17"/>
      <c r="O82" s="17"/>
    </row>
    <row r="83" spans="1:15" ht="12.5">
      <c r="A83" s="17"/>
      <c r="B83" s="24"/>
      <c r="C83" s="24"/>
      <c r="D83" s="17"/>
      <c r="E83" s="24"/>
      <c r="F83" s="17"/>
      <c r="G83" s="17"/>
      <c r="H83" s="17"/>
      <c r="I83" s="17"/>
      <c r="J83" s="17"/>
      <c r="K83" s="17"/>
      <c r="L83" s="17"/>
      <c r="M83" s="17"/>
      <c r="N83" s="17"/>
      <c r="O83" s="17"/>
    </row>
    <row r="84" spans="1:15" ht="12.5">
      <c r="A84" s="17"/>
      <c r="B84" s="24"/>
      <c r="C84" s="24"/>
      <c r="D84" s="17"/>
      <c r="E84" s="24"/>
      <c r="F84" s="17"/>
      <c r="G84" s="17"/>
      <c r="H84" s="17"/>
      <c r="I84" s="17"/>
      <c r="J84" s="17"/>
      <c r="K84" s="17"/>
      <c r="L84" s="17"/>
      <c r="M84" s="17"/>
      <c r="N84" s="17"/>
      <c r="O84" s="17"/>
    </row>
    <row r="85" spans="1:15" ht="12.5">
      <c r="A85" s="17"/>
      <c r="B85" s="24"/>
      <c r="C85" s="24"/>
      <c r="D85" s="17"/>
      <c r="E85" s="24"/>
      <c r="F85" s="17"/>
      <c r="G85" s="17"/>
      <c r="H85" s="17"/>
      <c r="I85" s="17"/>
      <c r="J85" s="17"/>
      <c r="K85" s="17"/>
      <c r="L85" s="17"/>
      <c r="M85" s="17"/>
      <c r="N85" s="17"/>
      <c r="O85" s="17"/>
    </row>
    <row r="86" spans="1:15" ht="12.5">
      <c r="A86" s="17"/>
      <c r="B86" s="24"/>
      <c r="C86" s="24"/>
      <c r="D86" s="17"/>
      <c r="E86" s="24"/>
      <c r="F86" s="17"/>
      <c r="G86" s="17"/>
      <c r="H86" s="17"/>
      <c r="I86" s="17"/>
      <c r="J86" s="17"/>
      <c r="K86" s="17"/>
      <c r="L86" s="17"/>
      <c r="M86" s="17"/>
      <c r="N86" s="17"/>
      <c r="O86" s="17"/>
    </row>
    <row r="87" spans="1:15" ht="12.5">
      <c r="A87" s="17"/>
      <c r="B87" s="24"/>
      <c r="C87" s="24"/>
      <c r="D87" s="17"/>
      <c r="E87" s="24"/>
      <c r="F87" s="17"/>
      <c r="G87" s="17"/>
      <c r="H87" s="17"/>
      <c r="I87" s="17"/>
      <c r="J87" s="17"/>
      <c r="K87" s="17"/>
      <c r="L87" s="17"/>
      <c r="M87" s="17"/>
      <c r="N87" s="17"/>
      <c r="O87" s="17"/>
    </row>
    <row r="88" spans="1:15" ht="12.5">
      <c r="A88" s="17"/>
      <c r="B88" s="24"/>
      <c r="C88" s="24"/>
      <c r="D88" s="17"/>
      <c r="E88" s="24"/>
      <c r="F88" s="17"/>
      <c r="G88" s="17"/>
      <c r="H88" s="17"/>
      <c r="I88" s="17"/>
      <c r="J88" s="17"/>
      <c r="K88" s="17"/>
      <c r="L88" s="17"/>
      <c r="M88" s="17"/>
      <c r="N88" s="17"/>
      <c r="O88" s="17"/>
    </row>
    <row r="89" spans="1:15" ht="12.5">
      <c r="A89" s="17"/>
      <c r="B89" s="24"/>
      <c r="C89" s="24"/>
      <c r="D89" s="17"/>
      <c r="E89" s="24"/>
      <c r="F89" s="17"/>
      <c r="G89" s="17"/>
      <c r="H89" s="17"/>
      <c r="I89" s="17"/>
      <c r="J89" s="17"/>
      <c r="K89" s="17"/>
      <c r="L89" s="17"/>
      <c r="M89" s="17"/>
      <c r="N89" s="17"/>
      <c r="O89" s="17"/>
    </row>
    <row r="90" spans="1:15" ht="12.5">
      <c r="A90" s="17"/>
      <c r="B90" s="24"/>
      <c r="C90" s="24"/>
      <c r="D90" s="17"/>
      <c r="E90" s="24"/>
      <c r="F90" s="17"/>
      <c r="G90" s="17"/>
      <c r="H90" s="17"/>
      <c r="I90" s="17"/>
      <c r="J90" s="17"/>
      <c r="K90" s="17"/>
      <c r="L90" s="17"/>
      <c r="M90" s="17"/>
      <c r="N90" s="17"/>
      <c r="O90" s="17"/>
    </row>
    <row r="91" spans="1:15" ht="12.5">
      <c r="A91" s="17"/>
      <c r="B91" s="24"/>
      <c r="C91" s="24"/>
      <c r="D91" s="17"/>
      <c r="E91" s="24"/>
      <c r="F91" s="17"/>
      <c r="G91" s="17"/>
      <c r="H91" s="17"/>
      <c r="I91" s="17"/>
      <c r="J91" s="17"/>
      <c r="K91" s="17"/>
      <c r="L91" s="17"/>
      <c r="M91" s="17"/>
      <c r="N91" s="17"/>
      <c r="O91" s="17"/>
    </row>
    <row r="92" spans="1:15" ht="12.5">
      <c r="A92" s="17"/>
      <c r="B92" s="24"/>
      <c r="C92" s="24"/>
      <c r="D92" s="17"/>
      <c r="E92" s="24"/>
      <c r="F92" s="17"/>
      <c r="G92" s="17"/>
      <c r="H92" s="17"/>
      <c r="I92" s="17"/>
      <c r="J92" s="17"/>
      <c r="K92" s="17"/>
      <c r="L92" s="17"/>
      <c r="M92" s="17"/>
      <c r="N92" s="17"/>
      <c r="O92" s="17"/>
    </row>
    <row r="93" spans="1:15" ht="12.5">
      <c r="A93" s="17"/>
      <c r="B93" s="24"/>
      <c r="C93" s="24"/>
      <c r="D93" s="17"/>
      <c r="E93" s="24"/>
      <c r="F93" s="17"/>
      <c r="G93" s="17"/>
      <c r="H93" s="17"/>
      <c r="I93" s="17"/>
      <c r="J93" s="17"/>
      <c r="K93" s="17"/>
      <c r="L93" s="17"/>
      <c r="M93" s="17"/>
      <c r="N93" s="17"/>
      <c r="O93" s="17"/>
    </row>
    <row r="94" spans="1:15" ht="12.5">
      <c r="A94" s="17"/>
      <c r="B94" s="24"/>
      <c r="C94" s="24"/>
      <c r="D94" s="17"/>
      <c r="E94" s="24"/>
      <c r="F94" s="17"/>
      <c r="G94" s="17"/>
      <c r="H94" s="17"/>
      <c r="I94" s="17"/>
      <c r="J94" s="17"/>
      <c r="K94" s="17"/>
      <c r="L94" s="17"/>
      <c r="M94" s="17"/>
      <c r="N94" s="17"/>
      <c r="O94" s="17"/>
    </row>
    <row r="95" spans="1:15" ht="12.5">
      <c r="A95" s="17"/>
      <c r="B95" s="24"/>
      <c r="C95" s="24"/>
      <c r="D95" s="17"/>
      <c r="E95" s="24"/>
      <c r="F95" s="17"/>
      <c r="G95" s="17"/>
      <c r="H95" s="17"/>
      <c r="I95" s="17"/>
      <c r="J95" s="17"/>
      <c r="K95" s="17"/>
      <c r="L95" s="17"/>
      <c r="M95" s="17"/>
      <c r="N95" s="17"/>
      <c r="O95" s="17"/>
    </row>
    <row r="96" spans="1:15" ht="12.5">
      <c r="A96" s="17"/>
      <c r="B96" s="24"/>
      <c r="C96" s="24"/>
      <c r="D96" s="17"/>
      <c r="E96" s="24"/>
      <c r="F96" s="17"/>
      <c r="G96" s="17"/>
      <c r="H96" s="17"/>
      <c r="I96" s="17"/>
      <c r="J96" s="17"/>
      <c r="K96" s="17"/>
      <c r="L96" s="17"/>
      <c r="M96" s="17"/>
      <c r="N96" s="17"/>
      <c r="O96" s="17"/>
    </row>
    <row r="97" spans="1:15" ht="12.5">
      <c r="A97" s="17"/>
      <c r="B97" s="24"/>
      <c r="C97" s="24"/>
      <c r="D97" s="17"/>
      <c r="E97" s="24"/>
      <c r="F97" s="17"/>
      <c r="G97" s="17"/>
      <c r="H97" s="17"/>
      <c r="I97" s="17"/>
      <c r="J97" s="17"/>
      <c r="K97" s="17"/>
      <c r="L97" s="17"/>
      <c r="M97" s="17"/>
      <c r="N97" s="17"/>
      <c r="O97" s="17"/>
    </row>
    <row r="98" spans="1:15" ht="12.5">
      <c r="A98" s="17"/>
      <c r="B98" s="24"/>
      <c r="C98" s="24"/>
      <c r="D98" s="17"/>
      <c r="E98" s="24"/>
      <c r="F98" s="17"/>
      <c r="G98" s="17"/>
      <c r="H98" s="17"/>
      <c r="I98" s="17"/>
      <c r="J98" s="17"/>
      <c r="K98" s="17"/>
      <c r="L98" s="17"/>
      <c r="M98" s="17"/>
      <c r="N98" s="17"/>
      <c r="O98" s="17"/>
    </row>
    <row r="99" spans="1:15" ht="12.5">
      <c r="A99" s="17"/>
      <c r="B99" s="24"/>
      <c r="C99" s="24"/>
      <c r="D99" s="17"/>
      <c r="E99" s="24"/>
      <c r="F99" s="17"/>
      <c r="G99" s="17"/>
      <c r="H99" s="17"/>
      <c r="I99" s="17"/>
      <c r="J99" s="17"/>
      <c r="K99" s="17"/>
      <c r="L99" s="17"/>
      <c r="M99" s="17"/>
      <c r="N99" s="17"/>
      <c r="O99" s="17"/>
    </row>
    <row r="100" spans="1:15" ht="12.5">
      <c r="A100" s="17"/>
      <c r="B100" s="24"/>
      <c r="C100" s="24"/>
      <c r="D100" s="17"/>
      <c r="E100" s="24"/>
      <c r="F100" s="17"/>
      <c r="G100" s="17"/>
      <c r="H100" s="17"/>
      <c r="I100" s="17"/>
      <c r="J100" s="17"/>
      <c r="K100" s="17"/>
      <c r="L100" s="17"/>
      <c r="M100" s="17"/>
      <c r="N100" s="17"/>
      <c r="O100" s="17"/>
    </row>
    <row r="101" spans="1:15" ht="12.5">
      <c r="A101" s="17"/>
      <c r="B101" s="24"/>
      <c r="C101" s="24"/>
      <c r="D101" s="17"/>
      <c r="E101" s="24"/>
      <c r="F101" s="17"/>
      <c r="G101" s="17"/>
      <c r="H101" s="17"/>
      <c r="I101" s="17"/>
      <c r="J101" s="17"/>
      <c r="K101" s="17"/>
      <c r="L101" s="17"/>
      <c r="M101" s="17"/>
      <c r="N101" s="17"/>
      <c r="O101" s="17"/>
    </row>
    <row r="102" spans="1:15" ht="12.5">
      <c r="A102" s="17"/>
      <c r="B102" s="24"/>
      <c r="C102" s="24"/>
      <c r="D102" s="17"/>
      <c r="E102" s="24"/>
      <c r="F102" s="17"/>
      <c r="G102" s="17"/>
      <c r="H102" s="17"/>
      <c r="I102" s="17"/>
      <c r="J102" s="17"/>
      <c r="K102" s="17"/>
      <c r="L102" s="17"/>
      <c r="M102" s="17"/>
      <c r="N102" s="17"/>
      <c r="O102" s="17"/>
    </row>
    <row r="103" spans="1:15" ht="12.5">
      <c r="A103" s="17"/>
      <c r="B103" s="24"/>
      <c r="C103" s="24"/>
      <c r="D103" s="17"/>
      <c r="E103" s="24"/>
      <c r="F103" s="17"/>
      <c r="G103" s="17"/>
      <c r="H103" s="17"/>
      <c r="I103" s="17"/>
      <c r="J103" s="17"/>
      <c r="K103" s="17"/>
      <c r="L103" s="17"/>
      <c r="M103" s="17"/>
      <c r="N103" s="17"/>
      <c r="O103" s="17"/>
    </row>
    <row r="104" spans="1:15" ht="12.5">
      <c r="A104" s="17"/>
      <c r="B104" s="24"/>
      <c r="C104" s="24"/>
      <c r="D104" s="17"/>
      <c r="E104" s="24"/>
      <c r="F104" s="17"/>
      <c r="G104" s="17"/>
      <c r="H104" s="17"/>
      <c r="I104" s="17"/>
      <c r="J104" s="17"/>
      <c r="K104" s="17"/>
      <c r="L104" s="17"/>
      <c r="M104" s="17"/>
      <c r="N104" s="17"/>
      <c r="O104" s="17"/>
    </row>
    <row r="105" spans="1:15" ht="12.5">
      <c r="A105" s="17"/>
      <c r="B105" s="24"/>
      <c r="C105" s="24"/>
      <c r="D105" s="17"/>
      <c r="E105" s="24"/>
      <c r="F105" s="17"/>
      <c r="G105" s="17"/>
      <c r="H105" s="17"/>
      <c r="I105" s="17"/>
      <c r="J105" s="17"/>
      <c r="K105" s="17"/>
      <c r="L105" s="17"/>
      <c r="M105" s="17"/>
      <c r="N105" s="17"/>
      <c r="O105" s="17"/>
    </row>
    <row r="106" spans="1:15" ht="12.5">
      <c r="A106" s="17"/>
      <c r="B106" s="24"/>
      <c r="C106" s="24"/>
      <c r="D106" s="17"/>
      <c r="E106" s="24"/>
      <c r="F106" s="17"/>
      <c r="G106" s="17"/>
      <c r="H106" s="17"/>
      <c r="I106" s="17"/>
      <c r="J106" s="17"/>
      <c r="K106" s="17"/>
      <c r="L106" s="17"/>
      <c r="M106" s="17"/>
      <c r="N106" s="17"/>
      <c r="O106" s="17"/>
    </row>
    <row r="107" spans="1:15" ht="12.5">
      <c r="A107" s="17"/>
      <c r="B107" s="24"/>
      <c r="C107" s="24"/>
      <c r="D107" s="17"/>
      <c r="E107" s="24"/>
      <c r="F107" s="17"/>
      <c r="G107" s="17"/>
      <c r="H107" s="17"/>
      <c r="I107" s="17"/>
      <c r="J107" s="17"/>
      <c r="K107" s="17"/>
      <c r="L107" s="17"/>
      <c r="M107" s="17"/>
      <c r="N107" s="17"/>
      <c r="O107" s="17"/>
    </row>
    <row r="108" spans="1:15" ht="12.5">
      <c r="A108" s="17"/>
      <c r="B108" s="24"/>
      <c r="C108" s="24"/>
      <c r="D108" s="17"/>
      <c r="E108" s="24"/>
      <c r="F108" s="17"/>
      <c r="G108" s="17"/>
      <c r="H108" s="17"/>
      <c r="I108" s="17"/>
      <c r="J108" s="17"/>
      <c r="K108" s="17"/>
      <c r="L108" s="17"/>
      <c r="M108" s="17"/>
      <c r="N108" s="17"/>
      <c r="O108" s="17"/>
    </row>
    <row r="109" spans="1:15" ht="12.5">
      <c r="A109" s="17"/>
      <c r="B109" s="24"/>
      <c r="C109" s="24"/>
      <c r="D109" s="17"/>
      <c r="E109" s="24"/>
      <c r="F109" s="17"/>
      <c r="G109" s="17"/>
      <c r="H109" s="17"/>
      <c r="I109" s="17"/>
      <c r="J109" s="17"/>
      <c r="K109" s="17"/>
      <c r="L109" s="17"/>
      <c r="M109" s="17"/>
      <c r="N109" s="17"/>
      <c r="O109" s="17"/>
    </row>
    <row r="110" spans="1:15" ht="12.5">
      <c r="A110" s="17"/>
      <c r="B110" s="24"/>
      <c r="C110" s="24"/>
      <c r="D110" s="17"/>
      <c r="E110" s="24"/>
      <c r="F110" s="17"/>
      <c r="G110" s="17"/>
      <c r="H110" s="17"/>
      <c r="I110" s="17"/>
      <c r="J110" s="17"/>
      <c r="K110" s="17"/>
      <c r="L110" s="17"/>
      <c r="M110" s="17"/>
      <c r="N110" s="17"/>
      <c r="O110" s="17"/>
    </row>
    <row r="111" spans="1:15" ht="12.5">
      <c r="A111" s="17"/>
      <c r="B111" s="24"/>
      <c r="C111" s="24"/>
      <c r="D111" s="17"/>
      <c r="E111" s="24"/>
      <c r="F111" s="17"/>
      <c r="G111" s="17"/>
      <c r="H111" s="17"/>
      <c r="I111" s="17"/>
      <c r="J111" s="17"/>
      <c r="K111" s="17"/>
      <c r="L111" s="17"/>
      <c r="M111" s="17"/>
      <c r="N111" s="17"/>
      <c r="O111" s="17"/>
    </row>
    <row r="112" spans="1:15" ht="12.5">
      <c r="A112" s="17"/>
      <c r="B112" s="24"/>
      <c r="C112" s="24"/>
      <c r="D112" s="17"/>
      <c r="E112" s="24"/>
      <c r="F112" s="17"/>
      <c r="G112" s="17"/>
      <c r="H112" s="17"/>
      <c r="I112" s="17"/>
      <c r="J112" s="17"/>
      <c r="K112" s="17"/>
      <c r="L112" s="17"/>
      <c r="M112" s="17"/>
      <c r="N112" s="17"/>
      <c r="O112" s="17"/>
    </row>
    <row r="113" spans="1:15" ht="12.5">
      <c r="A113" s="17"/>
      <c r="B113" s="24"/>
      <c r="C113" s="24"/>
      <c r="D113" s="17"/>
      <c r="E113" s="24"/>
      <c r="F113" s="17"/>
      <c r="G113" s="17"/>
      <c r="H113" s="17"/>
      <c r="I113" s="17"/>
      <c r="J113" s="17"/>
      <c r="K113" s="17"/>
      <c r="L113" s="17"/>
      <c r="M113" s="17"/>
      <c r="N113" s="17"/>
      <c r="O113" s="17"/>
    </row>
    <row r="114" spans="1:15" ht="12.5">
      <c r="A114" s="17"/>
      <c r="B114" s="24"/>
      <c r="C114" s="24"/>
      <c r="D114" s="17"/>
      <c r="E114" s="24"/>
      <c r="F114" s="17"/>
      <c r="G114" s="17"/>
      <c r="H114" s="17"/>
      <c r="I114" s="17"/>
      <c r="J114" s="17"/>
      <c r="K114" s="17"/>
      <c r="L114" s="17"/>
      <c r="M114" s="17"/>
      <c r="N114" s="17"/>
      <c r="O114" s="17"/>
    </row>
    <row r="115" spans="1:15" ht="12.5">
      <c r="A115" s="17"/>
      <c r="B115" s="24"/>
      <c r="C115" s="24"/>
      <c r="D115" s="17"/>
      <c r="E115" s="24"/>
      <c r="F115" s="17"/>
      <c r="G115" s="17"/>
      <c r="H115" s="17"/>
      <c r="I115" s="17"/>
      <c r="J115" s="17"/>
      <c r="K115" s="17"/>
      <c r="L115" s="17"/>
      <c r="M115" s="17"/>
      <c r="N115" s="17"/>
      <c r="O115" s="17"/>
    </row>
    <row r="116" spans="1:15" ht="12.5">
      <c r="A116" s="17"/>
      <c r="B116" s="24"/>
      <c r="C116" s="24"/>
      <c r="D116" s="17"/>
      <c r="E116" s="24"/>
      <c r="F116" s="17"/>
      <c r="G116" s="17"/>
      <c r="H116" s="17"/>
      <c r="I116" s="17"/>
      <c r="J116" s="17"/>
      <c r="K116" s="17"/>
      <c r="L116" s="17"/>
      <c r="M116" s="17"/>
      <c r="N116" s="17"/>
      <c r="O116" s="17"/>
    </row>
    <row r="117" spans="1:15" ht="12.5">
      <c r="A117" s="17"/>
      <c r="B117" s="24"/>
      <c r="C117" s="24"/>
      <c r="D117" s="17"/>
      <c r="E117" s="24"/>
      <c r="F117" s="17"/>
      <c r="G117" s="17"/>
      <c r="H117" s="17"/>
      <c r="I117" s="17"/>
      <c r="J117" s="17"/>
      <c r="K117" s="17"/>
      <c r="L117" s="17"/>
      <c r="M117" s="17"/>
      <c r="N117" s="17"/>
      <c r="O117" s="17"/>
    </row>
    <row r="118" spans="1:15" ht="12.5">
      <c r="A118" s="17"/>
      <c r="B118" s="24"/>
      <c r="C118" s="24"/>
      <c r="D118" s="17"/>
      <c r="E118" s="24"/>
      <c r="F118" s="17"/>
      <c r="G118" s="17"/>
      <c r="H118" s="17"/>
      <c r="I118" s="17"/>
      <c r="J118" s="17"/>
      <c r="K118" s="17"/>
      <c r="L118" s="17"/>
      <c r="M118" s="17"/>
      <c r="N118" s="17"/>
      <c r="O118" s="17"/>
    </row>
    <row r="119" spans="1:15" ht="12.5">
      <c r="A119" s="17"/>
      <c r="B119" s="24"/>
      <c r="C119" s="24"/>
      <c r="D119" s="17"/>
      <c r="E119" s="24"/>
      <c r="F119" s="17"/>
      <c r="G119" s="17"/>
      <c r="H119" s="17"/>
      <c r="I119" s="17"/>
      <c r="J119" s="17"/>
      <c r="K119" s="17"/>
      <c r="L119" s="17"/>
      <c r="M119" s="17"/>
      <c r="N119" s="17"/>
      <c r="O119" s="17"/>
    </row>
    <row r="120" spans="1:15" ht="12.5">
      <c r="A120" s="17"/>
      <c r="B120" s="24"/>
      <c r="C120" s="24"/>
      <c r="D120" s="17"/>
      <c r="E120" s="24"/>
      <c r="F120" s="17"/>
      <c r="G120" s="17"/>
      <c r="H120" s="17"/>
      <c r="I120" s="17"/>
      <c r="J120" s="17"/>
      <c r="K120" s="17"/>
      <c r="L120" s="17"/>
      <c r="M120" s="17"/>
      <c r="N120" s="17"/>
      <c r="O120" s="17"/>
    </row>
    <row r="121" spans="1:15" ht="12.5">
      <c r="A121" s="17"/>
      <c r="B121" s="24"/>
      <c r="C121" s="24"/>
      <c r="D121" s="17"/>
      <c r="E121" s="24"/>
      <c r="F121" s="17"/>
      <c r="G121" s="17"/>
      <c r="H121" s="17"/>
      <c r="I121" s="17"/>
      <c r="J121" s="17"/>
      <c r="K121" s="17"/>
      <c r="L121" s="17"/>
      <c r="M121" s="17"/>
      <c r="N121" s="17"/>
      <c r="O121" s="17"/>
    </row>
    <row r="122" spans="1:15" ht="12.5">
      <c r="A122" s="17"/>
      <c r="B122" s="24"/>
      <c r="C122" s="24"/>
      <c r="D122" s="17"/>
      <c r="E122" s="24"/>
      <c r="F122" s="17"/>
      <c r="G122" s="17"/>
      <c r="H122" s="17"/>
      <c r="I122" s="17"/>
      <c r="J122" s="17"/>
      <c r="K122" s="17"/>
      <c r="L122" s="17"/>
      <c r="M122" s="17"/>
      <c r="N122" s="17"/>
      <c r="O122" s="17"/>
    </row>
    <row r="123" spans="1:15" ht="12.5">
      <c r="A123" s="17"/>
      <c r="B123" s="24"/>
      <c r="C123" s="24"/>
      <c r="D123" s="17"/>
      <c r="E123" s="24"/>
      <c r="F123" s="17"/>
      <c r="G123" s="17"/>
      <c r="H123" s="17"/>
      <c r="I123" s="17"/>
      <c r="J123" s="17"/>
      <c r="K123" s="17"/>
      <c r="L123" s="17"/>
      <c r="M123" s="17"/>
      <c r="N123" s="17"/>
      <c r="O123" s="17"/>
    </row>
    <row r="124" spans="1:15" ht="12.5">
      <c r="A124" s="17"/>
      <c r="B124" s="24"/>
      <c r="C124" s="24"/>
      <c r="D124" s="17"/>
      <c r="E124" s="24"/>
      <c r="F124" s="17"/>
      <c r="G124" s="17"/>
      <c r="H124" s="17"/>
      <c r="I124" s="17"/>
      <c r="J124" s="17"/>
      <c r="K124" s="17"/>
      <c r="L124" s="17"/>
      <c r="M124" s="17"/>
      <c r="N124" s="17"/>
      <c r="O124" s="17"/>
    </row>
    <row r="125" spans="1:15" ht="12.5">
      <c r="A125" s="17"/>
      <c r="B125" s="24"/>
      <c r="C125" s="24"/>
      <c r="D125" s="17"/>
      <c r="E125" s="24"/>
      <c r="F125" s="17"/>
      <c r="G125" s="17"/>
      <c r="H125" s="17"/>
      <c r="I125" s="17"/>
      <c r="J125" s="17"/>
      <c r="K125" s="17"/>
      <c r="L125" s="17"/>
      <c r="M125" s="17"/>
      <c r="N125" s="17"/>
      <c r="O125" s="17"/>
    </row>
    <row r="126" spans="1:15" ht="12.5">
      <c r="A126" s="17"/>
      <c r="B126" s="24"/>
      <c r="C126" s="24"/>
      <c r="D126" s="17"/>
      <c r="E126" s="24"/>
      <c r="F126" s="17"/>
      <c r="G126" s="17"/>
      <c r="H126" s="17"/>
      <c r="I126" s="17"/>
      <c r="J126" s="17"/>
      <c r="K126" s="17"/>
      <c r="L126" s="17"/>
      <c r="M126" s="17"/>
      <c r="N126" s="17"/>
      <c r="O126" s="17"/>
    </row>
    <row r="127" spans="1:15" ht="12.5">
      <c r="A127" s="17"/>
      <c r="B127" s="24"/>
      <c r="C127" s="24"/>
      <c r="D127" s="17"/>
      <c r="E127" s="24"/>
      <c r="F127" s="17"/>
      <c r="G127" s="17"/>
      <c r="H127" s="17"/>
      <c r="I127" s="17"/>
      <c r="J127" s="17"/>
      <c r="K127" s="17"/>
      <c r="L127" s="17"/>
      <c r="M127" s="17"/>
      <c r="N127" s="17"/>
      <c r="O127" s="17"/>
    </row>
    <row r="128" spans="1:15" ht="12.5">
      <c r="A128" s="17"/>
      <c r="B128" s="24"/>
      <c r="C128" s="24"/>
      <c r="D128" s="17"/>
      <c r="E128" s="24"/>
      <c r="F128" s="17"/>
      <c r="G128" s="17"/>
      <c r="H128" s="17"/>
      <c r="I128" s="17"/>
      <c r="J128" s="17"/>
      <c r="K128" s="17"/>
      <c r="L128" s="17"/>
      <c r="M128" s="17"/>
      <c r="N128" s="17"/>
      <c r="O128" s="17"/>
    </row>
    <row r="129" spans="1:15" ht="12.5">
      <c r="A129" s="17"/>
      <c r="B129" s="24"/>
      <c r="C129" s="24"/>
      <c r="D129" s="17"/>
      <c r="E129" s="24"/>
      <c r="F129" s="17"/>
      <c r="G129" s="17"/>
      <c r="H129" s="17"/>
      <c r="I129" s="17"/>
      <c r="J129" s="17"/>
      <c r="K129" s="17"/>
      <c r="L129" s="17"/>
      <c r="M129" s="17"/>
      <c r="N129" s="17"/>
      <c r="O129" s="17"/>
    </row>
    <row r="130" spans="1:15" ht="12.5">
      <c r="A130" s="17"/>
      <c r="B130" s="24"/>
      <c r="C130" s="24"/>
      <c r="D130" s="17"/>
      <c r="E130" s="24"/>
      <c r="F130" s="17"/>
      <c r="G130" s="17"/>
      <c r="H130" s="17"/>
      <c r="I130" s="17"/>
      <c r="J130" s="17"/>
      <c r="K130" s="17"/>
      <c r="L130" s="17"/>
      <c r="M130" s="17"/>
      <c r="N130" s="17"/>
      <c r="O130" s="17"/>
    </row>
    <row r="131" spans="1:15" ht="12.5">
      <c r="A131" s="17"/>
      <c r="B131" s="24"/>
      <c r="C131" s="24"/>
      <c r="D131" s="17"/>
      <c r="E131" s="24"/>
      <c r="F131" s="17"/>
      <c r="G131" s="17"/>
      <c r="H131" s="17"/>
      <c r="I131" s="17"/>
      <c r="J131" s="17"/>
      <c r="K131" s="17"/>
      <c r="L131" s="17"/>
      <c r="M131" s="17"/>
      <c r="N131" s="17"/>
      <c r="O131" s="17"/>
    </row>
    <row r="132" spans="1:15" ht="12.5">
      <c r="A132" s="17"/>
      <c r="B132" s="24"/>
      <c r="C132" s="24"/>
      <c r="D132" s="17"/>
      <c r="E132" s="24"/>
      <c r="F132" s="17"/>
      <c r="G132" s="17"/>
      <c r="H132" s="17"/>
      <c r="I132" s="17"/>
      <c r="J132" s="17"/>
      <c r="K132" s="17"/>
      <c r="L132" s="17"/>
      <c r="M132" s="17"/>
      <c r="N132" s="17"/>
      <c r="O132" s="17"/>
    </row>
    <row r="133" spans="1:15" ht="12.5">
      <c r="A133" s="17"/>
      <c r="B133" s="24"/>
      <c r="C133" s="24"/>
      <c r="D133" s="17"/>
      <c r="E133" s="24"/>
      <c r="F133" s="17"/>
      <c r="G133" s="17"/>
      <c r="H133" s="17"/>
      <c r="I133" s="17"/>
      <c r="J133" s="17"/>
      <c r="K133" s="17"/>
      <c r="L133" s="17"/>
      <c r="M133" s="17"/>
      <c r="N133" s="17"/>
      <c r="O133" s="17"/>
    </row>
    <row r="134" spans="1:15" ht="12.5">
      <c r="A134" s="17"/>
      <c r="B134" s="24"/>
      <c r="C134" s="24"/>
      <c r="D134" s="17"/>
      <c r="E134" s="24"/>
      <c r="F134" s="17"/>
      <c r="G134" s="17"/>
      <c r="H134" s="17"/>
      <c r="I134" s="17"/>
      <c r="J134" s="17"/>
      <c r="K134" s="17"/>
      <c r="L134" s="17"/>
      <c r="M134" s="17"/>
      <c r="N134" s="17"/>
      <c r="O134" s="17"/>
    </row>
    <row r="135" spans="1:15" ht="12.5">
      <c r="A135" s="17"/>
      <c r="B135" s="24"/>
      <c r="C135" s="24"/>
      <c r="D135" s="17"/>
      <c r="E135" s="24"/>
      <c r="F135" s="17"/>
      <c r="G135" s="17"/>
      <c r="H135" s="17"/>
      <c r="I135" s="17"/>
      <c r="J135" s="17"/>
      <c r="K135" s="17"/>
      <c r="L135" s="17"/>
      <c r="M135" s="17"/>
      <c r="N135" s="17"/>
      <c r="O135" s="17"/>
    </row>
    <row r="136" spans="1:15" ht="12.5">
      <c r="A136" s="17"/>
      <c r="B136" s="24"/>
      <c r="C136" s="24"/>
      <c r="D136" s="17"/>
      <c r="E136" s="24"/>
      <c r="F136" s="17"/>
      <c r="G136" s="17"/>
      <c r="H136" s="17"/>
      <c r="I136" s="17"/>
      <c r="J136" s="17"/>
      <c r="K136" s="17"/>
      <c r="L136" s="17"/>
      <c r="M136" s="17"/>
      <c r="N136" s="17"/>
      <c r="O136" s="17"/>
    </row>
    <row r="137" spans="1:15" ht="12.5">
      <c r="A137" s="17"/>
      <c r="B137" s="24"/>
      <c r="C137" s="24"/>
      <c r="D137" s="17"/>
      <c r="E137" s="24"/>
      <c r="F137" s="17"/>
      <c r="G137" s="17"/>
      <c r="H137" s="17"/>
      <c r="I137" s="17"/>
      <c r="J137" s="17"/>
      <c r="K137" s="17"/>
      <c r="L137" s="17"/>
      <c r="M137" s="17"/>
      <c r="N137" s="17"/>
      <c r="O137" s="17"/>
    </row>
    <row r="138" spans="1:15" ht="12.5">
      <c r="A138" s="17"/>
      <c r="B138" s="24"/>
      <c r="C138" s="24"/>
      <c r="D138" s="17"/>
      <c r="E138" s="24"/>
      <c r="F138" s="17"/>
      <c r="G138" s="17"/>
      <c r="H138" s="17"/>
      <c r="I138" s="17"/>
      <c r="J138" s="17"/>
      <c r="K138" s="17"/>
      <c r="L138" s="17"/>
      <c r="M138" s="17"/>
      <c r="N138" s="17"/>
      <c r="O138" s="17"/>
    </row>
    <row r="139" spans="1:15" ht="12.5">
      <c r="A139" s="17"/>
      <c r="B139" s="24"/>
      <c r="C139" s="24"/>
      <c r="D139" s="17"/>
      <c r="E139" s="24"/>
      <c r="F139" s="17"/>
      <c r="G139" s="17"/>
      <c r="H139" s="17"/>
      <c r="I139" s="17"/>
      <c r="J139" s="17"/>
      <c r="K139" s="17"/>
      <c r="L139" s="17"/>
      <c r="M139" s="17"/>
      <c r="N139" s="17"/>
      <c r="O139" s="17"/>
    </row>
    <row r="140" spans="1:15" ht="12.5">
      <c r="A140" s="17"/>
      <c r="B140" s="24"/>
      <c r="C140" s="24"/>
      <c r="D140" s="17"/>
      <c r="E140" s="24"/>
      <c r="F140" s="17"/>
      <c r="G140" s="17"/>
      <c r="H140" s="17"/>
      <c r="I140" s="17"/>
      <c r="J140" s="17"/>
      <c r="K140" s="17"/>
      <c r="L140" s="17"/>
      <c r="M140" s="17"/>
      <c r="N140" s="17"/>
      <c r="O140" s="17"/>
    </row>
    <row r="141" spans="1:15" ht="12.5">
      <c r="A141" s="17"/>
      <c r="B141" s="24"/>
      <c r="C141" s="24"/>
      <c r="D141" s="17"/>
      <c r="E141" s="24"/>
      <c r="F141" s="17"/>
      <c r="G141" s="17"/>
      <c r="H141" s="17"/>
      <c r="I141" s="17"/>
      <c r="J141" s="17"/>
      <c r="K141" s="17"/>
      <c r="L141" s="17"/>
      <c r="M141" s="17"/>
      <c r="N141" s="17"/>
      <c r="O141" s="17"/>
    </row>
    <row r="142" spans="1:15" ht="12.5">
      <c r="A142" s="17"/>
      <c r="B142" s="24"/>
      <c r="C142" s="24"/>
      <c r="D142" s="17"/>
      <c r="E142" s="24"/>
      <c r="F142" s="17"/>
      <c r="G142" s="17"/>
      <c r="H142" s="17"/>
      <c r="I142" s="17"/>
      <c r="J142" s="17"/>
      <c r="K142" s="17"/>
      <c r="L142" s="17"/>
      <c r="M142" s="17"/>
      <c r="N142" s="17"/>
      <c r="O142" s="17"/>
    </row>
    <row r="143" spans="1:15" ht="12.5">
      <c r="A143" s="17"/>
      <c r="B143" s="24"/>
      <c r="C143" s="24"/>
      <c r="D143" s="17"/>
      <c r="E143" s="24"/>
      <c r="F143" s="17"/>
      <c r="G143" s="17"/>
      <c r="H143" s="17"/>
      <c r="I143" s="17"/>
      <c r="J143" s="17"/>
      <c r="K143" s="17"/>
      <c r="L143" s="17"/>
      <c r="M143" s="17"/>
      <c r="N143" s="17"/>
      <c r="O143" s="17"/>
    </row>
    <row r="144" spans="1:15" ht="12.5">
      <c r="A144" s="17"/>
      <c r="B144" s="24"/>
      <c r="C144" s="24"/>
      <c r="D144" s="17"/>
      <c r="E144" s="24"/>
      <c r="F144" s="17"/>
      <c r="G144" s="17"/>
      <c r="H144" s="17"/>
      <c r="I144" s="17"/>
      <c r="J144" s="17"/>
      <c r="K144" s="17"/>
      <c r="L144" s="17"/>
      <c r="M144" s="17"/>
      <c r="N144" s="17"/>
      <c r="O144" s="17"/>
    </row>
    <row r="145" spans="1:15" ht="12.5">
      <c r="A145" s="17"/>
      <c r="B145" s="24"/>
      <c r="C145" s="24"/>
      <c r="D145" s="17"/>
      <c r="E145" s="24"/>
      <c r="F145" s="17"/>
      <c r="G145" s="17"/>
      <c r="H145" s="17"/>
      <c r="I145" s="17"/>
      <c r="J145" s="17"/>
      <c r="K145" s="17"/>
      <c r="L145" s="17"/>
      <c r="M145" s="17"/>
      <c r="N145" s="17"/>
      <c r="O145" s="17"/>
    </row>
    <row r="146" spans="1:15" ht="12.5">
      <c r="A146" s="17"/>
      <c r="B146" s="24"/>
      <c r="C146" s="24"/>
      <c r="D146" s="17"/>
      <c r="E146" s="24"/>
      <c r="F146" s="17"/>
      <c r="G146" s="17"/>
      <c r="H146" s="17"/>
      <c r="I146" s="17"/>
      <c r="J146" s="17"/>
      <c r="K146" s="17"/>
      <c r="L146" s="17"/>
      <c r="M146" s="17"/>
      <c r="N146" s="17"/>
      <c r="O146" s="17"/>
    </row>
    <row r="147" spans="1:15" ht="12.5">
      <c r="A147" s="17"/>
      <c r="B147" s="24"/>
      <c r="C147" s="24"/>
      <c r="D147" s="17"/>
      <c r="E147" s="24"/>
      <c r="F147" s="17"/>
      <c r="G147" s="17"/>
      <c r="H147" s="17"/>
      <c r="I147" s="17"/>
      <c r="J147" s="17"/>
      <c r="K147" s="17"/>
      <c r="L147" s="17"/>
      <c r="M147" s="17"/>
      <c r="N147" s="17"/>
      <c r="O147" s="17"/>
    </row>
    <row r="148" spans="1:15" ht="12.5">
      <c r="A148" s="17"/>
      <c r="B148" s="24"/>
      <c r="C148" s="24"/>
      <c r="D148" s="17"/>
      <c r="E148" s="24"/>
      <c r="F148" s="17"/>
      <c r="G148" s="17"/>
      <c r="H148" s="17"/>
      <c r="I148" s="17"/>
      <c r="J148" s="17"/>
      <c r="K148" s="17"/>
      <c r="L148" s="17"/>
      <c r="M148" s="17"/>
      <c r="N148" s="17"/>
      <c r="O148" s="17"/>
    </row>
    <row r="149" spans="1:15" ht="12.5">
      <c r="A149" s="17"/>
      <c r="B149" s="24"/>
      <c r="C149" s="24"/>
      <c r="D149" s="17"/>
      <c r="E149" s="24"/>
      <c r="F149" s="17"/>
      <c r="G149" s="17"/>
      <c r="H149" s="17"/>
      <c r="I149" s="17"/>
      <c r="J149" s="17"/>
      <c r="K149" s="17"/>
      <c r="L149" s="17"/>
      <c r="M149" s="17"/>
      <c r="N149" s="17"/>
      <c r="O149" s="17"/>
    </row>
    <row r="150" spans="1:15" ht="12.5">
      <c r="A150" s="17"/>
      <c r="B150" s="24"/>
      <c r="C150" s="24"/>
      <c r="D150" s="17"/>
      <c r="E150" s="24"/>
      <c r="F150" s="17"/>
      <c r="G150" s="17"/>
      <c r="H150" s="17"/>
      <c r="I150" s="17"/>
      <c r="J150" s="17"/>
      <c r="K150" s="17"/>
      <c r="L150" s="17"/>
      <c r="M150" s="17"/>
      <c r="N150" s="17"/>
      <c r="O150" s="17"/>
    </row>
    <row r="151" spans="1:15" ht="12.5">
      <c r="A151" s="17"/>
      <c r="B151" s="24"/>
      <c r="C151" s="24"/>
      <c r="D151" s="17"/>
      <c r="E151" s="24"/>
      <c r="F151" s="17"/>
      <c r="G151" s="17"/>
      <c r="H151" s="17"/>
      <c r="I151" s="17"/>
      <c r="J151" s="17"/>
      <c r="K151" s="17"/>
      <c r="L151" s="17"/>
      <c r="M151" s="17"/>
      <c r="N151" s="17"/>
      <c r="O151" s="17"/>
    </row>
    <row r="152" spans="1:15" ht="12.5">
      <c r="A152" s="17"/>
      <c r="B152" s="24"/>
      <c r="C152" s="24"/>
      <c r="D152" s="17"/>
      <c r="E152" s="24"/>
      <c r="F152" s="17"/>
      <c r="G152" s="17"/>
      <c r="H152" s="17"/>
      <c r="I152" s="17"/>
      <c r="J152" s="17"/>
      <c r="K152" s="17"/>
      <c r="L152" s="17"/>
      <c r="M152" s="17"/>
      <c r="N152" s="17"/>
      <c r="O152" s="17"/>
    </row>
    <row r="153" spans="1:15" ht="12.5">
      <c r="A153" s="17"/>
      <c r="B153" s="24"/>
      <c r="C153" s="24"/>
      <c r="D153" s="17"/>
      <c r="E153" s="24"/>
      <c r="F153" s="17"/>
      <c r="G153" s="17"/>
      <c r="H153" s="17"/>
      <c r="I153" s="17"/>
      <c r="J153" s="17"/>
      <c r="K153" s="17"/>
      <c r="L153" s="17"/>
      <c r="M153" s="17"/>
      <c r="N153" s="17"/>
      <c r="O153" s="17"/>
    </row>
    <row r="154" spans="1:15" ht="12.5">
      <c r="A154" s="17"/>
      <c r="B154" s="24"/>
      <c r="C154" s="24"/>
      <c r="D154" s="17"/>
      <c r="E154" s="24"/>
      <c r="F154" s="17"/>
      <c r="G154" s="17"/>
      <c r="H154" s="17"/>
      <c r="I154" s="17"/>
      <c r="J154" s="17"/>
      <c r="K154" s="17"/>
      <c r="L154" s="17"/>
      <c r="M154" s="17"/>
      <c r="N154" s="17"/>
      <c r="O154" s="17"/>
    </row>
    <row r="155" spans="1:15" ht="12.5">
      <c r="A155" s="17"/>
      <c r="B155" s="24"/>
      <c r="C155" s="24"/>
      <c r="D155" s="17"/>
      <c r="E155" s="24"/>
      <c r="F155" s="17"/>
      <c r="G155" s="17"/>
      <c r="H155" s="17"/>
      <c r="I155" s="17"/>
      <c r="J155" s="17"/>
      <c r="K155" s="17"/>
      <c r="L155" s="17"/>
      <c r="M155" s="17"/>
      <c r="N155" s="17"/>
      <c r="O155" s="17"/>
    </row>
    <row r="156" spans="1:15" ht="12.5">
      <c r="A156" s="17"/>
      <c r="B156" s="24"/>
      <c r="C156" s="24"/>
      <c r="D156" s="17"/>
      <c r="E156" s="24"/>
      <c r="F156" s="17"/>
      <c r="G156" s="17"/>
      <c r="H156" s="17"/>
      <c r="I156" s="17"/>
      <c r="J156" s="17"/>
      <c r="K156" s="17"/>
      <c r="L156" s="17"/>
      <c r="M156" s="17"/>
      <c r="N156" s="17"/>
      <c r="O156" s="17"/>
    </row>
    <row r="157" spans="1:15" ht="12.5">
      <c r="A157" s="17"/>
      <c r="B157" s="24"/>
      <c r="C157" s="24"/>
      <c r="D157" s="17"/>
      <c r="E157" s="24"/>
      <c r="F157" s="17"/>
      <c r="G157" s="17"/>
      <c r="H157" s="17"/>
      <c r="I157" s="17"/>
      <c r="J157" s="17"/>
      <c r="K157" s="17"/>
      <c r="L157" s="17"/>
      <c r="M157" s="17"/>
      <c r="N157" s="17"/>
      <c r="O157" s="17"/>
    </row>
    <row r="158" spans="1:15" ht="12.5">
      <c r="A158" s="17"/>
      <c r="B158" s="24"/>
      <c r="C158" s="24"/>
      <c r="D158" s="17"/>
      <c r="E158" s="24"/>
      <c r="F158" s="17"/>
      <c r="G158" s="17"/>
      <c r="H158" s="17"/>
      <c r="I158" s="17"/>
      <c r="J158" s="17"/>
      <c r="K158" s="17"/>
      <c r="L158" s="17"/>
      <c r="M158" s="17"/>
      <c r="N158" s="17"/>
      <c r="O158" s="17"/>
    </row>
    <row r="159" spans="1:15" ht="12.5">
      <c r="A159" s="17"/>
      <c r="B159" s="24"/>
      <c r="C159" s="24"/>
      <c r="D159" s="17"/>
      <c r="E159" s="24"/>
      <c r="F159" s="17"/>
      <c r="G159" s="17"/>
      <c r="H159" s="17"/>
      <c r="I159" s="17"/>
      <c r="J159" s="17"/>
      <c r="K159" s="17"/>
      <c r="L159" s="17"/>
      <c r="M159" s="17"/>
      <c r="N159" s="17"/>
      <c r="O159" s="17"/>
    </row>
    <row r="160" spans="1:15" ht="12.5">
      <c r="A160" s="17"/>
      <c r="B160" s="24"/>
      <c r="C160" s="24"/>
      <c r="D160" s="17"/>
      <c r="E160" s="24"/>
      <c r="F160" s="17"/>
      <c r="G160" s="17"/>
      <c r="H160" s="17"/>
      <c r="I160" s="17"/>
      <c r="J160" s="17"/>
      <c r="K160" s="17"/>
      <c r="L160" s="17"/>
      <c r="M160" s="17"/>
      <c r="N160" s="17"/>
      <c r="O160" s="17"/>
    </row>
    <row r="161" spans="1:15" ht="12.5">
      <c r="A161" s="17"/>
      <c r="B161" s="24"/>
      <c r="C161" s="24"/>
      <c r="D161" s="17"/>
      <c r="E161" s="24"/>
      <c r="F161" s="17"/>
      <c r="G161" s="17"/>
      <c r="H161" s="17"/>
      <c r="I161" s="17"/>
      <c r="J161" s="17"/>
      <c r="K161" s="17"/>
      <c r="L161" s="17"/>
      <c r="M161" s="17"/>
      <c r="N161" s="17"/>
      <c r="O161" s="17"/>
    </row>
    <row r="162" spans="1:15" ht="12.5">
      <c r="A162" s="17"/>
      <c r="B162" s="24"/>
      <c r="C162" s="24"/>
      <c r="D162" s="17"/>
      <c r="E162" s="24"/>
      <c r="F162" s="17"/>
      <c r="G162" s="17"/>
      <c r="H162" s="17"/>
      <c r="I162" s="17"/>
      <c r="J162" s="17"/>
      <c r="K162" s="17"/>
      <c r="L162" s="17"/>
      <c r="M162" s="17"/>
      <c r="N162" s="17"/>
      <c r="O162" s="17"/>
    </row>
    <row r="163" spans="1:15" ht="12.5">
      <c r="A163" s="17"/>
      <c r="B163" s="24"/>
      <c r="C163" s="24"/>
      <c r="D163" s="17"/>
      <c r="E163" s="24"/>
      <c r="F163" s="17"/>
      <c r="G163" s="17"/>
      <c r="H163" s="17"/>
      <c r="I163" s="17"/>
      <c r="J163" s="17"/>
      <c r="K163" s="17"/>
      <c r="L163" s="17"/>
      <c r="M163" s="17"/>
      <c r="N163" s="17"/>
      <c r="O163" s="17"/>
    </row>
    <row r="164" spans="1:15" ht="12.5">
      <c r="A164" s="17"/>
      <c r="B164" s="24"/>
      <c r="C164" s="24"/>
      <c r="D164" s="17"/>
      <c r="E164" s="24"/>
      <c r="F164" s="17"/>
      <c r="G164" s="17"/>
      <c r="H164" s="17"/>
      <c r="I164" s="17"/>
      <c r="J164" s="17"/>
      <c r="K164" s="17"/>
      <c r="L164" s="17"/>
      <c r="M164" s="17"/>
      <c r="N164" s="17"/>
      <c r="O164" s="17"/>
    </row>
    <row r="165" spans="1:15" ht="12.5">
      <c r="A165" s="17"/>
      <c r="B165" s="24"/>
      <c r="C165" s="24"/>
      <c r="D165" s="17"/>
      <c r="E165" s="24"/>
      <c r="F165" s="17"/>
      <c r="G165" s="17"/>
      <c r="H165" s="17"/>
      <c r="I165" s="17"/>
      <c r="J165" s="17"/>
      <c r="K165" s="17"/>
      <c r="L165" s="17"/>
      <c r="M165" s="17"/>
      <c r="N165" s="17"/>
      <c r="O165" s="17"/>
    </row>
    <row r="166" spans="1:15" ht="12.5">
      <c r="A166" s="17"/>
      <c r="B166" s="24"/>
      <c r="C166" s="24"/>
      <c r="D166" s="17"/>
      <c r="E166" s="24"/>
      <c r="F166" s="17"/>
      <c r="G166" s="17"/>
      <c r="H166" s="17"/>
      <c r="I166" s="17"/>
      <c r="J166" s="17"/>
      <c r="K166" s="17"/>
      <c r="L166" s="17"/>
      <c r="M166" s="17"/>
      <c r="N166" s="17"/>
      <c r="O166" s="17"/>
    </row>
    <row r="167" spans="1:15" ht="12.5">
      <c r="A167" s="17"/>
      <c r="B167" s="24"/>
      <c r="C167" s="24"/>
      <c r="D167" s="17"/>
      <c r="E167" s="24"/>
      <c r="F167" s="17"/>
      <c r="G167" s="17"/>
      <c r="H167" s="17"/>
      <c r="I167" s="17"/>
      <c r="J167" s="17"/>
      <c r="K167" s="17"/>
      <c r="L167" s="17"/>
      <c r="M167" s="17"/>
      <c r="N167" s="17"/>
      <c r="O167" s="17"/>
    </row>
    <row r="168" spans="1:15" ht="12.5">
      <c r="A168" s="17"/>
      <c r="B168" s="24"/>
      <c r="C168" s="24"/>
      <c r="D168" s="17"/>
      <c r="E168" s="24"/>
      <c r="F168" s="17"/>
      <c r="G168" s="17"/>
      <c r="H168" s="17"/>
      <c r="I168" s="17"/>
      <c r="J168" s="17"/>
      <c r="K168" s="17"/>
      <c r="L168" s="17"/>
      <c r="M168" s="17"/>
      <c r="N168" s="17"/>
      <c r="O168" s="17"/>
    </row>
    <row r="169" spans="1:15" ht="12.5">
      <c r="A169" s="17"/>
      <c r="B169" s="24"/>
      <c r="C169" s="24"/>
      <c r="D169" s="17"/>
      <c r="E169" s="24"/>
      <c r="F169" s="17"/>
      <c r="G169" s="17"/>
      <c r="H169" s="17"/>
      <c r="I169" s="17"/>
      <c r="J169" s="17"/>
      <c r="K169" s="17"/>
      <c r="L169" s="17"/>
      <c r="M169" s="17"/>
      <c r="N169" s="17"/>
      <c r="O169" s="17"/>
    </row>
    <row r="170" spans="1:15" ht="12.5">
      <c r="A170" s="17"/>
      <c r="B170" s="24"/>
      <c r="C170" s="24"/>
      <c r="D170" s="17"/>
      <c r="E170" s="24"/>
      <c r="F170" s="17"/>
      <c r="G170" s="17"/>
      <c r="H170" s="17"/>
      <c r="I170" s="17"/>
      <c r="J170" s="17"/>
      <c r="K170" s="17"/>
      <c r="L170" s="17"/>
      <c r="M170" s="17"/>
      <c r="N170" s="17"/>
      <c r="O170" s="17"/>
    </row>
    <row r="171" spans="1:15" ht="12.5">
      <c r="A171" s="17"/>
      <c r="B171" s="24"/>
      <c r="C171" s="24"/>
      <c r="D171" s="17"/>
      <c r="E171" s="24"/>
      <c r="F171" s="17"/>
      <c r="G171" s="17"/>
      <c r="H171" s="17"/>
      <c r="I171" s="17"/>
      <c r="J171" s="17"/>
      <c r="K171" s="17"/>
      <c r="L171" s="17"/>
      <c r="M171" s="17"/>
      <c r="N171" s="17"/>
      <c r="O171" s="17"/>
    </row>
    <row r="172" spans="1:15" ht="12.5">
      <c r="A172" s="17"/>
      <c r="B172" s="24"/>
      <c r="C172" s="24"/>
      <c r="D172" s="17"/>
      <c r="E172" s="24"/>
      <c r="F172" s="17"/>
      <c r="G172" s="17"/>
      <c r="H172" s="17"/>
      <c r="I172" s="17"/>
      <c r="J172" s="17"/>
      <c r="K172" s="17"/>
      <c r="L172" s="17"/>
      <c r="M172" s="17"/>
      <c r="N172" s="17"/>
      <c r="O172" s="17"/>
    </row>
    <row r="173" spans="1:15" ht="12.5">
      <c r="A173" s="17"/>
      <c r="B173" s="24"/>
      <c r="C173" s="24"/>
      <c r="D173" s="17"/>
      <c r="E173" s="24"/>
      <c r="F173" s="17"/>
      <c r="G173" s="17"/>
      <c r="H173" s="17"/>
      <c r="I173" s="17"/>
      <c r="J173" s="17"/>
      <c r="K173" s="17"/>
      <c r="L173" s="17"/>
      <c r="M173" s="17"/>
      <c r="N173" s="17"/>
      <c r="O173" s="17"/>
    </row>
    <row r="174" spans="1:15" ht="12.5">
      <c r="A174" s="17"/>
      <c r="B174" s="24"/>
      <c r="C174" s="24"/>
      <c r="D174" s="17"/>
      <c r="E174" s="24"/>
      <c r="F174" s="17"/>
      <c r="G174" s="17"/>
      <c r="H174" s="17"/>
      <c r="I174" s="17"/>
      <c r="J174" s="17"/>
      <c r="K174" s="17"/>
      <c r="L174" s="17"/>
      <c r="M174" s="17"/>
      <c r="N174" s="17"/>
      <c r="O174" s="17"/>
    </row>
    <row r="175" spans="1:15" ht="12.5">
      <c r="A175" s="17"/>
      <c r="B175" s="24"/>
      <c r="C175" s="24"/>
      <c r="D175" s="17"/>
      <c r="E175" s="24"/>
      <c r="F175" s="17"/>
      <c r="G175" s="17"/>
      <c r="H175" s="17"/>
      <c r="I175" s="17"/>
      <c r="J175" s="17"/>
      <c r="K175" s="17"/>
      <c r="L175" s="17"/>
      <c r="M175" s="17"/>
      <c r="N175" s="17"/>
      <c r="O175" s="17"/>
    </row>
    <row r="176" spans="1:15" ht="12.5">
      <c r="A176" s="17"/>
      <c r="B176" s="24"/>
      <c r="C176" s="24"/>
      <c r="D176" s="17"/>
      <c r="E176" s="24"/>
      <c r="F176" s="17"/>
      <c r="G176" s="17"/>
      <c r="H176" s="17"/>
      <c r="I176" s="17"/>
      <c r="J176" s="17"/>
      <c r="K176" s="17"/>
      <c r="L176" s="17"/>
      <c r="M176" s="17"/>
      <c r="N176" s="17"/>
      <c r="O176" s="17"/>
    </row>
    <row r="177" spans="1:15" ht="12.5">
      <c r="A177" s="17"/>
      <c r="B177" s="24"/>
      <c r="C177" s="24"/>
      <c r="D177" s="17"/>
      <c r="E177" s="24"/>
      <c r="F177" s="17"/>
      <c r="G177" s="17"/>
      <c r="H177" s="17"/>
      <c r="I177" s="17"/>
      <c r="J177" s="17"/>
      <c r="K177" s="17"/>
      <c r="L177" s="17"/>
      <c r="M177" s="17"/>
      <c r="N177" s="17"/>
      <c r="O177" s="17"/>
    </row>
    <row r="178" spans="1:15" ht="12.5">
      <c r="A178" s="17"/>
      <c r="B178" s="24"/>
      <c r="C178" s="24"/>
      <c r="D178" s="17"/>
      <c r="E178" s="24"/>
      <c r="F178" s="17"/>
      <c r="G178" s="17"/>
      <c r="H178" s="17"/>
      <c r="I178" s="17"/>
      <c r="J178" s="17"/>
      <c r="K178" s="17"/>
      <c r="L178" s="17"/>
      <c r="M178" s="17"/>
      <c r="N178" s="17"/>
      <c r="O178" s="17"/>
    </row>
    <row r="179" spans="1:15" ht="12.5">
      <c r="A179" s="17"/>
      <c r="B179" s="24"/>
      <c r="C179" s="24"/>
      <c r="D179" s="17"/>
      <c r="E179" s="24"/>
      <c r="F179" s="17"/>
      <c r="G179" s="17"/>
      <c r="H179" s="17"/>
      <c r="I179" s="17"/>
      <c r="J179" s="17"/>
      <c r="K179" s="17"/>
      <c r="L179" s="17"/>
      <c r="M179" s="17"/>
      <c r="N179" s="17"/>
      <c r="O179" s="17"/>
    </row>
    <row r="180" spans="1:15" ht="12.5">
      <c r="A180" s="17"/>
      <c r="B180" s="24"/>
      <c r="C180" s="24"/>
      <c r="D180" s="17"/>
      <c r="E180" s="24"/>
      <c r="F180" s="17"/>
      <c r="G180" s="17"/>
      <c r="H180" s="17"/>
      <c r="I180" s="17"/>
      <c r="J180" s="17"/>
      <c r="K180" s="17"/>
      <c r="L180" s="17"/>
      <c r="M180" s="17"/>
      <c r="N180" s="17"/>
      <c r="O180" s="17"/>
    </row>
    <row r="181" spans="1:15" ht="12.5">
      <c r="A181" s="17"/>
      <c r="B181" s="24"/>
      <c r="C181" s="24"/>
      <c r="D181" s="17"/>
      <c r="E181" s="24"/>
      <c r="F181" s="17"/>
      <c r="G181" s="17"/>
      <c r="H181" s="17"/>
      <c r="I181" s="17"/>
      <c r="J181" s="17"/>
      <c r="K181" s="17"/>
      <c r="L181" s="17"/>
      <c r="M181" s="17"/>
      <c r="N181" s="17"/>
      <c r="O181" s="17"/>
    </row>
    <row r="182" spans="1:15" ht="12.5">
      <c r="A182" s="17"/>
      <c r="B182" s="24"/>
      <c r="C182" s="24"/>
      <c r="D182" s="17"/>
      <c r="E182" s="24"/>
      <c r="F182" s="17"/>
      <c r="G182" s="17"/>
      <c r="H182" s="17"/>
      <c r="I182" s="17"/>
      <c r="J182" s="17"/>
      <c r="K182" s="17"/>
      <c r="L182" s="17"/>
      <c r="M182" s="17"/>
      <c r="N182" s="17"/>
      <c r="O182" s="17"/>
    </row>
    <row r="183" spans="1:15" ht="12.5">
      <c r="A183" s="17"/>
      <c r="B183" s="24"/>
      <c r="C183" s="24"/>
      <c r="D183" s="17"/>
      <c r="E183" s="24"/>
      <c r="F183" s="17"/>
      <c r="G183" s="17"/>
      <c r="H183" s="17"/>
      <c r="I183" s="17"/>
      <c r="J183" s="17"/>
      <c r="K183" s="17"/>
      <c r="L183" s="17"/>
      <c r="M183" s="17"/>
      <c r="N183" s="17"/>
      <c r="O183" s="17"/>
    </row>
    <row r="184" spans="1:15" ht="12.5">
      <c r="A184" s="17"/>
      <c r="B184" s="24"/>
      <c r="C184" s="24"/>
      <c r="D184" s="17"/>
      <c r="E184" s="24"/>
      <c r="F184" s="17"/>
      <c r="G184" s="17"/>
      <c r="H184" s="17"/>
      <c r="I184" s="17"/>
      <c r="J184" s="17"/>
      <c r="K184" s="17"/>
      <c r="L184" s="17"/>
      <c r="M184" s="17"/>
      <c r="N184" s="17"/>
      <c r="O184" s="17"/>
    </row>
    <row r="185" spans="1:15" ht="12.5">
      <c r="A185" s="17"/>
      <c r="B185" s="24"/>
      <c r="C185" s="24"/>
      <c r="D185" s="17"/>
      <c r="E185" s="24"/>
      <c r="F185" s="17"/>
      <c r="G185" s="17"/>
      <c r="H185" s="17"/>
      <c r="I185" s="17"/>
      <c r="J185" s="17"/>
      <c r="K185" s="17"/>
      <c r="L185" s="17"/>
      <c r="M185" s="17"/>
      <c r="N185" s="17"/>
      <c r="O185" s="17"/>
    </row>
    <row r="186" spans="1:15" ht="12.5">
      <c r="A186" s="17"/>
      <c r="B186" s="24"/>
      <c r="C186" s="24"/>
      <c r="D186" s="17"/>
      <c r="E186" s="24"/>
      <c r="F186" s="17"/>
      <c r="G186" s="17"/>
      <c r="H186" s="17"/>
      <c r="I186" s="17"/>
      <c r="J186" s="17"/>
      <c r="K186" s="17"/>
      <c r="L186" s="17"/>
      <c r="M186" s="17"/>
      <c r="N186" s="17"/>
      <c r="O186" s="17"/>
    </row>
    <row r="187" spans="1:15" ht="12.5">
      <c r="A187" s="17"/>
      <c r="B187" s="24"/>
      <c r="C187" s="24"/>
      <c r="D187" s="17"/>
      <c r="E187" s="24"/>
      <c r="F187" s="17"/>
      <c r="G187" s="17"/>
      <c r="H187" s="17"/>
      <c r="I187" s="17"/>
      <c r="J187" s="17"/>
      <c r="K187" s="17"/>
      <c r="L187" s="17"/>
      <c r="M187" s="17"/>
      <c r="N187" s="17"/>
      <c r="O187" s="17"/>
    </row>
    <row r="188" spans="1:15" ht="12.5">
      <c r="A188" s="17"/>
      <c r="B188" s="24"/>
      <c r="C188" s="24"/>
      <c r="D188" s="17"/>
      <c r="E188" s="24"/>
      <c r="F188" s="17"/>
      <c r="G188" s="17"/>
      <c r="H188" s="17"/>
      <c r="I188" s="17"/>
      <c r="J188" s="17"/>
      <c r="K188" s="17"/>
      <c r="L188" s="17"/>
      <c r="M188" s="17"/>
      <c r="N188" s="17"/>
      <c r="O188" s="17"/>
    </row>
    <row r="189" spans="1:15" ht="12.5">
      <c r="A189" s="17"/>
      <c r="B189" s="24"/>
      <c r="C189" s="24"/>
      <c r="D189" s="17"/>
      <c r="E189" s="24"/>
      <c r="F189" s="17"/>
      <c r="G189" s="17"/>
      <c r="H189" s="17"/>
      <c r="I189" s="17"/>
      <c r="J189" s="17"/>
      <c r="K189" s="17"/>
      <c r="L189" s="17"/>
      <c r="M189" s="17"/>
      <c r="N189" s="17"/>
      <c r="O189" s="17"/>
    </row>
    <row r="190" spans="1:15" ht="12.5">
      <c r="A190" s="17"/>
      <c r="B190" s="24"/>
      <c r="C190" s="24"/>
      <c r="D190" s="17"/>
      <c r="E190" s="24"/>
      <c r="F190" s="17"/>
      <c r="G190" s="17"/>
      <c r="H190" s="17"/>
      <c r="I190" s="17"/>
      <c r="J190" s="17"/>
      <c r="K190" s="17"/>
      <c r="L190" s="17"/>
      <c r="M190" s="17"/>
      <c r="N190" s="17"/>
      <c r="O190" s="17"/>
    </row>
    <row r="191" spans="1:15" ht="12.5">
      <c r="A191" s="17"/>
      <c r="B191" s="24"/>
      <c r="C191" s="24"/>
      <c r="D191" s="17"/>
      <c r="E191" s="24"/>
      <c r="F191" s="17"/>
      <c r="G191" s="17"/>
      <c r="H191" s="17"/>
      <c r="I191" s="17"/>
      <c r="J191" s="17"/>
      <c r="K191" s="17"/>
      <c r="L191" s="17"/>
      <c r="M191" s="17"/>
      <c r="N191" s="17"/>
      <c r="O191" s="17"/>
    </row>
    <row r="192" spans="1:15" ht="12.5">
      <c r="A192" s="17"/>
      <c r="B192" s="24"/>
      <c r="C192" s="24"/>
      <c r="D192" s="17"/>
      <c r="E192" s="24"/>
      <c r="F192" s="17"/>
      <c r="G192" s="17"/>
      <c r="H192" s="17"/>
      <c r="I192" s="17"/>
      <c r="J192" s="17"/>
      <c r="K192" s="17"/>
      <c r="L192" s="17"/>
      <c r="M192" s="17"/>
      <c r="N192" s="17"/>
      <c r="O192" s="17"/>
    </row>
    <row r="193" spans="1:15" ht="12.5">
      <c r="A193" s="17"/>
      <c r="B193" s="24"/>
      <c r="C193" s="24"/>
      <c r="D193" s="17"/>
      <c r="E193" s="24"/>
      <c r="F193" s="17"/>
      <c r="G193" s="17"/>
      <c r="H193" s="17"/>
      <c r="I193" s="17"/>
      <c r="J193" s="17"/>
      <c r="K193" s="17"/>
      <c r="L193" s="17"/>
      <c r="M193" s="17"/>
      <c r="N193" s="17"/>
      <c r="O193" s="17"/>
    </row>
    <row r="194" spans="1:15" ht="12.5">
      <c r="A194" s="17"/>
      <c r="B194" s="24"/>
      <c r="C194" s="24"/>
      <c r="D194" s="17"/>
      <c r="E194" s="24"/>
      <c r="F194" s="17"/>
      <c r="G194" s="17"/>
      <c r="H194" s="17"/>
      <c r="I194" s="17"/>
      <c r="J194" s="17"/>
      <c r="K194" s="17"/>
      <c r="L194" s="17"/>
      <c r="M194" s="17"/>
      <c r="N194" s="17"/>
      <c r="O194" s="17"/>
    </row>
    <row r="195" spans="1:15" ht="12.5">
      <c r="A195" s="17"/>
      <c r="B195" s="24"/>
      <c r="C195" s="24"/>
      <c r="D195" s="17"/>
      <c r="E195" s="24"/>
      <c r="F195" s="17"/>
      <c r="G195" s="17"/>
      <c r="H195" s="17"/>
      <c r="I195" s="17"/>
      <c r="J195" s="17"/>
      <c r="K195" s="17"/>
      <c r="L195" s="17"/>
      <c r="M195" s="17"/>
      <c r="N195" s="17"/>
      <c r="O195" s="17"/>
    </row>
    <row r="196" spans="1:15" ht="12.5">
      <c r="A196" s="17"/>
      <c r="B196" s="24"/>
      <c r="C196" s="24"/>
      <c r="D196" s="17"/>
      <c r="E196" s="24"/>
      <c r="F196" s="17"/>
      <c r="G196" s="17"/>
      <c r="H196" s="17"/>
      <c r="I196" s="17"/>
      <c r="J196" s="17"/>
      <c r="K196" s="17"/>
      <c r="L196" s="17"/>
      <c r="M196" s="17"/>
      <c r="N196" s="17"/>
      <c r="O196" s="17"/>
    </row>
    <row r="197" spans="1:15" ht="12.5">
      <c r="A197" s="17"/>
      <c r="B197" s="24"/>
      <c r="C197" s="24"/>
      <c r="D197" s="17"/>
      <c r="E197" s="24"/>
      <c r="F197" s="17"/>
      <c r="G197" s="17"/>
      <c r="H197" s="17"/>
      <c r="I197" s="17"/>
      <c r="J197" s="17"/>
      <c r="K197" s="17"/>
      <c r="L197" s="17"/>
      <c r="M197" s="17"/>
      <c r="N197" s="17"/>
      <c r="O197" s="17"/>
    </row>
    <row r="198" spans="1:15" ht="12.5">
      <c r="A198" s="17"/>
      <c r="B198" s="24"/>
      <c r="C198" s="24"/>
      <c r="D198" s="17"/>
      <c r="E198" s="24"/>
      <c r="F198" s="17"/>
      <c r="G198" s="17"/>
      <c r="H198" s="17"/>
      <c r="I198" s="17"/>
      <c r="J198" s="17"/>
      <c r="K198" s="17"/>
      <c r="L198" s="17"/>
      <c r="M198" s="17"/>
      <c r="N198" s="17"/>
      <c r="O198" s="17"/>
    </row>
    <row r="199" spans="1:15" ht="12.5">
      <c r="A199" s="17"/>
      <c r="B199" s="24"/>
      <c r="C199" s="24"/>
      <c r="D199" s="17"/>
      <c r="E199" s="24"/>
      <c r="F199" s="17"/>
      <c r="G199" s="17"/>
      <c r="H199" s="17"/>
      <c r="I199" s="17"/>
      <c r="J199" s="17"/>
      <c r="K199" s="17"/>
      <c r="L199" s="17"/>
      <c r="M199" s="17"/>
      <c r="N199" s="17"/>
      <c r="O199" s="17"/>
    </row>
    <row r="200" spans="1:15" ht="12.5">
      <c r="A200" s="17"/>
      <c r="B200" s="24"/>
      <c r="C200" s="24"/>
      <c r="D200" s="17"/>
      <c r="E200" s="24"/>
      <c r="F200" s="17"/>
      <c r="G200" s="17"/>
      <c r="H200" s="17"/>
      <c r="I200" s="17"/>
      <c r="J200" s="17"/>
      <c r="K200" s="17"/>
      <c r="L200" s="17"/>
      <c r="M200" s="17"/>
      <c r="N200" s="17"/>
      <c r="O200" s="17"/>
    </row>
    <row r="201" spans="1:15" ht="12.5">
      <c r="A201" s="17"/>
      <c r="B201" s="24"/>
      <c r="C201" s="24"/>
      <c r="D201" s="17"/>
      <c r="E201" s="24"/>
      <c r="F201" s="17"/>
      <c r="G201" s="17"/>
      <c r="H201" s="17"/>
      <c r="I201" s="17"/>
      <c r="J201" s="17"/>
      <c r="K201" s="17"/>
      <c r="L201" s="17"/>
      <c r="M201" s="17"/>
      <c r="N201" s="17"/>
      <c r="O201" s="17"/>
    </row>
    <row r="202" spans="1:15" ht="12.5">
      <c r="A202" s="17"/>
      <c r="B202" s="24"/>
      <c r="C202" s="24"/>
      <c r="D202" s="17"/>
      <c r="E202" s="24"/>
      <c r="F202" s="17"/>
      <c r="G202" s="17"/>
      <c r="H202" s="17"/>
      <c r="I202" s="17"/>
      <c r="J202" s="17"/>
      <c r="K202" s="17"/>
      <c r="L202" s="17"/>
      <c r="M202" s="17"/>
      <c r="N202" s="17"/>
      <c r="O202" s="17"/>
    </row>
    <row r="203" spans="1:15" ht="12.5">
      <c r="A203" s="17"/>
      <c r="B203" s="24"/>
      <c r="C203" s="24"/>
      <c r="D203" s="17"/>
      <c r="E203" s="24"/>
      <c r="F203" s="17"/>
      <c r="G203" s="17"/>
      <c r="H203" s="17"/>
      <c r="I203" s="17"/>
      <c r="J203" s="17"/>
      <c r="K203" s="17"/>
      <c r="L203" s="17"/>
      <c r="M203" s="17"/>
      <c r="N203" s="17"/>
      <c r="O203" s="17"/>
    </row>
    <row r="204" spans="1:15" ht="12.5">
      <c r="A204" s="17"/>
      <c r="B204" s="24"/>
      <c r="C204" s="24"/>
      <c r="D204" s="17"/>
      <c r="E204" s="24"/>
      <c r="F204" s="17"/>
      <c r="G204" s="17"/>
      <c r="H204" s="17"/>
      <c r="I204" s="17"/>
      <c r="J204" s="17"/>
      <c r="K204" s="17"/>
      <c r="L204" s="17"/>
      <c r="M204" s="17"/>
      <c r="N204" s="17"/>
      <c r="O204" s="17"/>
    </row>
    <row r="205" spans="1:15" ht="12.5">
      <c r="A205" s="17"/>
      <c r="B205" s="24"/>
      <c r="C205" s="24"/>
      <c r="D205" s="17"/>
      <c r="E205" s="24"/>
      <c r="F205" s="17"/>
      <c r="G205" s="17"/>
      <c r="H205" s="17"/>
      <c r="I205" s="17"/>
      <c r="J205" s="17"/>
      <c r="K205" s="17"/>
      <c r="L205" s="17"/>
      <c r="M205" s="17"/>
      <c r="N205" s="17"/>
      <c r="O205" s="17"/>
    </row>
    <row r="206" spans="1:15" ht="12.5">
      <c r="A206" s="17"/>
      <c r="B206" s="24"/>
      <c r="C206" s="24"/>
      <c r="D206" s="17"/>
      <c r="E206" s="24"/>
      <c r="F206" s="17"/>
      <c r="G206" s="17"/>
      <c r="H206" s="17"/>
      <c r="I206" s="17"/>
      <c r="J206" s="17"/>
      <c r="K206" s="17"/>
      <c r="L206" s="17"/>
      <c r="M206" s="17"/>
      <c r="N206" s="17"/>
      <c r="O206" s="17"/>
    </row>
    <row r="207" spans="1:15" ht="12.5">
      <c r="A207" s="17"/>
      <c r="B207" s="24"/>
      <c r="C207" s="24"/>
      <c r="D207" s="17"/>
      <c r="E207" s="24"/>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O207"/>
  <sheetViews>
    <sheetView workbookViewId="0"/>
  </sheetViews>
  <sheetFormatPr baseColWidth="10" defaultColWidth="12.6328125" defaultRowHeight="15.75" customHeight="1"/>
  <cols>
    <col min="1" max="1" width="12.26953125" customWidth="1"/>
    <col min="2" max="2" width="5.7265625" customWidth="1"/>
    <col min="3" max="6" width="12.26953125" customWidth="1"/>
    <col min="7" max="8" width="17.453125" customWidth="1"/>
    <col min="9" max="10" width="22.36328125" customWidth="1"/>
    <col min="11" max="15" width="12.26953125" customWidth="1"/>
  </cols>
  <sheetData>
    <row r="1" spans="1:15" ht="15.75" customHeight="1">
      <c r="A1" s="17"/>
      <c r="B1" s="17"/>
      <c r="C1" s="24"/>
      <c r="D1" s="17"/>
      <c r="E1" s="17"/>
      <c r="F1" s="17"/>
      <c r="G1" s="17"/>
      <c r="H1" s="17"/>
      <c r="I1" s="17"/>
      <c r="J1" s="17"/>
      <c r="K1" s="17"/>
      <c r="L1" s="17"/>
      <c r="M1" s="17"/>
      <c r="N1" s="17"/>
      <c r="O1" s="17"/>
    </row>
    <row r="2" spans="1:15" ht="15.75" customHeight="1">
      <c r="A2" s="143" t="s">
        <v>1940</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9" t="s">
        <v>1</v>
      </c>
      <c r="C11" s="80" t="s">
        <v>2</v>
      </c>
      <c r="D11" s="81" t="s">
        <v>3</v>
      </c>
      <c r="E11" s="82" t="s">
        <v>4</v>
      </c>
      <c r="F11" s="83" t="s">
        <v>5</v>
      </c>
      <c r="G11" s="82"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Sept'!$J$12:$J$1003=$A$2)"),"#N/A")</f>
        <v>#N/A</v>
      </c>
      <c r="B12" s="86"/>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IFERROR(__xludf.DUMMYFUNCTION("IMPORTRANGE(""https://docs.google.com/spreadsheets/d/1SHtXGy9HD2uwT8IHiNPOjLPM2zrv9pQFtEZo0HpPyj8/edit#gid=1404531132"",""#15 Raul!I12:K80"")"),"")</f>
        <v/>
      </c>
      <c r="J12" s="17"/>
      <c r="K12" s="17" t="str">
        <f ca="1">IFERROR(__xludf.DUMMYFUNCTION("""COMPUTED_VALUE"""),".")</f>
        <v>.</v>
      </c>
      <c r="L12" s="17"/>
      <c r="M12" s="17"/>
      <c r="N12" s="17"/>
      <c r="O12" s="17"/>
    </row>
    <row r="13" spans="1:15" ht="15.75" customHeight="1">
      <c r="A13" s="17"/>
      <c r="B13" s="24"/>
      <c r="C13" s="24"/>
      <c r="D13" s="17"/>
      <c r="E13" s="17"/>
      <c r="F13" s="17"/>
      <c r="G13" s="17"/>
      <c r="H13" s="17"/>
      <c r="I13" s="17"/>
      <c r="J13" s="17"/>
      <c r="K13" s="17" t="str">
        <f ca="1">IFERROR(__xludf.DUMMYFUNCTION("""COMPUTED_VALUE"""),".")</f>
        <v>.</v>
      </c>
      <c r="L13" s="17"/>
      <c r="M13" s="17"/>
      <c r="N13" s="17"/>
      <c r="O13" s="17"/>
    </row>
    <row r="14" spans="1:15" ht="15.75" customHeight="1">
      <c r="A14" s="17"/>
      <c r="B14" s="24"/>
      <c r="C14" s="24"/>
      <c r="D14" s="17"/>
      <c r="E14" s="17"/>
      <c r="F14" s="17"/>
      <c r="G14" s="17"/>
      <c r="H14" s="17"/>
      <c r="I14" s="17"/>
      <c r="J14" s="17"/>
      <c r="K14" s="17" t="str">
        <f ca="1">IFERROR(__xludf.DUMMYFUNCTION("""COMPUTED_VALUE"""),".")</f>
        <v>.</v>
      </c>
      <c r="L14" s="17"/>
      <c r="M14" s="17"/>
      <c r="N14" s="17"/>
      <c r="O14" s="17"/>
    </row>
    <row r="15" spans="1:15" ht="15.75" customHeight="1">
      <c r="A15" s="17"/>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00FF"/>
    <outlinePr summaryBelow="0" summaryRight="0"/>
  </sheetPr>
  <dimension ref="A1:O207"/>
  <sheetViews>
    <sheetView workbookViewId="0"/>
  </sheetViews>
  <sheetFormatPr baseColWidth="10" defaultColWidth="12.6328125" defaultRowHeight="15.75" customHeight="1"/>
  <cols>
    <col min="1" max="1" width="13.7265625" customWidth="1"/>
    <col min="2" max="2" width="7.7265625" customWidth="1"/>
    <col min="3" max="3" width="10.08984375" customWidth="1"/>
    <col min="4" max="4" width="6.08984375" customWidth="1"/>
    <col min="5" max="5" width="3.90625" customWidth="1"/>
    <col min="6" max="6" width="17.08984375" customWidth="1"/>
    <col min="7" max="7" width="31.26953125" customWidth="1"/>
    <col min="8" max="8" width="33.453125" customWidth="1"/>
    <col min="9" max="9" width="20" customWidth="1"/>
    <col min="10" max="10" width="32" customWidth="1"/>
    <col min="11" max="11" width="14.26953125" customWidth="1"/>
    <col min="12" max="12" width="8.90625" customWidth="1"/>
    <col min="13" max="13" width="12.08984375" customWidth="1"/>
  </cols>
  <sheetData>
    <row r="1" spans="1:15" ht="15.75" customHeight="1">
      <c r="A1" s="17"/>
      <c r="B1" s="17"/>
      <c r="C1" s="24"/>
      <c r="D1" s="17"/>
      <c r="E1" s="17"/>
      <c r="F1" s="17"/>
      <c r="G1" s="17"/>
      <c r="H1" s="17"/>
      <c r="I1" s="17"/>
      <c r="J1" s="17"/>
      <c r="K1" s="17"/>
      <c r="L1" s="17"/>
      <c r="M1" s="17"/>
      <c r="N1" s="17"/>
      <c r="O1" s="17"/>
    </row>
    <row r="2" spans="1:15" ht="15.75" customHeight="1">
      <c r="A2" s="143" t="s">
        <v>96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71"/>
      <c r="B4" s="71"/>
      <c r="C4" s="72"/>
      <c r="D4" s="73"/>
      <c r="E4" s="138" t="s">
        <v>83</v>
      </c>
      <c r="F4" s="139"/>
      <c r="G4" s="70" t="s">
        <v>1977</v>
      </c>
      <c r="H4" s="74"/>
      <c r="I4" s="13"/>
      <c r="J4" s="71"/>
      <c r="K4" s="17"/>
      <c r="L4" s="17"/>
      <c r="M4" s="17"/>
      <c r="N4" s="75"/>
      <c r="O4" s="75"/>
    </row>
    <row r="5" spans="1:15" ht="15.75" customHeight="1">
      <c r="A5" s="71"/>
      <c r="B5" s="71"/>
      <c r="C5" s="72"/>
      <c r="D5" s="73"/>
      <c r="E5" s="142" t="s">
        <v>94</v>
      </c>
      <c r="F5" s="139"/>
      <c r="G5" s="70" t="s">
        <v>1978</v>
      </c>
      <c r="H5" s="74"/>
      <c r="I5" s="13"/>
      <c r="J5" s="71"/>
      <c r="K5" s="17"/>
      <c r="L5" s="17"/>
      <c r="M5" s="17"/>
      <c r="N5" s="75"/>
      <c r="O5" s="75"/>
    </row>
    <row r="6" spans="1:15" ht="15.75" customHeight="1">
      <c r="A6" s="71"/>
      <c r="B6" s="71"/>
      <c r="C6" s="72"/>
      <c r="D6" s="73"/>
      <c r="E6" s="141" t="s">
        <v>103</v>
      </c>
      <c r="F6" s="139"/>
      <c r="G6" s="70" t="s">
        <v>1980</v>
      </c>
      <c r="H6" s="74"/>
      <c r="I6" s="13"/>
      <c r="J6" s="71"/>
      <c r="K6" s="17"/>
      <c r="L6" s="17"/>
      <c r="M6" s="17"/>
      <c r="N6" s="75"/>
      <c r="O6" s="75"/>
    </row>
    <row r="7" spans="1:15" ht="15.75" customHeight="1">
      <c r="A7" s="71"/>
      <c r="B7" s="71"/>
      <c r="C7" s="72"/>
      <c r="D7" s="73"/>
      <c r="E7" s="142" t="s">
        <v>113</v>
      </c>
      <c r="F7" s="139"/>
      <c r="G7" s="70" t="s">
        <v>1981</v>
      </c>
      <c r="H7" s="74"/>
      <c r="I7" s="13"/>
      <c r="J7" s="71"/>
      <c r="K7" s="17"/>
      <c r="L7" s="17"/>
      <c r="M7" s="17"/>
      <c r="N7" s="75"/>
      <c r="O7" s="75"/>
    </row>
    <row r="8" spans="1:15" ht="15.75" customHeight="1">
      <c r="A8" s="71"/>
      <c r="B8" s="71"/>
      <c r="C8" s="72"/>
      <c r="D8" s="73"/>
      <c r="E8" s="141" t="s">
        <v>120</v>
      </c>
      <c r="F8" s="139"/>
      <c r="G8" s="70" t="s">
        <v>1982</v>
      </c>
      <c r="H8" s="74"/>
      <c r="I8" s="13"/>
      <c r="J8" s="71"/>
      <c r="K8" s="17"/>
      <c r="L8" s="17"/>
      <c r="M8" s="17"/>
      <c r="N8" s="75"/>
      <c r="O8" s="75"/>
    </row>
    <row r="9" spans="1:15" ht="15.75" customHeight="1">
      <c r="A9" s="71"/>
      <c r="B9" s="71"/>
      <c r="C9" s="72"/>
      <c r="D9" s="73"/>
      <c r="E9" s="76"/>
      <c r="F9" s="74"/>
      <c r="G9" s="71"/>
      <c r="H9" s="74"/>
      <c r="I9" s="13"/>
      <c r="J9" s="71"/>
      <c r="K9" s="17"/>
      <c r="L9" s="17"/>
      <c r="M9" s="17"/>
      <c r="N9" s="75"/>
      <c r="O9" s="75"/>
    </row>
    <row r="10" spans="1:15" ht="15.75" customHeight="1">
      <c r="A10" s="71"/>
      <c r="B10" s="71"/>
      <c r="C10" s="72"/>
      <c r="D10" s="73"/>
      <c r="E10" s="76"/>
      <c r="F10" s="74"/>
      <c r="G10" s="71"/>
      <c r="H10" s="74"/>
      <c r="I10" s="13"/>
      <c r="J10" s="71"/>
      <c r="K10" s="17"/>
      <c r="L10" s="17"/>
      <c r="M10" s="17"/>
      <c r="N10" s="75"/>
      <c r="O10" s="75"/>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7" t="str">
        <f ca="1">IFERROR(__xludf.DUMMYFUNCTION("FILTER('Edo Cta Jeeves Sept'!$A$12:$C$1003,'Edo Cta Jeeves Sept'!$J$12:$J$1003=$A$2)"),"#N/A")</f>
        <v>#N/A</v>
      </c>
      <c r="B12" s="86"/>
      <c r="C12" s="24"/>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IFERROR(__xludf.DUMMYFUNCTION("IMPORTRANGE(""https://docs.google.com/spreadsheets/d/17f0y4iSqqb1LnQlfSvWVx1KyLQXVX4ISea9SsFNQfHE/edit#gid=1404531132"",""#17 Sebastian!I12:K80"")"),"G&amp;A expenses")</f>
        <v>G&amp;A expenses</v>
      </c>
      <c r="J12" s="17" t="str">
        <f ca="1">IFERROR(__xludf.DUMMYFUNCTION("""COMPUTED_VALUE"""),"RFQ HOTELERIA - Aeropuerto T1 (agua)")</f>
        <v>RFQ HOTELERIA - Aeropuerto T1 (agua)</v>
      </c>
      <c r="K12" s="17" t="str">
        <f ca="1">IFERROR(__xludf.DUMMYFUNCTION("""COMPUTED_VALUE"""),"Solicitada")</f>
        <v>Solicitada</v>
      </c>
      <c r="L12" s="17"/>
      <c r="M12" s="17"/>
      <c r="N12" s="17"/>
      <c r="O12" s="17"/>
    </row>
    <row r="13" spans="1:15" ht="15.75" customHeight="1">
      <c r="A13" s="17"/>
      <c r="B13" s="24"/>
      <c r="C13" s="24"/>
      <c r="D13" s="17"/>
      <c r="E13" s="17"/>
      <c r="F13" s="17"/>
      <c r="G13" s="17"/>
      <c r="H13" s="17"/>
      <c r="I13" s="17" t="str">
        <f ca="1">IFERROR(__xludf.DUMMYFUNCTION("""COMPUTED_VALUE"""),"G&amp;A expenses")</f>
        <v>G&amp;A expenses</v>
      </c>
      <c r="J13" s="17" t="str">
        <f ca="1">IFERROR(__xludf.DUMMYFUNCTION("""COMPUTED_VALUE"""),"RFQ HOTELERIA - Aeropuerto agua")</f>
        <v>RFQ HOTELERIA - Aeropuerto agua</v>
      </c>
      <c r="K13" s="17" t="str">
        <f ca="1">IFERROR(__xludf.DUMMYFUNCTION("""COMPUTED_VALUE"""),"Solicitada")</f>
        <v>Solicitada</v>
      </c>
      <c r="L13" s="17"/>
      <c r="M13" s="17"/>
      <c r="N13" s="17"/>
      <c r="O13" s="17"/>
    </row>
    <row r="14" spans="1:15" ht="15.75" customHeight="1">
      <c r="A14" s="17"/>
      <c r="B14" s="24"/>
      <c r="C14" s="24"/>
      <c r="D14" s="17"/>
      <c r="E14" s="17"/>
      <c r="F14" s="17"/>
      <c r="G14" s="17"/>
      <c r="H14" s="17"/>
      <c r="I14" s="17" t="str">
        <f ca="1">IFERROR(__xludf.DUMMYFUNCTION("""COMPUTED_VALUE"""),"G&amp;A expenses")</f>
        <v>G&amp;A expenses</v>
      </c>
      <c r="J14" s="17" t="str">
        <f ca="1">IFERROR(__xludf.DUMMYFUNCTION("""COMPUTED_VALUE"""),"RFQ HOTELERIA - Hospedaje 2 personas: Gustavo + Sebastián")</f>
        <v>RFQ HOTELERIA - Hospedaje 2 personas: Gustavo + Sebastián</v>
      </c>
      <c r="K14" s="17" t="str">
        <f ca="1">IFERROR(__xludf.DUMMYFUNCTION("""COMPUTED_VALUE"""),"FA - 50106")</f>
        <v>FA - 50106</v>
      </c>
      <c r="L14" s="17"/>
      <c r="M14" s="17"/>
      <c r="N14" s="17"/>
      <c r="O14" s="17"/>
    </row>
    <row r="15" spans="1:15" ht="15.75" customHeight="1">
      <c r="A15" s="17"/>
      <c r="B15" s="24"/>
      <c r="C15" s="24"/>
      <c r="D15" s="17"/>
      <c r="E15" s="17"/>
      <c r="F15" s="17"/>
      <c r="G15" s="17"/>
      <c r="H15" s="17"/>
      <c r="I15" s="17" t="str">
        <f ca="1">IFERROR(__xludf.DUMMYFUNCTION("""COMPUTED_VALUE"""),"G&amp;A expenses")</f>
        <v>G&amp;A expenses</v>
      </c>
      <c r="J15" s="17" t="str">
        <f ca="1">IFERROR(__xludf.DUMMYFUNCTION("""COMPUTED_VALUE"""),"RFQ HOTELERIA - Fairfield Inn (comida)")</f>
        <v>RFQ HOTELERIA - Fairfield Inn (comida)</v>
      </c>
      <c r="K15" s="17" t="str">
        <f ca="1">IFERROR(__xludf.DUMMYFUNCTION("""COMPUTED_VALUE"""),"A - 4721")</f>
        <v>A - 4721</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IFERROR(__xludf.DUMMYFUNCTION("""COMPUTED_VALUE"""),"RFQ HOTELERIA - Cena - Hilton+Oasis (x6 personas)")</f>
        <v>RFQ HOTELERIA - Cena - Hilton+Oasis (x6 personas)</v>
      </c>
      <c r="K16" s="17" t="str">
        <f ca="1">IFERROR(__xludf.DUMMYFUNCTION("""COMPUTED_VALUE"""),"A11784")</f>
        <v>A11784</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IFERROR(__xludf.DUMMYFUNCTION("""COMPUTED_VALUE"""),"RFQ HOTELERIA - Reunión en café")</f>
        <v>RFQ HOTELERIA - Reunión en café</v>
      </c>
      <c r="K17" s="17" t="str">
        <f ca="1">IFERROR(__xludf.DUMMYFUNCTION("""COMPUTED_VALUE"""),"Solicitada")</f>
        <v>Solicitada</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IFERROR(__xludf.DUMMYFUNCTION("""COMPUTED_VALUE"""),"RFQ HOTELERIA - Fridays comida")</f>
        <v>RFQ HOTELERIA - Fridays comida</v>
      </c>
      <c r="K18" s="17" t="str">
        <f ca="1">IFERROR(__xludf.DUMMYFUNCTION("""COMPUTED_VALUE"""),"F 24909")</f>
        <v>F 24909</v>
      </c>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t="str">
        <f ca="1">IFERROR(__xludf.DUMMYFUNCTION("""COMPUTED_VALUE"""),"RFQ HOTELERIA - Transporte aeropuerto")</f>
        <v>RFQ HOTELERIA - Transporte aeropuerto</v>
      </c>
      <c r="K19" s="17" t="str">
        <f ca="1">IFERROR(__xludf.DUMMYFUNCTION("""COMPUTED_VALUE"""),"Solicitada")</f>
        <v>Solicitada</v>
      </c>
      <c r="L19" s="17"/>
      <c r="M19" s="17"/>
      <c r="N19" s="17"/>
      <c r="O19" s="17"/>
    </row>
    <row r="20" spans="1:15" ht="12.5">
      <c r="A20" s="17"/>
      <c r="B20" s="24"/>
      <c r="C20" s="24"/>
      <c r="D20" s="17"/>
      <c r="E20" s="17"/>
      <c r="F20" s="17"/>
      <c r="G20" s="17"/>
      <c r="H20" s="17"/>
      <c r="I20" s="17" t="str">
        <f ca="1">IFERROR(__xludf.DUMMYFUNCTION("""COMPUTED_VALUE"""),"G&amp;A expenses")</f>
        <v>G&amp;A expenses</v>
      </c>
      <c r="J20" s="17" t="str">
        <f ca="1">IFERROR(__xludf.DUMMYFUNCTION("""COMPUTED_VALUE"""),"RFQ IMESA - Transporte a la planta")</f>
        <v>RFQ IMESA - Transporte a la planta</v>
      </c>
      <c r="K20" s="17" t="str">
        <f ca="1">IFERROR(__xludf.DUMMYFUNCTION("""COMPUTED_VALUE"""),"Solicitada")</f>
        <v>Solicitada</v>
      </c>
      <c r="L20" s="17"/>
      <c r="M20" s="17"/>
      <c r="N20" s="17"/>
      <c r="O20" s="17"/>
    </row>
    <row r="21" spans="1:15" ht="12.5">
      <c r="A21" s="17"/>
      <c r="B21" s="24"/>
      <c r="C21" s="24"/>
      <c r="D21" s="17"/>
      <c r="E21" s="17"/>
      <c r="F21" s="17"/>
      <c r="G21" s="17"/>
      <c r="H21" s="17"/>
      <c r="I21" s="17" t="str">
        <f ca="1">IFERROR(__xludf.DUMMYFUNCTION("""COMPUTED_VALUE"""),"G&amp;A expenses")</f>
        <v>G&amp;A expenses</v>
      </c>
      <c r="J21" s="17"/>
      <c r="K21" s="17"/>
      <c r="L21" s="17"/>
      <c r="M21" s="17"/>
      <c r="N21" s="17"/>
      <c r="O21" s="17"/>
    </row>
    <row r="22" spans="1:15" ht="12.5">
      <c r="A22" s="17"/>
      <c r="B22" s="24"/>
      <c r="C22" s="24"/>
      <c r="D22" s="17"/>
      <c r="E22" s="17"/>
      <c r="F22" s="17"/>
      <c r="G22" s="17"/>
      <c r="H22" s="17"/>
      <c r="I22" s="17" t="str">
        <f ca="1">IFERROR(__xludf.DUMMYFUNCTION("""COMPUTED_VALUE"""),"G&amp;A expenses")</f>
        <v>G&amp;A expenses</v>
      </c>
      <c r="J22" s="17"/>
      <c r="K22" s="17"/>
      <c r="L22" s="17"/>
      <c r="M22" s="17"/>
      <c r="N22" s="17"/>
      <c r="O22" s="17"/>
    </row>
    <row r="23" spans="1:15" ht="12.5">
      <c r="A23" s="17"/>
      <c r="B23" s="24"/>
      <c r="C23" s="24"/>
      <c r="D23" s="17"/>
      <c r="E23" s="17"/>
      <c r="F23" s="17"/>
      <c r="G23" s="17"/>
      <c r="H23" s="17"/>
      <c r="I23" s="17" t="str">
        <f ca="1">IFERROR(__xludf.DUMMYFUNCTION("""COMPUTED_VALUE"""),"G&amp;A expenses")</f>
        <v>G&amp;A expenses</v>
      </c>
      <c r="J23" s="17"/>
      <c r="K23" s="17"/>
      <c r="L23" s="17"/>
      <c r="M23" s="17"/>
      <c r="N23" s="17"/>
      <c r="O23" s="17"/>
    </row>
    <row r="24" spans="1:15" ht="12.5">
      <c r="A24" s="17"/>
      <c r="B24" s="24"/>
      <c r="C24" s="24"/>
      <c r="D24" s="17"/>
      <c r="E24" s="17"/>
      <c r="F24" s="17"/>
      <c r="G24" s="17"/>
      <c r="H24" s="17"/>
      <c r="I24" s="17" t="str">
        <f ca="1">IFERROR(__xludf.DUMMYFUNCTION("""COMPUTED_VALUE"""),"G&amp;A expenses")</f>
        <v>G&amp;A expenses</v>
      </c>
      <c r="J24" s="17" t="str">
        <f ca="1">IFERROR(__xludf.DUMMYFUNCTION("""COMPUTED_VALUE"""),"RFQ ELKAY - Comida en Local16 ")</f>
        <v xml:space="preserve">RFQ ELKAY - Comida en Local16 </v>
      </c>
      <c r="K24" s="17" t="str">
        <f ca="1">IFERROR(__xludf.DUMMYFUNCTION("""COMPUTED_VALUE"""),"B 405")</f>
        <v>B 405</v>
      </c>
      <c r="L24" s="17"/>
      <c r="M24" s="17"/>
      <c r="N24" s="17"/>
      <c r="O24" s="17"/>
    </row>
    <row r="25" spans="1:15" ht="12.5">
      <c r="A25" s="17"/>
      <c r="B25" s="24"/>
      <c r="C25" s="24"/>
      <c r="D25" s="17"/>
      <c r="E25" s="17"/>
      <c r="F25" s="17"/>
      <c r="G25" s="17"/>
      <c r="H25" s="17"/>
      <c r="I25" s="17" t="str">
        <f ca="1">IFERROR(__xludf.DUMMYFUNCTION("""COMPUTED_VALUE"""),"G&amp;A expenses")</f>
        <v>G&amp;A expenses</v>
      </c>
      <c r="J25" s="17"/>
      <c r="K25" s="17"/>
      <c r="L25" s="17"/>
      <c r="M25" s="17"/>
      <c r="N25" s="17"/>
      <c r="O25" s="17"/>
    </row>
    <row r="26" spans="1:15" ht="12.5">
      <c r="A26" s="17"/>
      <c r="B26" s="24"/>
      <c r="C26" s="24"/>
      <c r="D26" s="17"/>
      <c r="E26" s="17"/>
      <c r="F26" s="17"/>
      <c r="G26" s="17"/>
      <c r="H26" s="17"/>
      <c r="I26" s="17" t="str">
        <f ca="1">IFERROR(__xludf.DUMMYFUNCTION("""COMPUTED_VALUE"""),"G&amp;A expenses")</f>
        <v>G&amp;A expenses</v>
      </c>
      <c r="J26" s="17"/>
      <c r="K26" s="17"/>
      <c r="L26" s="17"/>
      <c r="M26" s="17"/>
      <c r="N26" s="17"/>
      <c r="O26" s="17"/>
    </row>
    <row r="27" spans="1:15" ht="12.5">
      <c r="A27" s="17"/>
      <c r="B27" s="24"/>
      <c r="C27" s="24"/>
      <c r="D27" s="17"/>
      <c r="E27" s="17"/>
      <c r="F27" s="17"/>
      <c r="G27" s="17"/>
      <c r="H27" s="17"/>
      <c r="I27" s="17" t="str">
        <f ca="1">IFERROR(__xludf.DUMMYFUNCTION("""COMPUTED_VALUE"""),"G&amp;A expenses")</f>
        <v>G&amp;A expenses</v>
      </c>
      <c r="J27" s="17"/>
      <c r="K27" s="17"/>
      <c r="L27" s="17"/>
      <c r="M27" s="17"/>
      <c r="N27" s="17"/>
      <c r="O27" s="17"/>
    </row>
    <row r="28" spans="1:15" ht="12.5">
      <c r="A28" s="17"/>
      <c r="B28" s="24"/>
      <c r="C28" s="24"/>
      <c r="D28" s="17"/>
      <c r="E28" s="17"/>
      <c r="F28" s="17"/>
      <c r="G28" s="17"/>
      <c r="H28" s="17"/>
      <c r="I28" s="17" t="str">
        <f ca="1">IFERROR(__xludf.DUMMYFUNCTION("""COMPUTED_VALUE"""),"G&amp;A expenses")</f>
        <v>G&amp;A expenses</v>
      </c>
      <c r="J28" s="17"/>
      <c r="K28" s="17"/>
      <c r="L28" s="17"/>
      <c r="M28" s="17"/>
      <c r="N28" s="17"/>
      <c r="O28" s="17"/>
    </row>
    <row r="29" spans="1:15" ht="12.5">
      <c r="A29" s="17"/>
      <c r="B29" s="24"/>
      <c r="C29" s="24"/>
      <c r="D29" s="17"/>
      <c r="E29" s="17"/>
      <c r="F29" s="17"/>
      <c r="G29" s="17"/>
      <c r="H29" s="17"/>
      <c r="I29" s="17" t="str">
        <f ca="1">IFERROR(__xludf.DUMMYFUNCTION("""COMPUTED_VALUE"""),"G&amp;A expenses")</f>
        <v>G&amp;A expenses</v>
      </c>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35.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1942</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98" t="str">
        <f ca="1">IFERROR(__xludf.DUMMYFUNCTION("FILTER('Edo Cta Jeeves Sept'!$A$12:$C$1003,'Edo Cta Jeeves Sept'!$J$12:$J$1003=$A$2)"),"#N/A")</f>
        <v>#N/A</v>
      </c>
      <c r="B12" s="99"/>
      <c r="C12" s="99"/>
      <c r="D12" s="100" t="str">
        <f ca="1">IFERROR(__xludf.DUMMYFUNCTION("FILTER('Edo Cta Jeeves Sept'!$G$12:$G$1003,'Edo Cta Jeeves Sept'!$J$12:$J$1003=$A$2)"),"#N/A")</f>
        <v>#N/A</v>
      </c>
      <c r="E12" s="100" t="str">
        <f ca="1">IFERROR(__xludf.DUMMYFUNCTION("FILTER('Edo Cta Jeeves Sept'!$I$12:$I$1003,'Edo Cta Jeeves Sept'!$J$12:$J$1003=$A$2)"),"#N/A")</f>
        <v>#N/A</v>
      </c>
      <c r="F12" s="100" t="str">
        <f ca="1">IFERROR(__xludf.DUMMYFUNCTION("FILTER('Edo Cta Jeeves Sept'!$J$12:$J$1003,'Edo Cta Jeeves Sept'!$J$12:$J$1003=$A$2)"),"#N/A")</f>
        <v>#N/A</v>
      </c>
      <c r="G12" s="100" t="str">
        <f ca="1">IFERROR(__xludf.DUMMYFUNCTION("FILTER('Edo Cta Jeeves Sept'!$K$12:$L$1003,'Edo Cta Jeeves Sept'!$J$12:$J$1003=$A$2)"),"#N/A")</f>
        <v>#N/A</v>
      </c>
      <c r="H12" s="100"/>
      <c r="I12" s="100" t="str">
        <f ca="1">IFERROR(__xludf.DUMMYFUNCTION("IMPORTRANGE(""https://docs.google.com/spreadsheets/d/1VQAfHmtGGGogCBkbbGtfN0KPmHrDVWTy2jDhVjzBqok/edit#gid=337198013"",""#18 Josue Samuel Galindo Sosa!I12:K80"")"),"Transaction cost")</f>
        <v>Transaction cost</v>
      </c>
      <c r="J12" s="100" t="str">
        <f ca="1">IFERROR(__xludf.DUMMYFUNCTION("""COMPUTED_VALUE"""),"PO-620, Seguimiento a fabricación")</f>
        <v>PO-620, Seguimiento a fabricación</v>
      </c>
      <c r="K12" s="100" t="str">
        <f ca="1">IFERROR(__xludf.DUMMYFUNCTION("""COMPUTED_VALUE"""),"CLI45903536")</f>
        <v>CLI45903536</v>
      </c>
      <c r="L12" s="17"/>
      <c r="M12" s="17"/>
      <c r="N12" s="17"/>
      <c r="O12" s="17"/>
    </row>
    <row r="13" spans="1:15" ht="15.75" customHeight="1">
      <c r="A13" s="98"/>
      <c r="B13" s="98"/>
      <c r="C13" s="98"/>
      <c r="D13" s="100"/>
      <c r="E13" s="100"/>
      <c r="F13" s="100"/>
      <c r="G13" s="100"/>
      <c r="H13" s="100"/>
      <c r="I13" s="100" t="str">
        <f ca="1">IFERROR(__xludf.DUMMYFUNCTION("""COMPUTED_VALUE"""),"Transaction cost")</f>
        <v>Transaction cost</v>
      </c>
      <c r="J13" s="100" t="str">
        <f ca="1">IFERROR(__xludf.DUMMYFUNCTION("""COMPUTED_VALUE"""),"PO-620, Seguimiento a fabricación")</f>
        <v>PO-620, Seguimiento a fabricación</v>
      </c>
      <c r="K13" s="100">
        <f ca="1">IFERROR(__xludf.DUMMYFUNCTION("""COMPUTED_VALUE"""),3491212)</f>
        <v>3491212</v>
      </c>
      <c r="L13" s="17"/>
      <c r="M13" s="17"/>
      <c r="N13" s="17"/>
      <c r="O13" s="17"/>
    </row>
    <row r="14" spans="1:15" ht="15.75" customHeight="1">
      <c r="A14" s="98"/>
      <c r="B14" s="98"/>
      <c r="C14" s="98"/>
      <c r="D14" s="100"/>
      <c r="E14" s="100"/>
      <c r="F14" s="100"/>
      <c r="G14" s="100"/>
      <c r="H14" s="100"/>
      <c r="I14" s="100" t="str">
        <f ca="1">IFERROR(__xludf.DUMMYFUNCTION("""COMPUTED_VALUE"""),"Transaction cost")</f>
        <v>Transaction cost</v>
      </c>
      <c r="J14" s="100" t="str">
        <f ca="1">IFERROR(__xludf.DUMMYFUNCTION("""COMPUTED_VALUE"""),"PO-620, Seguimiento a fabricación")</f>
        <v>PO-620, Seguimiento a fabricación</v>
      </c>
      <c r="K14" s="100">
        <f ca="1">IFERROR(__xludf.DUMMYFUNCTION("""COMPUTED_VALUE"""),3491200)</f>
        <v>3491200</v>
      </c>
      <c r="L14" s="17"/>
      <c r="M14" s="17"/>
      <c r="N14" s="17"/>
      <c r="O14" s="17"/>
    </row>
    <row r="15" spans="1:15" ht="15.75" customHeight="1">
      <c r="A15" s="98"/>
      <c r="B15" s="98"/>
      <c r="C15" s="98"/>
      <c r="D15" s="100"/>
      <c r="E15" s="100"/>
      <c r="F15" s="100"/>
      <c r="G15" s="100"/>
      <c r="H15" s="100"/>
      <c r="I15" s="100" t="str">
        <f ca="1">IFERROR(__xludf.DUMMYFUNCTION("""COMPUTED_VALUE"""),"Transaction cost")</f>
        <v>Transaction cost</v>
      </c>
      <c r="J15" s="100" t="str">
        <f ca="1">IFERROR(__xludf.DUMMYFUNCTION("""COMPUTED_VALUE"""),"PO-620, Seguimiento a fabricación")</f>
        <v>PO-620, Seguimiento a fabricación</v>
      </c>
      <c r="K15" s="100">
        <f ca="1">IFERROR(__xludf.DUMMYFUNCTION("""COMPUTED_VALUE"""),3491223)</f>
        <v>3491223</v>
      </c>
      <c r="L15" s="17"/>
      <c r="M15" s="17"/>
      <c r="N15" s="17"/>
      <c r="O15" s="17"/>
    </row>
    <row r="16" spans="1:15" ht="15.75" customHeight="1">
      <c r="A16" s="17"/>
      <c r="B16" s="24"/>
      <c r="C16" s="24"/>
      <c r="D16" s="17"/>
      <c r="E16" s="17"/>
      <c r="F16" s="17"/>
      <c r="G16" s="17"/>
      <c r="H16" s="17"/>
      <c r="I16" s="17" t="str">
        <f ca="1">IFERROR(__xludf.DUMMYFUNCTION("""COMPUTED_VALUE"""),"Transaction cost")</f>
        <v>Transaction cost</v>
      </c>
      <c r="J16" s="17" t="str">
        <f ca="1">IFERROR(__xludf.DUMMYFUNCTION("""COMPUTED_VALUE"""),"PO-1234, Envío de muestra a cliente")</f>
        <v>PO-1234, Envío de muestra a cliente</v>
      </c>
      <c r="K16" s="17" t="str">
        <f ca="1">IFERROR(__xludf.DUMMYFUNCTION("""COMPUTED_VALUE"""),"JYUFA31575")</f>
        <v>JYUFA31575</v>
      </c>
      <c r="L16" s="17"/>
      <c r="M16" s="17"/>
      <c r="N16" s="17"/>
      <c r="O16" s="17"/>
    </row>
    <row r="17" spans="1:15" ht="15.75" customHeight="1">
      <c r="A17" s="100"/>
      <c r="B17" s="98"/>
      <c r="C17" s="98"/>
      <c r="D17" s="100"/>
      <c r="E17" s="100"/>
      <c r="F17" s="100"/>
      <c r="G17" s="100"/>
      <c r="H17" s="100"/>
      <c r="I17" s="100" t="str">
        <f ca="1">IFERROR(__xludf.DUMMYFUNCTION("""COMPUTED_VALUE"""),"Transaction cost")</f>
        <v>Transaction cost</v>
      </c>
      <c r="J17" s="100" t="str">
        <f ca="1">IFERROR(__xludf.DUMMYFUNCTION("""COMPUTED_VALUE"""),"PO-620, Seguimiento a fabricación")</f>
        <v>PO-620, Seguimiento a fabricación</v>
      </c>
      <c r="K17" s="100" t="str">
        <f ca="1">IFERROR(__xludf.DUMMYFUNCTION("""COMPUTED_VALUE"""),"CLI45903652")</f>
        <v>CLI45903652</v>
      </c>
      <c r="L17" s="17"/>
      <c r="M17" s="17"/>
      <c r="N17" s="17"/>
      <c r="O17" s="17"/>
    </row>
    <row r="18" spans="1:15" ht="15.75" customHeight="1">
      <c r="A18" s="17"/>
      <c r="B18" s="24"/>
      <c r="C18" s="24"/>
      <c r="D18" s="17"/>
      <c r="E18" s="17"/>
      <c r="F18" s="17"/>
      <c r="G18" s="17"/>
      <c r="H18" s="17"/>
      <c r="I18" s="17" t="str">
        <f ca="1">IFERROR(__xludf.DUMMYFUNCTION("""COMPUTED_VALUE"""),"Transaction cost")</f>
        <v>Transaction cost</v>
      </c>
      <c r="J18" s="17" t="str">
        <f ca="1">IFERROR(__xludf.DUMMYFUNCTION("""COMPUTED_VALUE"""),"PO-616, Seguimiento a fabricación y embarque")</f>
        <v>PO-616, Seguimiento a fabricación y embarque</v>
      </c>
      <c r="K18" s="17" t="str">
        <f ca="1">IFERROR(__xludf.DUMMYFUNCTION("""COMPUTED_VALUE"""),"CLI45903694")</f>
        <v>CLI45903694</v>
      </c>
      <c r="L18" s="17"/>
      <c r="M18" s="17"/>
      <c r="N18" s="17"/>
      <c r="O18" s="17"/>
    </row>
    <row r="19" spans="1:15" ht="15.75" customHeight="1">
      <c r="A19" s="101"/>
      <c r="B19" s="102"/>
      <c r="C19" s="102"/>
      <c r="D19" s="101"/>
      <c r="E19" s="101"/>
      <c r="F19" s="101"/>
      <c r="G19" s="101"/>
      <c r="H19" s="101"/>
      <c r="I19" s="101" t="str">
        <f ca="1">IFERROR(__xludf.DUMMYFUNCTION("""COMPUTED_VALUE"""),"Transaction cost")</f>
        <v>Transaction cost</v>
      </c>
      <c r="J19" s="101" t="str">
        <f ca="1">IFERROR(__xludf.DUMMYFUNCTION("""COMPUTED_VALUE"""),"RFQ-2605, auditoría de cliente en Maken Saltillo")</f>
        <v>RFQ-2605, auditoría de cliente en Maken Saltillo</v>
      </c>
      <c r="K19" s="101">
        <f ca="1">IFERROR(__xludf.DUMMYFUNCTION("""COMPUTED_VALUE"""),3491235)</f>
        <v>3491235</v>
      </c>
      <c r="L19" s="17"/>
      <c r="M19" s="17"/>
      <c r="N19" s="17"/>
      <c r="O19" s="17"/>
    </row>
    <row r="20" spans="1:15" ht="12.5">
      <c r="A20" s="101"/>
      <c r="B20" s="102"/>
      <c r="C20" s="102"/>
      <c r="D20" s="101"/>
      <c r="E20" s="101"/>
      <c r="F20" s="101"/>
      <c r="G20" s="101"/>
      <c r="H20" s="101"/>
      <c r="I20" s="101" t="str">
        <f ca="1">IFERROR(__xludf.DUMMYFUNCTION("""COMPUTED_VALUE"""),"Transaction cost")</f>
        <v>Transaction cost</v>
      </c>
      <c r="J20" s="101" t="str">
        <f ca="1">IFERROR(__xludf.DUMMYFUNCTION("""COMPUTED_VALUE"""),"RFQ-2605, auditoría de cliente en Maken Saltillo")</f>
        <v>RFQ-2605, auditoría de cliente en Maken Saltillo</v>
      </c>
      <c r="K20" s="101">
        <f ca="1">IFERROR(__xludf.DUMMYFUNCTION("""COMPUTED_VALUE"""),3491231)</f>
        <v>3491231</v>
      </c>
      <c r="L20" s="17"/>
      <c r="M20" s="17"/>
      <c r="N20" s="17"/>
      <c r="O20" s="17"/>
    </row>
    <row r="21" spans="1:15" ht="12.5">
      <c r="A21" s="101"/>
      <c r="B21" s="102"/>
      <c r="C21" s="102"/>
      <c r="D21" s="101"/>
      <c r="E21" s="101"/>
      <c r="F21" s="101"/>
      <c r="G21" s="101"/>
      <c r="H21" s="101"/>
      <c r="I21" s="101" t="str">
        <f ca="1">IFERROR(__xludf.DUMMYFUNCTION("""COMPUTED_VALUE"""),"Transaction cost")</f>
        <v>Transaction cost</v>
      </c>
      <c r="J21" s="101" t="str">
        <f ca="1">IFERROR(__xludf.DUMMYFUNCTION("""COMPUTED_VALUE"""),"RFQ-2605, auditoría de cliente en Maken Saltillo")</f>
        <v>RFQ-2605, auditoría de cliente en Maken Saltillo</v>
      </c>
      <c r="K21" s="101" t="str">
        <f ca="1">IFERROR(__xludf.DUMMYFUNCTION("""COMPUTED_VALUE"""),"IB 827489")</f>
        <v>IB 827489</v>
      </c>
      <c r="L21" s="17"/>
      <c r="M21" s="17"/>
      <c r="N21" s="17"/>
      <c r="O21" s="17"/>
    </row>
    <row r="22" spans="1:15" ht="12.5">
      <c r="A22" s="101"/>
      <c r="B22" s="102"/>
      <c r="C22" s="102"/>
      <c r="D22" s="101"/>
      <c r="E22" s="101"/>
      <c r="F22" s="101"/>
      <c r="G22" s="101"/>
      <c r="H22" s="101"/>
      <c r="I22" s="101" t="str">
        <f ca="1">IFERROR(__xludf.DUMMYFUNCTION("""COMPUTED_VALUE"""),"Transaction cost")</f>
        <v>Transaction cost</v>
      </c>
      <c r="J22" s="101" t="str">
        <f ca="1">IFERROR(__xludf.DUMMYFUNCTION("""COMPUTED_VALUE"""),"RFQ-2605, auditoría de cliente en Maken Saltillo")</f>
        <v>RFQ-2605, auditoría de cliente en Maken Saltillo</v>
      </c>
      <c r="K22" s="101" t="str">
        <f ca="1">IFERROR(__xludf.DUMMYFUNCTION("""COMPUTED_VALUE"""),"W20805")</f>
        <v>W20805</v>
      </c>
      <c r="L22" s="17"/>
      <c r="M22" s="17"/>
      <c r="N22" s="17"/>
      <c r="O22" s="17"/>
    </row>
    <row r="23" spans="1:15" ht="12.5">
      <c r="A23" s="101"/>
      <c r="B23" s="102"/>
      <c r="C23" s="102"/>
      <c r="D23" s="101"/>
      <c r="E23" s="101"/>
      <c r="F23" s="101"/>
      <c r="G23" s="101"/>
      <c r="H23" s="101"/>
      <c r="I23" s="101" t="str">
        <f ca="1">IFERROR(__xludf.DUMMYFUNCTION("""COMPUTED_VALUE"""),"Transaction cost")</f>
        <v>Transaction cost</v>
      </c>
      <c r="J23" s="101" t="str">
        <f ca="1">IFERROR(__xludf.DUMMYFUNCTION("""COMPUTED_VALUE"""),"RFQ-2605, auditoría de cliente en Maken Saltillo")</f>
        <v>RFQ-2605, auditoría de cliente en Maken Saltillo</v>
      </c>
      <c r="K23" s="101" t="str">
        <f ca="1">IFERROR(__xludf.DUMMYFUNCTION("""COMPUTED_VALUE"""),"20241211/012215-FOP")</f>
        <v>20241211/012215-FOP</v>
      </c>
      <c r="L23" s="17"/>
      <c r="M23" s="17"/>
      <c r="N23" s="17"/>
      <c r="O23" s="17"/>
    </row>
    <row r="24" spans="1:15" ht="12.5">
      <c r="A24" s="101"/>
      <c r="B24" s="102"/>
      <c r="C24" s="102"/>
      <c r="D24" s="101"/>
      <c r="E24" s="101"/>
      <c r="F24" s="101"/>
      <c r="G24" s="101"/>
      <c r="H24" s="101"/>
      <c r="I24" s="101" t="str">
        <f ca="1">IFERROR(__xludf.DUMMYFUNCTION("""COMPUTED_VALUE"""),"Transaction cost")</f>
        <v>Transaction cost</v>
      </c>
      <c r="J24" s="101" t="str">
        <f ca="1">IFERROR(__xludf.DUMMYFUNCTION("""COMPUTED_VALUE"""),"RFQ-2605, auditoría de cliente en Maken Saltillo")</f>
        <v>RFQ-2605, auditoría de cliente en Maken Saltillo</v>
      </c>
      <c r="K24" s="101">
        <f ca="1">IFERROR(__xludf.DUMMYFUNCTION("""COMPUTED_VALUE"""),3491240)</f>
        <v>3491240</v>
      </c>
      <c r="L24" s="17"/>
      <c r="M24" s="17"/>
      <c r="N24" s="17"/>
      <c r="O24" s="17"/>
    </row>
    <row r="25" spans="1:15" ht="12.5">
      <c r="A25" s="101"/>
      <c r="B25" s="102"/>
      <c r="C25" s="102"/>
      <c r="D25" s="101"/>
      <c r="E25" s="101"/>
      <c r="F25" s="101"/>
      <c r="G25" s="101"/>
      <c r="H25" s="101"/>
      <c r="I25" s="101" t="str">
        <f ca="1">IFERROR(__xludf.DUMMYFUNCTION("""COMPUTED_VALUE"""),"Transaction cost")</f>
        <v>Transaction cost</v>
      </c>
      <c r="J25" s="101" t="str">
        <f ca="1">IFERROR(__xludf.DUMMYFUNCTION("""COMPUTED_VALUE"""),"RFQ-2605, auditoría de cliente en Maken Saltillo")</f>
        <v>RFQ-2605, auditoría de cliente en Maken Saltillo</v>
      </c>
      <c r="K25" s="101">
        <f ca="1">IFERROR(__xludf.DUMMYFUNCTION("""COMPUTED_VALUE"""),3491238)</f>
        <v>3491238</v>
      </c>
      <c r="L25" s="17"/>
      <c r="M25" s="17"/>
      <c r="N25" s="17"/>
      <c r="O25" s="17"/>
    </row>
    <row r="26" spans="1:15" ht="12.5">
      <c r="A26" s="100"/>
      <c r="B26" s="98"/>
      <c r="C26" s="98"/>
      <c r="D26" s="100"/>
      <c r="E26" s="100"/>
      <c r="F26" s="100"/>
      <c r="G26" s="100"/>
      <c r="H26" s="100"/>
      <c r="I26" s="100" t="str">
        <f ca="1">IFERROR(__xludf.DUMMYFUNCTION("""COMPUTED_VALUE"""),"Transaction cost")</f>
        <v>Transaction cost</v>
      </c>
      <c r="J26" s="100" t="str">
        <f ca="1">IFERROR(__xludf.DUMMYFUNCTION("""COMPUTED_VALUE"""),"PO-620, Seguimiento a fabricación")</f>
        <v>PO-620, Seguimiento a fabricación</v>
      </c>
      <c r="K26" s="100">
        <f ca="1">IFERROR(__xludf.DUMMYFUNCTION("""COMPUTED_VALUE"""),3491245)</f>
        <v>3491245</v>
      </c>
      <c r="L26" s="17"/>
      <c r="M26" s="17"/>
      <c r="N26" s="17"/>
      <c r="O26" s="17"/>
    </row>
    <row r="27" spans="1:15" ht="12.5">
      <c r="A27" s="100"/>
      <c r="B27" s="98"/>
      <c r="C27" s="98"/>
      <c r="D27" s="100"/>
      <c r="E27" s="100"/>
      <c r="F27" s="100"/>
      <c r="G27" s="100"/>
      <c r="H27" s="100"/>
      <c r="I27" s="100" t="str">
        <f ca="1">IFERROR(__xludf.DUMMYFUNCTION("""COMPUTED_VALUE"""),"Transaction cost")</f>
        <v>Transaction cost</v>
      </c>
      <c r="J27" s="100" t="str">
        <f ca="1">IFERROR(__xludf.DUMMYFUNCTION("""COMPUTED_VALUE"""),"PO-620, Seguimiento a fabricación")</f>
        <v>PO-620, Seguimiento a fabricación</v>
      </c>
      <c r="K27" s="100">
        <f ca="1">IFERROR(__xludf.DUMMYFUNCTION("""COMPUTED_VALUE"""),3491251)</f>
        <v>3491251</v>
      </c>
      <c r="L27" s="17"/>
      <c r="M27" s="17"/>
      <c r="N27" s="17"/>
      <c r="O27" s="17"/>
    </row>
    <row r="28" spans="1:15" ht="12.5">
      <c r="A28" s="100"/>
      <c r="B28" s="98"/>
      <c r="C28" s="98"/>
      <c r="D28" s="100"/>
      <c r="E28" s="100"/>
      <c r="F28" s="100"/>
      <c r="G28" s="100"/>
      <c r="H28" s="100"/>
      <c r="I28" s="100" t="str">
        <f ca="1">IFERROR(__xludf.DUMMYFUNCTION("""COMPUTED_VALUE"""),"Transaction cost")</f>
        <v>Transaction cost</v>
      </c>
      <c r="J28" s="100" t="str">
        <f ca="1">IFERROR(__xludf.DUMMYFUNCTION("""COMPUTED_VALUE"""),"PO-620, Seguimiento a fabricación")</f>
        <v>PO-620, Seguimiento a fabricación</v>
      </c>
      <c r="K28" s="100" t="str">
        <f ca="1">IFERROR(__xludf.DUMMYFUNCTION("""COMPUTED_VALUE"""),"CLI46235390")</f>
        <v>CLI46235390</v>
      </c>
      <c r="L28" s="17"/>
      <c r="M28" s="17"/>
      <c r="N28" s="17"/>
      <c r="O28" s="17"/>
    </row>
    <row r="29" spans="1:15" ht="12.5">
      <c r="A29" s="100"/>
      <c r="B29" s="98"/>
      <c r="C29" s="98"/>
      <c r="D29" s="100"/>
      <c r="E29" s="100"/>
      <c r="F29" s="100"/>
      <c r="G29" s="100"/>
      <c r="H29" s="100"/>
      <c r="I29" s="100" t="str">
        <f ca="1">IFERROR(__xludf.DUMMYFUNCTION("""COMPUTED_VALUE"""),"Transaction cost")</f>
        <v>Transaction cost</v>
      </c>
      <c r="J29" s="100" t="str">
        <f ca="1">IFERROR(__xludf.DUMMYFUNCTION("""COMPUTED_VALUE"""),"PO-620, Seguimiento a fabricación")</f>
        <v>PO-620, Seguimiento a fabricación</v>
      </c>
      <c r="K29" s="100">
        <f ca="1">IFERROR(__xludf.DUMMYFUNCTION("""COMPUTED_VALUE"""),3526058)</f>
        <v>3526058</v>
      </c>
      <c r="L29" s="17"/>
      <c r="M29" s="17"/>
      <c r="N29" s="17"/>
      <c r="O29" s="17"/>
    </row>
    <row r="30" spans="1:15" ht="12.5">
      <c r="A30" s="100"/>
      <c r="B30" s="98"/>
      <c r="C30" s="98"/>
      <c r="D30" s="100"/>
      <c r="E30" s="100"/>
      <c r="F30" s="100"/>
      <c r="G30" s="100"/>
      <c r="H30" s="100"/>
      <c r="I30" s="100" t="str">
        <f ca="1">IFERROR(__xludf.DUMMYFUNCTION("""COMPUTED_VALUE"""),"Transaction cost")</f>
        <v>Transaction cost</v>
      </c>
      <c r="J30" s="100" t="str">
        <f ca="1">IFERROR(__xludf.DUMMYFUNCTION("""COMPUTED_VALUE"""),"PO-620, Seguimiento a fabricación")</f>
        <v>PO-620, Seguimiento a fabricación</v>
      </c>
      <c r="K30" s="100">
        <f ca="1">IFERROR(__xludf.DUMMYFUNCTION("""COMPUTED_VALUE"""),3523653)</f>
        <v>3523653</v>
      </c>
      <c r="L30" s="17"/>
      <c r="M30" s="17"/>
      <c r="N30" s="17"/>
      <c r="O30" s="17"/>
    </row>
    <row r="31" spans="1:15" ht="12.5">
      <c r="A31" s="100"/>
      <c r="B31" s="98"/>
      <c r="C31" s="98"/>
      <c r="D31" s="100"/>
      <c r="E31" s="100"/>
      <c r="F31" s="100"/>
      <c r="G31" s="100"/>
      <c r="H31" s="100"/>
      <c r="I31" s="100" t="str">
        <f ca="1">IFERROR(__xludf.DUMMYFUNCTION("""COMPUTED_VALUE"""),"Transaction cost")</f>
        <v>Transaction cost</v>
      </c>
      <c r="J31" s="100" t="str">
        <f ca="1">IFERROR(__xludf.DUMMYFUNCTION("""COMPUTED_VALUE"""),"PO-620, Seguimiento a fabricación")</f>
        <v>PO-620, Seguimiento a fabricación</v>
      </c>
      <c r="K31" s="100">
        <f ca="1">IFERROR(__xludf.DUMMYFUNCTION("""COMPUTED_VALUE"""),3523649)</f>
        <v>3523649</v>
      </c>
      <c r="L31" s="17"/>
      <c r="M31" s="17"/>
      <c r="N31" s="17"/>
      <c r="O31" s="17"/>
    </row>
    <row r="32" spans="1:15" ht="12.5">
      <c r="A32" s="100"/>
      <c r="B32" s="98"/>
      <c r="C32" s="98"/>
      <c r="D32" s="100"/>
      <c r="E32" s="100"/>
      <c r="F32" s="100"/>
      <c r="G32" s="100"/>
      <c r="H32" s="100"/>
      <c r="I32" s="100" t="str">
        <f ca="1">IFERROR(__xludf.DUMMYFUNCTION("""COMPUTED_VALUE"""),"Transaction cost")</f>
        <v>Transaction cost</v>
      </c>
      <c r="J32" s="100" t="str">
        <f ca="1">IFERROR(__xludf.DUMMYFUNCTION("""COMPUTED_VALUE"""),"PO-620, Seguimiento a fabricación")</f>
        <v>PO-620, Seguimiento a fabricación</v>
      </c>
      <c r="K32" s="100"/>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105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03" t="str">
        <f ca="1">IFERROR(__xludf.DUMMYFUNCTION("FILTER('Edo Cta Jeeves Sept'!$A$12:$C$1700,'Edo Cta Jeeves Sept'!$J$12:$J$1700=$A$2)"),"TRX1259")</f>
        <v>TRX1259</v>
      </c>
      <c r="B12" s="104" t="str">
        <f ca="1">IFERROR(__xludf.DUMMYFUNCTION("""COMPUTED_VALUE"""),"#19")</f>
        <v>#19</v>
      </c>
      <c r="C12" s="104">
        <f ca="1">IFERROR(__xludf.DUMMYFUNCTION("""COMPUTED_VALUE"""),46058.4166666666)</f>
        <v>46058.416666666599</v>
      </c>
      <c r="D12" s="105">
        <f ca="1">IFERROR(__xludf.DUMMYFUNCTION("FILTER('Edo Cta Jeeves Sept'!$G$12:$G$1700,'Edo Cta Jeeves Sept'!$J$12:$J$1700=$A$2)"),99.96)</f>
        <v>99.96</v>
      </c>
      <c r="E12" s="59" t="str">
        <f ca="1">IFERROR(__xludf.DUMMYFUNCTION("FILTER('Edo Cta Jeeves Sept'!$I$12:$I$1700,'Edo Cta Jeeves Sept'!$J$12:$J$1700=$A$2)"),"MXN")</f>
        <v>MXN</v>
      </c>
      <c r="F12" s="59" t="str">
        <f ca="1">IFERROR(__xludf.DUMMYFUNCTION("FILTER('Edo Cta Jeeves Sept'!$J$12:$J$1700,'Edo Cta Jeeves Sept'!$J$12:$J$1700=$A$2)"),"Daniel Alejandro Castillo Rivera")</f>
        <v>Daniel Alejandro Castillo Rivera</v>
      </c>
      <c r="G12" s="59" t="str">
        <f ca="1">IFERROR(__xludf.DUMMYFUNCTION("FILTER('Edo Cta Jeeves Sept'!$K$12:$L$1700,'Edo Cta Jeeves Sept'!$J$12:$J$1700=$A$2)"),"UBER * PENDING         CMX           MEX")</f>
        <v>UBER * PENDING         CMX           MEX</v>
      </c>
      <c r="H12" s="59" t="str">
        <f ca="1">IFERROR(__xludf.DUMMYFUNCTION("""COMPUTED_VALUE"""),"Uber")</f>
        <v>Uber</v>
      </c>
      <c r="I12" s="59" t="str">
        <f ca="1">IFERROR(__xludf.DUMMYFUNCTION("IMPORTRANGE(""https://docs.google.com/spreadsheets/d/1HiYEa0CHbQ2RnAxopYY-_pSMNoQDWuV0wPwaTCsf29o/edit#gid=384009412"",""#19 Daniel Alejandro Castillo Rivera!I12:K80"")"),"Transaction cost")</f>
        <v>Transaction cost</v>
      </c>
      <c r="J12" s="59" t="str">
        <f ca="1">IFERROR(__xludf.DUMMYFUNCTION("""COMPUTED_VALUE"""),"PO2023 SIB 99 min")</f>
        <v>PO2023 SIB 99 min</v>
      </c>
      <c r="K12" s="59" t="str">
        <f ca="1">IFERROR(__xludf.DUMMYFUNCTION("""COMPUTED_VALUE"""),"-")</f>
        <v>-</v>
      </c>
      <c r="L12" s="17"/>
      <c r="M12" s="17"/>
      <c r="N12" s="17"/>
      <c r="O12" s="17"/>
    </row>
    <row r="13" spans="1:15" ht="15.75" customHeight="1">
      <c r="A13" s="103" t="str">
        <f ca="1">IFERROR(__xludf.DUMMYFUNCTION("""COMPUTED_VALUE"""),"TRX1255")</f>
        <v>TRX1255</v>
      </c>
      <c r="B13" s="104" t="str">
        <f ca="1">IFERROR(__xludf.DUMMYFUNCTION("""COMPUTED_VALUE"""),"#19")</f>
        <v>#19</v>
      </c>
      <c r="C13" s="106">
        <f ca="1">IFERROR(__xludf.DUMMYFUNCTION("""COMPUTED_VALUE"""),46058.4166666666)</f>
        <v>46058.416666666599</v>
      </c>
      <c r="D13" s="105">
        <f ca="1">IFERROR(__xludf.DUMMYFUNCTION("""COMPUTED_VALUE"""),90.25)</f>
        <v>90.25</v>
      </c>
      <c r="E13" s="59" t="str">
        <f ca="1">IFERROR(__xludf.DUMMYFUNCTION("""COMPUTED_VALUE"""),"MXN")</f>
        <v>MXN</v>
      </c>
      <c r="F13" s="59" t="str">
        <f ca="1">IFERROR(__xludf.DUMMYFUNCTION("""COMPUTED_VALUE"""),"Daniel Alejandro Castillo Rivera")</f>
        <v>Daniel Alejandro Castillo Rivera</v>
      </c>
      <c r="G13" s="59" t="str">
        <f ca="1">IFERROR(__xludf.DUMMYFUNCTION("""COMPUTED_VALUE"""),"UBER *TRIP HELP.UBER.C CMX           MEX")</f>
        <v>UBER *TRIP HELP.UBER.C CMX           MEX</v>
      </c>
      <c r="H13" s="59" t="str">
        <f ca="1">IFERROR(__xludf.DUMMYFUNCTION("""COMPUTED_VALUE"""),"Uber")</f>
        <v>Uber</v>
      </c>
      <c r="I13" s="59" t="str">
        <f ca="1">IFERROR(__xludf.DUMMYFUNCTION("""COMPUTED_VALUE"""),"Transaction cost")</f>
        <v>Transaction cost</v>
      </c>
      <c r="J13" s="59" t="str">
        <f ca="1">IFERROR(__xludf.DUMMYFUNCTION("""COMPUTED_VALUE"""),"PO2023 SIB 99 min")</f>
        <v>PO2023 SIB 99 min</v>
      </c>
      <c r="K13" s="59" t="str">
        <f ca="1">IFERROR(__xludf.DUMMYFUNCTION("""COMPUTED_VALUE"""),"-")</f>
        <v>-</v>
      </c>
      <c r="L13" s="17"/>
      <c r="M13" s="17"/>
      <c r="N13" s="17"/>
      <c r="O13" s="17"/>
    </row>
    <row r="14" spans="1:15" ht="15.75" customHeight="1">
      <c r="A14" s="103" t="str">
        <f ca="1">IFERROR(__xludf.DUMMYFUNCTION("""COMPUTED_VALUE"""),"TRX1214")</f>
        <v>TRX1214</v>
      </c>
      <c r="B14" s="104" t="str">
        <f ca="1">IFERROR(__xludf.DUMMYFUNCTION("""COMPUTED_VALUE"""),"#19")</f>
        <v>#19</v>
      </c>
      <c r="C14" s="106">
        <f ca="1">IFERROR(__xludf.DUMMYFUNCTION("""COMPUTED_VALUE"""),46058.4173611111)</f>
        <v>46058.417361111096</v>
      </c>
      <c r="D14" s="105">
        <f ca="1">IFERROR(__xludf.DUMMYFUNCTION("""COMPUTED_VALUE"""),213)</f>
        <v>213</v>
      </c>
      <c r="E14" s="59" t="str">
        <f ca="1">IFERROR(__xludf.DUMMYFUNCTION("""COMPUTED_VALUE"""),"MXN")</f>
        <v>MXN</v>
      </c>
      <c r="F14" s="59" t="str">
        <f ca="1">IFERROR(__xludf.DUMMYFUNCTION("""COMPUTED_VALUE"""),"Daniel Alejandro Castillo Rivera")</f>
        <v>Daniel Alejandro Castillo Rivera</v>
      </c>
      <c r="G14" s="59" t="str">
        <f ca="1">IFERROR(__xludf.DUMMYFUNCTION("""COMPUTED_VALUE"""),"POPEYES EULER          CIUDAD DE MEX MEX")</f>
        <v>POPEYES EULER          CIUDAD DE MEX MEX</v>
      </c>
      <c r="H14" s="59" t="str">
        <f ca="1">IFERROR(__xludf.DUMMYFUNCTION("""COMPUTED_VALUE"""),"Popeyes")</f>
        <v>Popeyes</v>
      </c>
      <c r="I14" s="59" t="str">
        <f ca="1">IFERROR(__xludf.DUMMYFUNCTION("""COMPUTED_VALUE"""),"Transaction cost")</f>
        <v>Transaction cost</v>
      </c>
      <c r="J14" s="59" t="str">
        <f ca="1">IFERROR(__xludf.DUMMYFUNCTION("""COMPUTED_VALUE"""),"PO2023 SIB 99 min")</f>
        <v>PO2023 SIB 99 min</v>
      </c>
      <c r="K14" s="59" t="str">
        <f ca="1">IFERROR(__xludf.DUMMYFUNCTION("""COMPUTED_VALUE"""),"-")</f>
        <v>-</v>
      </c>
      <c r="L14" s="17"/>
      <c r="M14" s="17"/>
      <c r="N14" s="17"/>
      <c r="O14" s="17"/>
    </row>
    <row r="15" spans="1:15" ht="15.75" customHeight="1">
      <c r="A15" s="103" t="str">
        <f ca="1">IFERROR(__xludf.DUMMYFUNCTION("""COMPUTED_VALUE"""),"TRX1248")</f>
        <v>TRX1248</v>
      </c>
      <c r="B15" s="104" t="str">
        <f ca="1">IFERROR(__xludf.DUMMYFUNCTION("""COMPUTED_VALUE"""),"#19")</f>
        <v>#19</v>
      </c>
      <c r="C15" s="106">
        <f ca="1">IFERROR(__xludf.DUMMYFUNCTION("""COMPUTED_VALUE"""),46064.4166666666)</f>
        <v>46064.416666666599</v>
      </c>
      <c r="D15" s="105">
        <f ca="1">IFERROR(__xludf.DUMMYFUNCTION("""COMPUTED_VALUE"""),329.97)</f>
        <v>329.97</v>
      </c>
      <c r="E15" s="59" t="str">
        <f ca="1">IFERROR(__xludf.DUMMYFUNCTION("""COMPUTED_VALUE"""),"MXN")</f>
        <v>MXN</v>
      </c>
      <c r="F15" s="59" t="str">
        <f ca="1">IFERROR(__xludf.DUMMYFUNCTION("""COMPUTED_VALUE"""),"Daniel Alejandro Castillo Rivera")</f>
        <v>Daniel Alejandro Castillo Rivera</v>
      </c>
      <c r="G15" s="59" t="str">
        <f ca="1">IFERROR(__xludf.DUMMYFUNCTION("""COMPUTED_VALUE"""),"UBER * PENDING         CMX           MEX")</f>
        <v>UBER * PENDING         CMX           MEX</v>
      </c>
      <c r="H15" s="59" t="str">
        <f ca="1">IFERROR(__xludf.DUMMYFUNCTION("""COMPUTED_VALUE"""),"Uber")</f>
        <v>Uber</v>
      </c>
      <c r="I15" s="59" t="str">
        <f ca="1">IFERROR(__xludf.DUMMYFUNCTION("""COMPUTED_VALUE"""),"Transaction cost")</f>
        <v>Transaction cost</v>
      </c>
      <c r="J15" s="59" t="str">
        <f ca="1">IFERROR(__xludf.DUMMYFUNCTION("""COMPUTED_VALUE"""),"PO1953  ARTEVALLEDEBRAVO")</f>
        <v>PO1953  ARTEVALLEDEBRAVO</v>
      </c>
      <c r="K15" s="59" t="str">
        <f ca="1">IFERROR(__xludf.DUMMYFUNCTION("""COMPUTED_VALUE"""),"-")</f>
        <v>-</v>
      </c>
      <c r="L15" s="17"/>
      <c r="M15" s="17"/>
      <c r="N15" s="17"/>
      <c r="O15" s="17"/>
    </row>
    <row r="16" spans="1:15" ht="15.75" customHeight="1">
      <c r="A16" s="59" t="str">
        <f ca="1">IFERROR(__xludf.DUMMYFUNCTION("""COMPUTED_VALUE"""),"TRX1279")</f>
        <v>TRX1279</v>
      </c>
      <c r="B16" s="104" t="str">
        <f ca="1">IFERROR(__xludf.DUMMYFUNCTION("""COMPUTED_VALUE"""),"#19")</f>
        <v>#19</v>
      </c>
      <c r="C16" s="106">
        <f ca="1">IFERROR(__xludf.DUMMYFUNCTION("""COMPUTED_VALUE"""),46065.4166666666)</f>
        <v>46065.416666666599</v>
      </c>
      <c r="D16" s="105">
        <f ca="1">IFERROR(__xludf.DUMMYFUNCTION("""COMPUTED_VALUE"""),259.94)</f>
        <v>259.94</v>
      </c>
      <c r="E16" s="59" t="str">
        <f ca="1">IFERROR(__xludf.DUMMYFUNCTION("""COMPUTED_VALUE"""),"MXN")</f>
        <v>MXN</v>
      </c>
      <c r="F16" s="59" t="str">
        <f ca="1">IFERROR(__xludf.DUMMYFUNCTION("""COMPUTED_VALUE"""),"Daniel Alejandro Castillo Rivera")</f>
        <v>Daniel Alejandro Castillo Rivera</v>
      </c>
      <c r="G16" s="59" t="str">
        <f ca="1">IFERROR(__xludf.DUMMYFUNCTION("""COMPUTED_VALUE"""),"UBER * PENDING         CMX           MEX")</f>
        <v>UBER * PENDING         CMX           MEX</v>
      </c>
      <c r="H16" s="59" t="str">
        <f ca="1">IFERROR(__xludf.DUMMYFUNCTION("""COMPUTED_VALUE"""),"Uber")</f>
        <v>Uber</v>
      </c>
      <c r="I16" s="59" t="str">
        <f ca="1">IFERROR(__xludf.DUMMYFUNCTION("""COMPUTED_VALUE"""),"Transaction cost")</f>
        <v>Transaction cost</v>
      </c>
      <c r="J16" s="59" t="str">
        <f ca="1">IFERROR(__xludf.DUMMYFUNCTION("""COMPUTED_VALUE"""),"PO1953  ARTEVALLEDEBRAVO")</f>
        <v>PO1953  ARTEVALLEDEBRAVO</v>
      </c>
      <c r="K16" s="59" t="str">
        <f ca="1">IFERROR(__xludf.DUMMYFUNCTION("""COMPUTED_VALUE"""),"-")</f>
        <v>-</v>
      </c>
      <c r="L16" s="17"/>
      <c r="M16" s="17"/>
      <c r="N16" s="17"/>
      <c r="O16" s="17"/>
    </row>
    <row r="17" spans="1:15" ht="15.75" customHeight="1">
      <c r="A17" s="59" t="str">
        <f ca="1">IFERROR(__xludf.DUMMYFUNCTION("""COMPUTED_VALUE"""),"TRX1471")</f>
        <v>TRX1471</v>
      </c>
      <c r="B17" s="104" t="str">
        <f ca="1">IFERROR(__xludf.DUMMYFUNCTION("""COMPUTED_VALUE"""),"#19")</f>
        <v>#19</v>
      </c>
      <c r="C17" s="106">
        <f ca="1">IFERROR(__xludf.DUMMYFUNCTION("""COMPUTED_VALUE"""),46065.4166666666)</f>
        <v>46065.416666666599</v>
      </c>
      <c r="D17" s="105">
        <f ca="1">IFERROR(__xludf.DUMMYFUNCTION("""COMPUTED_VALUE"""),458.24)</f>
        <v>458.24</v>
      </c>
      <c r="E17" s="59" t="str">
        <f ca="1">IFERROR(__xludf.DUMMYFUNCTION("""COMPUTED_VALUE"""),"MXN")</f>
        <v>MXN</v>
      </c>
      <c r="F17" s="59" t="str">
        <f ca="1">IFERROR(__xludf.DUMMYFUNCTION("""COMPUTED_VALUE"""),"Daniel Alejandro Castillo Rivera")</f>
        <v>Daniel Alejandro Castillo Rivera</v>
      </c>
      <c r="G17" s="59" t="str">
        <f ca="1">IFERROR(__xludf.DUMMYFUNCTION("""COMPUTED_VALUE"""),"UBER * EATS PENDING    CMX           MEX")</f>
        <v>UBER * EATS PENDING    CMX           MEX</v>
      </c>
      <c r="H17" s="59" t="str">
        <f ca="1">IFERROR(__xludf.DUMMYFUNCTION("""COMPUTED_VALUE"""),"Uber Eats")</f>
        <v>Uber Eats</v>
      </c>
      <c r="I17" s="59" t="str">
        <f ca="1">IFERROR(__xludf.DUMMYFUNCTION("""COMPUTED_VALUE"""),"Transaction cost")</f>
        <v>Transaction cost</v>
      </c>
      <c r="J17" s="59" t="str">
        <f ca="1">IFERROR(__xludf.DUMMYFUNCTION("""COMPUTED_VALUE"""),"PO1953  ARTEVALLEDEBRAVO")</f>
        <v>PO1953  ARTEVALLEDEBRAVO</v>
      </c>
      <c r="K17" s="59" t="str">
        <f ca="1">IFERROR(__xludf.DUMMYFUNCTION("""COMPUTED_VALUE"""),"-")</f>
        <v>-</v>
      </c>
      <c r="L17" s="17"/>
      <c r="M17" s="17"/>
      <c r="N17" s="17"/>
      <c r="O17" s="17"/>
    </row>
    <row r="18" spans="1:15" ht="15.75" customHeight="1">
      <c r="A18" s="59" t="str">
        <f ca="1">IFERROR(__xludf.DUMMYFUNCTION("""COMPUTED_VALUE"""),"TRX1016")</f>
        <v>TRX1016</v>
      </c>
      <c r="B18" s="104" t="str">
        <f ca="1">IFERROR(__xludf.DUMMYFUNCTION("""COMPUTED_VALUE"""),"#19")</f>
        <v>#19</v>
      </c>
      <c r="C18" s="106">
        <f ca="1">IFERROR(__xludf.DUMMYFUNCTION("""COMPUTED_VALUE"""),46065.4173611111)</f>
        <v>46065.417361111096</v>
      </c>
      <c r="D18" s="105">
        <f ca="1">IFERROR(__xludf.DUMMYFUNCTION("""COMPUTED_VALUE"""),85)</f>
        <v>85</v>
      </c>
      <c r="E18" s="59" t="str">
        <f ca="1">IFERROR(__xludf.DUMMYFUNCTION("""COMPUTED_VALUE"""),"MXN")</f>
        <v>MXN</v>
      </c>
      <c r="F18" s="59" t="str">
        <f ca="1">IFERROR(__xludf.DUMMYFUNCTION("""COMPUTED_VALUE"""),"Daniel Alejandro Castillo Rivera")</f>
        <v>Daniel Alejandro Castillo Rivera</v>
      </c>
      <c r="G18" s="59" t="str">
        <f ca="1">IFERROR(__xludf.DUMMYFUNCTION("""COMPUTED_VALUE"""),"CLIP MX*REST TAQUITOS  GUSTAVO A MAD MEX")</f>
        <v>CLIP MX*REST TAQUITOS  GUSTAVO A MAD MEX</v>
      </c>
      <c r="H18" s="59" t="str">
        <f ca="1">IFERROR(__xludf.DUMMYFUNCTION("""COMPUTED_VALUE"""),"Clip Mx Rest Taquitos Gustavo A Mad Mex")</f>
        <v>Clip Mx Rest Taquitos Gustavo A Mad Mex</v>
      </c>
      <c r="I18" s="59" t="str">
        <f ca="1">IFERROR(__xludf.DUMMYFUNCTION("""COMPUTED_VALUE"""),"Transaction cost")</f>
        <v>Transaction cost</v>
      </c>
      <c r="J18" s="59" t="str">
        <f ca="1">IFERROR(__xludf.DUMMYFUNCTION("""COMPUTED_VALUE"""),"PO1953  ARTEVALLEDEBRAVO")</f>
        <v>PO1953  ARTEVALLEDEBRAVO</v>
      </c>
      <c r="K18" s="59" t="str">
        <f ca="1">IFERROR(__xludf.DUMMYFUNCTION("""COMPUTED_VALUE"""),"-")</f>
        <v>-</v>
      </c>
      <c r="L18" s="17"/>
      <c r="M18" s="17"/>
      <c r="N18" s="17"/>
      <c r="O18" s="17"/>
    </row>
    <row r="19" spans="1:15" ht="15.75" customHeight="1">
      <c r="A19" s="59" t="str">
        <f ca="1">IFERROR(__xludf.DUMMYFUNCTION("""COMPUTED_VALUE"""),"TRX1354")</f>
        <v>TRX1354</v>
      </c>
      <c r="B19" s="104" t="str">
        <f ca="1">IFERROR(__xludf.DUMMYFUNCTION("""COMPUTED_VALUE"""),"#19")</f>
        <v>#19</v>
      </c>
      <c r="C19" s="106">
        <f ca="1">IFERROR(__xludf.DUMMYFUNCTION("""COMPUTED_VALUE"""),46071.4166666666)</f>
        <v>46071.416666666599</v>
      </c>
      <c r="D19" s="105">
        <f ca="1">IFERROR(__xludf.DUMMYFUNCTION("""COMPUTED_VALUE"""),209.64)</f>
        <v>209.64</v>
      </c>
      <c r="E19" s="59" t="str">
        <f ca="1">IFERROR(__xludf.DUMMYFUNCTION("""COMPUTED_VALUE"""),"MXN")</f>
        <v>MXN</v>
      </c>
      <c r="F19" s="59" t="str">
        <f ca="1">IFERROR(__xludf.DUMMYFUNCTION("""COMPUTED_VALUE"""),"Daniel Alejandro Castillo Rivera")</f>
        <v>Daniel Alejandro Castillo Rivera</v>
      </c>
      <c r="G19" s="59" t="str">
        <f ca="1">IFERROR(__xludf.DUMMYFUNCTION("""COMPUTED_VALUE"""),"UBER * PENDING         CMX           MEX")</f>
        <v>UBER * PENDING         CMX           MEX</v>
      </c>
      <c r="H19" s="59" t="str">
        <f ca="1">IFERROR(__xludf.DUMMYFUNCTION("""COMPUTED_VALUE"""),"Uber")</f>
        <v>Uber</v>
      </c>
      <c r="I19" s="59" t="str">
        <f ca="1">IFERROR(__xludf.DUMMYFUNCTION("""COMPUTED_VALUE"""),"Transaction cost")</f>
        <v>Transaction cost</v>
      </c>
      <c r="J19" s="59" t="str">
        <f ca="1">IFERROR(__xludf.DUMMYFUNCTION("""COMPUTED_VALUE"""),"PO1953  ARTEVALLEDEBRAVO")</f>
        <v>PO1953  ARTEVALLEDEBRAVO</v>
      </c>
      <c r="K19" s="59" t="str">
        <f ca="1">IFERROR(__xludf.DUMMYFUNCTION("""COMPUTED_VALUE"""),"-")</f>
        <v>-</v>
      </c>
      <c r="L19" s="17"/>
      <c r="M19" s="17"/>
      <c r="N19" s="17"/>
      <c r="O19" s="17"/>
    </row>
    <row r="20" spans="1:15" ht="12.5">
      <c r="A20" s="59" t="str">
        <f ca="1">IFERROR(__xludf.DUMMYFUNCTION("""COMPUTED_VALUE"""),"TRX1900")</f>
        <v>TRX1900</v>
      </c>
      <c r="B20" s="104" t="str">
        <f ca="1">IFERROR(__xludf.DUMMYFUNCTION("""COMPUTED_VALUE"""),"#19")</f>
        <v>#19</v>
      </c>
      <c r="C20" s="106">
        <f ca="1">IFERROR(__xludf.DUMMYFUNCTION("""COMPUTED_VALUE"""),46071.4166666666)</f>
        <v>46071.416666666599</v>
      </c>
      <c r="D20" s="105">
        <f ca="1">IFERROR(__xludf.DUMMYFUNCTION("""COMPUTED_VALUE"""),299.95)</f>
        <v>299.95</v>
      </c>
      <c r="E20" s="59" t="str">
        <f ca="1">IFERROR(__xludf.DUMMYFUNCTION("""COMPUTED_VALUE"""),"MXN")</f>
        <v>MXN</v>
      </c>
      <c r="F20" s="59" t="str">
        <f ca="1">IFERROR(__xludf.DUMMYFUNCTION("""COMPUTED_VALUE"""),"Daniel Alejandro Castillo Rivera")</f>
        <v>Daniel Alejandro Castillo Rivera</v>
      </c>
      <c r="G20" s="59" t="str">
        <f ca="1">IFERROR(__xludf.DUMMYFUNCTION("""COMPUTED_VALUE"""),"DLO*UBER RIDE          CIUDAD DE MEX MEX")</f>
        <v>DLO*UBER RIDE          CIUDAD DE MEX MEX</v>
      </c>
      <c r="H20" s="59" t="str">
        <f ca="1">IFERROR(__xludf.DUMMYFUNCTION("""COMPUTED_VALUE"""),"Uber")</f>
        <v>Uber</v>
      </c>
      <c r="I20" s="59" t="str">
        <f ca="1">IFERROR(__xludf.DUMMYFUNCTION("""COMPUTED_VALUE"""),"Transaction cost")</f>
        <v>Transaction cost</v>
      </c>
      <c r="J20" s="59" t="str">
        <f ca="1">IFERROR(__xludf.DUMMYFUNCTION("""COMPUTED_VALUE"""),"PO1953  ARTEVALLEDEBRAVO")</f>
        <v>PO1953  ARTEVALLEDEBRAVO</v>
      </c>
      <c r="K20" s="59" t="str">
        <f ca="1">IFERROR(__xludf.DUMMYFUNCTION("""COMPUTED_VALUE"""),"-")</f>
        <v>-</v>
      </c>
      <c r="L20" s="17"/>
      <c r="M20" s="17"/>
      <c r="N20" s="17"/>
      <c r="O20" s="17"/>
    </row>
    <row r="21" spans="1:15" ht="12.5">
      <c r="A21" s="59" t="str">
        <f ca="1">IFERROR(__xludf.DUMMYFUNCTION("""COMPUTED_VALUE"""),"TRX1567")</f>
        <v>TRX1567</v>
      </c>
      <c r="B21" s="104" t="str">
        <f ca="1">IFERROR(__xludf.DUMMYFUNCTION("""COMPUTED_VALUE"""),"#19")</f>
        <v>#19</v>
      </c>
      <c r="C21" s="106">
        <f ca="1">IFERROR(__xludf.DUMMYFUNCTION("""COMPUTED_VALUE"""),46071.4166666666)</f>
        <v>46071.416666666599</v>
      </c>
      <c r="D21" s="105">
        <f ca="1">IFERROR(__xludf.DUMMYFUNCTION("""COMPUTED_VALUE"""),65.5)</f>
        <v>65.5</v>
      </c>
      <c r="E21" s="59" t="str">
        <f ca="1">IFERROR(__xludf.DUMMYFUNCTION("""COMPUTED_VALUE"""),"MXN")</f>
        <v>MXN</v>
      </c>
      <c r="F21" s="59" t="str">
        <f ca="1">IFERROR(__xludf.DUMMYFUNCTION("""COMPUTED_VALUE"""),"Daniel Alejandro Castillo Rivera")</f>
        <v>Daniel Alejandro Castillo Rivera</v>
      </c>
      <c r="G21" s="59" t="str">
        <f ca="1">IFERROR(__xludf.DUMMYFUNCTION("""COMPUTED_VALUE"""),"OXXO PONIENTE 116      MEXICO DF     MEX")</f>
        <v>OXXO PONIENTE 116      MEXICO DF     MEX</v>
      </c>
      <c r="H21" s="59" t="str">
        <f ca="1">IFERROR(__xludf.DUMMYFUNCTION("""COMPUTED_VALUE"""),"Oxxo")</f>
        <v>Oxxo</v>
      </c>
      <c r="I21" s="59" t="str">
        <f ca="1">IFERROR(__xludf.DUMMYFUNCTION("""COMPUTED_VALUE"""),"Transaction cost")</f>
        <v>Transaction cost</v>
      </c>
      <c r="J21" s="59" t="str">
        <f ca="1">IFERROR(__xludf.DUMMYFUNCTION("""COMPUTED_VALUE"""),"PO1953  ARTEVALLEDEBRAVO")</f>
        <v>PO1953  ARTEVALLEDEBRAVO</v>
      </c>
      <c r="K21" s="59" t="str">
        <f ca="1">IFERROR(__xludf.DUMMYFUNCTION("""COMPUTED_VALUE"""),"-")</f>
        <v>-</v>
      </c>
      <c r="L21" s="17"/>
      <c r="M21" s="17"/>
      <c r="N21" s="17"/>
      <c r="O21" s="17"/>
    </row>
    <row r="22" spans="1:15" ht="12.5">
      <c r="A22" s="59" t="str">
        <f ca="1">IFERROR(__xludf.DUMMYFUNCTION("""COMPUTED_VALUE"""),"TRX1784")</f>
        <v>TRX1784</v>
      </c>
      <c r="B22" s="104" t="str">
        <f ca="1">IFERROR(__xludf.DUMMYFUNCTION("""COMPUTED_VALUE"""),"#19")</f>
        <v>#19</v>
      </c>
      <c r="C22" s="106">
        <f ca="1">IFERROR(__xludf.DUMMYFUNCTION("""COMPUTED_VALUE"""),46071.4173611111)</f>
        <v>46071.417361111096</v>
      </c>
      <c r="D22" s="105">
        <f ca="1">IFERROR(__xludf.DUMMYFUNCTION("""COMPUTED_VALUE"""),258)</f>
        <v>258</v>
      </c>
      <c r="E22" s="59" t="str">
        <f ca="1">IFERROR(__xludf.DUMMYFUNCTION("""COMPUTED_VALUE"""),"MXN")</f>
        <v>MXN</v>
      </c>
      <c r="F22" s="59" t="str">
        <f ca="1">IFERROR(__xludf.DUMMYFUNCTION("""COMPUTED_VALUE"""),"Daniel Alejandro Castillo Rivera")</f>
        <v>Daniel Alejandro Castillo Rivera</v>
      </c>
      <c r="G22" s="59" t="str">
        <f ca="1">IFERROR(__xludf.DUMMYFUNCTION("""COMPUTED_VALUE"""),"KFC 577 TIZAYUCA CON S TIZAYUCA HGO  MEX")</f>
        <v>KFC 577 TIZAYUCA CON S TIZAYUCA HGO  MEX</v>
      </c>
      <c r="H22" s="59" t="str">
        <f ca="1">IFERROR(__xludf.DUMMYFUNCTION("""COMPUTED_VALUE"""),"Kentucky Fried Chicken")</f>
        <v>Kentucky Fried Chicken</v>
      </c>
      <c r="I22" s="59" t="str">
        <f ca="1">IFERROR(__xludf.DUMMYFUNCTION("""COMPUTED_VALUE"""),"Transaction cost")</f>
        <v>Transaction cost</v>
      </c>
      <c r="J22" s="59" t="str">
        <f ca="1">IFERROR(__xludf.DUMMYFUNCTION("""COMPUTED_VALUE"""),"PO1953  ARTEVALLEDEBRAVO")</f>
        <v>PO1953  ARTEVALLEDEBRAVO</v>
      </c>
      <c r="K22" s="59" t="str">
        <f ca="1">IFERROR(__xludf.DUMMYFUNCTION("""COMPUTED_VALUE"""),"-")</f>
        <v>-</v>
      </c>
      <c r="L22" s="17"/>
      <c r="M22" s="17"/>
      <c r="N22" s="17"/>
      <c r="O22" s="17"/>
    </row>
    <row r="23" spans="1:15" ht="12.5">
      <c r="A23" s="59" t="str">
        <f ca="1">IFERROR(__xludf.DUMMYFUNCTION("""COMPUTED_VALUE"""),"TRX1966")</f>
        <v>TRX1966</v>
      </c>
      <c r="B23" s="104" t="str">
        <f ca="1">IFERROR(__xludf.DUMMYFUNCTION("""COMPUTED_VALUE"""),"#19")</f>
        <v>#19</v>
      </c>
      <c r="C23" s="106">
        <f ca="1">IFERROR(__xludf.DUMMYFUNCTION("""COMPUTED_VALUE"""),46072.4166666666)</f>
        <v>46072.416666666599</v>
      </c>
      <c r="D23" s="105">
        <f ca="1">IFERROR(__xludf.DUMMYFUNCTION("""COMPUTED_VALUE"""),629.97)</f>
        <v>629.97</v>
      </c>
      <c r="E23" s="59" t="str">
        <f ca="1">IFERROR(__xludf.DUMMYFUNCTION("""COMPUTED_VALUE"""),"MXN")</f>
        <v>MXN</v>
      </c>
      <c r="F23" s="59" t="str">
        <f ca="1">IFERROR(__xludf.DUMMYFUNCTION("""COMPUTED_VALUE"""),"Daniel Alejandro Castillo Rivera")</f>
        <v>Daniel Alejandro Castillo Rivera</v>
      </c>
      <c r="G23" s="59" t="str">
        <f ca="1">IFERROR(__xludf.DUMMYFUNCTION("""COMPUTED_VALUE"""),"UBER * PENDING         CMX           MEX")</f>
        <v>UBER * PENDING         CMX           MEX</v>
      </c>
      <c r="H23" s="59" t="str">
        <f ca="1">IFERROR(__xludf.DUMMYFUNCTION("""COMPUTED_VALUE"""),"Uber")</f>
        <v>Uber</v>
      </c>
      <c r="I23" s="59" t="str">
        <f ca="1">IFERROR(__xludf.DUMMYFUNCTION("""COMPUTED_VALUE"""),"Transaction cost")</f>
        <v>Transaction cost</v>
      </c>
      <c r="J23" s="59" t="str">
        <f ca="1">IFERROR(__xludf.DUMMYFUNCTION("""COMPUTED_VALUE"""),"PO2165 veolia UFCEB")</f>
        <v>PO2165 veolia UFCEB</v>
      </c>
      <c r="K23" s="59" t="str">
        <f ca="1">IFERROR(__xludf.DUMMYFUNCTION("""COMPUTED_VALUE"""),"-")</f>
        <v>-</v>
      </c>
      <c r="L23" s="17"/>
      <c r="M23" s="17"/>
      <c r="N23" s="17"/>
      <c r="O23" s="17"/>
    </row>
    <row r="24" spans="1:15" ht="12.5">
      <c r="A24" s="59" t="str">
        <f ca="1">IFERROR(__xludf.DUMMYFUNCTION("""COMPUTED_VALUE"""),"TRX1064")</f>
        <v>TRX1064</v>
      </c>
      <c r="B24" s="104" t="str">
        <f ca="1">IFERROR(__xludf.DUMMYFUNCTION("""COMPUTED_VALUE"""),"#19")</f>
        <v>#19</v>
      </c>
      <c r="C24" s="106">
        <f ca="1">IFERROR(__xludf.DUMMYFUNCTION("""COMPUTED_VALUE"""),46073.4166666666)</f>
        <v>46073.416666666599</v>
      </c>
      <c r="D24" s="105">
        <f ca="1">IFERROR(__xludf.DUMMYFUNCTION("""COMPUTED_VALUE"""),224.11)</f>
        <v>224.11</v>
      </c>
      <c r="E24" s="59" t="str">
        <f ca="1">IFERROR(__xludf.DUMMYFUNCTION("""COMPUTED_VALUE"""),"MXN")</f>
        <v>MXN</v>
      </c>
      <c r="F24" s="59" t="str">
        <f ca="1">IFERROR(__xludf.DUMMYFUNCTION("""COMPUTED_VALUE"""),"Daniel Alejandro Castillo Rivera")</f>
        <v>Daniel Alejandro Castillo Rivera</v>
      </c>
      <c r="G24" s="59" t="str">
        <f ca="1">IFERROR(__xludf.DUMMYFUNCTION("""COMPUTED_VALUE"""),"UBER * PENDING         CMX           MEX")</f>
        <v>UBER * PENDING         CMX           MEX</v>
      </c>
      <c r="H24" s="59" t="str">
        <f ca="1">IFERROR(__xludf.DUMMYFUNCTION("""COMPUTED_VALUE"""),"Uber")</f>
        <v>Uber</v>
      </c>
      <c r="I24" s="59" t="str">
        <f ca="1">IFERROR(__xludf.DUMMYFUNCTION("""COMPUTED_VALUE"""),"Transaction cost")</f>
        <v>Transaction cost</v>
      </c>
      <c r="J24" s="59" t="str">
        <f ca="1">IFERROR(__xludf.DUMMYFUNCTION("""COMPUTED_VALUE"""),"PO2165 veolia UFCEB")</f>
        <v>PO2165 veolia UFCEB</v>
      </c>
      <c r="K24" s="59" t="str">
        <f ca="1">IFERROR(__xludf.DUMMYFUNCTION("""COMPUTED_VALUE"""),"-")</f>
        <v>-</v>
      </c>
      <c r="L24" s="17"/>
      <c r="M24" s="17"/>
      <c r="N24" s="17"/>
      <c r="O24" s="17"/>
    </row>
    <row r="25" spans="1:15" ht="12.5">
      <c r="A25" s="59" t="str">
        <f ca="1">IFERROR(__xludf.DUMMYFUNCTION("""COMPUTED_VALUE"""),"TRX1038")</f>
        <v>TRX1038</v>
      </c>
      <c r="B25" s="104" t="str">
        <f ca="1">IFERROR(__xludf.DUMMYFUNCTION("""COMPUTED_VALUE"""),"#19")</f>
        <v>#19</v>
      </c>
      <c r="C25" s="106">
        <f ca="1">IFERROR(__xludf.DUMMYFUNCTION("""COMPUTED_VALUE"""),46073.4166666666)</f>
        <v>46073.416666666599</v>
      </c>
      <c r="D25" s="105">
        <f ca="1">IFERROR(__xludf.DUMMYFUNCTION("""COMPUTED_VALUE"""),209)</f>
        <v>209</v>
      </c>
      <c r="E25" s="59" t="str">
        <f ca="1">IFERROR(__xludf.DUMMYFUNCTION("""COMPUTED_VALUE"""),"MXN")</f>
        <v>MXN</v>
      </c>
      <c r="F25" s="59" t="str">
        <f ca="1">IFERROR(__xludf.DUMMYFUNCTION("""COMPUTED_VALUE"""),"Daniel Alejandro Castillo Rivera")</f>
        <v>Daniel Alejandro Castillo Rivera</v>
      </c>
      <c r="G25" s="59" t="str">
        <f ca="1">IFERROR(__xludf.DUMMYFUNCTION("""COMPUTED_VALUE"""),"MERCADOPAGO *DOSGARDE  Tultitln      MEX")</f>
        <v>MERCADOPAGO *DOSGARDE  Tultitln      MEX</v>
      </c>
      <c r="H25" s="59" t="str">
        <f ca="1">IFERROR(__xludf.DUMMYFUNCTION("""COMPUTED_VALUE"""),"Mercadopago")</f>
        <v>Mercadopago</v>
      </c>
      <c r="I25" s="59" t="str">
        <f ca="1">IFERROR(__xludf.DUMMYFUNCTION("""COMPUTED_VALUE"""),"Transaction cost")</f>
        <v>Transaction cost</v>
      </c>
      <c r="J25" s="59" t="str">
        <f ca="1">IFERROR(__xludf.DUMMYFUNCTION("""COMPUTED_VALUE"""),"PO2165 veolia UFCEB")</f>
        <v>PO2165 veolia UFCEB</v>
      </c>
      <c r="K25" s="59" t="str">
        <f ca="1">IFERROR(__xludf.DUMMYFUNCTION("""COMPUTED_VALUE"""),"-")</f>
        <v>-</v>
      </c>
      <c r="L25" s="17"/>
      <c r="M25" s="17"/>
      <c r="N25" s="17"/>
      <c r="O25" s="17"/>
    </row>
    <row r="26" spans="1:15" ht="12.5">
      <c r="A26" s="59" t="str">
        <f ca="1">IFERROR(__xludf.DUMMYFUNCTION("""COMPUTED_VALUE"""),"TRX1946")</f>
        <v>TRX1946</v>
      </c>
      <c r="B26" s="104" t="str">
        <f ca="1">IFERROR(__xludf.DUMMYFUNCTION("""COMPUTED_VALUE"""),"#19")</f>
        <v>#19</v>
      </c>
      <c r="C26" s="106">
        <f ca="1">IFERROR(__xludf.DUMMYFUNCTION("""COMPUTED_VALUE"""),46073.4173611111)</f>
        <v>46073.417361111096</v>
      </c>
      <c r="D26" s="105">
        <f ca="1">IFERROR(__xludf.DUMMYFUNCTION("""COMPUTED_VALUE"""),89)</f>
        <v>89</v>
      </c>
      <c r="E26" s="59" t="str">
        <f ca="1">IFERROR(__xludf.DUMMYFUNCTION("""COMPUTED_VALUE"""),"MXN")</f>
        <v>MXN</v>
      </c>
      <c r="F26" s="59" t="str">
        <f ca="1">IFERROR(__xludf.DUMMYFUNCTION("""COMPUTED_VALUE"""),"Daniel Alejandro Castillo Rivera")</f>
        <v>Daniel Alejandro Castillo Rivera</v>
      </c>
      <c r="G26" s="59" t="str">
        <f ca="1">IFERROR(__xludf.DUMMYFUNCTION("""COMPUTED_VALUE"""),"OXXOSAN ANTONIO 17 MEX CUAUTITLAN EM MEX")</f>
        <v>OXXOSAN ANTONIO 17 MEX CUAUTITLAN EM MEX</v>
      </c>
      <c r="H26" s="59" t="str">
        <f ca="1">IFERROR(__xludf.DUMMYFUNCTION("""COMPUTED_VALUE"""),"Oxxosan Antonio 17 Mex Cuautitlan Em Mex")</f>
        <v>Oxxosan Antonio 17 Mex Cuautitlan Em Mex</v>
      </c>
      <c r="I26" s="59" t="str">
        <f ca="1">IFERROR(__xludf.DUMMYFUNCTION("""COMPUTED_VALUE"""),"Transaction cost")</f>
        <v>Transaction cost</v>
      </c>
      <c r="J26" s="59" t="str">
        <f ca="1">IFERROR(__xludf.DUMMYFUNCTION("""COMPUTED_VALUE"""),"PO2165 veolia UFCEB")</f>
        <v>PO2165 veolia UFCEB</v>
      </c>
      <c r="K26" s="59" t="str">
        <f ca="1">IFERROR(__xludf.DUMMYFUNCTION("""COMPUTED_VALUE"""),"-")</f>
        <v>-</v>
      </c>
      <c r="L26" s="17"/>
      <c r="M26" s="17"/>
      <c r="N26" s="17"/>
      <c r="O26" s="17"/>
    </row>
    <row r="27" spans="1:15" ht="12.5">
      <c r="A27" s="59" t="str">
        <f ca="1">IFERROR(__xludf.DUMMYFUNCTION("""COMPUTED_VALUE"""),"TRX1169")</f>
        <v>TRX1169</v>
      </c>
      <c r="B27" s="104" t="str">
        <f ca="1">IFERROR(__xludf.DUMMYFUNCTION("""COMPUTED_VALUE"""),"#19")</f>
        <v>#19</v>
      </c>
      <c r="C27" s="106">
        <f ca="1">IFERROR(__xludf.DUMMYFUNCTION("""COMPUTED_VALUE"""),46074.4166666666)</f>
        <v>46074.416666666599</v>
      </c>
      <c r="D27" s="105">
        <f ca="1">IFERROR(__xludf.DUMMYFUNCTION("""COMPUTED_VALUE"""),280.16)</f>
        <v>280.16000000000003</v>
      </c>
      <c r="E27" s="59" t="str">
        <f ca="1">IFERROR(__xludf.DUMMYFUNCTION("""COMPUTED_VALUE"""),"MXN")</f>
        <v>MXN</v>
      </c>
      <c r="F27" s="59" t="str">
        <f ca="1">IFERROR(__xludf.DUMMYFUNCTION("""COMPUTED_VALUE"""),"Daniel Alejandro Castillo Rivera")</f>
        <v>Daniel Alejandro Castillo Rivera</v>
      </c>
      <c r="G27" s="59" t="str">
        <f ca="1">IFERROR(__xludf.DUMMYFUNCTION("""COMPUTED_VALUE"""),"UBER *TRIP HELP.UBER.C CMX           MEX")</f>
        <v>UBER *TRIP HELP.UBER.C CMX           MEX</v>
      </c>
      <c r="H27" s="59" t="str">
        <f ca="1">IFERROR(__xludf.DUMMYFUNCTION("""COMPUTED_VALUE"""),"Uber")</f>
        <v>Uber</v>
      </c>
      <c r="I27" s="59" t="str">
        <f ca="1">IFERROR(__xludf.DUMMYFUNCTION("""COMPUTED_VALUE"""),"Transaction cost")</f>
        <v>Transaction cost</v>
      </c>
      <c r="J27" s="59" t="str">
        <f ca="1">IFERROR(__xludf.DUMMYFUNCTION("""COMPUTED_VALUE"""),"calibracion rugosimetro CC calidad")</f>
        <v>calibracion rugosimetro CC calidad</v>
      </c>
      <c r="K27" s="59" t="str">
        <f ca="1">IFERROR(__xludf.DUMMYFUNCTION("""COMPUTED_VALUE"""),"-")</f>
        <v>-</v>
      </c>
      <c r="L27" s="17"/>
      <c r="M27" s="17"/>
      <c r="N27" s="17"/>
      <c r="O27" s="17"/>
    </row>
    <row r="28" spans="1:15" ht="12.5">
      <c r="A28" s="59" t="str">
        <f ca="1">IFERROR(__xludf.DUMMYFUNCTION("""COMPUTED_VALUE"""),"TRX1227")</f>
        <v>TRX1227</v>
      </c>
      <c r="B28" s="104" t="str">
        <f ca="1">IFERROR(__xludf.DUMMYFUNCTION("""COMPUTED_VALUE"""),"#19")</f>
        <v>#19</v>
      </c>
      <c r="C28" s="106">
        <f ca="1">IFERROR(__xludf.DUMMYFUNCTION("""COMPUTED_VALUE"""),46074.4166666666)</f>
        <v>46074.416666666599</v>
      </c>
      <c r="D28" s="105">
        <f ca="1">IFERROR(__xludf.DUMMYFUNCTION("""COMPUTED_VALUE"""),280.53)</f>
        <v>280.52999999999997</v>
      </c>
      <c r="E28" s="59" t="str">
        <f ca="1">IFERROR(__xludf.DUMMYFUNCTION("""COMPUTED_VALUE"""),"MXN")</f>
        <v>MXN</v>
      </c>
      <c r="F28" s="59" t="str">
        <f ca="1">IFERROR(__xludf.DUMMYFUNCTION("""COMPUTED_VALUE"""),"Daniel Alejandro Castillo Rivera")</f>
        <v>Daniel Alejandro Castillo Rivera</v>
      </c>
      <c r="G28" s="59" t="str">
        <f ca="1">IFERROR(__xludf.DUMMYFUNCTION("""COMPUTED_VALUE"""),"UBER * PENDING         CMX           MEX")</f>
        <v>UBER * PENDING         CMX           MEX</v>
      </c>
      <c r="H28" s="59" t="str">
        <f ca="1">IFERROR(__xludf.DUMMYFUNCTION("""COMPUTED_VALUE"""),"Uber")</f>
        <v>Uber</v>
      </c>
      <c r="I28" s="59" t="str">
        <f ca="1">IFERROR(__xludf.DUMMYFUNCTION("""COMPUTED_VALUE"""),"Transaction cost")</f>
        <v>Transaction cost</v>
      </c>
      <c r="J28" s="59" t="str">
        <f ca="1">IFERROR(__xludf.DUMMYFUNCTION("""COMPUTED_VALUE"""),"calibracion rugosimetro CC calidad")</f>
        <v>calibracion rugosimetro CC calidad</v>
      </c>
      <c r="K28" s="59" t="str">
        <f ca="1">IFERROR(__xludf.DUMMYFUNCTION("""COMPUTED_VALUE"""),"-")</f>
        <v>-</v>
      </c>
      <c r="L28" s="17"/>
      <c r="M28" s="17"/>
      <c r="N28" s="17"/>
      <c r="O28" s="17"/>
    </row>
    <row r="29" spans="1:15" ht="12.5">
      <c r="A29" s="59" t="str">
        <f ca="1">IFERROR(__xludf.DUMMYFUNCTION("""COMPUTED_VALUE"""),"TRX1144")</f>
        <v>TRX1144</v>
      </c>
      <c r="B29" s="104" t="str">
        <f ca="1">IFERROR(__xludf.DUMMYFUNCTION("""COMPUTED_VALUE"""),"#19")</f>
        <v>#19</v>
      </c>
      <c r="C29" s="106">
        <f ca="1">IFERROR(__xludf.DUMMYFUNCTION("""COMPUTED_VALUE"""),46074.4166666666)</f>
        <v>46074.416666666599</v>
      </c>
      <c r="D29" s="105">
        <f ca="1">IFERROR(__xludf.DUMMYFUNCTION("""COMPUTED_VALUE"""),259.94)</f>
        <v>259.94</v>
      </c>
      <c r="E29" s="59" t="str">
        <f ca="1">IFERROR(__xludf.DUMMYFUNCTION("""COMPUTED_VALUE"""),"MXN")</f>
        <v>MXN</v>
      </c>
      <c r="F29" s="59" t="str">
        <f ca="1">IFERROR(__xludf.DUMMYFUNCTION("""COMPUTED_VALUE"""),"Daniel Alejandro Castillo Rivera")</f>
        <v>Daniel Alejandro Castillo Rivera</v>
      </c>
      <c r="G29" s="59" t="str">
        <f ca="1">IFERROR(__xludf.DUMMYFUNCTION("""COMPUTED_VALUE"""),"UBER * PENDING         CMX           MEX")</f>
        <v>UBER * PENDING         CMX           MEX</v>
      </c>
      <c r="H29" s="59" t="str">
        <f ca="1">IFERROR(__xludf.DUMMYFUNCTION("""COMPUTED_VALUE"""),"Uber")</f>
        <v>Uber</v>
      </c>
      <c r="I29" s="59" t="str">
        <f ca="1">IFERROR(__xludf.DUMMYFUNCTION("""COMPUTED_VALUE"""),"Transaction cost")</f>
        <v>Transaction cost</v>
      </c>
      <c r="J29" s="59" t="str">
        <f ca="1">IFERROR(__xludf.DUMMYFUNCTION("""COMPUTED_VALUE"""),"PO1953  ARTEVALLEDEBRAVO")</f>
        <v>PO1953  ARTEVALLEDEBRAVO</v>
      </c>
      <c r="K29" s="59" t="str">
        <f ca="1">IFERROR(__xludf.DUMMYFUNCTION("""COMPUTED_VALUE"""),"-")</f>
        <v>-</v>
      </c>
      <c r="L29" s="17"/>
      <c r="M29" s="17"/>
      <c r="N29" s="17"/>
      <c r="O29" s="17"/>
    </row>
    <row r="30" spans="1:15" ht="12.5">
      <c r="A30" s="17" t="str">
        <f ca="1">IFERROR(__xludf.DUMMYFUNCTION("""COMPUTED_VALUE"""),"TRX1069")</f>
        <v>TRX1069</v>
      </c>
      <c r="B30" s="86" t="str">
        <f ca="1">IFERROR(__xludf.DUMMYFUNCTION("""COMPUTED_VALUE"""),"#19")</f>
        <v>#19</v>
      </c>
      <c r="C30" s="63">
        <f ca="1">IFERROR(__xludf.DUMMYFUNCTION("""COMPUTED_VALUE"""),46075.4166666666)</f>
        <v>46075.416666666599</v>
      </c>
      <c r="D30" s="65">
        <f ca="1">IFERROR(__xludf.DUMMYFUNCTION("""COMPUTED_VALUE"""),76.5)</f>
        <v>76.5</v>
      </c>
      <c r="E30" s="17" t="str">
        <f ca="1">IFERROR(__xludf.DUMMYFUNCTION("""COMPUTED_VALUE"""),"MXN")</f>
        <v>MXN</v>
      </c>
      <c r="F30" s="17" t="str">
        <f ca="1">IFERROR(__xludf.DUMMYFUNCTION("""COMPUTED_VALUE"""),"Daniel Alejandro Castillo Rivera")</f>
        <v>Daniel Alejandro Castillo Rivera</v>
      </c>
      <c r="G30" s="17" t="str">
        <f ca="1">IFERROR(__xludf.DUMMYFUNCTION("""COMPUTED_VALUE"""),"OXXO PONIENTE 116      MEXICO DF     MEX")</f>
        <v>OXXO PONIENTE 116      MEXICO DF     MEX</v>
      </c>
      <c r="H30" s="17" t="str">
        <f ca="1">IFERROR(__xludf.DUMMYFUNCTION("""COMPUTED_VALUE"""),"Oxxo")</f>
        <v>Oxxo</v>
      </c>
      <c r="I30" s="17" t="str">
        <f ca="1">IFERROR(__xludf.DUMMYFUNCTION("""COMPUTED_VALUE"""),"Transaction cost")</f>
        <v>Transaction cost</v>
      </c>
      <c r="J30" s="107" t="str">
        <f ca="1">IFERROR(__xludf.DUMMYFUNCTION("""COMPUTED_VALUE"""),"PO1953  ARTEVALLEDEBRAVO")</f>
        <v>PO1953  ARTEVALLEDEBRAVO</v>
      </c>
      <c r="K30" s="17" t="str">
        <f ca="1">IFERROR(__xludf.DUMMYFUNCTION("""COMPUTED_VALUE"""),"-")</f>
        <v>-</v>
      </c>
      <c r="L30" s="17"/>
      <c r="M30" s="17"/>
      <c r="N30" s="17"/>
      <c r="O30" s="17"/>
    </row>
    <row r="31" spans="1:15" ht="12.5">
      <c r="A31" s="17" t="str">
        <f ca="1">IFERROR(__xludf.DUMMYFUNCTION("""COMPUTED_VALUE"""),"TRX1073")</f>
        <v>TRX1073</v>
      </c>
      <c r="B31" s="86" t="str">
        <f ca="1">IFERROR(__xludf.DUMMYFUNCTION("""COMPUTED_VALUE"""),"#19")</f>
        <v>#19</v>
      </c>
      <c r="C31" s="63">
        <f ca="1">IFERROR(__xludf.DUMMYFUNCTION("""COMPUTED_VALUE"""),46075.4173611111)</f>
        <v>46075.417361111096</v>
      </c>
      <c r="D31" s="65">
        <f ca="1">IFERROR(__xludf.DUMMYFUNCTION("""COMPUTED_VALUE"""),319.95)</f>
        <v>319.95</v>
      </c>
      <c r="E31" s="17" t="str">
        <f ca="1">IFERROR(__xludf.DUMMYFUNCTION("""COMPUTED_VALUE"""),"MXN")</f>
        <v>MXN</v>
      </c>
      <c r="F31" s="17" t="str">
        <f ca="1">IFERROR(__xludf.DUMMYFUNCTION("""COMPUTED_VALUE"""),"Daniel Alejandro Castillo Rivera")</f>
        <v>Daniel Alejandro Castillo Rivera</v>
      </c>
      <c r="G31" s="17" t="str">
        <f ca="1">IFERROR(__xludf.DUMMYFUNCTION("""COMPUTED_VALUE"""),"DLO*Uber               CDMX          MEX")</f>
        <v>DLO*Uber               CDMX          MEX</v>
      </c>
      <c r="H31" s="17" t="str">
        <f ca="1">IFERROR(__xludf.DUMMYFUNCTION("""COMPUTED_VALUE"""),"Uber")</f>
        <v>Uber</v>
      </c>
      <c r="I31" s="17" t="str">
        <f ca="1">IFERROR(__xludf.DUMMYFUNCTION("""COMPUTED_VALUE"""),"Transaction cost")</f>
        <v>Transaction cost</v>
      </c>
      <c r="J31" s="17" t="str">
        <f ca="1">IFERROR(__xludf.DUMMYFUNCTION("""COMPUTED_VALUE"""),"PO1953  ARTEVALLEDEBRAVO")</f>
        <v>PO1953  ARTEVALLEDEBRAVO</v>
      </c>
      <c r="K31" s="17" t="str">
        <f ca="1">IFERROR(__xludf.DUMMYFUNCTION("""COMPUTED_VALUE"""),"-")</f>
        <v>-</v>
      </c>
      <c r="L31" s="17"/>
      <c r="M31" s="17"/>
      <c r="N31" s="17"/>
      <c r="O31" s="17"/>
    </row>
    <row r="32" spans="1:15" ht="12.5">
      <c r="A32" s="17" t="str">
        <f ca="1">IFERROR(__xludf.DUMMYFUNCTION("""COMPUTED_VALUE"""),"TRX1085")</f>
        <v>TRX1085</v>
      </c>
      <c r="B32" s="86" t="str">
        <f ca="1">IFERROR(__xludf.DUMMYFUNCTION("""COMPUTED_VALUE"""),"#19")</f>
        <v>#19</v>
      </c>
      <c r="C32" s="63">
        <f ca="1">IFERROR(__xludf.DUMMYFUNCTION("""COMPUTED_VALUE"""),46075.4173611111)</f>
        <v>46075.417361111096</v>
      </c>
      <c r="D32" s="65">
        <f ca="1">IFERROR(__xludf.DUMMYFUNCTION("""COMPUTED_VALUE"""),416.9)</f>
        <v>416.9</v>
      </c>
      <c r="E32" s="17" t="str">
        <f ca="1">IFERROR(__xludf.DUMMYFUNCTION("""COMPUTED_VALUE"""),"MXN")</f>
        <v>MXN</v>
      </c>
      <c r="F32" s="17" t="str">
        <f ca="1">IFERROR(__xludf.DUMMYFUNCTION("""COMPUTED_VALUE"""),"Daniel Alejandro Castillo Rivera")</f>
        <v>Daniel Alejandro Castillo Rivera</v>
      </c>
      <c r="G32" s="17" t="str">
        <f ca="1">IFERROR(__xludf.DUMMYFUNCTION("""COMPUTED_VALUE"""),"SUSHIROLL              HUIXQUILUCAN  MEX")</f>
        <v>SUSHIROLL              HUIXQUILUCAN  MEX</v>
      </c>
      <c r="H32" s="17" t="str">
        <f ca="1">IFERROR(__xludf.DUMMYFUNCTION("""COMPUTED_VALUE"""),"Sushiroll Huixquilucan Mex")</f>
        <v>Sushiroll Huixquilucan Mex</v>
      </c>
      <c r="I32" s="17" t="str">
        <f ca="1">IFERROR(__xludf.DUMMYFUNCTION("""COMPUTED_VALUE"""),"Transaction cost")</f>
        <v>Transaction cost</v>
      </c>
      <c r="J32" s="17" t="str">
        <f ca="1">IFERROR(__xludf.DUMMYFUNCTION("""COMPUTED_VALUE"""),"PO1953  ARTEVALLEDEBRAVO")</f>
        <v>PO1953  ARTEVALLEDEBRAVO</v>
      </c>
      <c r="K32" s="17" t="str">
        <f ca="1">IFERROR(__xludf.DUMMYFUNCTION("""COMPUTED_VALUE"""),"-")</f>
        <v>-</v>
      </c>
      <c r="L32" s="17"/>
      <c r="M32" s="17"/>
      <c r="N32" s="17"/>
      <c r="O32" s="17"/>
    </row>
    <row r="33" spans="1:15" ht="12.5">
      <c r="A33" s="17" t="str">
        <f ca="1">IFERROR(__xludf.DUMMYFUNCTION("""COMPUTED_VALUE"""),"TRX1152")</f>
        <v>TRX1152</v>
      </c>
      <c r="B33" s="86" t="str">
        <f ca="1">IFERROR(__xludf.DUMMYFUNCTION("""COMPUTED_VALUE"""),"#19")</f>
        <v>#19</v>
      </c>
      <c r="C33" s="63">
        <f ca="1">IFERROR(__xludf.DUMMYFUNCTION("""COMPUTED_VALUE"""),46078.4166666666)</f>
        <v>46078.416666666599</v>
      </c>
      <c r="D33" s="65">
        <f ca="1">IFERROR(__xludf.DUMMYFUNCTION("""COMPUTED_VALUE"""),266)</f>
        <v>266</v>
      </c>
      <c r="E33" s="17" t="str">
        <f ca="1">IFERROR(__xludf.DUMMYFUNCTION("""COMPUTED_VALUE"""),"MXN")</f>
        <v>MXN</v>
      </c>
      <c r="F33" s="17" t="str">
        <f ca="1">IFERROR(__xludf.DUMMYFUNCTION("""COMPUTED_VALUE"""),"Daniel Alejandro Castillo Rivera")</f>
        <v>Daniel Alejandro Castillo Rivera</v>
      </c>
      <c r="G33" s="17" t="str">
        <f ca="1">IFERROR(__xludf.DUMMYFUNCTION("""COMPUTED_VALUE"""),"DLO*UBER RIDE          CIUDAD DE MEX MEX")</f>
        <v>DLO*UBER RIDE          CIUDAD DE MEX MEX</v>
      </c>
      <c r="H33" s="17" t="str">
        <f ca="1">IFERROR(__xludf.DUMMYFUNCTION("""COMPUTED_VALUE"""),"Uber")</f>
        <v>Uber</v>
      </c>
      <c r="I33" s="17" t="str">
        <f ca="1">IFERROR(__xludf.DUMMYFUNCTION("""COMPUTED_VALUE"""),"Transaction cost")</f>
        <v>Transaction cost</v>
      </c>
      <c r="J33" s="17" t="str">
        <f ca="1">IFERROR(__xludf.DUMMYFUNCTION("""COMPUTED_VALUE"""),"PO2165 veolia UFCEB")</f>
        <v>PO2165 veolia UFCEB</v>
      </c>
      <c r="K33" s="17" t="str">
        <f ca="1">IFERROR(__xludf.DUMMYFUNCTION("""COMPUTED_VALUE"""),"-")</f>
        <v>-</v>
      </c>
      <c r="L33" s="17"/>
      <c r="M33" s="17"/>
      <c r="N33" s="17"/>
      <c r="O33" s="17"/>
    </row>
    <row r="34" spans="1:15" ht="12.5">
      <c r="A34" s="17" t="str">
        <f ca="1">IFERROR(__xludf.DUMMYFUNCTION("""COMPUTED_VALUE"""),"TRX1190")</f>
        <v>TRX1190</v>
      </c>
      <c r="B34" s="86" t="str">
        <f ca="1">IFERROR(__xludf.DUMMYFUNCTION("""COMPUTED_VALUE"""),"#19")</f>
        <v>#19</v>
      </c>
      <c r="C34" s="63">
        <f ca="1">IFERROR(__xludf.DUMMYFUNCTION("""COMPUTED_VALUE"""),46079.4166666666)</f>
        <v>46079.416666666599</v>
      </c>
      <c r="D34" s="65">
        <f ca="1">IFERROR(__xludf.DUMMYFUNCTION("""COMPUTED_VALUE"""),852.17)</f>
        <v>852.17</v>
      </c>
      <c r="E34" s="17" t="str">
        <f ca="1">IFERROR(__xludf.DUMMYFUNCTION("""COMPUTED_VALUE"""),"MXN")</f>
        <v>MXN</v>
      </c>
      <c r="F34" s="17" t="str">
        <f ca="1">IFERROR(__xludf.DUMMYFUNCTION("""COMPUTED_VALUE"""),"Daniel Alejandro Castillo Rivera")</f>
        <v>Daniel Alejandro Castillo Rivera</v>
      </c>
      <c r="G34" s="17" t="str">
        <f ca="1">IFERROR(__xludf.DUMMYFUNCTION("""COMPUTED_VALUE"""),"DHL MONTE ATHOS        CIUDAD DE MEX MEX")</f>
        <v>DHL MONTE ATHOS        CIUDAD DE MEX MEX</v>
      </c>
      <c r="H34" s="17" t="str">
        <f ca="1">IFERROR(__xludf.DUMMYFUNCTION("""COMPUTED_VALUE"""),"DHL")</f>
        <v>DHL</v>
      </c>
      <c r="I34" s="17" t="str">
        <f ca="1">IFERROR(__xludf.DUMMYFUNCTION("""COMPUTED_VALUE"""),"Transaction cost")</f>
        <v>Transaction cost</v>
      </c>
      <c r="J34" s="17" t="str">
        <f ca="1">IFERROR(__xludf.DUMMYFUNCTION("""COMPUTED_VALUE"""),"PO4573 escaleras y barandales")</f>
        <v>PO4573 escaleras y barandales</v>
      </c>
      <c r="K34" s="17" t="str">
        <f ca="1">IFERROR(__xludf.DUMMYFUNCTION("""COMPUTED_VALUE"""),"F4445FC1-D14F-4669-BB6B-F5BD1EBC1D19")</f>
        <v>F4445FC1-D14F-4669-BB6B-F5BD1EBC1D19</v>
      </c>
      <c r="L34" s="17"/>
      <c r="M34" s="17"/>
      <c r="N34" s="17"/>
      <c r="O34" s="17"/>
    </row>
    <row r="35" spans="1:15" ht="12.5">
      <c r="A35" s="17" t="str">
        <f ca="1">IFERROR(__xludf.DUMMYFUNCTION("""COMPUTED_VALUE"""),"TRX1251")</f>
        <v>TRX1251</v>
      </c>
      <c r="B35" s="86" t="str">
        <f ca="1">IFERROR(__xludf.DUMMYFUNCTION("""COMPUTED_VALUE"""),"#19")</f>
        <v>#19</v>
      </c>
      <c r="C35" s="63">
        <f ca="1">IFERROR(__xludf.DUMMYFUNCTION("""COMPUTED_VALUE"""),46080.4173611111)</f>
        <v>46080.417361111096</v>
      </c>
      <c r="D35" s="65">
        <f ca="1">IFERROR(__xludf.DUMMYFUNCTION("""COMPUTED_VALUE"""),288.18)</f>
        <v>288.18</v>
      </c>
      <c r="E35" s="17" t="str">
        <f ca="1">IFERROR(__xludf.DUMMYFUNCTION("""COMPUTED_VALUE"""),"USD")</f>
        <v>USD</v>
      </c>
      <c r="F35" s="17" t="str">
        <f ca="1">IFERROR(__xludf.DUMMYFUNCTION("""COMPUTED_VALUE"""),"Daniel Alejandro Castillo Rivera")</f>
        <v>Daniel Alejandro Castillo Rivera</v>
      </c>
      <c r="G35" s="17" t="str">
        <f ca="1">IFERROR(__xludf.DUMMYFUNCTION("""COMPUTED_VALUE"""),"3DEXPERIENCE DASSAULT  WALTHAM       USA")</f>
        <v>3DEXPERIENCE DASSAULT  WALTHAM       USA</v>
      </c>
      <c r="H35" s="17" t="str">
        <f ca="1">IFERROR(__xludf.DUMMYFUNCTION("""COMPUTED_VALUE"""),"3dexperience Dassault Waltham USA")</f>
        <v>3dexperience Dassault Waltham USA</v>
      </c>
      <c r="I35" s="17" t="str">
        <f ca="1">IFERROR(__xludf.DUMMYFUNCTION("""COMPUTED_VALUE"""),"Tech&amp;Product")</f>
        <v>Tech&amp;Product</v>
      </c>
      <c r="J35" s="17" t="str">
        <f ca="1">IFERROR(__xludf.DUMMYFUNCTION("""COMPUTED_VALUE"""),"licencia solid works")</f>
        <v>licencia solid works</v>
      </c>
      <c r="K35" s="17" t="str">
        <f ca="1">IFERROR(__xludf.DUMMYFUNCTION("""COMPUTED_VALUE"""),"-")</f>
        <v>-</v>
      </c>
      <c r="L35" s="17"/>
      <c r="M35" s="17"/>
      <c r="N35" s="17"/>
      <c r="O35" s="17"/>
    </row>
    <row r="36" spans="1:15" ht="12.5">
      <c r="A36" s="17" t="str">
        <f ca="1">IFERROR(__xludf.DUMMYFUNCTION("""COMPUTED_VALUE"""),"TRX1257")</f>
        <v>TRX1257</v>
      </c>
      <c r="B36" s="86" t="str">
        <f ca="1">IFERROR(__xludf.DUMMYFUNCTION("""COMPUTED_VALUE"""),"#19")</f>
        <v>#19</v>
      </c>
      <c r="C36" s="63">
        <f ca="1">IFERROR(__xludf.DUMMYFUNCTION("""COMPUTED_VALUE"""),46081.4166666666)</f>
        <v>46081.416666666599</v>
      </c>
      <c r="D36" s="65">
        <f ca="1">IFERROR(__xludf.DUMMYFUNCTION("""COMPUTED_VALUE"""),160)</f>
        <v>160</v>
      </c>
      <c r="E36" s="17" t="str">
        <f ca="1">IFERROR(__xludf.DUMMYFUNCTION("""COMPUTED_VALUE"""),"MXN")</f>
        <v>MXN</v>
      </c>
      <c r="F36" s="17" t="str">
        <f ca="1">IFERROR(__xludf.DUMMYFUNCTION("""COMPUTED_VALUE"""),"Daniel Alejandro Castillo Rivera")</f>
        <v>Daniel Alejandro Castillo Rivera</v>
      </c>
      <c r="G36" s="17" t="str">
        <f ca="1">IFERROR(__xludf.DUMMYFUNCTION("""COMPUTED_VALUE"""),"MERCADOPAGO *TAMALESY  Tizayuca      MEX")</f>
        <v>MERCADOPAGO *TAMALESY  Tizayuca      MEX</v>
      </c>
      <c r="H36" s="17" t="str">
        <f ca="1">IFERROR(__xludf.DUMMYFUNCTION("""COMPUTED_VALUE"""),"Mercadopago")</f>
        <v>Mercadopago</v>
      </c>
      <c r="I36" s="17" t="str">
        <f ca="1">IFERROR(__xludf.DUMMYFUNCTION("""COMPUTED_VALUE"""),"Transaction cost")</f>
        <v>Transaction cost</v>
      </c>
      <c r="J36" s="17" t="str">
        <f ca="1">IFERROR(__xludf.DUMMYFUNCTION("""COMPUTED_VALUE"""),"PO1953  ARTEVALLEDEBRAVO")</f>
        <v>PO1953  ARTEVALLEDEBRAVO</v>
      </c>
      <c r="K36" s="17" t="str">
        <f ca="1">IFERROR(__xludf.DUMMYFUNCTION("""COMPUTED_VALUE"""),"-")</f>
        <v>-</v>
      </c>
      <c r="L36" s="17"/>
      <c r="M36" s="17"/>
      <c r="N36" s="17"/>
      <c r="O36" s="17"/>
    </row>
    <row r="37" spans="1:15" ht="12.5">
      <c r="A37" s="17" t="str">
        <f ca="1">IFERROR(__xludf.DUMMYFUNCTION("""COMPUTED_VALUE"""),"TRX1258")</f>
        <v>TRX1258</v>
      </c>
      <c r="B37" s="86" t="str">
        <f ca="1">IFERROR(__xludf.DUMMYFUNCTION("""COMPUTED_VALUE"""),"#19")</f>
        <v>#19</v>
      </c>
      <c r="C37" s="63">
        <f ca="1">IFERROR(__xludf.DUMMYFUNCTION("""COMPUTED_VALUE"""),46081.4166666666)</f>
        <v>46081.416666666599</v>
      </c>
      <c r="D37" s="65">
        <f ca="1">IFERROR(__xludf.DUMMYFUNCTION("""COMPUTED_VALUE"""),279.95)</f>
        <v>279.95</v>
      </c>
      <c r="E37" s="17" t="str">
        <f ca="1">IFERROR(__xludf.DUMMYFUNCTION("""COMPUTED_VALUE"""),"MXN")</f>
        <v>MXN</v>
      </c>
      <c r="F37" s="17" t="str">
        <f ca="1">IFERROR(__xludf.DUMMYFUNCTION("""COMPUTED_VALUE"""),"Daniel Alejandro Castillo Rivera")</f>
        <v>Daniel Alejandro Castillo Rivera</v>
      </c>
      <c r="G37" s="17" t="str">
        <f ca="1">IFERROR(__xludf.DUMMYFUNCTION("""COMPUTED_VALUE"""),"DLO*UBER RIDES         CIUDAD DE MEX MEX")</f>
        <v>DLO*UBER RIDES         CIUDAD DE MEX MEX</v>
      </c>
      <c r="H37" s="17" t="str">
        <f ca="1">IFERROR(__xludf.DUMMYFUNCTION("""COMPUTED_VALUE"""),"Uber")</f>
        <v>Uber</v>
      </c>
      <c r="I37" s="17" t="str">
        <f ca="1">IFERROR(__xludf.DUMMYFUNCTION("""COMPUTED_VALUE"""),"Transaction cost")</f>
        <v>Transaction cost</v>
      </c>
      <c r="J37" s="17" t="str">
        <f ca="1">IFERROR(__xludf.DUMMYFUNCTION("""COMPUTED_VALUE"""),"PO1953  ARTEVALLEDEBRAVO")</f>
        <v>PO1953  ARTEVALLEDEBRAVO</v>
      </c>
      <c r="K37" s="17" t="str">
        <f ca="1">IFERROR(__xludf.DUMMYFUNCTION("""COMPUTED_VALUE"""),"-")</f>
        <v>-</v>
      </c>
      <c r="L37" s="17"/>
      <c r="M37" s="17"/>
      <c r="N37" s="17"/>
      <c r="O37" s="17"/>
    </row>
    <row r="38" spans="1:15" ht="12.5">
      <c r="A38" s="17" t="str">
        <f ca="1">IFERROR(__xludf.DUMMYFUNCTION("""COMPUTED_VALUE"""),"TRX1271")</f>
        <v>TRX1271</v>
      </c>
      <c r="B38" s="86" t="str">
        <f ca="1">IFERROR(__xludf.DUMMYFUNCTION("""COMPUTED_VALUE"""),"#19")</f>
        <v>#19</v>
      </c>
      <c r="C38" s="63">
        <f ca="1">IFERROR(__xludf.DUMMYFUNCTION("""COMPUTED_VALUE"""),46081.4166666666)</f>
        <v>46081.416666666599</v>
      </c>
      <c r="D38" s="17">
        <f ca="1">IFERROR(__xludf.DUMMYFUNCTION("""COMPUTED_VALUE"""),299.95)</f>
        <v>299.95</v>
      </c>
      <c r="E38" s="17" t="str">
        <f ca="1">IFERROR(__xludf.DUMMYFUNCTION("""COMPUTED_VALUE"""),"MXN")</f>
        <v>MXN</v>
      </c>
      <c r="F38" s="17" t="str">
        <f ca="1">IFERROR(__xludf.DUMMYFUNCTION("""COMPUTED_VALUE"""),"Daniel Alejandro Castillo Rivera")</f>
        <v>Daniel Alejandro Castillo Rivera</v>
      </c>
      <c r="G38" s="17" t="str">
        <f ca="1">IFERROR(__xludf.DUMMYFUNCTION("""COMPUTED_VALUE"""),"DLO*Uber               CDMX          MEX")</f>
        <v>DLO*Uber               CDMX          MEX</v>
      </c>
      <c r="H38" s="17" t="str">
        <f ca="1">IFERROR(__xludf.DUMMYFUNCTION("""COMPUTED_VALUE"""),"Uber")</f>
        <v>Uber</v>
      </c>
      <c r="I38" s="17" t="str">
        <f ca="1">IFERROR(__xludf.DUMMYFUNCTION("""COMPUTED_VALUE"""),"Transaction cost")</f>
        <v>Transaction cost</v>
      </c>
      <c r="J38" s="89" t="str">
        <f ca="1">IFERROR(__xludf.DUMMYFUNCTION("""COMPUTED_VALUE"""),"PO1953  ARTEVALLEDEBRAVO")</f>
        <v>PO1953  ARTEVALLEDEBRAVO</v>
      </c>
      <c r="K38" s="17" t="str">
        <f ca="1">IFERROR(__xludf.DUMMYFUNCTION("""COMPUTED_VALUE"""),"-")</f>
        <v>-</v>
      </c>
      <c r="L38" s="17"/>
      <c r="M38" s="17"/>
      <c r="N38" s="17"/>
      <c r="O38" s="17"/>
    </row>
    <row r="39" spans="1:15" ht="12.5">
      <c r="A39" s="17" t="str">
        <f ca="1">IFERROR(__xludf.DUMMYFUNCTION("""COMPUTED_VALUE"""),"TRX1285")</f>
        <v>TRX1285</v>
      </c>
      <c r="B39" s="86" t="str">
        <f ca="1">IFERROR(__xludf.DUMMYFUNCTION("""COMPUTED_VALUE"""),"#19")</f>
        <v>#19</v>
      </c>
      <c r="C39" s="63">
        <f ca="1">IFERROR(__xludf.DUMMYFUNCTION("""COMPUTED_VALUE"""),46081.4173611111)</f>
        <v>46081.417361111096</v>
      </c>
      <c r="D39" s="17">
        <f ca="1">IFERROR(__xludf.DUMMYFUNCTION("""COMPUTED_VALUE"""),340)</f>
        <v>340</v>
      </c>
      <c r="E39" s="17" t="str">
        <f ca="1">IFERROR(__xludf.DUMMYFUNCTION("""COMPUTED_VALUE"""),"MXN")</f>
        <v>MXN</v>
      </c>
      <c r="F39" s="17" t="str">
        <f ca="1">IFERROR(__xludf.DUMMYFUNCTION("""COMPUTED_VALUE"""),"Daniel Alejandro Castillo Rivera")</f>
        <v>Daniel Alejandro Castillo Rivera</v>
      </c>
      <c r="G39" s="17" t="str">
        <f ca="1">IFERROR(__xludf.DUMMYFUNCTION("""COMPUTED_VALUE"""),"CARL S JR              CIUDAD DE MEX MEX")</f>
        <v>CARL S JR              CIUDAD DE MEX MEX</v>
      </c>
      <c r="H39" s="17" t="str">
        <f ca="1">IFERROR(__xludf.DUMMYFUNCTION("""COMPUTED_VALUE"""),"Carls Jr.")</f>
        <v>Carls Jr.</v>
      </c>
      <c r="I39" s="17" t="str">
        <f ca="1">IFERROR(__xludf.DUMMYFUNCTION("""COMPUTED_VALUE"""),"Transaction cost")</f>
        <v>Transaction cost</v>
      </c>
      <c r="J39" s="89" t="str">
        <f ca="1">IFERROR(__xludf.DUMMYFUNCTION("""COMPUTED_VALUE"""),"PO1953  ARTEVALLEDEBRAVO")</f>
        <v>PO1953  ARTEVALLEDEBRAVO</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IFERROR(__xludf.DUMMYFUNCTION("""COMPUTED_VALUE"""),"Transaction cost")</f>
        <v>Transaction cost</v>
      </c>
      <c r="J40" s="89"/>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t="str">
        <f ca="1">IFERROR(__xludf.DUMMYFUNCTION("""COMPUTED_VALUE"""),"Transaction cost")</f>
        <v>Transaction cost</v>
      </c>
      <c r="J56" s="17"/>
      <c r="K56" s="17"/>
      <c r="L56" s="17"/>
      <c r="M56" s="17"/>
      <c r="N56" s="17"/>
      <c r="O56" s="17"/>
    </row>
    <row r="57" spans="1:15" ht="12.5">
      <c r="A57" s="17"/>
      <c r="B57" s="24"/>
      <c r="C57" s="24"/>
      <c r="D57" s="17"/>
      <c r="E57" s="17"/>
      <c r="F57" s="17"/>
      <c r="G57" s="17"/>
      <c r="H57" s="17"/>
      <c r="I57" s="17" t="str">
        <f ca="1">IFERROR(__xludf.DUMMYFUNCTION("""COMPUTED_VALUE"""),"Transaction cost")</f>
        <v>Transaction cost</v>
      </c>
      <c r="J57" s="17"/>
      <c r="K57" s="17"/>
      <c r="L57" s="17"/>
      <c r="M57" s="17"/>
      <c r="N57" s="17"/>
      <c r="O57" s="17"/>
    </row>
    <row r="58" spans="1:15" ht="12.5">
      <c r="A58" s="17"/>
      <c r="B58" s="24"/>
      <c r="C58" s="24"/>
      <c r="D58" s="17"/>
      <c r="E58" s="17"/>
      <c r="F58" s="17"/>
      <c r="G58" s="17"/>
      <c r="H58" s="17"/>
      <c r="I58" s="17" t="str">
        <f ca="1">IFERROR(__xludf.DUMMYFUNCTION("""COMPUTED_VALUE"""),"Transaction cost")</f>
        <v>Transaction cost</v>
      </c>
      <c r="J58" s="17"/>
      <c r="K58" s="17"/>
      <c r="L58" s="17"/>
      <c r="M58" s="17"/>
      <c r="N58" s="17"/>
      <c r="O58" s="17"/>
    </row>
    <row r="59" spans="1:15" ht="12.5">
      <c r="A59" s="17"/>
      <c r="B59" s="24"/>
      <c r="C59" s="24"/>
      <c r="D59" s="17"/>
      <c r="E59" s="17"/>
      <c r="F59" s="17"/>
      <c r="G59" s="17"/>
      <c r="H59" s="17"/>
      <c r="I59" s="17" t="str">
        <f ca="1">IFERROR(__xludf.DUMMYFUNCTION("""COMPUTED_VALUE"""),"Transaction cost")</f>
        <v>Transaction cost</v>
      </c>
      <c r="J59" s="17"/>
      <c r="K59" s="17"/>
      <c r="L59" s="17"/>
      <c r="M59" s="17"/>
      <c r="N59" s="17"/>
      <c r="O59" s="17"/>
    </row>
    <row r="60" spans="1:15" ht="12.5">
      <c r="A60" s="17"/>
      <c r="B60" s="24"/>
      <c r="C60" s="24"/>
      <c r="D60" s="17"/>
      <c r="E60" s="17"/>
      <c r="F60" s="17"/>
      <c r="G60" s="17"/>
      <c r="H60" s="17"/>
      <c r="I60" s="17" t="str">
        <f ca="1">IFERROR(__xludf.DUMMYFUNCTION("""COMPUTED_VALUE"""),"Transaction cost")</f>
        <v>Transaction cost</v>
      </c>
      <c r="J60" s="17"/>
      <c r="K60" s="17"/>
      <c r="L60" s="17"/>
      <c r="M60" s="17"/>
      <c r="N60" s="17"/>
      <c r="O60" s="17"/>
    </row>
    <row r="61" spans="1:15" ht="12.5">
      <c r="A61" s="17"/>
      <c r="B61" s="24"/>
      <c r="C61" s="24"/>
      <c r="D61" s="17"/>
      <c r="E61" s="17"/>
      <c r="F61" s="17"/>
      <c r="G61" s="17"/>
      <c r="H61" s="17"/>
      <c r="I61" s="17" t="str">
        <f ca="1">IFERROR(__xludf.DUMMYFUNCTION("""COMPUTED_VALUE"""),"Transaction cost")</f>
        <v>Transaction cost</v>
      </c>
      <c r="J61" s="17"/>
      <c r="K61" s="17"/>
      <c r="L61" s="17"/>
      <c r="M61" s="17"/>
      <c r="N61" s="17"/>
      <c r="O61" s="17"/>
    </row>
    <row r="62" spans="1:15" ht="12.5">
      <c r="A62" s="17"/>
      <c r="B62" s="24"/>
      <c r="C62" s="24"/>
      <c r="D62" s="17"/>
      <c r="E62" s="17"/>
      <c r="F62" s="17"/>
      <c r="G62" s="17"/>
      <c r="H62" s="17"/>
      <c r="I62" s="17" t="str">
        <f ca="1">IFERROR(__xludf.DUMMYFUNCTION("""COMPUTED_VALUE"""),"Transaction cost")</f>
        <v>Transaction cost</v>
      </c>
      <c r="J62" s="17"/>
      <c r="K62" s="17"/>
      <c r="L62" s="17"/>
      <c r="M62" s="17"/>
      <c r="N62" s="17"/>
      <c r="O62" s="17"/>
    </row>
    <row r="63" spans="1:15" ht="12.5">
      <c r="A63" s="17"/>
      <c r="B63" s="24"/>
      <c r="C63" s="24"/>
      <c r="D63" s="17"/>
      <c r="E63" s="17"/>
      <c r="F63" s="17"/>
      <c r="G63" s="17"/>
      <c r="H63" s="17"/>
      <c r="I63" s="17" t="str">
        <f ca="1">IFERROR(__xludf.DUMMYFUNCTION("""COMPUTED_VALUE"""),"Transaction cost")</f>
        <v>Transaction cost</v>
      </c>
      <c r="J63" s="17"/>
      <c r="K63" s="17"/>
      <c r="L63" s="17"/>
      <c r="M63" s="17"/>
      <c r="N63" s="17"/>
      <c r="O63" s="17"/>
    </row>
    <row r="64" spans="1:15" ht="12.5">
      <c r="A64" s="17"/>
      <c r="B64" s="24"/>
      <c r="C64" s="24"/>
      <c r="D64" s="17"/>
      <c r="E64" s="17"/>
      <c r="F64" s="17"/>
      <c r="G64" s="17"/>
      <c r="H64" s="17"/>
      <c r="I64" s="17" t="str">
        <f ca="1">IFERROR(__xludf.DUMMYFUNCTION("""COMPUTED_VALUE"""),"Transaction cost")</f>
        <v>Transaction cost</v>
      </c>
      <c r="J64" s="17"/>
      <c r="K64" s="17"/>
      <c r="L64" s="17"/>
      <c r="M64" s="17"/>
      <c r="N64" s="17"/>
      <c r="O64" s="17"/>
    </row>
    <row r="65" spans="1:15" ht="12.5">
      <c r="A65" s="17"/>
      <c r="B65" s="24"/>
      <c r="C65" s="24"/>
      <c r="D65" s="17"/>
      <c r="E65" s="17"/>
      <c r="F65" s="17"/>
      <c r="G65" s="17"/>
      <c r="H65" s="17"/>
      <c r="I65" s="17" t="str">
        <f ca="1">IFERROR(__xludf.DUMMYFUNCTION("""COMPUTED_VALUE"""),"Transaction cost")</f>
        <v>Transaction cost</v>
      </c>
      <c r="J65" s="17"/>
      <c r="K65" s="17"/>
      <c r="L65" s="17"/>
      <c r="M65" s="17"/>
      <c r="N65" s="17"/>
      <c r="O65" s="17"/>
    </row>
    <row r="66" spans="1:15" ht="12.5">
      <c r="A66" s="17"/>
      <c r="B66" s="24"/>
      <c r="C66" s="24"/>
      <c r="D66" s="17"/>
      <c r="E66" s="17"/>
      <c r="F66" s="17"/>
      <c r="G66" s="17"/>
      <c r="H66" s="17"/>
      <c r="I66" s="17" t="str">
        <f ca="1">IFERROR(__xludf.DUMMYFUNCTION("""COMPUTED_VALUE"""),"Transaction cost")</f>
        <v>Transaction cost</v>
      </c>
      <c r="J66" s="17"/>
      <c r="K66" s="17"/>
      <c r="L66" s="17"/>
      <c r="M66" s="17"/>
      <c r="N66" s="17"/>
      <c r="O66" s="17"/>
    </row>
    <row r="67" spans="1:15" ht="12.5">
      <c r="A67" s="17"/>
      <c r="B67" s="24"/>
      <c r="C67" s="24"/>
      <c r="D67" s="17"/>
      <c r="E67" s="17"/>
      <c r="F67" s="17"/>
      <c r="G67" s="17"/>
      <c r="H67" s="17"/>
      <c r="I67" s="17" t="str">
        <f ca="1">IFERROR(__xludf.DUMMYFUNCTION("""COMPUTED_VALUE"""),"Transaction cost")</f>
        <v>Transaction cost</v>
      </c>
      <c r="J67" s="17"/>
      <c r="K67" s="17"/>
      <c r="L67" s="17"/>
      <c r="M67" s="17"/>
      <c r="N67" s="17"/>
      <c r="O67" s="17"/>
    </row>
    <row r="68" spans="1:15" ht="12.5">
      <c r="A68" s="17"/>
      <c r="B68" s="24"/>
      <c r="C68" s="24"/>
      <c r="D68" s="17"/>
      <c r="E68" s="17"/>
      <c r="F68" s="17"/>
      <c r="G68" s="17"/>
      <c r="H68" s="17"/>
      <c r="I68" s="17" t="str">
        <f ca="1">IFERROR(__xludf.DUMMYFUNCTION("""COMPUTED_VALUE"""),"Transaction cost")</f>
        <v>Transaction cost</v>
      </c>
      <c r="J68" s="17"/>
      <c r="K68" s="17"/>
      <c r="L68" s="17"/>
      <c r="M68" s="17"/>
      <c r="N68" s="17"/>
      <c r="O68" s="17"/>
    </row>
    <row r="69" spans="1:15" ht="12.5">
      <c r="A69" s="17"/>
      <c r="B69" s="24"/>
      <c r="C69" s="24"/>
      <c r="D69" s="17"/>
      <c r="E69" s="17"/>
      <c r="F69" s="17"/>
      <c r="G69" s="17"/>
      <c r="H69" s="17"/>
      <c r="I69" s="17" t="str">
        <f ca="1">IFERROR(__xludf.DUMMYFUNCTION("""COMPUTED_VALUE"""),"Transaction cost")</f>
        <v>Transaction cost</v>
      </c>
      <c r="J69" s="17"/>
      <c r="K69" s="17"/>
      <c r="L69" s="17"/>
      <c r="M69" s="17"/>
      <c r="N69" s="17"/>
      <c r="O69" s="17"/>
    </row>
    <row r="70" spans="1:15" ht="12.5">
      <c r="A70" s="17"/>
      <c r="B70" s="24"/>
      <c r="C70" s="24"/>
      <c r="D70" s="17"/>
      <c r="E70" s="17"/>
      <c r="F70" s="17"/>
      <c r="G70" s="17"/>
      <c r="H70" s="17"/>
      <c r="I70" s="17" t="str">
        <f ca="1">IFERROR(__xludf.DUMMYFUNCTION("""COMPUTED_VALUE"""),"Transaction cost")</f>
        <v>Transaction cost</v>
      </c>
      <c r="J70" s="17"/>
      <c r="K70" s="17"/>
      <c r="L70" s="17"/>
      <c r="M70" s="17"/>
      <c r="N70" s="17"/>
      <c r="O70" s="17"/>
    </row>
    <row r="71" spans="1:15" ht="12.5">
      <c r="A71" s="17"/>
      <c r="B71" s="24"/>
      <c r="C71" s="24"/>
      <c r="D71" s="17"/>
      <c r="E71" s="17"/>
      <c r="F71" s="17"/>
      <c r="G71" s="17"/>
      <c r="H71" s="17"/>
      <c r="I71" s="17" t="str">
        <f ca="1">IFERROR(__xludf.DUMMYFUNCTION("""COMPUTED_VALUE"""),"Transaction cost")</f>
        <v>Transaction cost</v>
      </c>
      <c r="J71" s="17"/>
      <c r="K71" s="17"/>
      <c r="L71" s="17"/>
      <c r="M71" s="17"/>
      <c r="N71" s="17"/>
      <c r="O71" s="17"/>
    </row>
    <row r="72" spans="1:15" ht="12.5">
      <c r="A72" s="17"/>
      <c r="B72" s="24"/>
      <c r="C72" s="24"/>
      <c r="D72" s="17"/>
      <c r="E72" s="17"/>
      <c r="F72" s="17"/>
      <c r="G72" s="17"/>
      <c r="H72" s="17"/>
      <c r="I72" s="17" t="str">
        <f ca="1">IFERROR(__xludf.DUMMYFUNCTION("""COMPUTED_VALUE"""),"Transaction cost")</f>
        <v>Transaction cost</v>
      </c>
      <c r="J72" s="17"/>
      <c r="K72" s="17"/>
      <c r="L72" s="17"/>
      <c r="M72" s="17"/>
      <c r="N72" s="17"/>
      <c r="O72" s="17"/>
    </row>
    <row r="73" spans="1:15" ht="12.5">
      <c r="A73" s="17"/>
      <c r="B73" s="24"/>
      <c r="C73" s="24"/>
      <c r="D73" s="17"/>
      <c r="E73" s="17"/>
      <c r="F73" s="17"/>
      <c r="G73" s="17"/>
      <c r="H73" s="17"/>
      <c r="I73" s="17" t="str">
        <f ca="1">IFERROR(__xludf.DUMMYFUNCTION("""COMPUTED_VALUE"""),"Transaction cost")</f>
        <v>Transaction cost</v>
      </c>
      <c r="J73" s="17"/>
      <c r="K73" s="17"/>
      <c r="L73" s="17"/>
      <c r="M73" s="17"/>
      <c r="N73" s="17"/>
      <c r="O73" s="17"/>
    </row>
    <row r="74" spans="1:15" ht="12.5">
      <c r="A74" s="17"/>
      <c r="B74" s="24"/>
      <c r="C74" s="24"/>
      <c r="D74" s="17"/>
      <c r="E74" s="17"/>
      <c r="F74" s="17"/>
      <c r="G74" s="17"/>
      <c r="H74" s="17"/>
      <c r="I74" s="17" t="str">
        <f ca="1">IFERROR(__xludf.DUMMYFUNCTION("""COMPUTED_VALUE"""),"Transaction cost")</f>
        <v>Transaction cost</v>
      </c>
      <c r="J74" s="17"/>
      <c r="K74" s="17"/>
      <c r="L74" s="17"/>
      <c r="M74" s="17"/>
      <c r="N74" s="17"/>
      <c r="O74" s="17"/>
    </row>
    <row r="75" spans="1:15" ht="12.5">
      <c r="A75" s="17"/>
      <c r="B75" s="24"/>
      <c r="C75" s="24"/>
      <c r="D75" s="17"/>
      <c r="E75" s="17"/>
      <c r="F75" s="17"/>
      <c r="G75" s="17"/>
      <c r="H75" s="17"/>
      <c r="I75" s="17" t="str">
        <f ca="1">IFERROR(__xludf.DUMMYFUNCTION("""COMPUTED_VALUE"""),"Transaction cost")</f>
        <v>Transaction cost</v>
      </c>
      <c r="J75" s="17"/>
      <c r="K75" s="17"/>
      <c r="L75" s="17"/>
      <c r="M75" s="17"/>
      <c r="N75" s="17"/>
      <c r="O75" s="17"/>
    </row>
    <row r="76" spans="1:15" ht="12.5">
      <c r="A76" s="17"/>
      <c r="B76" s="24"/>
      <c r="C76" s="24"/>
      <c r="D76" s="17"/>
      <c r="E76" s="17"/>
      <c r="F76" s="17"/>
      <c r="G76" s="17"/>
      <c r="H76" s="17"/>
      <c r="I76" s="17" t="str">
        <f ca="1">IFERROR(__xludf.DUMMYFUNCTION("""COMPUTED_VALUE"""),"Transaction cost")</f>
        <v>Transaction cost</v>
      </c>
      <c r="J76" s="17"/>
      <c r="K76" s="17"/>
      <c r="L76" s="17"/>
      <c r="M76" s="17"/>
      <c r="N76" s="17"/>
      <c r="O76" s="17"/>
    </row>
    <row r="77" spans="1:15" ht="12.5">
      <c r="A77" s="17"/>
      <c r="B77" s="24"/>
      <c r="C77" s="24"/>
      <c r="D77" s="17"/>
      <c r="E77" s="17"/>
      <c r="F77" s="17"/>
      <c r="G77" s="17"/>
      <c r="H77" s="17"/>
      <c r="I77" s="17" t="str">
        <f ca="1">IFERROR(__xludf.DUMMYFUNCTION("""COMPUTED_VALUE"""),"Transaction cost")</f>
        <v>Transaction cost</v>
      </c>
      <c r="J77" s="17"/>
      <c r="K77" s="17"/>
      <c r="L77" s="17"/>
      <c r="M77" s="17"/>
      <c r="N77" s="17"/>
      <c r="O77" s="17"/>
    </row>
    <row r="78" spans="1:15" ht="12.5">
      <c r="A78" s="17"/>
      <c r="B78" s="24"/>
      <c r="C78" s="24"/>
      <c r="D78" s="17"/>
      <c r="E78" s="17"/>
      <c r="F78" s="17"/>
      <c r="G78" s="17"/>
      <c r="H78" s="17"/>
      <c r="I78" s="17" t="str">
        <f ca="1">IFERROR(__xludf.DUMMYFUNCTION("""COMPUTED_VALUE"""),"Transaction cost")</f>
        <v>Transaction cost</v>
      </c>
      <c r="J78" s="17"/>
      <c r="K78" s="17"/>
      <c r="L78" s="17"/>
      <c r="M78" s="17"/>
      <c r="N78" s="17"/>
      <c r="O78" s="17"/>
    </row>
    <row r="79" spans="1:15" ht="12.5">
      <c r="A79" s="17"/>
      <c r="B79" s="24"/>
      <c r="C79" s="24"/>
      <c r="D79" s="17"/>
      <c r="E79" s="17"/>
      <c r="F79" s="17"/>
      <c r="G79" s="17"/>
      <c r="H79" s="17"/>
      <c r="I79" s="17" t="str">
        <f ca="1">IFERROR(__xludf.DUMMYFUNCTION("""COMPUTED_VALUE"""),"Transaction cost")</f>
        <v>Transaction cost</v>
      </c>
      <c r="J79" s="17"/>
      <c r="K79" s="17"/>
      <c r="L79" s="17"/>
      <c r="M79" s="17"/>
      <c r="N79" s="17"/>
      <c r="O79" s="17"/>
    </row>
    <row r="80" spans="1:15" ht="12.5">
      <c r="A80" s="17"/>
      <c r="B80" s="24"/>
      <c r="C80" s="24"/>
      <c r="D80" s="17"/>
      <c r="E80" s="17"/>
      <c r="F80" s="17"/>
      <c r="G80" s="17"/>
      <c r="H80" s="17"/>
      <c r="I80" s="17" t="str">
        <f ca="1">IFERROR(__xludf.DUMMYFUNCTION("""COMPUTED_VALUE"""),"Transaction cost")</f>
        <v>Transaction cost</v>
      </c>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11.08984375"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122</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Sept'!$J$12:$J$1700=$A$2)"),"TRX1918")</f>
        <v>TRX1918</v>
      </c>
      <c r="B12" s="86" t="str">
        <f ca="1">IFERROR(__xludf.DUMMYFUNCTION("""COMPUTED_VALUE"""),"#21")</f>
        <v>#21</v>
      </c>
      <c r="C12" s="86">
        <f ca="1">IFERROR(__xludf.DUMMYFUNCTION("""COMPUTED_VALUE"""),46064.4166666666)</f>
        <v>46064.416666666599</v>
      </c>
      <c r="D12" s="65">
        <f ca="1">IFERROR(__xludf.DUMMYFUNCTION("FILTER('Edo Cta Jeeves Sept'!$G$12:$G$1700,'Edo Cta Jeeves Sept'!$J$12:$J$1700=$A$2)"),500)</f>
        <v>500</v>
      </c>
      <c r="E12" s="17" t="str">
        <f ca="1">IFERROR(__xludf.DUMMYFUNCTION("FILTER('Edo Cta Jeeves Sept'!$I$12:$I$1300,'Edo Cta Jeeves Sept'!$J$12:$J$1300=$A$2)"),"MXN")</f>
        <v>MXN</v>
      </c>
      <c r="F12" s="17" t="str">
        <f ca="1">IFERROR(__xludf.DUMMYFUNCTION("FILTER('Edo Cta Jeeves Sept'!$J$12:$J$1300,'Edo Cta Jeeves Sept'!$J$12:$J$1300=$A$2)"),"Jesus Gonzalez Grana")</f>
        <v>Jesus Gonzalez Grana</v>
      </c>
      <c r="G12" s="17" t="str">
        <f ca="1">IFERROR(__xludf.DUMMYFUNCTION("FILTER('Edo Cta Jeeves Sept'!$K$12:$L$1900,'Edo Cta Jeeves Sept'!$J$12:$J$1900=$A$2)"),"GPDC CONSULADO         CIUDAD DE MEX MEX")</f>
        <v>GPDC CONSULADO         CIUDAD DE MEX MEX</v>
      </c>
      <c r="H12" s="17" t="str">
        <f ca="1">IFERROR(__xludf.DUMMYFUNCTION("""COMPUTED_VALUE"""),"Gpdc Consulado Ciudad De Mex Mex")</f>
        <v>Gpdc Consulado Ciudad De Mex Mex</v>
      </c>
      <c r="I12" s="17" t="str">
        <f ca="1">IFERROR(__xludf.DUMMYFUNCTION("IMPORTRANGE(""https://docs.google.com/spreadsheets/d/1SDfRQAQlF-TIbIAW8u4ItP3_rV_E_qC8thtbpc9jkb8/edit#gid=1404531132"",""#21 Jesus Gonzalez Grana!I12:K80"")"),"Transaction cost")</f>
        <v>Transaction cost</v>
      </c>
      <c r="J12" s="17" t="str">
        <f ca="1">IFERROR(__xludf.DUMMYFUNCTION("""COMPUTED_VALUE"""),"PO2165. Visita taller CAMI para reunión con cliente Veolia")</f>
        <v>PO2165. Visita taller CAMI para reunión con cliente Veolia</v>
      </c>
      <c r="K12" s="17" t="str">
        <f ca="1">IFERROR(__xludf.DUMMYFUNCTION("""COMPUTED_VALUE"""),"29410d37-4441-4fae-aab8-a4977cabda94")</f>
        <v>29410d37-4441-4fae-aab8-a4977cabda94</v>
      </c>
      <c r="L12" s="17"/>
      <c r="M12" s="17"/>
      <c r="N12" s="17"/>
      <c r="O12" s="17"/>
    </row>
    <row r="13" spans="1:15" ht="15.75" customHeight="1">
      <c r="A13" s="24" t="str">
        <f ca="1">IFERROR(__xludf.DUMMYFUNCTION("""COMPUTED_VALUE"""),"TRX1191")</f>
        <v>TRX1191</v>
      </c>
      <c r="B13" s="86" t="str">
        <f ca="1">IFERROR(__xludf.DUMMYFUNCTION("""COMPUTED_VALUE"""),"#21")</f>
        <v>#21</v>
      </c>
      <c r="C13" s="63">
        <f ca="1">IFERROR(__xludf.DUMMYFUNCTION("""COMPUTED_VALUE"""),46079.4166666666)</f>
        <v>46079.416666666599</v>
      </c>
      <c r="D13" s="65">
        <f ca="1">IFERROR(__xludf.DUMMYFUNCTION("""COMPUTED_VALUE"""),2635.2)</f>
        <v>2635.2</v>
      </c>
      <c r="E13" s="17" t="str">
        <f ca="1">IFERROR(__xludf.DUMMYFUNCTION("""COMPUTED_VALUE"""),"MXN")</f>
        <v>MXN</v>
      </c>
      <c r="F13" s="17" t="str">
        <f ca="1">IFERROR(__xludf.DUMMYFUNCTION("""COMPUTED_VALUE"""),"Jesus Gonzalez Grana")</f>
        <v>Jesus Gonzalez Grana</v>
      </c>
      <c r="G13" s="17" t="str">
        <f ca="1">IFERROR(__xludf.DUMMYFUNCTION("""COMPUTED_VALUE"""),"DHL EXPRESS CE         CIUDAD DE MEX MEX")</f>
        <v>DHL EXPRESS CE         CIUDAD DE MEX MEX</v>
      </c>
      <c r="H13" s="17" t="str">
        <f ca="1">IFERROR(__xludf.DUMMYFUNCTION("""COMPUTED_VALUE"""),"DHL")</f>
        <v>DHL</v>
      </c>
      <c r="I13" s="17" t="str">
        <f ca="1">IFERROR(__xludf.DUMMYFUNCTION("""COMPUTED_VALUE"""),"G&amp;A expenses")</f>
        <v>G&amp;A expenses</v>
      </c>
      <c r="J13" s="17" t="str">
        <f ca="1">IFERROR(__xludf.DUMMYFUNCTION("""COMPUTED_VALUE"""),"PO1777 Envío de equipo de seguridad")</f>
        <v>PO1777 Envío de equipo de seguridad</v>
      </c>
      <c r="K13" s="17" t="str">
        <f ca="1">IFERROR(__xludf.DUMMYFUNCTION("""COMPUTED_VALUE"""),"04448AE5-5603-4B71-8558-13ED476D9B9D")</f>
        <v>04448AE5-5603-4B71-8558-13ED476D9B9D</v>
      </c>
      <c r="L13" s="17"/>
      <c r="M13" s="17"/>
      <c r="N13" s="17"/>
      <c r="O13" s="17"/>
    </row>
    <row r="14" spans="1:15" ht="15.75" customHeight="1">
      <c r="A14" s="24" t="str">
        <f ca="1">IFERROR(__xludf.DUMMYFUNCTION("""COMPUTED_VALUE"""),"TRX1192")</f>
        <v>TRX1192</v>
      </c>
      <c r="B14" s="86" t="str">
        <f ca="1">IFERROR(__xludf.DUMMYFUNCTION("""COMPUTED_VALUE"""),"#21")</f>
        <v>#21</v>
      </c>
      <c r="C14" s="63">
        <f ca="1">IFERROR(__xludf.DUMMYFUNCTION("""COMPUTED_VALUE"""),46079.4166666666)</f>
        <v>46079.416666666599</v>
      </c>
      <c r="D14" s="65">
        <f ca="1">IFERROR(__xludf.DUMMYFUNCTION("""COMPUTED_VALUE"""),2640.43)</f>
        <v>2640.43</v>
      </c>
      <c r="E14" s="17" t="str">
        <f ca="1">IFERROR(__xludf.DUMMYFUNCTION("""COMPUTED_VALUE"""),"MXN")</f>
        <v>MXN</v>
      </c>
      <c r="F14" s="17" t="str">
        <f ca="1">IFERROR(__xludf.DUMMYFUNCTION("""COMPUTED_VALUE"""),"Jesus Gonzalez Grana")</f>
        <v>Jesus Gonzalez Grana</v>
      </c>
      <c r="G14" s="17" t="str">
        <f ca="1">IFERROR(__xludf.DUMMYFUNCTION("""COMPUTED_VALUE"""),"DHL EXPRESS CE         CIUDAD DE MEX MEX")</f>
        <v>DHL EXPRESS CE         CIUDAD DE MEX MEX</v>
      </c>
      <c r="H14" s="17" t="str">
        <f ca="1">IFERROR(__xludf.DUMMYFUNCTION("""COMPUTED_VALUE"""),"DHL")</f>
        <v>DHL</v>
      </c>
      <c r="I14" s="17" t="str">
        <f ca="1">IFERROR(__xludf.DUMMYFUNCTION("""COMPUTED_VALUE"""),"G&amp;A expenses")</f>
        <v>G&amp;A expenses</v>
      </c>
      <c r="J14" s="17" t="str">
        <f ca="1">IFERROR(__xludf.DUMMYFUNCTION("""COMPUTED_VALUE"""),"PO1865. Muestras IMESA")</f>
        <v>PO1865. Muestras IMESA</v>
      </c>
      <c r="K14" s="17" t="str">
        <f ca="1">IFERROR(__xludf.DUMMYFUNCTION("""COMPUTED_VALUE"""),"3DE869E6-DCD7-4ABC-AFD2-38BDA403C7EF")</f>
        <v>3DE869E6-DCD7-4ABC-AFD2-38BDA403C7EF</v>
      </c>
      <c r="L14" s="17"/>
      <c r="M14" s="17"/>
      <c r="N14" s="17"/>
      <c r="O14" s="17"/>
    </row>
    <row r="15" spans="1:15" ht="15.75" customHeight="1">
      <c r="A15" s="24" t="str">
        <f ca="1">IFERROR(__xludf.DUMMYFUNCTION("""COMPUTED_VALUE"""),"TRX1193")</f>
        <v>TRX1193</v>
      </c>
      <c r="B15" s="86" t="str">
        <f ca="1">IFERROR(__xludf.DUMMYFUNCTION("""COMPUTED_VALUE"""),"#21")</f>
        <v>#21</v>
      </c>
      <c r="C15" s="63">
        <f ca="1">IFERROR(__xludf.DUMMYFUNCTION("""COMPUTED_VALUE"""),46079.4166666666)</f>
        <v>46079.416666666599</v>
      </c>
      <c r="D15" s="65">
        <f ca="1">IFERROR(__xludf.DUMMYFUNCTION("""COMPUTED_VALUE"""),22006.77)</f>
        <v>22006.77</v>
      </c>
      <c r="E15" s="17" t="str">
        <f ca="1">IFERROR(__xludf.DUMMYFUNCTION("""COMPUTED_VALUE"""),"MXN")</f>
        <v>MXN</v>
      </c>
      <c r="F15" s="17" t="str">
        <f ca="1">IFERROR(__xludf.DUMMYFUNCTION("""COMPUTED_VALUE"""),"Jesus Gonzalez Grana")</f>
        <v>Jesus Gonzalez Grana</v>
      </c>
      <c r="G15" s="17" t="str">
        <f ca="1">IFERROR(__xludf.DUMMYFUNCTION("""COMPUTED_VALUE"""),"DHL EXPRESS CE         CIUDAD DE MEX MEX")</f>
        <v>DHL EXPRESS CE         CIUDAD DE MEX MEX</v>
      </c>
      <c r="H15" s="17" t="str">
        <f ca="1">IFERROR(__xludf.DUMMYFUNCTION("""COMPUTED_VALUE"""),"DHL")</f>
        <v>DHL</v>
      </c>
      <c r="I15" s="17" t="str">
        <f ca="1">IFERROR(__xludf.DUMMYFUNCTION("""COMPUTED_VALUE"""),"G&amp;A expenses")</f>
        <v>G&amp;A expenses</v>
      </c>
      <c r="J15" s="17" t="str">
        <f ca="1">IFERROR(__xludf.DUMMYFUNCTION("""COMPUTED_VALUE"""),"PO950=$16171.76+IVA. PO1866=$4988.60+IVA")</f>
        <v>PO950=$16171.76+IVA. PO1866=$4988.60+IVA</v>
      </c>
      <c r="K15" s="17" t="str">
        <f ca="1">IFERROR(__xludf.DUMMYFUNCTION("""COMPUTED_VALUE"""),"1F7A25D2-961F-4068-9F9F-4BEB89155F08")</f>
        <v>1F7A25D2-961F-4068-9F9F-4BEB89155F08</v>
      </c>
      <c r="L15" s="17"/>
      <c r="M15" s="17"/>
      <c r="N15" s="17"/>
      <c r="O15" s="17"/>
    </row>
    <row r="16" spans="1:15" ht="15.75" customHeight="1">
      <c r="A16" s="17" t="str">
        <f ca="1">IFERROR(__xludf.DUMMYFUNCTION("""COMPUTED_VALUE"""),"TRX1273")</f>
        <v>TRX1273</v>
      </c>
      <c r="B16" s="86" t="str">
        <f ca="1">IFERROR(__xludf.DUMMYFUNCTION("""COMPUTED_VALUE"""),"#21")</f>
        <v>#21</v>
      </c>
      <c r="C16" s="63">
        <f ca="1">IFERROR(__xludf.DUMMYFUNCTION("""COMPUTED_VALUE"""),46081.4166666666)</f>
        <v>46081.416666666599</v>
      </c>
      <c r="D16" s="17">
        <f ca="1">IFERROR(__xludf.DUMMYFUNCTION("""COMPUTED_VALUE"""),9016.51)</f>
        <v>9016.51</v>
      </c>
      <c r="E16" s="17" t="str">
        <f ca="1">IFERROR(__xludf.DUMMYFUNCTION("""COMPUTED_VALUE"""),"MXN")</f>
        <v>MXN</v>
      </c>
      <c r="F16" s="17" t="str">
        <f ca="1">IFERROR(__xludf.DUMMYFUNCTION("""COMPUTED_VALUE"""),"Jesus Gonzalez Grana")</f>
        <v>Jesus Gonzalez Grana</v>
      </c>
      <c r="G16" s="17" t="str">
        <f ca="1">IFERROR(__xludf.DUMMYFUNCTION("""COMPUTED_VALUE"""),"DHL EXPRESS CIB        CIUDAD DE MEX MEX")</f>
        <v>DHL EXPRESS CIB        CIUDAD DE MEX MEX</v>
      </c>
      <c r="H16" s="17" t="str">
        <f ca="1">IFERROR(__xludf.DUMMYFUNCTION("""COMPUTED_VALUE"""),"DHL")</f>
        <v>DHL</v>
      </c>
      <c r="I16" s="17" t="str">
        <f ca="1">IFERROR(__xludf.DUMMYFUNCTION("""COMPUTED_VALUE"""),"G&amp;A expenses")</f>
        <v>G&amp;A expenses</v>
      </c>
      <c r="J16" s="17" t="str">
        <f ca="1">IFERROR(__xludf.DUMMYFUNCTION("""COMPUTED_VALUE"""),"PO1774. Importación material TORQ para IMESA")</f>
        <v>PO1774. Importación material TORQ para IMESA</v>
      </c>
      <c r="K16" s="108" t="str">
        <f ca="1">IFERROR(__xludf.DUMMYFUNCTION("""COMPUTED_VALUE"""),"https://drive.google.com/drive/folders/1tBRPEiGyYMUgsvzRDRDhDGIf_ZAKNFA1?usp=sharing")</f>
        <v>https://drive.google.com/drive/folders/1tBRPEiGyYMUgsvzRDRDhDGIf_ZAKNFA1?usp=sharing</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c r="K17" s="17"/>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c r="K18" s="17"/>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c r="K19" s="17"/>
      <c r="L19" s="17"/>
      <c r="M19" s="17"/>
      <c r="N19" s="17"/>
      <c r="O19" s="17"/>
    </row>
    <row r="20" spans="1:15" ht="12.5">
      <c r="A20" s="17"/>
      <c r="B20" s="24"/>
      <c r="C20" s="24"/>
      <c r="D20" s="17"/>
      <c r="E20" s="17"/>
      <c r="F20" s="17"/>
      <c r="G20" s="17"/>
      <c r="H20" s="17"/>
      <c r="I20" s="17" t="str">
        <f ca="1">IFERROR(__xludf.DUMMYFUNCTION("""COMPUTED_VALUE"""),"G&amp;A expenses")</f>
        <v>G&amp;A expenses</v>
      </c>
      <c r="J20" s="17"/>
      <c r="K20" s="17"/>
      <c r="L20" s="17"/>
      <c r="M20" s="17"/>
      <c r="N20" s="17"/>
      <c r="O20" s="17"/>
    </row>
    <row r="21" spans="1:15" ht="12.5">
      <c r="A21" s="17"/>
      <c r="B21" s="24"/>
      <c r="C21" s="24"/>
      <c r="D21" s="17"/>
      <c r="E21" s="17"/>
      <c r="F21" s="17"/>
      <c r="G21" s="17"/>
      <c r="H21" s="17"/>
      <c r="I21" s="17" t="str">
        <f ca="1">IFERROR(__xludf.DUMMYFUNCTION("""COMPUTED_VALUE"""),"G&amp;A expenses")</f>
        <v>G&amp;A expenses</v>
      </c>
      <c r="J21" s="17"/>
      <c r="K21" s="17"/>
      <c r="L21" s="17"/>
      <c r="M21" s="17"/>
      <c r="N21" s="17"/>
      <c r="O21" s="17"/>
    </row>
    <row r="22" spans="1:15" ht="12.5">
      <c r="A22" s="17"/>
      <c r="B22" s="24"/>
      <c r="C22" s="24"/>
      <c r="D22" s="17"/>
      <c r="E22" s="17"/>
      <c r="F22" s="17"/>
      <c r="G22" s="17"/>
      <c r="H22" s="17"/>
      <c r="I22" s="17" t="str">
        <f ca="1">IFERROR(__xludf.DUMMYFUNCTION("""COMPUTED_VALUE"""),"G&amp;A expenses")</f>
        <v>G&amp;A expenses</v>
      </c>
      <c r="J22" s="17"/>
      <c r="K22" s="17"/>
      <c r="L22" s="17"/>
      <c r="M22" s="17"/>
      <c r="N22" s="17"/>
      <c r="O22" s="17"/>
    </row>
    <row r="23" spans="1:15" ht="12.5">
      <c r="A23" s="17"/>
      <c r="B23" s="24"/>
      <c r="C23" s="24"/>
      <c r="D23" s="17"/>
      <c r="E23" s="17"/>
      <c r="F23" s="17"/>
      <c r="G23" s="17"/>
      <c r="H23" s="17"/>
      <c r="I23" s="17" t="str">
        <f ca="1">IFERROR(__xludf.DUMMYFUNCTION("""COMPUTED_VALUE"""),"G&amp;A expenses")</f>
        <v>G&amp;A expenses</v>
      </c>
      <c r="J23" s="17"/>
      <c r="K23" s="17"/>
      <c r="L23" s="17"/>
      <c r="M23" s="17"/>
      <c r="N23" s="17"/>
      <c r="O23" s="17"/>
    </row>
    <row r="24" spans="1:15" ht="12.5">
      <c r="A24" s="17"/>
      <c r="B24" s="24"/>
      <c r="C24" s="24"/>
      <c r="D24" s="17"/>
      <c r="E24" s="17"/>
      <c r="F24" s="17"/>
      <c r="G24" s="17"/>
      <c r="H24" s="17"/>
      <c r="I24" s="17" t="str">
        <f ca="1">IFERROR(__xludf.DUMMYFUNCTION("""COMPUTED_VALUE"""),"G&amp;A expenses")</f>
        <v>G&amp;A expenses</v>
      </c>
      <c r="J24" s="17"/>
      <c r="K24" s="17"/>
      <c r="L24" s="17"/>
      <c r="M24" s="17"/>
      <c r="N24" s="17"/>
      <c r="O24" s="17"/>
    </row>
    <row r="25" spans="1:15" ht="12.5">
      <c r="A25" s="17"/>
      <c r="B25" s="24"/>
      <c r="C25" s="24"/>
      <c r="D25" s="17"/>
      <c r="E25" s="17"/>
      <c r="F25" s="17"/>
      <c r="G25" s="17"/>
      <c r="H25" s="17"/>
      <c r="I25" s="17" t="str">
        <f ca="1">IFERROR(__xludf.DUMMYFUNCTION("""COMPUTED_VALUE"""),"G&amp;A expenses")</f>
        <v>G&amp;A expenses</v>
      </c>
      <c r="J25" s="17"/>
      <c r="K25" s="17"/>
      <c r="L25" s="17"/>
      <c r="M25" s="17"/>
      <c r="N25" s="17"/>
      <c r="O25" s="17"/>
    </row>
    <row r="26" spans="1:15" ht="12.5">
      <c r="A26" s="17"/>
      <c r="B26" s="24"/>
      <c r="C26" s="24"/>
      <c r="D26" s="17"/>
      <c r="E26" s="17"/>
      <c r="F26" s="17"/>
      <c r="G26" s="17"/>
      <c r="H26" s="17"/>
      <c r="I26" s="17" t="str">
        <f ca="1">IFERROR(__xludf.DUMMYFUNCTION("""COMPUTED_VALUE"""),"G&amp;A expenses")</f>
        <v>G&amp;A expenses</v>
      </c>
      <c r="J26" s="17"/>
      <c r="K26" s="17"/>
      <c r="L26" s="17"/>
      <c r="M26" s="17"/>
      <c r="N26" s="17"/>
      <c r="O26" s="17"/>
    </row>
    <row r="27" spans="1:15" ht="12.5">
      <c r="A27" s="17"/>
      <c r="B27" s="24"/>
      <c r="C27" s="24"/>
      <c r="D27" s="17"/>
      <c r="E27" s="17"/>
      <c r="F27" s="17"/>
      <c r="G27" s="17"/>
      <c r="H27" s="17"/>
      <c r="I27" s="17" t="str">
        <f ca="1">IFERROR(__xludf.DUMMYFUNCTION("""COMPUTED_VALUE"""),"G&amp;A expenses")</f>
        <v>G&amp;A expenses</v>
      </c>
      <c r="J27" s="17"/>
      <c r="K27" s="17"/>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K16" r:id="rId1" display="https://drive.google.com/drive/folders/1tBRPEiGyYMUgsvzRDRDhDGIf_ZAKNFA1?usp=sharing" xr:uid="{00000000-0004-0000-17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45.72656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09" t="str">
        <f ca="1">IFERROR(__xludf.DUMMYFUNCTION("FILTER('Edo Cta Jeeves Sept'!$A$12:$C$1700,'Edo Cta Jeeves Sept'!$J$12:$J$1700=$A$2)"),"#N/A")</f>
        <v>#N/A</v>
      </c>
      <c r="B12" s="110"/>
      <c r="C12" s="110"/>
      <c r="D12" s="89" t="str">
        <f ca="1">IFERROR(__xludf.DUMMYFUNCTION("FILTER('Edo Cta Jeeves Sept'!$G$12:$G$1627,'Edo Cta Jeeves Sept'!$J$12:$J$1627=$A$2)"),"#N/A")</f>
        <v>#N/A</v>
      </c>
      <c r="E12" s="89" t="str">
        <f ca="1">IFERROR(__xludf.DUMMYFUNCTION("FILTER('Edo Cta Jeeves Sept'!$I$12:$I$1003,'Edo Cta Jeeves Sept'!$J$12:$J$1003=$A$2)"),"#N/A")</f>
        <v>#N/A</v>
      </c>
      <c r="F12" s="89" t="str">
        <f ca="1">IFERROR(__xludf.DUMMYFUNCTION("FILTER('Edo Cta Jeeves Sept'!$J$12:$J$1003,'Edo Cta Jeeves Sept'!$J$12:$J$1003=$A$2)"),"#N/A")</f>
        <v>#N/A</v>
      </c>
      <c r="G12" s="89" t="str">
        <f ca="1">IFERROR(__xludf.DUMMYFUNCTION("FILTER('Edo Cta Jeeves Sept'!$K$12:$L$1003,'Edo Cta Jeeves Sept'!$J$12:$J$1003=$A$2)"),"#N/A")</f>
        <v>#N/A</v>
      </c>
      <c r="H12" s="89"/>
      <c r="I12" s="89" t="str">
        <f ca="1">IFERROR(__xludf.DUMMYFUNCTION("IMPORTRANGE(""https://docs.google.com/spreadsheets/d/1HOK7I00Untwj8kMAaC_eZIYZ5zcV6JGVU3HjCyYBqk8/edit#gid=1404531132"",""#20 Gerardo Guadalupe Ruiz Huerta!I12:K80"")"),"Transaction cost")</f>
        <v>Transaction cost</v>
      </c>
      <c r="J12" s="89" t="str">
        <f ca="1">IFERROR(__xludf.DUMMYFUNCTION("""COMPUTED_VALUE"""),"Gas Operaciones AGO 2025")</f>
        <v>Gas Operaciones AGO 2025</v>
      </c>
      <c r="K12" s="89" t="str">
        <f ca="1">IFERROR(__xludf.DUMMYFUNCTION("""COMPUTED_VALUE"""),"CLI53213103")</f>
        <v>CLI53213103</v>
      </c>
      <c r="L12" s="17"/>
      <c r="M12" s="17"/>
      <c r="N12" s="17"/>
      <c r="O12" s="17"/>
    </row>
    <row r="13" spans="1:15" ht="15.75" customHeight="1">
      <c r="A13" s="109"/>
      <c r="B13" s="109"/>
      <c r="C13" s="109"/>
      <c r="D13" s="89"/>
      <c r="E13" s="89"/>
      <c r="F13" s="89"/>
      <c r="G13" s="89"/>
      <c r="H13" s="89"/>
      <c r="I13" s="89" t="str">
        <f ca="1">IFERROR(__xludf.DUMMYFUNCTION("""COMPUTED_VALUE"""),"Sales")</f>
        <v>Sales</v>
      </c>
      <c r="J13" s="89" t="str">
        <f ca="1">IFERROR(__xludf.DUMMYFUNCTION("""COMPUTED_VALUE"""),"Envío de Muestras")</f>
        <v>Envío de Muestras</v>
      </c>
      <c r="K13" s="89" t="str">
        <f ca="1">IFERROR(__xludf.DUMMYFUNCTION("""COMPUTED_VALUE"""),"ND")</f>
        <v>ND</v>
      </c>
      <c r="L13" s="17"/>
      <c r="M13" s="17"/>
      <c r="N13" s="17"/>
      <c r="O13" s="17"/>
    </row>
    <row r="14" spans="1:15" ht="15.75" customHeight="1">
      <c r="A14" s="109"/>
      <c r="B14" s="109"/>
      <c r="C14" s="109"/>
      <c r="D14" s="89"/>
      <c r="E14" s="89"/>
      <c r="F14" s="89"/>
      <c r="G14" s="89"/>
      <c r="H14" s="89"/>
      <c r="I14" s="89" t="str">
        <f ca="1">IFERROR(__xludf.DUMMYFUNCTION("""COMPUTED_VALUE"""),"Recruiting")</f>
        <v>Recruiting</v>
      </c>
      <c r="J14" s="89" t="str">
        <f ca="1">IFERROR(__xludf.DUMMYFUNCTION("""COMPUTED_VALUE"""),"Envío de Muestras")</f>
        <v>Envío de Muestras</v>
      </c>
      <c r="K14" s="89" t="str">
        <f ca="1">IFERROR(__xludf.DUMMYFUNCTION("""COMPUTED_VALUE"""),"ND")</f>
        <v>ND</v>
      </c>
      <c r="L14" s="17"/>
      <c r="M14" s="17"/>
      <c r="N14" s="17"/>
      <c r="O14" s="17"/>
    </row>
    <row r="15" spans="1:15" ht="15.75" customHeight="1">
      <c r="A15" s="109"/>
      <c r="B15" s="109"/>
      <c r="C15" s="109"/>
      <c r="D15" s="89"/>
      <c r="E15" s="89"/>
      <c r="F15" s="89"/>
      <c r="G15" s="89"/>
      <c r="H15" s="89"/>
      <c r="I15" s="89" t="str">
        <f ca="1">IFERROR(__xludf.DUMMYFUNCTION("""COMPUTED_VALUE"""),"Sales")</f>
        <v>Sales</v>
      </c>
      <c r="J15" s="89" t="str">
        <f ca="1">IFERROR(__xludf.DUMMYFUNCTION("""COMPUTED_VALUE"""),"Envío de Muestras")</f>
        <v>Envío de Muestras</v>
      </c>
      <c r="K15" s="89" t="str">
        <f ca="1">IFERROR(__xludf.DUMMYFUNCTION("""COMPUTED_VALUE"""),"ND")</f>
        <v>ND</v>
      </c>
      <c r="L15" s="17"/>
      <c r="M15" s="17"/>
      <c r="N15" s="17"/>
      <c r="O15" s="17"/>
    </row>
    <row r="16" spans="1:15" ht="15.75" customHeight="1">
      <c r="A16" s="89"/>
      <c r="B16" s="109"/>
      <c r="C16" s="109"/>
      <c r="D16" s="89"/>
      <c r="E16" s="89"/>
      <c r="F16" s="89"/>
      <c r="G16" s="89"/>
      <c r="H16" s="89"/>
      <c r="I16" s="89" t="str">
        <f ca="1">IFERROR(__xludf.DUMMYFUNCTION("""COMPUTED_VALUE"""),"Sales")</f>
        <v>Sales</v>
      </c>
      <c r="J16" s="89" t="str">
        <f ca="1">IFERROR(__xludf.DUMMYFUNCTION("""COMPUTED_VALUE"""),"Gas Visitas a Saltillo AGO 2025")</f>
        <v>Gas Visitas a Saltillo AGO 2025</v>
      </c>
      <c r="K16" s="89">
        <f ca="1">IFERROR(__xludf.DUMMYFUNCTION("""COMPUTED_VALUE"""),3004016)</f>
        <v>3004016</v>
      </c>
      <c r="L16" s="17"/>
      <c r="M16" s="17"/>
      <c r="N16" s="17"/>
      <c r="O16" s="17"/>
    </row>
    <row r="17" spans="1:15" ht="15.75" customHeight="1">
      <c r="A17" s="89"/>
      <c r="B17" s="109"/>
      <c r="C17" s="109"/>
      <c r="D17" s="89"/>
      <c r="E17" s="89"/>
      <c r="F17" s="89"/>
      <c r="G17" s="89"/>
      <c r="H17" s="89"/>
      <c r="I17" s="89" t="str">
        <f ca="1">IFERROR(__xludf.DUMMYFUNCTION("""COMPUTED_VALUE"""),"Office expenses")</f>
        <v>Office expenses</v>
      </c>
      <c r="J17" s="89" t="str">
        <f ca="1">IFERROR(__xludf.DUMMYFUNCTION("""COMPUTED_VALUE"""),"Comida Offsite 2025")</f>
        <v>Comida Offsite 2025</v>
      </c>
      <c r="K17" s="89" t="str">
        <f ca="1">IFERROR(__xludf.DUMMYFUNCTION("""COMPUTED_VALUE"""),"ND")</f>
        <v>ND</v>
      </c>
      <c r="L17" s="17"/>
      <c r="M17" s="17"/>
      <c r="N17" s="17"/>
      <c r="O17" s="17"/>
    </row>
    <row r="18" spans="1:15" ht="15.75" customHeight="1">
      <c r="A18" s="89"/>
      <c r="B18" s="109"/>
      <c r="C18" s="109"/>
      <c r="D18" s="89"/>
      <c r="E18" s="89"/>
      <c r="F18" s="89"/>
      <c r="G18" s="89"/>
      <c r="H18" s="89"/>
      <c r="I18" s="89" t="str">
        <f ca="1">IFERROR(__xludf.DUMMYFUNCTION("""COMPUTED_VALUE"""),"Sales")</f>
        <v>Sales</v>
      </c>
      <c r="J18" s="89" t="str">
        <f ca="1">IFERROR(__xludf.DUMMYFUNCTION("""COMPUTED_VALUE"""),"Envío de Muestras")</f>
        <v>Envío de Muestras</v>
      </c>
      <c r="K18" s="89" t="str">
        <f ca="1">IFERROR(__xludf.DUMMYFUNCTION("""COMPUTED_VALUE"""),"ND")</f>
        <v>ND</v>
      </c>
      <c r="L18" s="17"/>
      <c r="M18" s="17"/>
      <c r="N18" s="17"/>
      <c r="O18" s="17"/>
    </row>
    <row r="19" spans="1:15" ht="15.75" customHeight="1">
      <c r="A19" s="89"/>
      <c r="B19" s="109"/>
      <c r="C19" s="109"/>
      <c r="D19" s="89"/>
      <c r="E19" s="89"/>
      <c r="F19" s="89"/>
      <c r="G19" s="89"/>
      <c r="H19" s="89"/>
      <c r="I19" s="89" t="str">
        <f ca="1">IFERROR(__xludf.DUMMYFUNCTION("""COMPUTED_VALUE"""),"Office expenses")</f>
        <v>Office expenses</v>
      </c>
      <c r="J19" s="89" t="str">
        <f ca="1">IFERROR(__xludf.DUMMYFUNCTION("""COMPUTED_VALUE"""),"Comida Offsite 2025")</f>
        <v>Comida Offsite 2025</v>
      </c>
      <c r="K19" s="89">
        <f ca="1">IFERROR(__xludf.DUMMYFUNCTION("""COMPUTED_VALUE"""),66901114528144)</f>
        <v>66901114528144</v>
      </c>
      <c r="L19" s="17"/>
      <c r="M19" s="17"/>
      <c r="N19" s="17"/>
      <c r="O19" s="17"/>
    </row>
    <row r="20" spans="1:15" ht="12.5">
      <c r="A20" s="89"/>
      <c r="B20" s="109"/>
      <c r="C20" s="109"/>
      <c r="D20" s="89"/>
      <c r="E20" s="89"/>
      <c r="F20" s="89"/>
      <c r="G20" s="89"/>
      <c r="H20" s="89"/>
      <c r="I20" s="89" t="str">
        <f ca="1">IFERROR(__xludf.DUMMYFUNCTION("""COMPUTED_VALUE"""),"Office expenses")</f>
        <v>Office expenses</v>
      </c>
      <c r="J20" s="89" t="str">
        <f ca="1">IFERROR(__xludf.DUMMYFUNCTION("""COMPUTED_VALUE"""),"Estacionamiento Aeropuerto Offsite 2025")</f>
        <v>Estacionamiento Aeropuerto Offsite 2025</v>
      </c>
      <c r="K20" s="89">
        <f ca="1">IFERROR(__xludf.DUMMYFUNCTION("""COMPUTED_VALUE"""),2472283)</f>
        <v>2472283</v>
      </c>
      <c r="L20" s="17"/>
      <c r="M20" s="17"/>
      <c r="N20" s="17"/>
      <c r="O20" s="17"/>
    </row>
    <row r="21" spans="1:15" ht="12.5">
      <c r="A21" s="89"/>
      <c r="B21" s="109"/>
      <c r="C21" s="109"/>
      <c r="D21" s="89"/>
      <c r="E21" s="89"/>
      <c r="F21" s="89"/>
      <c r="G21" s="89"/>
      <c r="H21" s="89"/>
      <c r="I21" s="89" t="str">
        <f ca="1">IFERROR(__xludf.DUMMYFUNCTION("""COMPUTED_VALUE"""),"Transaction cost")</f>
        <v>Transaction cost</v>
      </c>
      <c r="J21" s="89" t="str">
        <f ca="1">IFERROR(__xludf.DUMMYFUNCTION("""COMPUTED_VALUE"""),"Gas Operaciones AGO 2025")</f>
        <v>Gas Operaciones AGO 2025</v>
      </c>
      <c r="K21" s="89" t="str">
        <f ca="1">IFERROR(__xludf.DUMMYFUNCTION("""COMPUTED_VALUE"""),"CLI53213361")</f>
        <v>CLI53213361</v>
      </c>
      <c r="L21" s="17"/>
      <c r="M21" s="17"/>
      <c r="N21" s="17"/>
      <c r="O21" s="17"/>
    </row>
    <row r="22" spans="1:15" ht="12.5">
      <c r="A22" s="89"/>
      <c r="B22" s="109"/>
      <c r="C22" s="109"/>
      <c r="D22" s="89"/>
      <c r="E22" s="89"/>
      <c r="F22" s="89"/>
      <c r="G22" s="89"/>
      <c r="H22" s="89"/>
      <c r="I22" s="89" t="str">
        <f ca="1">IFERROR(__xludf.DUMMYFUNCTION("""COMPUTED_VALUE"""),"Sales")</f>
        <v>Sales</v>
      </c>
      <c r="J22" s="89" t="str">
        <f ca="1">IFERROR(__xludf.DUMMYFUNCTION("""COMPUTED_VALUE"""),"Comida Visita a Genvamex con Hammer")</f>
        <v>Comida Visita a Genvamex con Hammer</v>
      </c>
      <c r="K22" s="89" t="str">
        <f ca="1">IFERROR(__xludf.DUMMYFUNCTION("""COMPUTED_VALUE"""),"4288E8B93735")</f>
        <v>4288E8B93735</v>
      </c>
      <c r="L22" s="17"/>
      <c r="M22" s="17"/>
      <c r="N22" s="17"/>
      <c r="O22" s="17"/>
    </row>
    <row r="23" spans="1:15" ht="12.5">
      <c r="A23" s="89"/>
      <c r="B23" s="109"/>
      <c r="C23" s="109"/>
      <c r="D23" s="89"/>
      <c r="E23" s="89"/>
      <c r="F23" s="89"/>
      <c r="G23" s="89"/>
      <c r="H23" s="89"/>
      <c r="I23" s="89" t="str">
        <f ca="1">IFERROR(__xludf.DUMMYFUNCTION("""COMPUTED_VALUE"""),"Transaction cost")</f>
        <v>Transaction cost</v>
      </c>
      <c r="J23" s="89" t="str">
        <f ca="1">IFERROR(__xludf.DUMMYFUNCTION("""COMPUTED_VALUE"""),"Gas Operaciones AGO 2025")</f>
        <v>Gas Operaciones AGO 2025</v>
      </c>
      <c r="K23" s="89" t="str">
        <f ca="1">IFERROR(__xludf.DUMMYFUNCTION("""COMPUTED_VALUE"""),"ND")</f>
        <v>ND</v>
      </c>
      <c r="L23" s="17"/>
      <c r="M23" s="17"/>
      <c r="N23" s="17"/>
      <c r="O23" s="17"/>
    </row>
    <row r="24" spans="1:15" ht="12.5">
      <c r="A24" s="89"/>
      <c r="B24" s="109"/>
      <c r="C24" s="109"/>
      <c r="D24" s="89"/>
      <c r="E24" s="89"/>
      <c r="F24" s="89"/>
      <c r="G24" s="89"/>
      <c r="H24" s="89"/>
      <c r="I24" s="89"/>
      <c r="J24" s="89"/>
      <c r="K24" s="89"/>
      <c r="L24" s="17"/>
      <c r="M24" s="17"/>
      <c r="N24" s="17"/>
      <c r="O24" s="17"/>
    </row>
    <row r="25" spans="1:15" ht="12.5">
      <c r="A25" s="89"/>
      <c r="B25" s="109"/>
      <c r="C25" s="109"/>
      <c r="D25" s="89"/>
      <c r="E25" s="89"/>
      <c r="F25" s="89"/>
      <c r="G25" s="89"/>
      <c r="H25" s="89"/>
      <c r="I25" s="89"/>
      <c r="J25" s="89"/>
      <c r="K25" s="89"/>
      <c r="L25" s="17"/>
      <c r="M25" s="17"/>
      <c r="N25" s="17"/>
      <c r="O25" s="17"/>
    </row>
    <row r="26" spans="1:15" ht="12.5">
      <c r="A26" s="17"/>
      <c r="B26" s="24"/>
      <c r="C26" s="24"/>
      <c r="D26" s="17"/>
      <c r="E26" s="17"/>
      <c r="F26" s="17"/>
      <c r="G26" s="17"/>
      <c r="H26" s="17"/>
      <c r="I26" s="17"/>
      <c r="J26" s="17"/>
      <c r="K26" s="17"/>
      <c r="L26" s="17"/>
      <c r="M26" s="17"/>
      <c r="N26" s="17"/>
      <c r="O26" s="17"/>
    </row>
    <row r="27" spans="1:15" ht="12.5">
      <c r="A27" s="89"/>
      <c r="B27" s="109"/>
      <c r="C27" s="109"/>
      <c r="D27" s="89"/>
      <c r="E27" s="89"/>
      <c r="F27" s="89"/>
      <c r="G27" s="89"/>
      <c r="H27" s="89"/>
      <c r="I27" s="89"/>
      <c r="J27" s="89"/>
      <c r="K27" s="89"/>
      <c r="L27" s="17"/>
      <c r="M27" s="17"/>
      <c r="N27" s="17"/>
      <c r="O27" s="17"/>
    </row>
    <row r="28" spans="1:15" ht="12.5">
      <c r="A28" s="89"/>
      <c r="B28" s="109"/>
      <c r="C28" s="109"/>
      <c r="D28" s="89"/>
      <c r="E28" s="89"/>
      <c r="F28" s="89"/>
      <c r="G28" s="89"/>
      <c r="H28" s="89"/>
      <c r="I28" s="89"/>
      <c r="J28" s="89"/>
      <c r="K28" s="89"/>
      <c r="L28" s="17"/>
      <c r="M28" s="17"/>
      <c r="N28" s="17"/>
      <c r="O28" s="17"/>
    </row>
    <row r="29" spans="1:15" ht="12.5">
      <c r="A29" s="89"/>
      <c r="B29" s="109"/>
      <c r="C29" s="109"/>
      <c r="D29" s="89"/>
      <c r="E29" s="89"/>
      <c r="F29" s="89"/>
      <c r="G29" s="89"/>
      <c r="H29" s="89"/>
      <c r="I29" s="89"/>
      <c r="J29" s="89"/>
      <c r="K29" s="89"/>
      <c r="L29" s="17"/>
      <c r="M29" s="17"/>
      <c r="N29" s="17"/>
      <c r="O29" s="17"/>
    </row>
    <row r="30" spans="1:15" ht="12.5">
      <c r="A30" s="89"/>
      <c r="B30" s="109"/>
      <c r="C30" s="109"/>
      <c r="D30" s="89"/>
      <c r="E30" s="89"/>
      <c r="F30" s="89"/>
      <c r="G30" s="89"/>
      <c r="H30" s="89"/>
      <c r="I30" s="89"/>
      <c r="J30" s="89"/>
      <c r="K30" s="89"/>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1944</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IFERROR(__xludf.DUMMYFUNCTION("IMPORTRANGE(""https://docs.google.com/spreadsheets/d/1LN67MFidIqSoUdJMRJheYU2HkS6mqAAhD_6rdMUqrOM/edit#gid=1404531132"",""#22 Yosef Siman-tov Cohen!I12:K80"")"),"")</f>
        <v/>
      </c>
      <c r="J12" s="17" t="str">
        <f ca="1">IFERROR(__xludf.DUMMYFUNCTION("""COMPUTED_VALUE"""),"ERROR EN UBER")</f>
        <v>ERROR EN UBER</v>
      </c>
      <c r="K12" s="17" t="str">
        <f ca="1">IFERROR(__xludf.DUMMYFUNCTION("""COMPUTED_VALUE"""),"ERROR EN UBER")</f>
        <v>ERROR EN UBER</v>
      </c>
      <c r="L12" s="17"/>
      <c r="M12" s="17"/>
      <c r="N12" s="17"/>
      <c r="O12" s="17"/>
    </row>
    <row r="13" spans="1:15" ht="15.75" customHeight="1">
      <c r="A13" s="24"/>
      <c r="B13" s="24"/>
      <c r="C13" s="24"/>
      <c r="D13" s="17"/>
      <c r="E13" s="17"/>
      <c r="F13" s="17"/>
      <c r="G13" s="17"/>
      <c r="H13" s="17"/>
      <c r="I13" s="17"/>
      <c r="J13" s="17" t="str">
        <f ca="1">IFERROR(__xludf.DUMMYFUNCTION("""COMPUTED_VALUE"""),"ERROR EN UBER")</f>
        <v>ERROR EN UBER</v>
      </c>
      <c r="K13" s="17" t="str">
        <f ca="1">IFERROR(__xludf.DUMMYFUNCTION("""COMPUTED_VALUE"""),"ERROR EN UBER")</f>
        <v>ERROR EN UBER</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10" width="22.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1946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IFERROR(__xludf.DUMMYFUNCTION("IMPORTRANGE(""https://docs.google.com/spreadsheets/d/1j3wuAsomSoba3uI7FtX65a8g1SYzCxRLjfLmktezMO8/edit#gid=1404531132"",""#23 Marcos Gobbi!I12:K80"")"),"G&amp;A expenses")</f>
        <v>G&amp;A expenses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c r="K14" s="17"/>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c r="K15" s="17"/>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c r="K16" s="17"/>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c r="K17" s="17"/>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c r="K18" s="17"/>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c r="K19" s="17"/>
      <c r="L19" s="17"/>
      <c r="M19" s="17"/>
      <c r="N19" s="17"/>
      <c r="O19" s="17"/>
    </row>
    <row r="20" spans="1:15" ht="12.5">
      <c r="A20" s="17"/>
      <c r="B20" s="24"/>
      <c r="C20" s="24"/>
      <c r="D20" s="17"/>
      <c r="E20" s="17"/>
      <c r="F20" s="17"/>
      <c r="G20" s="17"/>
      <c r="H20" s="17"/>
      <c r="I20" s="17" t="str">
        <f ca="1">IFERROR(__xludf.DUMMYFUNCTION("""COMPUTED_VALUE"""),"G&amp;A expenses")</f>
        <v>G&amp;A expenses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IFERROR(__xludf.DUMMYFUNCTION("""COMPUTED_VALUE"""),"G&amp;A expenses")</f>
        <v>G&amp;A expenses</v>
      </c>
      <c r="J21" s="17"/>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IFERROR(__xludf.DUMMYFUNCTION("""COMPUTED_VALUE"""),"G&amp;A expenses")</f>
        <v>G&amp;A expenses</v>
      </c>
      <c r="J22" s="17"/>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IFERROR(__xludf.DUMMYFUNCTION("""COMPUTED_VALUE"""),"G&amp;A expenses")</f>
        <v>G&amp;A expenses</v>
      </c>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11.726562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129</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Sept'!$J$12:$J$1700=$A$2)"),"TRX1631")</f>
        <v>TRX1631</v>
      </c>
      <c r="B12" s="86" t="str">
        <f ca="1">IFERROR(__xludf.DUMMYFUNCTION("""COMPUTED_VALUE"""),"#24")</f>
        <v>#24</v>
      </c>
      <c r="C12" s="86">
        <f ca="1">IFERROR(__xludf.DUMMYFUNCTION("""COMPUTED_VALUE"""),46061.4173611111)</f>
        <v>46061.417361111096</v>
      </c>
      <c r="D12" s="65">
        <f ca="1">IFERROR(__xludf.DUMMYFUNCTION("FILTER('Edo Cta Jeeves Sept'!$G$12:$G$1627,'Edo Cta Jeeves Sept'!$J$12:$J$1627=$A$2)"),3579.95)</f>
        <v>3579.95</v>
      </c>
      <c r="E12" s="17" t="str">
        <f ca="1">IFERROR(__xludf.DUMMYFUNCTION("FILTER('Edo Cta Jeeves Sept'!$I$12:$I$1700,'Edo Cta Jeeves Sept'!$J$12:$J$1700=$A$2)"),"MXN")</f>
        <v>MXN</v>
      </c>
      <c r="F12" s="17" t="str">
        <f ca="1">IFERROR(__xludf.DUMMYFUNCTION("FILTER('Edo Cta Jeeves Sept'!$J$12:$J$1700,'Edo Cta Jeeves Sept'!$J$12:$J$1700=$A$2)"),"Andres Camacho Herrera")</f>
        <v>Andres Camacho Herrera</v>
      </c>
      <c r="G12" s="17" t="str">
        <f ca="1">IFERROR(__xludf.DUMMYFUNCTION("FILTER('Edo Cta Jeeves Sept'!$K$12:$L$1700,'Edo Cta Jeeves Sept'!$J$12:$J$1700=$A$2)"),"BPK*EQUIOPERREST       LEON DE LOS A MEX")</f>
        <v>BPK*EQUIOPERREST       LEON DE LOS A MEX</v>
      </c>
      <c r="H12" s="17" t="str">
        <f ca="1">IFERROR(__xludf.DUMMYFUNCTION("""COMPUTED_VALUE"""),"Bpk Equioperrest Leon De Los A Mex")</f>
        <v>Bpk Equioperrest Leon De Los A Mex</v>
      </c>
      <c r="I12" s="17" t="str">
        <f ca="1">IFERROR(__xludf.DUMMYFUNCTION("IMPORTRANGE(""https://docs.google.com/spreadsheets/d/1tB3A9wfwSV1X_su136AohQ5OGeRPOj8t6BeK_VPgZ8w/edit#gid=1404531132"",""I12:K80"")"),"Sales")</f>
        <v>Sales</v>
      </c>
      <c r="J12" s="17" t="str">
        <f ca="1">IFERROR(__xludf.DUMMYFUNCTION("""COMPUTED_VALUE"""),"Comida con Textor - empresa de estructura metálica y construcción")</f>
        <v>Comida con Textor - empresa de estructura metálica y construcción</v>
      </c>
      <c r="K12" s="17" t="str">
        <f ca="1">IFERROR(__xludf.DUMMYFUNCTION("""COMPUTED_VALUE"""),"3da3fe42-5df5-4c62-9568-3b846ae33dc9")</f>
        <v>3da3fe42-5df5-4c62-9568-3b846ae33dc9</v>
      </c>
      <c r="L12" s="17"/>
      <c r="M12" s="17"/>
      <c r="N12" s="17"/>
      <c r="O12" s="17"/>
    </row>
    <row r="13" spans="1:15" ht="15.75" customHeight="1">
      <c r="A13" s="24"/>
      <c r="B13" s="24"/>
      <c r="C13" s="24"/>
      <c r="D13" s="17"/>
      <c r="E13" s="17"/>
      <c r="F13" s="17"/>
      <c r="G13" s="17"/>
      <c r="H13" s="17"/>
      <c r="I13" s="17"/>
      <c r="J13" s="17"/>
      <c r="K13" s="17"/>
      <c r="L13" s="17"/>
      <c r="M13" s="17"/>
      <c r="N13" s="17"/>
      <c r="O13" s="17"/>
    </row>
    <row r="14" spans="1:15" ht="15.75" customHeight="1">
      <c r="A14" s="24"/>
      <c r="B14" s="24"/>
      <c r="C14" s="24"/>
      <c r="D14" s="17"/>
      <c r="E14" s="17"/>
      <c r="F14" s="17"/>
      <c r="G14" s="17"/>
      <c r="H14" s="17"/>
      <c r="I14" s="17"/>
      <c r="J14" s="17"/>
      <c r="K14" s="17"/>
      <c r="L14" s="17"/>
      <c r="M14" s="17"/>
      <c r="N14" s="17"/>
      <c r="O14" s="17"/>
    </row>
    <row r="15" spans="1:15" ht="15.75" customHeight="1">
      <c r="A15" s="24"/>
      <c r="B15" s="24"/>
      <c r="C15" s="24"/>
      <c r="D15" s="17"/>
      <c r="E15" s="17"/>
      <c r="F15" s="17"/>
      <c r="G15" s="17"/>
      <c r="H15" s="17"/>
      <c r="I15" s="17"/>
      <c r="J15" s="17"/>
      <c r="K15" s="17"/>
      <c r="L15" s="17"/>
      <c r="M15" s="17"/>
      <c r="N15" s="17"/>
      <c r="O15" s="17"/>
    </row>
    <row r="16" spans="1:15" ht="15.75" customHeight="1">
      <c r="A16" s="17"/>
      <c r="B16" s="24"/>
      <c r="C16" s="24"/>
      <c r="D16" s="17"/>
      <c r="E16" s="17"/>
      <c r="F16" s="17"/>
      <c r="G16" s="17"/>
      <c r="H16" s="17"/>
      <c r="I16" s="17"/>
      <c r="J16" s="17"/>
      <c r="K16" s="17"/>
      <c r="L16" s="17"/>
      <c r="M16" s="17"/>
      <c r="N16" s="17"/>
      <c r="O16" s="17"/>
    </row>
    <row r="17" spans="1:15" ht="15.75" customHeight="1">
      <c r="A17" s="17"/>
      <c r="B17" s="24"/>
      <c r="C17" s="24"/>
      <c r="D17" s="17"/>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135</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Sept'!$G$12:$G$1627,'Edo Cta Jeeves Sept'!$J$12:$J$1627=$A$2)"),"#N/A")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IFERROR(__xludf.DUMMYFUNCTION("IMPORTRANGE(""https://docs.google.com/spreadsheets/d/1x0IoMfCkdM2SnoLJlapujw6d5VLUvYc1QlLg18zG32c/edit#gid=1404531132"",""I12:K80"")"),"Sales")</f>
        <v>Sales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IFERROR(__xludf.DUMMYFUNCTION("""COMPUTED_VALUE"""),"Sales")</f>
        <v>Sales</v>
      </c>
      <c r="J16" s="17"/>
      <c r="K16" s="17" t="str">
        <f ca="1">IFERROR(__xludf.DUMMYFUNCTION("""COMPUTED_VALUE"""),".")</f>
        <v>.</v>
      </c>
      <c r="L16" s="17"/>
      <c r="M16" s="17"/>
      <c r="N16" s="17"/>
      <c r="O16" s="17"/>
    </row>
    <row r="17" spans="1:15" ht="15.75" customHeight="1">
      <c r="A17" s="17"/>
      <c r="B17" s="24"/>
      <c r="C17" s="24"/>
      <c r="D17" s="17"/>
      <c r="E17" s="17"/>
      <c r="F17" s="17"/>
      <c r="G17" s="17"/>
      <c r="H17" s="17"/>
      <c r="I17" s="17" t="str">
        <f ca="1">IFERROR(__xludf.DUMMYFUNCTION("""COMPUTED_VALUE"""),"Sales")</f>
        <v>Sales</v>
      </c>
      <c r="J17" s="17"/>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IFERROR(__xludf.DUMMYFUNCTION("""COMPUTED_VALUE"""),"Sales")</f>
        <v>Sales</v>
      </c>
      <c r="J18" s="17"/>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IFERROR(__xludf.DUMMYFUNCTION("""COMPUTED_VALUE"""),"Sales")</f>
        <v>Sales</v>
      </c>
      <c r="J19" s="17"/>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IFERROR(__xludf.DUMMYFUNCTION("""COMPUTED_VALUE"""),"Sales")</f>
        <v>Sales</v>
      </c>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67</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Sept'!$A$12:$C$1927,'Edo Cta Jeeves Sept'!$J$12:$J$1927=$A$2)"),"TRX1298")</f>
        <v>TRX1298</v>
      </c>
      <c r="B12" s="112" t="str">
        <f ca="1">IFERROR(__xludf.DUMMYFUNCTION("""COMPUTED_VALUE"""),"#26")</f>
        <v>#26</v>
      </c>
      <c r="C12" s="112">
        <f ca="1">IFERROR(__xludf.DUMMYFUNCTION("""COMPUTED_VALUE"""),46055.4166666666)</f>
        <v>46055.416666666599</v>
      </c>
      <c r="D12" s="113">
        <f ca="1">IFERROR(__xludf.DUMMYFUNCTION("FILTER('Edo Cta Jeeves Sept'!$G$12:$G$1627,'Edo Cta Jeeves Sept'!$J$12:$J$1627=$A$2)"),796.6)</f>
        <v>796.6</v>
      </c>
      <c r="E12" s="90" t="str">
        <f ca="1">IFERROR(__xludf.DUMMYFUNCTION("FILTER('Edo Cta Jeeves Sept'!$I$12:$I$1700,'Edo Cta Jeeves Sept'!$J$12:$J$1700=$A$2)"),"MXN")</f>
        <v>MXN</v>
      </c>
      <c r="F12" s="90" t="str">
        <f ca="1">IFERROR(__xludf.DUMMYFUNCTION("FILTER('Edo Cta Jeeves Sept'!$J$12:$J$1700,'Edo Cta Jeeves Sept'!$J$12:$J$1700=$A$2)"),"Karen Alexandra Ballesteros Contreras")</f>
        <v>Karen Alexandra Ballesteros Contreras</v>
      </c>
      <c r="G12" s="90" t="str">
        <f ca="1">IFERROR(__xludf.DUMMYFUNCTION("FILTER('Edo Cta Jeeves Sept'!$K$12:$L$1700,'Edo Cta Jeeves Sept'!$J$12:$J$1700=$A$2)"),"MERPAGO*MERCADOLIBRE   Ciudad de Mex MEX")</f>
        <v>MERPAGO*MERCADOLIBRE   Ciudad de Mex MEX</v>
      </c>
      <c r="H12" s="90" t="str">
        <f ca="1">IFERROR(__xludf.DUMMYFUNCTION("""COMPUTED_VALUE"""),"Merpago Mercadolibre Ciudad De Mex Mex")</f>
        <v>Merpago Mercadolibre Ciudad De Mex Mex</v>
      </c>
      <c r="I12" s="90" t="str">
        <f ca="1">IFERROR(__xludf.DUMMYFUNCTION("IMPORTRANGE(""https://docs.google.com/spreadsheets/d/1XNtwen-vDCKYVaAWcSaaaYMev3_MMUipWi90MzsMx1Q/edit#gid=1404531132"",""I12:K80"")"),"Recruiting")</f>
        <v>Recruiting</v>
      </c>
      <c r="J12" s="90" t="str">
        <f ca="1">IFERROR(__xludf.DUMMYFUNCTION("""COMPUTED_VALUE"""),"PO1801 UBER HACIA GRAJALES PARA INSPECCION POR TEMBLOR")</f>
        <v>PO1801 UBER HACIA GRAJALES PARA INSPECCION POR TEMBLOR</v>
      </c>
      <c r="K12" s="17"/>
      <c r="L12" s="17"/>
      <c r="M12" s="17"/>
      <c r="N12" s="17"/>
      <c r="O12" s="17"/>
    </row>
    <row r="13" spans="1:15" ht="15.75" customHeight="1">
      <c r="A13" s="111" t="str">
        <f ca="1">IFERROR(__xludf.DUMMYFUNCTION("""COMPUTED_VALUE"""),"TRX1292")</f>
        <v>TRX1292</v>
      </c>
      <c r="B13" s="112" t="str">
        <f ca="1">IFERROR(__xludf.DUMMYFUNCTION("""COMPUTED_VALUE"""),"#26")</f>
        <v>#26</v>
      </c>
      <c r="C13" s="114">
        <f ca="1">IFERROR(__xludf.DUMMYFUNCTION("""COMPUTED_VALUE"""),46056.4166666666)</f>
        <v>46056.416666666599</v>
      </c>
      <c r="D13" s="113">
        <f ca="1">IFERROR(__xludf.DUMMYFUNCTION("""COMPUTED_VALUE"""),537.21)</f>
        <v>537.21</v>
      </c>
      <c r="E13" s="90" t="str">
        <f ca="1">IFERROR(__xludf.DUMMYFUNCTION("""COMPUTED_VALUE"""),"MXN")</f>
        <v>MXN</v>
      </c>
      <c r="F13" s="90" t="str">
        <f ca="1">IFERROR(__xludf.DUMMYFUNCTION("""COMPUTED_VALUE"""),"Karen Alexandra Ballesteros Contreras")</f>
        <v>Karen Alexandra Ballesteros Contreras</v>
      </c>
      <c r="G13" s="90" t="str">
        <f ca="1">IFERROR(__xludf.DUMMYFUNCTION("""COMPUTED_VALUE"""),"MERPAGO*MERCADOLIBRE   Ciudad de Mex MEX")</f>
        <v>MERPAGO*MERCADOLIBRE   Ciudad de Mex MEX</v>
      </c>
      <c r="H13" s="90" t="str">
        <f ca="1">IFERROR(__xludf.DUMMYFUNCTION("""COMPUTED_VALUE"""),"Merpago Mercadolibre Ciudad De Mex Mex")</f>
        <v>Merpago Mercadolibre Ciudad De Mex Mex</v>
      </c>
      <c r="I13" s="90" t="str">
        <f ca="1">IFERROR(__xludf.DUMMYFUNCTION("""COMPUTED_VALUE"""),"Recruiting")</f>
        <v>Recruiting</v>
      </c>
      <c r="J13" s="90" t="str">
        <f ca="1">IFERROR(__xludf.DUMMYFUNCTION("""COMPUTED_VALUE"""),"PO1801 UBER HACIA GRAJALES PARA INSPECCION POR TEMBLOR")</f>
        <v>PO1801 UBER HACIA GRAJALES PARA INSPECCION POR TEMBLOR</v>
      </c>
      <c r="K13" s="17" t="str">
        <f ca="1">IFERROR(__xludf.DUMMYFUNCTION("""COMPUTED_VALUE"""),"F15393AB-5CDF-535D-83AC-35BC3BCBA044")</f>
        <v>F15393AB-5CDF-535D-83AC-35BC3BCBA044</v>
      </c>
      <c r="L13" s="17"/>
      <c r="M13" s="17"/>
      <c r="N13" s="17"/>
      <c r="O13" s="17"/>
    </row>
    <row r="14" spans="1:15" ht="15.75" customHeight="1">
      <c r="A14" s="111" t="str">
        <f ca="1">IFERROR(__xludf.DUMMYFUNCTION("""COMPUTED_VALUE"""),"TRX1262")</f>
        <v>TRX1262</v>
      </c>
      <c r="B14" s="112" t="str">
        <f ca="1">IFERROR(__xludf.DUMMYFUNCTION("""COMPUTED_VALUE"""),"#26")</f>
        <v>#26</v>
      </c>
      <c r="C14" s="114">
        <f ca="1">IFERROR(__xludf.DUMMYFUNCTION("""COMPUTED_VALUE"""),46057.4166666666)</f>
        <v>46057.416666666599</v>
      </c>
      <c r="D14" s="90">
        <f ca="1">IFERROR(__xludf.DUMMYFUNCTION("""COMPUTED_VALUE"""),126)</f>
        <v>126</v>
      </c>
      <c r="E14" s="90" t="str">
        <f ca="1">IFERROR(__xludf.DUMMYFUNCTION("""COMPUTED_VALUE"""),"MXN")</f>
        <v>MXN</v>
      </c>
      <c r="F14" s="90" t="str">
        <f ca="1">IFERROR(__xludf.DUMMYFUNCTION("""COMPUTED_VALUE"""),"Karen Alexandra Ballesteros Contreras")</f>
        <v>Karen Alexandra Ballesteros Contreras</v>
      </c>
      <c r="G14" s="90" t="str">
        <f ca="1">IFERROR(__xludf.DUMMYFUNCTION("""COMPUTED_VALUE"""),"Didi Mexico            CAUHTEMOC     MEX")</f>
        <v>Didi Mexico            CAUHTEMOC     MEX</v>
      </c>
      <c r="H14" s="90" t="str">
        <f ca="1">IFERROR(__xludf.DUMMYFUNCTION("""COMPUTED_VALUE"""),"Didi Mexico Cauhtemoc Mex")</f>
        <v>Didi Mexico Cauhtemoc Mex</v>
      </c>
      <c r="I14" s="90" t="str">
        <f ca="1">IFERROR(__xludf.DUMMYFUNCTION("""COMPUTED_VALUE"""),"Recruiting")</f>
        <v>Recruiting</v>
      </c>
      <c r="J14" s="90" t="str">
        <f ca="1">IFERROR(__xludf.DUMMYFUNCTION("""COMPUTED_VALUE"""),"PEAJE")</f>
        <v>PEAJE</v>
      </c>
      <c r="K14" s="17"/>
      <c r="L14" s="17"/>
      <c r="M14" s="17"/>
      <c r="N14" s="17"/>
      <c r="O14" s="17"/>
    </row>
    <row r="15" spans="1:15" ht="15.75" customHeight="1">
      <c r="A15" s="111" t="str">
        <f ca="1">IFERROR(__xludf.DUMMYFUNCTION("""COMPUTED_VALUE"""),"TRX1258")</f>
        <v>TRX1258</v>
      </c>
      <c r="B15" s="112" t="str">
        <f ca="1">IFERROR(__xludf.DUMMYFUNCTION("""COMPUTED_VALUE"""),"#26")</f>
        <v>#26</v>
      </c>
      <c r="C15" s="114">
        <f ca="1">IFERROR(__xludf.DUMMYFUNCTION("""COMPUTED_VALUE"""),46058.4166666666)</f>
        <v>46058.416666666599</v>
      </c>
      <c r="D15" s="113">
        <f ca="1">IFERROR(__xludf.DUMMYFUNCTION("""COMPUTED_VALUE"""),61.21)</f>
        <v>61.21</v>
      </c>
      <c r="E15" s="90" t="str">
        <f ca="1">IFERROR(__xludf.DUMMYFUNCTION("""COMPUTED_VALUE"""),"MXN")</f>
        <v>MXN</v>
      </c>
      <c r="F15" s="90" t="str">
        <f ca="1">IFERROR(__xludf.DUMMYFUNCTION("""COMPUTED_VALUE"""),"Karen Alexandra Ballesteros Contreras")</f>
        <v>Karen Alexandra Ballesteros Contreras</v>
      </c>
      <c r="G15" s="90" t="str">
        <f ca="1">IFERROR(__xludf.DUMMYFUNCTION("""COMPUTED_VALUE"""),"Didi Mexico            CAUHTEMOC     MEX")</f>
        <v>Didi Mexico            CAUHTEMOC     MEX</v>
      </c>
      <c r="H15" s="90" t="str">
        <f ca="1">IFERROR(__xludf.DUMMYFUNCTION("""COMPUTED_VALUE"""),"Didi Mexico Cauhtemoc Mex")</f>
        <v>Didi Mexico Cauhtemoc Mex</v>
      </c>
      <c r="I15" s="90" t="str">
        <f ca="1">IFERROR(__xludf.DUMMYFUNCTION("""COMPUTED_VALUE"""),"Recruiting")</f>
        <v>Recruiting</v>
      </c>
      <c r="J15" s="90" t="str">
        <f ca="1">IFERROR(__xludf.DUMMYFUNCTION("""COMPUTED_VALUE"""),"PO1801 UBER HACIA GRAJALES PARA INSPECCION POR TEMBLOR")</f>
        <v>PO1801 UBER HACIA GRAJALES PARA INSPECCION POR TEMBLOR</v>
      </c>
      <c r="K15" s="17" t="str">
        <f ca="1">IFERROR(__xludf.DUMMYFUNCTION("""COMPUTED_VALUE"""),"B7387E20-D535-4882-8FFF-1F9024CD5AA0")</f>
        <v>B7387E20-D535-4882-8FFF-1F9024CD5AA0</v>
      </c>
      <c r="L15" s="17"/>
      <c r="M15" s="17"/>
      <c r="N15" s="17"/>
      <c r="O15" s="17"/>
    </row>
    <row r="16" spans="1:15" ht="15.75" customHeight="1">
      <c r="A16" s="90" t="str">
        <f ca="1">IFERROR(__xludf.DUMMYFUNCTION("""COMPUTED_VALUE"""),"TRX1238")</f>
        <v>TRX1238</v>
      </c>
      <c r="B16" s="112" t="str">
        <f ca="1">IFERROR(__xludf.DUMMYFUNCTION("""COMPUTED_VALUE"""),"#26")</f>
        <v>#26</v>
      </c>
      <c r="C16" s="114">
        <f ca="1">IFERROR(__xludf.DUMMYFUNCTION("""COMPUTED_VALUE"""),46058.4166666666)</f>
        <v>46058.416666666599</v>
      </c>
      <c r="D16" s="113">
        <f ca="1">IFERROR(__xludf.DUMMYFUNCTION("""COMPUTED_VALUE"""),520)</f>
        <v>520</v>
      </c>
      <c r="E16" s="90" t="str">
        <f ca="1">IFERROR(__xludf.DUMMYFUNCTION("""COMPUTED_VALUE"""),"MXN")</f>
        <v>MXN</v>
      </c>
      <c r="F16" s="90" t="str">
        <f ca="1">IFERROR(__xludf.DUMMYFUNCTION("""COMPUTED_VALUE"""),"Karen Alexandra Ballesteros Contreras")</f>
        <v>Karen Alexandra Ballesteros Contreras</v>
      </c>
      <c r="G16" s="90" t="str">
        <f ca="1">IFERROR(__xludf.DUMMYFUNCTION("""COMPUTED_VALUE"""),"MERCADOPAGO *EBANOCAF  Benito jurez  MEX")</f>
        <v>MERCADOPAGO *EBANOCAF  Benito jurez  MEX</v>
      </c>
      <c r="H16" s="90" t="str">
        <f ca="1">IFERROR(__xludf.DUMMYFUNCTION("""COMPUTED_VALUE"""),"Mercadopago")</f>
        <v>Mercadopago</v>
      </c>
      <c r="I16" s="90" t="str">
        <f ca="1">IFERROR(__xludf.DUMMYFUNCTION("""COMPUTED_VALUE"""),"Recruiting")</f>
        <v>Recruiting</v>
      </c>
      <c r="J16" s="90" t="str">
        <f ca="1">IFERROR(__xludf.DUMMYFUNCTION("""COMPUTED_VALUE"""),"-")</f>
        <v>-</v>
      </c>
      <c r="K16" s="17" t="str">
        <f ca="1">IFERROR(__xludf.DUMMYFUNCTION("""COMPUTED_VALUE"""),"FB877E3E-8B4C-494F-B80E-13D623D7653A")</f>
        <v>FB877E3E-8B4C-494F-B80E-13D623D7653A</v>
      </c>
      <c r="L16" s="17"/>
      <c r="M16" s="17"/>
      <c r="N16" s="17"/>
      <c r="O16" s="17"/>
    </row>
    <row r="17" spans="1:15" ht="15.75" customHeight="1">
      <c r="A17" s="90" t="str">
        <f ca="1">IFERROR(__xludf.DUMMYFUNCTION("""COMPUTED_VALUE"""),"TRX1231")</f>
        <v>TRX1231</v>
      </c>
      <c r="B17" s="112" t="str">
        <f ca="1">IFERROR(__xludf.DUMMYFUNCTION("""COMPUTED_VALUE"""),"#26")</f>
        <v>#26</v>
      </c>
      <c r="C17" s="114">
        <f ca="1">IFERROR(__xludf.DUMMYFUNCTION("""COMPUTED_VALUE"""),46058.4166666666)</f>
        <v>46058.416666666599</v>
      </c>
      <c r="D17" s="113">
        <f ca="1">IFERROR(__xludf.DUMMYFUNCTION("""COMPUTED_VALUE"""),385)</f>
        <v>385</v>
      </c>
      <c r="E17" s="90" t="str">
        <f ca="1">IFERROR(__xludf.DUMMYFUNCTION("""COMPUTED_VALUE"""),"MXN")</f>
        <v>MXN</v>
      </c>
      <c r="F17" s="90" t="str">
        <f ca="1">IFERROR(__xludf.DUMMYFUNCTION("""COMPUTED_VALUE"""),"Karen Alexandra Ballesteros Contreras")</f>
        <v>Karen Alexandra Ballesteros Contreras</v>
      </c>
      <c r="G17" s="90" t="str">
        <f ca="1">IFERROR(__xludf.DUMMYFUNCTION("""COMPUTED_VALUE"""),"D LOCAL*DIDI RIDES     CIUDAD DE MEX MEX")</f>
        <v>D LOCAL*DIDI RIDES     CIUDAD DE MEX MEX</v>
      </c>
      <c r="H17" s="90" t="str">
        <f ca="1">IFERROR(__xludf.DUMMYFUNCTION("""COMPUTED_VALUE"""),"Didi Chuxing")</f>
        <v>Didi Chuxing</v>
      </c>
      <c r="I17" s="90" t="str">
        <f ca="1">IFERROR(__xludf.DUMMYFUNCTION("""COMPUTED_VALUE"""),"Recruiting")</f>
        <v>Recruiting</v>
      </c>
      <c r="J17" s="90" t="str">
        <f ca="1">IFERROR(__xludf.DUMMYFUNCTION("""COMPUTED_VALUE"""),"-")</f>
        <v>-</v>
      </c>
      <c r="K17" s="17"/>
      <c r="L17" s="17"/>
      <c r="M17" s="17"/>
      <c r="N17" s="17"/>
      <c r="O17" s="17"/>
    </row>
    <row r="18" spans="1:15" ht="15.75" customHeight="1">
      <c r="A18" s="90" t="str">
        <f ca="1">IFERROR(__xludf.DUMMYFUNCTION("""COMPUTED_VALUE"""),"TRX1223")</f>
        <v>TRX1223</v>
      </c>
      <c r="B18" s="112" t="str">
        <f ca="1">IFERROR(__xludf.DUMMYFUNCTION("""COMPUTED_VALUE"""),"#26")</f>
        <v>#26</v>
      </c>
      <c r="C18" s="114">
        <f ca="1">IFERROR(__xludf.DUMMYFUNCTION("""COMPUTED_VALUE"""),46058.4173611111)</f>
        <v>46058.417361111096</v>
      </c>
      <c r="D18" s="113">
        <f ca="1">IFERROR(__xludf.DUMMYFUNCTION("""COMPUTED_VALUE"""),126)</f>
        <v>126</v>
      </c>
      <c r="E18" s="90" t="str">
        <f ca="1">IFERROR(__xludf.DUMMYFUNCTION("""COMPUTED_VALUE"""),"MXN")</f>
        <v>MXN</v>
      </c>
      <c r="F18" s="90" t="str">
        <f ca="1">IFERROR(__xludf.DUMMYFUNCTION("""COMPUTED_VALUE"""),"Karen Alexandra Ballesteros Contreras")</f>
        <v>Karen Alexandra Ballesteros Contreras</v>
      </c>
      <c r="G18" s="90" t="str">
        <f ca="1">IFERROR(__xludf.DUMMYFUNCTION("""COMPUTED_VALUE"""),"DLO*DIDI RIDES         MEXICO        MEX")</f>
        <v>DLO*DIDI RIDES         MEXICO        MEX</v>
      </c>
      <c r="H18" s="90" t="str">
        <f ca="1">IFERROR(__xludf.DUMMYFUNCTION("""COMPUTED_VALUE"""),"Didi Chuxing")</f>
        <v>Didi Chuxing</v>
      </c>
      <c r="I18" s="90" t="str">
        <f ca="1">IFERROR(__xludf.DUMMYFUNCTION("""COMPUTED_VALUE"""),"Recruiting")</f>
        <v>Recruiting</v>
      </c>
      <c r="J18" s="90" t="str">
        <f ca="1">IFERROR(__xludf.DUMMYFUNCTION("""COMPUTED_VALUE"""),"-")</f>
        <v>-</v>
      </c>
      <c r="K18" s="17"/>
      <c r="L18" s="17"/>
      <c r="M18" s="17"/>
      <c r="N18" s="17"/>
      <c r="O18" s="17"/>
    </row>
    <row r="19" spans="1:15" ht="15.75" customHeight="1">
      <c r="A19" s="90" t="str">
        <f ca="1">IFERROR(__xludf.DUMMYFUNCTION("""COMPUTED_VALUE"""),"TRX1221")</f>
        <v>TRX1221</v>
      </c>
      <c r="B19" s="112" t="str">
        <f ca="1">IFERROR(__xludf.DUMMYFUNCTION("""COMPUTED_VALUE"""),"#26")</f>
        <v>#26</v>
      </c>
      <c r="C19" s="114">
        <f ca="1">IFERROR(__xludf.DUMMYFUNCTION("""COMPUTED_VALUE"""),46058.4173611111)</f>
        <v>46058.417361111096</v>
      </c>
      <c r="D19" s="113">
        <f ca="1">IFERROR(__xludf.DUMMYFUNCTION("""COMPUTED_VALUE"""),410.08)</f>
        <v>410.08</v>
      </c>
      <c r="E19" s="90" t="str">
        <f ca="1">IFERROR(__xludf.DUMMYFUNCTION("""COMPUTED_VALUE"""),"MXN")</f>
        <v>MXN</v>
      </c>
      <c r="F19" s="90" t="str">
        <f ca="1">IFERROR(__xludf.DUMMYFUNCTION("""COMPUTED_VALUE"""),"Karen Alexandra Ballesteros Contreras")</f>
        <v>Karen Alexandra Ballesteros Contreras</v>
      </c>
      <c r="G19" s="90" t="str">
        <f ca="1">IFERROR(__xludf.DUMMYFUNCTION("""COMPUTED_VALUE"""),"VIVAAEROBUS MOBILE     APODACA NL    MEX")</f>
        <v>VIVAAEROBUS MOBILE     APODACA NL    MEX</v>
      </c>
      <c r="H19" s="90" t="str">
        <f ca="1">IFERROR(__xludf.DUMMYFUNCTION("""COMPUTED_VALUE"""),"Vivaaerobus")</f>
        <v>Vivaaerobus</v>
      </c>
      <c r="I19" s="90" t="str">
        <f ca="1">IFERROR(__xludf.DUMMYFUNCTION("""COMPUTED_VALUE"""),"Recruiting")</f>
        <v>Recruiting</v>
      </c>
      <c r="J19" s="90" t="str">
        <f ca="1">IFERROR(__xludf.DUMMYFUNCTION("""COMPUTED_VALUE"""),"-")</f>
        <v>-</v>
      </c>
      <c r="K19" s="17"/>
      <c r="L19" s="17"/>
      <c r="M19" s="17"/>
      <c r="N19" s="17"/>
      <c r="O19" s="17"/>
    </row>
    <row r="20" spans="1:15" ht="12.5">
      <c r="A20" s="90" t="str">
        <f ca="1">IFERROR(__xludf.DUMMYFUNCTION("""COMPUTED_VALUE"""),"TRX1210")</f>
        <v>TRX1210</v>
      </c>
      <c r="B20" s="112" t="str">
        <f ca="1">IFERROR(__xludf.DUMMYFUNCTION("""COMPUTED_VALUE"""),"#26")</f>
        <v>#26</v>
      </c>
      <c r="C20" s="114">
        <f ca="1">IFERROR(__xludf.DUMMYFUNCTION("""COMPUTED_VALUE"""),46058.4173611111)</f>
        <v>46058.417361111096</v>
      </c>
      <c r="D20" s="113">
        <f ca="1">IFERROR(__xludf.DUMMYFUNCTION("""COMPUTED_VALUE"""),125)</f>
        <v>125</v>
      </c>
      <c r="E20" s="90" t="str">
        <f ca="1">IFERROR(__xludf.DUMMYFUNCTION("""COMPUTED_VALUE"""),"MXN")</f>
        <v>MXN</v>
      </c>
      <c r="F20" s="90" t="str">
        <f ca="1">IFERROR(__xludf.DUMMYFUNCTION("""COMPUTED_VALUE"""),"Karen Alexandra Ballesteros Contreras")</f>
        <v>Karen Alexandra Ballesteros Contreras</v>
      </c>
      <c r="G20" s="90" t="str">
        <f ca="1">IFERROR(__xludf.DUMMYFUNCTION("""COMPUTED_VALUE"""),"D LOCAL*DIDI RIDES     CIUDAD DE MEX MEX")</f>
        <v>D LOCAL*DIDI RIDES     CIUDAD DE MEX MEX</v>
      </c>
      <c r="H20" s="90" t="str">
        <f ca="1">IFERROR(__xludf.DUMMYFUNCTION("""COMPUTED_VALUE"""),"Didi Chuxing")</f>
        <v>Didi Chuxing</v>
      </c>
      <c r="I20" s="90" t="str">
        <f ca="1">IFERROR(__xludf.DUMMYFUNCTION("""COMPUTED_VALUE"""),"Recruiting")</f>
        <v>Recruiting</v>
      </c>
      <c r="J20" s="90" t="str">
        <f ca="1">IFERROR(__xludf.DUMMYFUNCTION("""COMPUTED_VALUE"""),"-")</f>
        <v>-</v>
      </c>
      <c r="K20" s="17" t="str">
        <f ca="1">IFERROR(__xludf.DUMMYFUNCTION("""COMPUTED_VALUE"""),"51C5561F-8FE5-4474-888F-031EE74BC08C")</f>
        <v>51C5561F-8FE5-4474-888F-031EE74BC08C</v>
      </c>
      <c r="L20" s="17"/>
      <c r="M20" s="17"/>
      <c r="N20" s="17"/>
      <c r="O20" s="17"/>
    </row>
    <row r="21" spans="1:15" ht="12.5">
      <c r="A21" s="90" t="str">
        <f ca="1">IFERROR(__xludf.DUMMYFUNCTION("""COMPUTED_VALUE"""),"TRX1209")</f>
        <v>TRX1209</v>
      </c>
      <c r="B21" s="112" t="str">
        <f ca="1">IFERROR(__xludf.DUMMYFUNCTION("""COMPUTED_VALUE"""),"#26")</f>
        <v>#26</v>
      </c>
      <c r="C21" s="114">
        <f ca="1">IFERROR(__xludf.DUMMYFUNCTION("""COMPUTED_VALUE"""),46058.4173611111)</f>
        <v>46058.417361111096</v>
      </c>
      <c r="D21" s="113">
        <f ca="1">IFERROR(__xludf.DUMMYFUNCTION("""COMPUTED_VALUE"""),125)</f>
        <v>125</v>
      </c>
      <c r="E21" s="90" t="str">
        <f ca="1">IFERROR(__xludf.DUMMYFUNCTION("""COMPUTED_VALUE"""),"MXN")</f>
        <v>MXN</v>
      </c>
      <c r="F21" s="90" t="str">
        <f ca="1">IFERROR(__xludf.DUMMYFUNCTION("""COMPUTED_VALUE"""),"Karen Alexandra Ballesteros Contreras")</f>
        <v>Karen Alexandra Ballesteros Contreras</v>
      </c>
      <c r="G21" s="90" t="str">
        <f ca="1">IFERROR(__xludf.DUMMYFUNCTION("""COMPUTED_VALUE"""),"20260203T01:01:01/D LOCAL*DIDI RIDES\UNKNOWN\UNKNOWN\06500        MEX")</f>
        <v>20260203T01:01:01/D LOCAL*DIDI RIDES\UNKNOWN\UNKNOWN\06500        MEX</v>
      </c>
      <c r="H21" s="90" t="str">
        <f ca="1">IFERROR(__xludf.DUMMYFUNCTION("""COMPUTED_VALUE"""),"Didi Chuxing")</f>
        <v>Didi Chuxing</v>
      </c>
      <c r="I21" s="90" t="str">
        <f ca="1">IFERROR(__xludf.DUMMYFUNCTION("""COMPUTED_VALUE"""),"Recruiting")</f>
        <v>Recruiting</v>
      </c>
      <c r="J21" s="90" t="str">
        <f ca="1">IFERROR(__xludf.DUMMYFUNCTION("""COMPUTED_VALUE"""),"-")</f>
        <v>-</v>
      </c>
      <c r="K21" s="17" t="str">
        <f ca="1">IFERROR(__xludf.DUMMYFUNCTION("""COMPUTED_VALUE"""),"B9904633-F254-5E55-B0E0-ADBC03A829DB")</f>
        <v>B9904633-F254-5E55-B0E0-ADBC03A829DB</v>
      </c>
      <c r="L21" s="17"/>
      <c r="M21" s="17"/>
      <c r="N21" s="17"/>
      <c r="O21" s="17"/>
    </row>
    <row r="22" spans="1:15" ht="12.5">
      <c r="A22" s="90" t="str">
        <f ca="1">IFERROR(__xludf.DUMMYFUNCTION("""COMPUTED_VALUE"""),"TRX1182")</f>
        <v>TRX1182</v>
      </c>
      <c r="B22" s="112" t="str">
        <f ca="1">IFERROR(__xludf.DUMMYFUNCTION("""COMPUTED_VALUE"""),"#26")</f>
        <v>#26</v>
      </c>
      <c r="C22" s="114">
        <f ca="1">IFERROR(__xludf.DUMMYFUNCTION("""COMPUTED_VALUE"""),46059.4166666666)</f>
        <v>46059.416666666599</v>
      </c>
      <c r="D22" s="113">
        <f ca="1">IFERROR(__xludf.DUMMYFUNCTION("""COMPUTED_VALUE"""),216.7)</f>
        <v>216.7</v>
      </c>
      <c r="E22" s="90" t="str">
        <f ca="1">IFERROR(__xludf.DUMMYFUNCTION("""COMPUTED_VALUE"""),"MXN")</f>
        <v>MXN</v>
      </c>
      <c r="F22" s="90" t="str">
        <f ca="1">IFERROR(__xludf.DUMMYFUNCTION("""COMPUTED_VALUE"""),"Karen Alexandra Ballesteros Contreras")</f>
        <v>Karen Alexandra Ballesteros Contreras</v>
      </c>
      <c r="G22" s="90" t="str">
        <f ca="1">IFERROR(__xludf.DUMMYFUNCTION("""COMPUTED_VALUE"""),"VTA A BORDO VAEROBUS   CIUDAD DE MEX MEX")</f>
        <v>VTA A BORDO VAEROBUS   CIUDAD DE MEX MEX</v>
      </c>
      <c r="H22" s="90" t="str">
        <f ca="1">IFERROR(__xludf.DUMMYFUNCTION("""COMPUTED_VALUE"""),"Vta A Bordo Vaerobus Ciudad De Mex Mex")</f>
        <v>Vta A Bordo Vaerobus Ciudad De Mex Mex</v>
      </c>
      <c r="I22" s="90" t="str">
        <f ca="1">IFERROR(__xludf.DUMMYFUNCTION("""COMPUTED_VALUE"""),"Recruiting")</f>
        <v>Recruiting</v>
      </c>
      <c r="J22" s="90" t="str">
        <f ca="1">IFERROR(__xludf.DUMMYFUNCTION("""COMPUTED_VALUE"""),"-")</f>
        <v>-</v>
      </c>
      <c r="K22" s="17"/>
      <c r="L22" s="17"/>
      <c r="M22" s="17"/>
      <c r="N22" s="17"/>
      <c r="O22" s="17"/>
    </row>
    <row r="23" spans="1:15" ht="12.5">
      <c r="A23" s="90" t="str">
        <f ca="1">IFERROR(__xludf.DUMMYFUNCTION("""COMPUTED_VALUE"""),"TRX1178")</f>
        <v>TRX1178</v>
      </c>
      <c r="B23" s="112" t="str">
        <f ca="1">IFERROR(__xludf.DUMMYFUNCTION("""COMPUTED_VALUE"""),"#26")</f>
        <v>#26</v>
      </c>
      <c r="C23" s="114">
        <f ca="1">IFERROR(__xludf.DUMMYFUNCTION("""COMPUTED_VALUE"""),46059.4166666666)</f>
        <v>46059.416666666599</v>
      </c>
      <c r="D23" s="113">
        <f ca="1">IFERROR(__xludf.DUMMYFUNCTION("""COMPUTED_VALUE"""),86)</f>
        <v>86</v>
      </c>
      <c r="E23" s="90" t="str">
        <f ca="1">IFERROR(__xludf.DUMMYFUNCTION("""COMPUTED_VALUE"""),"MXN")</f>
        <v>MXN</v>
      </c>
      <c r="F23" s="90" t="str">
        <f ca="1">IFERROR(__xludf.DUMMYFUNCTION("""COMPUTED_VALUE"""),"Karen Alexandra Ballesteros Contreras")</f>
        <v>Karen Alexandra Ballesteros Contreras</v>
      </c>
      <c r="G23" s="90" t="str">
        <f ca="1">IFERROR(__xludf.DUMMYFUNCTION("""COMPUTED_VALUE"""),"Didi Mexico            CAUHTEMOC     MEX")</f>
        <v>Didi Mexico            CAUHTEMOC     MEX</v>
      </c>
      <c r="H23" s="90" t="str">
        <f ca="1">IFERROR(__xludf.DUMMYFUNCTION("""COMPUTED_VALUE"""),"Didi Mexico Cauhtemoc Mex")</f>
        <v>Didi Mexico Cauhtemoc Mex</v>
      </c>
      <c r="I23" s="90" t="str">
        <f ca="1">IFERROR(__xludf.DUMMYFUNCTION("""COMPUTED_VALUE"""),"Recruiting")</f>
        <v>Recruiting</v>
      </c>
      <c r="J23" s="90" t="str">
        <f ca="1">IFERROR(__xludf.DUMMYFUNCTION("""COMPUTED_VALUE"""),"-")</f>
        <v>-</v>
      </c>
      <c r="K23" s="17"/>
      <c r="L23" s="17"/>
      <c r="M23" s="17"/>
      <c r="N23" s="17"/>
      <c r="O23" s="17"/>
    </row>
    <row r="24" spans="1:15" ht="12.5">
      <c r="A24" s="90" t="str">
        <f ca="1">IFERROR(__xludf.DUMMYFUNCTION("""COMPUTED_VALUE"""),"TRX1169")</f>
        <v>TRX1169</v>
      </c>
      <c r="B24" s="112" t="str">
        <f ca="1">IFERROR(__xludf.DUMMYFUNCTION("""COMPUTED_VALUE"""),"#26")</f>
        <v>#26</v>
      </c>
      <c r="C24" s="114">
        <f ca="1">IFERROR(__xludf.DUMMYFUNCTION("""COMPUTED_VALUE"""),46059.4166666666)</f>
        <v>46059.416666666599</v>
      </c>
      <c r="D24" s="113">
        <f ca="1">IFERROR(__xludf.DUMMYFUNCTION("""COMPUTED_VALUE"""),309.93)</f>
        <v>309.93</v>
      </c>
      <c r="E24" s="90" t="str">
        <f ca="1">IFERROR(__xludf.DUMMYFUNCTION("""COMPUTED_VALUE"""),"MXN")</f>
        <v>MXN</v>
      </c>
      <c r="F24" s="90" t="str">
        <f ca="1">IFERROR(__xludf.DUMMYFUNCTION("""COMPUTED_VALUE"""),"Karen Alexandra Ballesteros Contreras")</f>
        <v>Karen Alexandra Ballesteros Contreras</v>
      </c>
      <c r="G24" s="90" t="str">
        <f ca="1">IFERROR(__xludf.DUMMYFUNCTION("""COMPUTED_VALUE"""),"DLO*Uber               CDMX          MEX")</f>
        <v>DLO*Uber               CDMX          MEX</v>
      </c>
      <c r="H24" s="90" t="str">
        <f ca="1">IFERROR(__xludf.DUMMYFUNCTION("""COMPUTED_VALUE"""),"Uber")</f>
        <v>Uber</v>
      </c>
      <c r="I24" s="90" t="str">
        <f ca="1">IFERROR(__xludf.DUMMYFUNCTION("""COMPUTED_VALUE"""),"Recruiting")</f>
        <v>Recruiting</v>
      </c>
      <c r="J24" s="90" t="str">
        <f ca="1">IFERROR(__xludf.DUMMYFUNCTION("""COMPUTED_VALUE"""),"-")</f>
        <v>-</v>
      </c>
      <c r="K24" s="17" t="str">
        <f ca="1">IFERROR(__xludf.DUMMYFUNCTION("""COMPUTED_VALUE"""),"C9493CE2-9520-4182-BB05-F48A697DC33D")</f>
        <v>C9493CE2-9520-4182-BB05-F48A697DC33D</v>
      </c>
      <c r="L24" s="17"/>
      <c r="M24" s="17"/>
      <c r="N24" s="17"/>
      <c r="O24" s="17"/>
    </row>
    <row r="25" spans="1:15" ht="12.5">
      <c r="A25" s="90" t="str">
        <f ca="1">IFERROR(__xludf.DUMMYFUNCTION("""COMPUTED_VALUE"""),"TRX1164")</f>
        <v>TRX1164</v>
      </c>
      <c r="B25" s="112" t="str">
        <f ca="1">IFERROR(__xludf.DUMMYFUNCTION("""COMPUTED_VALUE"""),"#26")</f>
        <v>#26</v>
      </c>
      <c r="C25" s="114">
        <f ca="1">IFERROR(__xludf.DUMMYFUNCTION("""COMPUTED_VALUE"""),46059.4166666666)</f>
        <v>46059.416666666599</v>
      </c>
      <c r="D25" s="113">
        <f ca="1">IFERROR(__xludf.DUMMYFUNCTION("""COMPUTED_VALUE"""),202)</f>
        <v>202</v>
      </c>
      <c r="E25" s="90" t="str">
        <f ca="1">IFERROR(__xludf.DUMMYFUNCTION("""COMPUTED_VALUE"""),"MXN")</f>
        <v>MXN</v>
      </c>
      <c r="F25" s="90" t="str">
        <f ca="1">IFERROR(__xludf.DUMMYFUNCTION("""COMPUTED_VALUE"""),"Karen Alexandra Ballesteros Contreras")</f>
        <v>Karen Alexandra Ballesteros Contreras</v>
      </c>
      <c r="G25" s="90" t="str">
        <f ca="1">IFERROR(__xludf.DUMMYFUNCTION("""COMPUTED_VALUE"""),"STARBUCKS PUERTO CANC  ROO           MEX")</f>
        <v>STARBUCKS PUERTO CANC  ROO           MEX</v>
      </c>
      <c r="H25" s="90" t="str">
        <f ca="1">IFERROR(__xludf.DUMMYFUNCTION("""COMPUTED_VALUE"""),"Starbucks")</f>
        <v>Starbucks</v>
      </c>
      <c r="I25" s="90" t="str">
        <f ca="1">IFERROR(__xludf.DUMMYFUNCTION("""COMPUTED_VALUE"""),"Recruiting")</f>
        <v>Recruiting</v>
      </c>
      <c r="J25" s="90" t="str">
        <f ca="1">IFERROR(__xludf.DUMMYFUNCTION("""COMPUTED_VALUE"""),"-")</f>
        <v>-</v>
      </c>
      <c r="K25" s="17"/>
      <c r="L25" s="17"/>
      <c r="M25" s="17"/>
      <c r="N25" s="17"/>
      <c r="O25" s="17"/>
    </row>
    <row r="26" spans="1:15" ht="12.5">
      <c r="A26" s="90" t="str">
        <f ca="1">IFERROR(__xludf.DUMMYFUNCTION("""COMPUTED_VALUE"""),"TRX1160")</f>
        <v>TRX1160</v>
      </c>
      <c r="B26" s="112" t="str">
        <f ca="1">IFERROR(__xludf.DUMMYFUNCTION("""COMPUTED_VALUE"""),"#26")</f>
        <v>#26</v>
      </c>
      <c r="C26" s="114">
        <f ca="1">IFERROR(__xludf.DUMMYFUNCTION("""COMPUTED_VALUE"""),46059.4166666666)</f>
        <v>46059.416666666599</v>
      </c>
      <c r="D26" s="113">
        <f ca="1">IFERROR(__xludf.DUMMYFUNCTION("""COMPUTED_VALUE"""),57)</f>
        <v>57</v>
      </c>
      <c r="E26" s="90" t="str">
        <f ca="1">IFERROR(__xludf.DUMMYFUNCTION("""COMPUTED_VALUE"""),"MXN")</f>
        <v>MXN</v>
      </c>
      <c r="F26" s="90" t="str">
        <f ca="1">IFERROR(__xludf.DUMMYFUNCTION("""COMPUTED_VALUE"""),"Karen Alexandra Ballesteros Contreras")</f>
        <v>Karen Alexandra Ballesteros Contreras</v>
      </c>
      <c r="G26" s="90" t="str">
        <f ca="1">IFERROR(__xludf.DUMMYFUNCTION("""COMPUTED_VALUE"""),"D LOCAL*DIDI RIDES     CIUDAD DE MEX MEX")</f>
        <v>D LOCAL*DIDI RIDES     CIUDAD DE MEX MEX</v>
      </c>
      <c r="H26" s="90" t="str">
        <f ca="1">IFERROR(__xludf.DUMMYFUNCTION("""COMPUTED_VALUE"""),"Didi Chuxing")</f>
        <v>Didi Chuxing</v>
      </c>
      <c r="I26" s="90" t="str">
        <f ca="1">IFERROR(__xludf.DUMMYFUNCTION("""COMPUTED_VALUE"""),"Recruiting")</f>
        <v>Recruiting</v>
      </c>
      <c r="J26" s="90" t="str">
        <f ca="1">IFERROR(__xludf.DUMMYFUNCTION("""COMPUTED_VALUE"""),"-")</f>
        <v>-</v>
      </c>
      <c r="K26" s="17"/>
      <c r="L26" s="17"/>
      <c r="M26" s="17"/>
      <c r="N26" s="17"/>
      <c r="O26" s="17"/>
    </row>
    <row r="27" spans="1:15" ht="12.5">
      <c r="A27" s="90" t="str">
        <f ca="1">IFERROR(__xludf.DUMMYFUNCTION("""COMPUTED_VALUE"""),"TRX1159")</f>
        <v>TRX1159</v>
      </c>
      <c r="B27" s="112" t="str">
        <f ca="1">IFERROR(__xludf.DUMMYFUNCTION("""COMPUTED_VALUE"""),"#26")</f>
        <v>#26</v>
      </c>
      <c r="C27" s="114">
        <f ca="1">IFERROR(__xludf.DUMMYFUNCTION("""COMPUTED_VALUE"""),46059.4173611111)</f>
        <v>46059.417361111096</v>
      </c>
      <c r="D27" s="113">
        <f ca="1">IFERROR(__xludf.DUMMYFUNCTION("""COMPUTED_VALUE"""),62)</f>
        <v>62</v>
      </c>
      <c r="E27" s="90" t="str">
        <f ca="1">IFERROR(__xludf.DUMMYFUNCTION("""COMPUTED_VALUE"""),"MXN")</f>
        <v>MXN</v>
      </c>
      <c r="F27" s="90" t="str">
        <f ca="1">IFERROR(__xludf.DUMMYFUNCTION("""COMPUTED_VALUE"""),"Karen Alexandra Ballesteros Contreras")</f>
        <v>Karen Alexandra Ballesteros Contreras</v>
      </c>
      <c r="G27" s="90" t="str">
        <f ca="1">IFERROR(__xludf.DUMMYFUNCTION("""COMPUTED_VALUE"""),"D LOCAL*DIDI RIDES     CIUDAD DE MEX MEX")</f>
        <v>D LOCAL*DIDI RIDES     CIUDAD DE MEX MEX</v>
      </c>
      <c r="H27" s="90" t="str">
        <f ca="1">IFERROR(__xludf.DUMMYFUNCTION("""COMPUTED_VALUE"""),"Didi Chuxing")</f>
        <v>Didi Chuxing</v>
      </c>
      <c r="I27" s="90" t="str">
        <f ca="1">IFERROR(__xludf.DUMMYFUNCTION("""COMPUTED_VALUE"""),"Recruiting")</f>
        <v>Recruiting</v>
      </c>
      <c r="J27" s="90" t="str">
        <f ca="1">IFERROR(__xludf.DUMMYFUNCTION("""COMPUTED_VALUE"""),"-")</f>
        <v>-</v>
      </c>
      <c r="K27" s="17" t="str">
        <f ca="1">IFERROR(__xludf.DUMMYFUNCTION("""COMPUTED_VALUE"""),"043AA9E6-E017-5FDA-8ED7-3F06EA6B2E14")</f>
        <v>043AA9E6-E017-5FDA-8ED7-3F06EA6B2E14</v>
      </c>
      <c r="L27" s="17"/>
      <c r="M27" s="17"/>
      <c r="N27" s="17"/>
      <c r="O27" s="17"/>
    </row>
    <row r="28" spans="1:15" ht="12.5">
      <c r="A28" s="90" t="str">
        <f ca="1">IFERROR(__xludf.DUMMYFUNCTION("""COMPUTED_VALUE"""),"TRX1152")</f>
        <v>TRX1152</v>
      </c>
      <c r="B28" s="112" t="str">
        <f ca="1">IFERROR(__xludf.DUMMYFUNCTION("""COMPUTED_VALUE"""),"#26")</f>
        <v>#26</v>
      </c>
      <c r="C28" s="114">
        <f ca="1">IFERROR(__xludf.DUMMYFUNCTION("""COMPUTED_VALUE"""),46059.4173611111)</f>
        <v>46059.417361111096</v>
      </c>
      <c r="D28" s="113">
        <f ca="1">IFERROR(__xludf.DUMMYFUNCTION("""COMPUTED_VALUE"""),328.9)</f>
        <v>328.9</v>
      </c>
      <c r="E28" s="90" t="str">
        <f ca="1">IFERROR(__xludf.DUMMYFUNCTION("""COMPUTED_VALUE"""),"MXN")</f>
        <v>MXN</v>
      </c>
      <c r="F28" s="90" t="str">
        <f ca="1">IFERROR(__xludf.DUMMYFUNCTION("""COMPUTED_VALUE"""),"Karen Alexandra Ballesteros Contreras")</f>
        <v>Karen Alexandra Ballesteros Contreras</v>
      </c>
      <c r="G28" s="90" t="str">
        <f ca="1">IFERROR(__xludf.DUMMYFUNCTION("""COMPUTED_VALUE"""),"REST LA PIZZARRA       CIUDAD DE MEX MEX")</f>
        <v>REST LA PIZZARRA       CIUDAD DE MEX MEX</v>
      </c>
      <c r="H28" s="90" t="str">
        <f ca="1">IFERROR(__xludf.DUMMYFUNCTION("""COMPUTED_VALUE"""),"Rest La Pizzarra Ciudad De Mex Mex")</f>
        <v>Rest La Pizzarra Ciudad De Mex Mex</v>
      </c>
      <c r="I28" s="90" t="str">
        <f ca="1">IFERROR(__xludf.DUMMYFUNCTION("""COMPUTED_VALUE"""),"Recruiting")</f>
        <v>Recruiting</v>
      </c>
      <c r="J28" s="90" t="str">
        <f ca="1">IFERROR(__xludf.DUMMYFUNCTION("""COMPUTED_VALUE"""),"-")</f>
        <v>-</v>
      </c>
      <c r="K28" s="17"/>
      <c r="L28" s="17"/>
      <c r="M28" s="17"/>
      <c r="N28" s="17"/>
      <c r="O28" s="17"/>
    </row>
    <row r="29" spans="1:15" ht="12.5">
      <c r="A29" s="90" t="str">
        <f ca="1">IFERROR(__xludf.DUMMYFUNCTION("""COMPUTED_VALUE"""),"TRX1150")</f>
        <v>TRX1150</v>
      </c>
      <c r="B29" s="112" t="str">
        <f ca="1">IFERROR(__xludf.DUMMYFUNCTION("""COMPUTED_VALUE"""),"#26")</f>
        <v>#26</v>
      </c>
      <c r="C29" s="114">
        <f ca="1">IFERROR(__xludf.DUMMYFUNCTION("""COMPUTED_VALUE"""),46059.4173611111)</f>
        <v>46059.417361111096</v>
      </c>
      <c r="D29" s="113">
        <f ca="1">IFERROR(__xludf.DUMMYFUNCTION("""COMPUTED_VALUE"""),220)</f>
        <v>220</v>
      </c>
      <c r="E29" s="90" t="str">
        <f ca="1">IFERROR(__xludf.DUMMYFUNCTION("""COMPUTED_VALUE"""),"MXN")</f>
        <v>MXN</v>
      </c>
      <c r="F29" s="90" t="str">
        <f ca="1">IFERROR(__xludf.DUMMYFUNCTION("""COMPUTED_VALUE"""),"Karen Alexandra Ballesteros Contreras")</f>
        <v>Karen Alexandra Ballesteros Contreras</v>
      </c>
      <c r="G29" s="90" t="str">
        <f ca="1">IFERROR(__xludf.DUMMYFUNCTION("""COMPUTED_VALUE"""),"FARM ASESORIA 4        ECATEPEC DE M MEX")</f>
        <v>FARM ASESORIA 4        ECATEPEC DE M MEX</v>
      </c>
      <c r="H29" s="90" t="str">
        <f ca="1">IFERROR(__xludf.DUMMYFUNCTION("""COMPUTED_VALUE"""),"Farm Asesoria 4 Ecatepec De M Mex")</f>
        <v>Farm Asesoria 4 Ecatepec De M Mex</v>
      </c>
      <c r="I29" s="90" t="str">
        <f ca="1">IFERROR(__xludf.DUMMYFUNCTION("""COMPUTED_VALUE"""),"Recruiting")</f>
        <v>Recruiting</v>
      </c>
      <c r="J29" s="90" t="str">
        <f ca="1">IFERROR(__xludf.DUMMYFUNCTION("""COMPUTED_VALUE"""),"-")</f>
        <v>-</v>
      </c>
      <c r="K29" s="17" t="str">
        <f ca="1">IFERROR(__xludf.DUMMYFUNCTION("""COMPUTED_VALUE"""),"C04B34E7-CE1B-50D4-B116-FAC5A5772264")</f>
        <v>C04B34E7-CE1B-50D4-B116-FAC5A5772264</v>
      </c>
      <c r="L29" s="17"/>
      <c r="M29" s="17"/>
      <c r="N29" s="17"/>
      <c r="O29" s="17"/>
    </row>
    <row r="30" spans="1:15" ht="12.5">
      <c r="A30" s="90" t="str">
        <f ca="1">IFERROR(__xludf.DUMMYFUNCTION("""COMPUTED_VALUE"""),"TRX1148")</f>
        <v>TRX1148</v>
      </c>
      <c r="B30" s="112" t="str">
        <f ca="1">IFERROR(__xludf.DUMMYFUNCTION("""COMPUTED_VALUE"""),"#26")</f>
        <v>#26</v>
      </c>
      <c r="C30" s="114">
        <f ca="1">IFERROR(__xludf.DUMMYFUNCTION("""COMPUTED_VALUE"""),46059.4173611111)</f>
        <v>46059.417361111096</v>
      </c>
      <c r="D30" s="113">
        <f ca="1">IFERROR(__xludf.DUMMYFUNCTION("""COMPUTED_VALUE"""),52.9)</f>
        <v>52.9</v>
      </c>
      <c r="E30" s="90" t="str">
        <f ca="1">IFERROR(__xludf.DUMMYFUNCTION("""COMPUTED_VALUE"""),"MXN")</f>
        <v>MXN</v>
      </c>
      <c r="F30" s="90" t="str">
        <f ca="1">IFERROR(__xludf.DUMMYFUNCTION("""COMPUTED_VALUE"""),"Karen Alexandra Ballesteros Contreras")</f>
        <v>Karen Alexandra Ballesteros Contreras</v>
      </c>
      <c r="G30" s="90" t="str">
        <f ca="1">IFERROR(__xludf.DUMMYFUNCTION("""COMPUTED_VALUE"""),"AIFA INTERNACIONAL PAC ZUMPANGO EM   MEX")</f>
        <v>AIFA INTERNACIONAL PAC ZUMPANGO EM   MEX</v>
      </c>
      <c r="H30" s="90" t="str">
        <f ca="1">IFERROR(__xludf.DUMMYFUNCTION("""COMPUTED_VALUE"""),"Aifa Internacional Pac Zumpango Em Mex")</f>
        <v>Aifa Internacional Pac Zumpango Em Mex</v>
      </c>
      <c r="I30" s="90" t="str">
        <f ca="1">IFERROR(__xludf.DUMMYFUNCTION("""COMPUTED_VALUE"""),"Recruiting")</f>
        <v>Recruiting</v>
      </c>
      <c r="J30" s="90" t="str">
        <f ca="1">IFERROR(__xludf.DUMMYFUNCTION("""COMPUTED_VALUE"""),"PO2009 IMPRESION DOCUMENTACION ENTREGABLE A NEXER")</f>
        <v>PO2009 IMPRESION DOCUMENTACION ENTREGABLE A NEXER</v>
      </c>
      <c r="K30" s="17"/>
      <c r="L30" s="17"/>
      <c r="M30" s="17"/>
      <c r="N30" s="17"/>
      <c r="O30" s="17"/>
    </row>
    <row r="31" spans="1:15" ht="12.5">
      <c r="A31" s="90" t="str">
        <f ca="1">IFERROR(__xludf.DUMMYFUNCTION("""COMPUTED_VALUE"""),"TRX1036")</f>
        <v>TRX1036</v>
      </c>
      <c r="B31" s="112" t="str">
        <f ca="1">IFERROR(__xludf.DUMMYFUNCTION("""COMPUTED_VALUE"""),"#26")</f>
        <v>#26</v>
      </c>
      <c r="C31" s="114">
        <f ca="1">IFERROR(__xludf.DUMMYFUNCTION("""COMPUTED_VALUE"""),46059.4173611111)</f>
        <v>46059.417361111096</v>
      </c>
      <c r="D31" s="113">
        <f ca="1">IFERROR(__xludf.DUMMYFUNCTION("""COMPUTED_VALUE"""),264)</f>
        <v>264</v>
      </c>
      <c r="E31" s="90" t="str">
        <f ca="1">IFERROR(__xludf.DUMMYFUNCTION("""COMPUTED_VALUE"""),"MXN")</f>
        <v>MXN</v>
      </c>
      <c r="F31" s="90" t="str">
        <f ca="1">IFERROR(__xludf.DUMMYFUNCTION("""COMPUTED_VALUE"""),"Karen Alexandra Ballesteros Contreras")</f>
        <v>Karen Alexandra Ballesteros Contreras</v>
      </c>
      <c r="G31" s="90" t="str">
        <f ca="1">IFERROR(__xludf.DUMMYFUNCTION("""COMPUTED_VALUE"""),"D LOCAL*DIDI RIDES     CIUDAD DE MEX MEX")</f>
        <v>D LOCAL*DIDI RIDES     CIUDAD DE MEX MEX</v>
      </c>
      <c r="H31" s="90" t="str">
        <f ca="1">IFERROR(__xludf.DUMMYFUNCTION("""COMPUTED_VALUE"""),"Didi Chuxing")</f>
        <v>Didi Chuxing</v>
      </c>
      <c r="I31" s="90" t="str">
        <f ca="1">IFERROR(__xludf.DUMMYFUNCTION("""COMPUTED_VALUE"""),"Recruiting")</f>
        <v>Recruiting</v>
      </c>
      <c r="J31" s="90" t="str">
        <f ca="1">IFERROR(__xludf.DUMMYFUNCTION("""COMPUTED_VALUE"""),"PO2009 ANEMOMETRO")</f>
        <v>PO2009 ANEMOMETRO</v>
      </c>
      <c r="K31" s="17"/>
      <c r="L31" s="17"/>
      <c r="M31" s="17"/>
      <c r="N31" s="17"/>
      <c r="O31" s="17"/>
    </row>
    <row r="32" spans="1:15" ht="12.5">
      <c r="A32" s="90" t="str">
        <f ca="1">IFERROR(__xludf.DUMMYFUNCTION("""COMPUTED_VALUE"""),"TRX1871")</f>
        <v>TRX1871</v>
      </c>
      <c r="B32" s="112" t="str">
        <f ca="1">IFERROR(__xludf.DUMMYFUNCTION("""COMPUTED_VALUE"""),"#26")</f>
        <v>#26</v>
      </c>
      <c r="C32" s="114">
        <f ca="1">IFERROR(__xludf.DUMMYFUNCTION("""COMPUTED_VALUE"""),46059.4173611111)</f>
        <v>46059.417361111096</v>
      </c>
      <c r="D32" s="113">
        <f ca="1">IFERROR(__xludf.DUMMYFUNCTION("""COMPUTED_VALUE"""),268.94)</f>
        <v>268.94</v>
      </c>
      <c r="E32" s="90" t="str">
        <f ca="1">IFERROR(__xludf.DUMMYFUNCTION("""COMPUTED_VALUE"""),"MXN")</f>
        <v>MXN</v>
      </c>
      <c r="F32" s="90" t="str">
        <f ca="1">IFERROR(__xludf.DUMMYFUNCTION("""COMPUTED_VALUE"""),"Karen Alexandra Ballesteros Contreras")</f>
        <v>Karen Alexandra Ballesteros Contreras</v>
      </c>
      <c r="G32" s="90" t="str">
        <f ca="1">IFERROR(__xludf.DUMMYFUNCTION("""COMPUTED_VALUE"""),"TDAS CHEDRAUI          CANCUN QROO   MEX")</f>
        <v>TDAS CHEDRAUI          CANCUN QROO   MEX</v>
      </c>
      <c r="H32" s="90" t="str">
        <f ca="1">IFERROR(__xludf.DUMMYFUNCTION("""COMPUTED_VALUE"""),"Tdas Chedraui Cancun Qroo Mex")</f>
        <v>Tdas Chedraui Cancun Qroo Mex</v>
      </c>
      <c r="I32" s="90" t="str">
        <f ca="1">IFERROR(__xludf.DUMMYFUNCTION("""COMPUTED_VALUE"""),"Recruiting")</f>
        <v>Recruiting</v>
      </c>
      <c r="J32" s="90" t="str">
        <f ca="1">IFERROR(__xludf.DUMMYFUNCTION("""COMPUTED_VALUE"""),"PO2009 COMIDA VARIOS")</f>
        <v>PO2009 COMIDA VARIOS</v>
      </c>
      <c r="K32" s="17"/>
      <c r="L32" s="17"/>
      <c r="M32" s="17"/>
      <c r="N32" s="17"/>
      <c r="O32" s="17"/>
    </row>
    <row r="33" spans="1:15" ht="12.5">
      <c r="A33" s="90" t="str">
        <f ca="1">IFERROR(__xludf.DUMMYFUNCTION("""COMPUTED_VALUE"""),"TRX1593")</f>
        <v>TRX1593</v>
      </c>
      <c r="B33" s="112" t="str">
        <f ca="1">IFERROR(__xludf.DUMMYFUNCTION("""COMPUTED_VALUE"""),"#26")</f>
        <v>#26</v>
      </c>
      <c r="C33" s="114">
        <f ca="1">IFERROR(__xludf.DUMMYFUNCTION("""COMPUTED_VALUE"""),46059.4173611111)</f>
        <v>46059.417361111096</v>
      </c>
      <c r="D33" s="113">
        <f ca="1">IFERROR(__xludf.DUMMYFUNCTION("""COMPUTED_VALUE"""),150)</f>
        <v>150</v>
      </c>
      <c r="E33" s="90" t="str">
        <f ca="1">IFERROR(__xludf.DUMMYFUNCTION("""COMPUTED_VALUE"""),"MXN")</f>
        <v>MXN</v>
      </c>
      <c r="F33" s="90" t="str">
        <f ca="1">IFERROR(__xludf.DUMMYFUNCTION("""COMPUTED_VALUE"""),"Karen Alexandra Ballesteros Contreras")</f>
        <v>Karen Alexandra Ballesteros Contreras</v>
      </c>
      <c r="G33" s="90" t="str">
        <f ca="1">IFERROR(__xludf.DUMMYFUNCTION("""COMPUTED_VALUE"""),"Google Report Run Pho  Mountain View USA")</f>
        <v>Google Report Run Pho  Mountain View USA</v>
      </c>
      <c r="H33" s="90" t="str">
        <f ca="1">IFERROR(__xludf.DUMMYFUNCTION("""COMPUTED_VALUE"""),"Google")</f>
        <v>Google</v>
      </c>
      <c r="I33" s="90" t="str">
        <f ca="1">IFERROR(__xludf.DUMMYFUNCTION("""COMPUTED_VALUE"""),"Recruiting")</f>
        <v>Recruiting</v>
      </c>
      <c r="J33" s="90" t="str">
        <f ca="1">IFERROR(__xludf.DUMMYFUNCTION("""COMPUTED_VALUE"""),"PO2009 TRASLADO DE VERACRUZ A CUAUTITLAN")</f>
        <v>PO2009 TRASLADO DE VERACRUZ A CUAUTITLAN</v>
      </c>
      <c r="K33" s="17" t="str">
        <f ca="1">IFERROR(__xludf.DUMMYFUNCTION("""COMPUTED_VALUE"""),"111B6066-6A0E-4331-880A-BFAD3C6D1AAD")</f>
        <v>111B6066-6A0E-4331-880A-BFAD3C6D1AAD</v>
      </c>
      <c r="L33" s="17"/>
      <c r="M33" s="17"/>
      <c r="N33" s="17"/>
      <c r="O33" s="17"/>
    </row>
    <row r="34" spans="1:15" ht="12.5">
      <c r="A34" s="90" t="str">
        <f ca="1">IFERROR(__xludf.DUMMYFUNCTION("""COMPUTED_VALUE"""),"TRX1644")</f>
        <v>TRX1644</v>
      </c>
      <c r="B34" s="112" t="str">
        <f ca="1">IFERROR(__xludf.DUMMYFUNCTION("""COMPUTED_VALUE"""),"#26")</f>
        <v>#26</v>
      </c>
      <c r="C34" s="114">
        <f ca="1">IFERROR(__xludf.DUMMYFUNCTION("""COMPUTED_VALUE"""),46060.4166666666)</f>
        <v>46060.416666666599</v>
      </c>
      <c r="D34" s="113">
        <f ca="1">IFERROR(__xludf.DUMMYFUNCTION("""COMPUTED_VALUE"""),179.45)</f>
        <v>179.45</v>
      </c>
      <c r="E34" s="90" t="str">
        <f ca="1">IFERROR(__xludf.DUMMYFUNCTION("""COMPUTED_VALUE"""),"MXN")</f>
        <v>MXN</v>
      </c>
      <c r="F34" s="90" t="str">
        <f ca="1">IFERROR(__xludf.DUMMYFUNCTION("""COMPUTED_VALUE"""),"Karen Alexandra Ballesteros Contreras")</f>
        <v>Karen Alexandra Ballesteros Contreras</v>
      </c>
      <c r="G34" s="90" t="str">
        <f ca="1">IFERROR(__xludf.DUMMYFUNCTION("""COMPUTED_VALUE"""),"UBER * EATS PENDING    CMX           MEX")</f>
        <v>UBER * EATS PENDING    CMX           MEX</v>
      </c>
      <c r="H34" s="90" t="str">
        <f ca="1">IFERROR(__xludf.DUMMYFUNCTION("""COMPUTED_VALUE"""),"Uber Eats")</f>
        <v>Uber Eats</v>
      </c>
      <c r="I34" s="90" t="str">
        <f ca="1">IFERROR(__xludf.DUMMYFUNCTION("""COMPUTED_VALUE"""),"Recruiting")</f>
        <v>Recruiting</v>
      </c>
      <c r="J34" s="90" t="str">
        <f ca="1">IFERROR(__xludf.DUMMYFUNCTION("""COMPUTED_VALUE"""),"PO2009 TRASLADO DE VERACRUZ A CUAUTITLAN")</f>
        <v>PO2009 TRASLADO DE VERACRUZ A CUAUTITLAN</v>
      </c>
      <c r="K34" s="17"/>
      <c r="L34" s="17"/>
      <c r="M34" s="17"/>
      <c r="N34" s="17"/>
      <c r="O34" s="17"/>
    </row>
    <row r="35" spans="1:15" ht="12.5">
      <c r="A35" s="90" t="str">
        <f ca="1">IFERROR(__xludf.DUMMYFUNCTION("""COMPUTED_VALUE"""),"TRX1195")</f>
        <v>TRX1195</v>
      </c>
      <c r="B35" s="112" t="str">
        <f ca="1">IFERROR(__xludf.DUMMYFUNCTION("""COMPUTED_VALUE"""),"#26")</f>
        <v>#26</v>
      </c>
      <c r="C35" s="114">
        <f ca="1">IFERROR(__xludf.DUMMYFUNCTION("""COMPUTED_VALUE"""),46060.4166666666)</f>
        <v>46060.416666666599</v>
      </c>
      <c r="D35" s="113">
        <f ca="1">IFERROR(__xludf.DUMMYFUNCTION("""COMPUTED_VALUE"""),109.06)</f>
        <v>109.06</v>
      </c>
      <c r="E35" s="90" t="str">
        <f ca="1">IFERROR(__xludf.DUMMYFUNCTION("""COMPUTED_VALUE"""),"MXN")</f>
        <v>MXN</v>
      </c>
      <c r="F35" s="90" t="str">
        <f ca="1">IFERROR(__xludf.DUMMYFUNCTION("""COMPUTED_VALUE"""),"Karen Alexandra Ballesteros Contreras")</f>
        <v>Karen Alexandra Ballesteros Contreras</v>
      </c>
      <c r="G35" s="90" t="str">
        <f ca="1">IFERROR(__xludf.DUMMYFUNCTION("""COMPUTED_VALUE"""),"UBER * PENDING         CMX           MEX")</f>
        <v>UBER * PENDING         CMX           MEX</v>
      </c>
      <c r="H35" s="90" t="str">
        <f ca="1">IFERROR(__xludf.DUMMYFUNCTION("""COMPUTED_VALUE"""),"Uber")</f>
        <v>Uber</v>
      </c>
      <c r="I35" s="90" t="str">
        <f ca="1">IFERROR(__xludf.DUMMYFUNCTION("""COMPUTED_VALUE"""),"Recruiting")</f>
        <v>Recruiting</v>
      </c>
      <c r="J35" s="90" t="str">
        <f ca="1">IFERROR(__xludf.DUMMYFUNCTION("""COMPUTED_VALUE"""),"PO2009 COMIDA VARIOS")</f>
        <v>PO2009 COMIDA VARIOS</v>
      </c>
      <c r="K35" s="17" t="str">
        <f ca="1">IFERROR(__xludf.DUMMYFUNCTION("""COMPUTED_VALUE"""),"C60980741-1A3F-584D-B8DB-1A1F2B58209D")</f>
        <v>C60980741-1A3F-584D-B8DB-1A1F2B58209D</v>
      </c>
      <c r="L35" s="17"/>
      <c r="M35" s="17"/>
      <c r="N35" s="17"/>
      <c r="O35" s="17"/>
    </row>
    <row r="36" spans="1:15" ht="12.5">
      <c r="A36" s="17" t="str">
        <f ca="1">IFERROR(__xludf.DUMMYFUNCTION("""COMPUTED_VALUE"""),"TRX1527")</f>
        <v>TRX1527</v>
      </c>
      <c r="B36" s="86" t="str">
        <f ca="1">IFERROR(__xludf.DUMMYFUNCTION("""COMPUTED_VALUE"""),"#26")</f>
        <v>#26</v>
      </c>
      <c r="C36" s="63">
        <f ca="1">IFERROR(__xludf.DUMMYFUNCTION("""COMPUTED_VALUE"""),46060.4166666666)</f>
        <v>46060.416666666599</v>
      </c>
      <c r="D36" s="65">
        <f ca="1">IFERROR(__xludf.DUMMYFUNCTION("""COMPUTED_VALUE"""),78)</f>
        <v>78</v>
      </c>
      <c r="E36" s="17" t="str">
        <f ca="1">IFERROR(__xludf.DUMMYFUNCTION("""COMPUTED_VALUE"""),"MXN")</f>
        <v>MXN</v>
      </c>
      <c r="F36" s="17" t="str">
        <f ca="1">IFERROR(__xludf.DUMMYFUNCTION("""COMPUTED_VALUE"""),"Karen Alexandra Ballesteros Contreras")</f>
        <v>Karen Alexandra Ballesteros Contreras</v>
      </c>
      <c r="G36" s="17" t="str">
        <f ca="1">IFERROR(__xludf.DUMMYFUNCTION("""COMPUTED_VALUE"""),"D LOCAL*DIDI RIDES     CIUDAD DE MEX MEX")</f>
        <v>D LOCAL*DIDI RIDES     CIUDAD DE MEX MEX</v>
      </c>
      <c r="H36" s="17" t="str">
        <f ca="1">IFERROR(__xludf.DUMMYFUNCTION("""COMPUTED_VALUE"""),"Didi Chuxing")</f>
        <v>Didi Chuxing</v>
      </c>
      <c r="I36" s="17" t="str">
        <f ca="1">IFERROR(__xludf.DUMMYFUNCTION("""COMPUTED_VALUE"""),"Recruiting")</f>
        <v>Recruiting</v>
      </c>
      <c r="J36" s="17" t="str">
        <f ca="1">IFERROR(__xludf.DUMMYFUNCTION("""COMPUTED_VALUE"""),"PO2009 COMIDA VARIOS")</f>
        <v>PO2009 COMIDA VARIOS</v>
      </c>
      <c r="K36" s="17"/>
      <c r="L36" s="17"/>
      <c r="M36" s="17"/>
      <c r="N36" s="17"/>
      <c r="O36" s="17"/>
    </row>
    <row r="37" spans="1:15" ht="12.5">
      <c r="A37" s="17" t="str">
        <f ca="1">IFERROR(__xludf.DUMMYFUNCTION("""COMPUTED_VALUE"""),"TRX1745")</f>
        <v>TRX1745</v>
      </c>
      <c r="B37" s="86" t="str">
        <f ca="1">IFERROR(__xludf.DUMMYFUNCTION("""COMPUTED_VALUE"""),"#26")</f>
        <v>#26</v>
      </c>
      <c r="C37" s="63">
        <f ca="1">IFERROR(__xludf.DUMMYFUNCTION("""COMPUTED_VALUE"""),46060.4173611111)</f>
        <v>46060.417361111096</v>
      </c>
      <c r="D37" s="65">
        <f ca="1">IFERROR(__xludf.DUMMYFUNCTION("""COMPUTED_VALUE"""),279)</f>
        <v>279</v>
      </c>
      <c r="E37" s="17" t="str">
        <f ca="1">IFERROR(__xludf.DUMMYFUNCTION("""COMPUTED_VALUE"""),"MXN")</f>
        <v>MXN</v>
      </c>
      <c r="F37" s="17" t="str">
        <f ca="1">IFERROR(__xludf.DUMMYFUNCTION("""COMPUTED_VALUE"""),"Karen Alexandra Ballesteros Contreras")</f>
        <v>Karen Alexandra Ballesteros Contreras</v>
      </c>
      <c r="G37" s="17" t="str">
        <f ca="1">IFERROR(__xludf.DUMMYFUNCTION("""COMPUTED_VALUE"""),"7 ELEVEN T2250         BENITO JUAREZ MEX")</f>
        <v>7 ELEVEN T2250         BENITO JUAREZ MEX</v>
      </c>
      <c r="H37" s="17" t="str">
        <f ca="1">IFERROR(__xludf.DUMMYFUNCTION("""COMPUTED_VALUE"""),"7 Eleven")</f>
        <v>7 Eleven</v>
      </c>
      <c r="I37" s="17" t="str">
        <f ca="1">IFERROR(__xludf.DUMMYFUNCTION("""COMPUTED_VALUE"""),"Recruiting")</f>
        <v>Recruiting</v>
      </c>
      <c r="J37" s="17" t="str">
        <f ca="1">IFERROR(__xludf.DUMMYFUNCTION("""COMPUTED_VALUE"""),"PO2009 DESAYUNO VARIOS")</f>
        <v>PO2009 DESAYUNO VARIOS</v>
      </c>
      <c r="K37" s="17" t="str">
        <f ca="1">IFERROR(__xludf.DUMMYFUNCTION("""COMPUTED_VALUE"""),"18BC0689-F327-4DA6-A1C4-BED8A607DD00")</f>
        <v>18BC0689-F327-4DA6-A1C4-BED8A607DD00</v>
      </c>
      <c r="L37" s="17"/>
      <c r="M37" s="17"/>
      <c r="N37" s="17"/>
      <c r="O37" s="17"/>
    </row>
    <row r="38" spans="1:15" ht="12.5">
      <c r="A38" s="17" t="str">
        <f ca="1">IFERROR(__xludf.DUMMYFUNCTION("""COMPUTED_VALUE"""),"TRX1014")</f>
        <v>TRX1014</v>
      </c>
      <c r="B38" s="86" t="str">
        <f ca="1">IFERROR(__xludf.DUMMYFUNCTION("""COMPUTED_VALUE"""),"#26")</f>
        <v>#26</v>
      </c>
      <c r="C38" s="63">
        <f ca="1">IFERROR(__xludf.DUMMYFUNCTION("""COMPUTED_VALUE"""),46060.4173611111)</f>
        <v>46060.417361111096</v>
      </c>
      <c r="D38" s="65">
        <f ca="1">IFERROR(__xludf.DUMMYFUNCTION("""COMPUTED_VALUE"""),79)</f>
        <v>79</v>
      </c>
      <c r="E38" s="17" t="str">
        <f ca="1">IFERROR(__xludf.DUMMYFUNCTION("""COMPUTED_VALUE"""),"MXN")</f>
        <v>MXN</v>
      </c>
      <c r="F38" s="17" t="str">
        <f ca="1">IFERROR(__xludf.DUMMYFUNCTION("""COMPUTED_VALUE"""),"Karen Alexandra Ballesteros Contreras")</f>
        <v>Karen Alexandra Ballesteros Contreras</v>
      </c>
      <c r="G38" s="17" t="str">
        <f ca="1">IFERROR(__xludf.DUMMYFUNCTION("""COMPUTED_VALUE"""),"OXXO TULUM             CANCUN QROO   MEX")</f>
        <v>OXXO TULUM             CANCUN QROO   MEX</v>
      </c>
      <c r="H38" s="17" t="str">
        <f ca="1">IFERROR(__xludf.DUMMYFUNCTION("""COMPUTED_VALUE"""),"Oxxo")</f>
        <v>Oxxo</v>
      </c>
      <c r="I38" s="17" t="str">
        <f ca="1">IFERROR(__xludf.DUMMYFUNCTION("""COMPUTED_VALUE"""),"Recruiting")</f>
        <v>Recruiting</v>
      </c>
      <c r="J38" s="17" t="str">
        <f ca="1">IFERROR(__xludf.DUMMYFUNCTION("""COMPUTED_VALUE"""),"PO2009 DESAYUNO VARIOS")</f>
        <v>PO2009 DESAYUNO VARIOS</v>
      </c>
      <c r="K38" s="17" t="str">
        <f ca="1">IFERROR(__xludf.DUMMYFUNCTION("""COMPUTED_VALUE"""),"F303FFD1-1C73-5266-B01E-B075C21FFAC0")</f>
        <v>F303FFD1-1C73-5266-B01E-B075C21FFAC0</v>
      </c>
      <c r="L38" s="17"/>
      <c r="M38" s="17"/>
      <c r="N38" s="17"/>
      <c r="O38" s="17"/>
    </row>
    <row r="39" spans="1:15" ht="12.5">
      <c r="A39" s="17" t="str">
        <f ca="1">IFERROR(__xludf.DUMMYFUNCTION("""COMPUTED_VALUE"""),"TRX1024")</f>
        <v>TRX1024</v>
      </c>
      <c r="B39" s="86" t="str">
        <f ca="1">IFERROR(__xludf.DUMMYFUNCTION("""COMPUTED_VALUE"""),"#26")</f>
        <v>#26</v>
      </c>
      <c r="C39" s="63">
        <f ca="1">IFERROR(__xludf.DUMMYFUNCTION("""COMPUTED_VALUE"""),46061.4166666666)</f>
        <v>46061.416666666599</v>
      </c>
      <c r="D39" s="65">
        <f ca="1">IFERROR(__xludf.DUMMYFUNCTION("""COMPUTED_VALUE"""),752)</f>
        <v>752</v>
      </c>
      <c r="E39" s="17" t="str">
        <f ca="1">IFERROR(__xludf.DUMMYFUNCTION("""COMPUTED_VALUE"""),"MXN")</f>
        <v>MXN</v>
      </c>
      <c r="F39" s="17" t="str">
        <f ca="1">IFERROR(__xludf.DUMMYFUNCTION("""COMPUTED_VALUE"""),"Karen Alexandra Ballesteros Contreras")</f>
        <v>Karen Alexandra Ballesteros Contreras</v>
      </c>
      <c r="G39" s="17" t="str">
        <f ca="1">IFERROR(__xludf.DUMMYFUNCTION("""COMPUTED_VALUE"""),"ABTS GC 63 KIKIMBE     BENITO JUAREZ MEX")</f>
        <v>ABTS GC 63 KIKIMBE     BENITO JUAREZ MEX</v>
      </c>
      <c r="H39" s="17" t="str">
        <f ca="1">IFERROR(__xludf.DUMMYFUNCTION("""COMPUTED_VALUE"""),"Abts Gc 63 Kikimbe Benito Juarez Mex")</f>
        <v>Abts Gc 63 Kikimbe Benito Juarez Mex</v>
      </c>
      <c r="I39" s="17" t="str">
        <f ca="1">IFERROR(__xludf.DUMMYFUNCTION("""COMPUTED_VALUE"""),"Recruiting")</f>
        <v>Recruiting</v>
      </c>
      <c r="J39" s="17" t="str">
        <f ca="1">IFERROR(__xludf.DUMMYFUNCTION("""COMPUTED_VALUE"""),"PO2009 PUNTO DE HIDRATACION PERSONAL OPERATIVO")</f>
        <v>PO2009 PUNTO DE HIDRATACION PERSONAL OPERATIVO</v>
      </c>
      <c r="K39" s="17"/>
      <c r="L39" s="17"/>
      <c r="M39" s="17"/>
      <c r="N39" s="17"/>
      <c r="O39" s="17"/>
    </row>
    <row r="40" spans="1:15" ht="12.5">
      <c r="A40" s="17" t="str">
        <f ca="1">IFERROR(__xludf.DUMMYFUNCTION("""COMPUTED_VALUE"""),"TRX1198")</f>
        <v>TRX1198</v>
      </c>
      <c r="B40" s="86" t="str">
        <f ca="1">IFERROR(__xludf.DUMMYFUNCTION("""COMPUTED_VALUE"""),"#26")</f>
        <v>#26</v>
      </c>
      <c r="C40" s="63">
        <f ca="1">IFERROR(__xludf.DUMMYFUNCTION("""COMPUTED_VALUE"""),46061.4166666666)</f>
        <v>46061.416666666599</v>
      </c>
      <c r="D40" s="65">
        <f ca="1">IFERROR(__xludf.DUMMYFUNCTION("""COMPUTED_VALUE"""),58)</f>
        <v>58</v>
      </c>
      <c r="E40" s="17" t="str">
        <f ca="1">IFERROR(__xludf.DUMMYFUNCTION("""COMPUTED_VALUE"""),"MXN")</f>
        <v>MXN</v>
      </c>
      <c r="F40" s="17" t="str">
        <f ca="1">IFERROR(__xludf.DUMMYFUNCTION("""COMPUTED_VALUE"""),"Karen Alexandra Ballesteros Contreras")</f>
        <v>Karen Alexandra Ballesteros Contreras</v>
      </c>
      <c r="G40" s="17" t="str">
        <f ca="1">IFERROR(__xludf.DUMMYFUNCTION("""COMPUTED_VALUE"""),"D LOCAL*DIDI RIDES     CIUDAD DE MEX MEX")</f>
        <v>D LOCAL*DIDI RIDES     CIUDAD DE MEX MEX</v>
      </c>
      <c r="H40" s="17" t="str">
        <f ca="1">IFERROR(__xludf.DUMMYFUNCTION("""COMPUTED_VALUE"""),"Didi Chuxing")</f>
        <v>Didi Chuxing</v>
      </c>
      <c r="I40" s="17" t="str">
        <f ca="1">IFERROR(__xludf.DUMMYFUNCTION("""COMPUTED_VALUE"""),"Recruiting")</f>
        <v>Recruiting</v>
      </c>
      <c r="J40" s="17" t="str">
        <f ca="1">IFERROR(__xludf.DUMMYFUNCTION("""COMPUTED_VALUE"""),"PO2009 CENA")</f>
        <v>PO2009 CENA</v>
      </c>
      <c r="K40" s="17" t="str">
        <f ca="1">IFERROR(__xludf.DUMMYFUNCTION("""COMPUTED_VALUE"""),"E59849E4-E5F3-5861-B1E8-22ADB8265BF1")</f>
        <v>E59849E4-E5F3-5861-B1E8-22ADB8265BF1</v>
      </c>
      <c r="L40" s="17"/>
      <c r="M40" s="17"/>
      <c r="N40" s="17"/>
      <c r="O40" s="17"/>
    </row>
    <row r="41" spans="1:15" ht="12.5">
      <c r="A41" s="17" t="str">
        <f ca="1">IFERROR(__xludf.DUMMYFUNCTION("""COMPUTED_VALUE"""),"TRX1831")</f>
        <v>TRX1831</v>
      </c>
      <c r="B41" s="86" t="str">
        <f ca="1">IFERROR(__xludf.DUMMYFUNCTION("""COMPUTED_VALUE"""),"#26")</f>
        <v>#26</v>
      </c>
      <c r="C41" s="63">
        <f ca="1">IFERROR(__xludf.DUMMYFUNCTION("""COMPUTED_VALUE"""),46061.4166666666)</f>
        <v>46061.416666666599</v>
      </c>
      <c r="D41" s="65">
        <f ca="1">IFERROR(__xludf.DUMMYFUNCTION("""COMPUTED_VALUE"""),3.6)</f>
        <v>3.6</v>
      </c>
      <c r="E41" s="17" t="str">
        <f ca="1">IFERROR(__xludf.DUMMYFUNCTION("""COMPUTED_VALUE"""),"MXN")</f>
        <v>MXN</v>
      </c>
      <c r="F41" s="17" t="str">
        <f ca="1">IFERROR(__xludf.DUMMYFUNCTION("""COMPUTED_VALUE"""),"Karen Alexandra Ballesteros Contreras")</f>
        <v>Karen Alexandra Ballesteros Contreras</v>
      </c>
      <c r="G41" s="17" t="str">
        <f ca="1">IFERROR(__xludf.DUMMYFUNCTION("""COMPUTED_VALUE"""),"DLO DIDI RIDES MX      CIUDAD DE MEX MEX")</f>
        <v>DLO DIDI RIDES MX      CIUDAD DE MEX MEX</v>
      </c>
      <c r="H41" s="17" t="str">
        <f ca="1">IFERROR(__xludf.DUMMYFUNCTION("""COMPUTED_VALUE"""),"Didi Chuxing")</f>
        <v>Didi Chuxing</v>
      </c>
      <c r="I41" s="17" t="str">
        <f ca="1">IFERROR(__xludf.DUMMYFUNCTION("""COMPUTED_VALUE"""),"Recruiting")</f>
        <v>Recruiting</v>
      </c>
      <c r="J41" s="17" t="str">
        <f ca="1">IFERROR(__xludf.DUMMYFUNCTION("""COMPUTED_VALUE"""),"PO2009 TAXI DEL AIFA A CUAUTITLAN")</f>
        <v>PO2009 TAXI DEL AIFA A CUAUTITLAN</v>
      </c>
      <c r="K41" s="17"/>
      <c r="L41" s="17"/>
      <c r="M41" s="17"/>
      <c r="N41" s="17"/>
      <c r="O41" s="17"/>
    </row>
    <row r="42" spans="1:15" ht="12.5">
      <c r="A42" s="17" t="str">
        <f ca="1">IFERROR(__xludf.DUMMYFUNCTION("""COMPUTED_VALUE"""),"TRX1544")</f>
        <v>TRX1544</v>
      </c>
      <c r="B42" s="86" t="str">
        <f ca="1">IFERROR(__xludf.DUMMYFUNCTION("""COMPUTED_VALUE"""),"#26")</f>
        <v>#26</v>
      </c>
      <c r="C42" s="63">
        <f ca="1">IFERROR(__xludf.DUMMYFUNCTION("""COMPUTED_VALUE"""),46061.4166666666)</f>
        <v>46061.416666666599</v>
      </c>
      <c r="D42" s="65">
        <f ca="1">IFERROR(__xludf.DUMMYFUNCTION("""COMPUTED_VALUE"""),178)</f>
        <v>178</v>
      </c>
      <c r="E42" s="17" t="str">
        <f ca="1">IFERROR(__xludf.DUMMYFUNCTION("""COMPUTED_VALUE"""),"MXN")</f>
        <v>MXN</v>
      </c>
      <c r="F42" s="17" t="str">
        <f ca="1">IFERROR(__xludf.DUMMYFUNCTION("""COMPUTED_VALUE"""),"Karen Alexandra Ballesteros Contreras")</f>
        <v>Karen Alexandra Ballesteros Contreras</v>
      </c>
      <c r="G42" s="17" t="str">
        <f ca="1">IFERROR(__xludf.DUMMYFUNCTION("""COMPUTED_VALUE"""),"D LOCAL*DIDI RIDES     CIUDAD DE MEX MEX")</f>
        <v>D LOCAL*DIDI RIDES     CIUDAD DE MEX MEX</v>
      </c>
      <c r="H42" s="17" t="str">
        <f ca="1">IFERROR(__xludf.DUMMYFUNCTION("""COMPUTED_VALUE"""),"Didi Chuxing")</f>
        <v>Didi Chuxing</v>
      </c>
      <c r="I42" s="17" t="str">
        <f ca="1">IFERROR(__xludf.DUMMYFUNCTION("""COMPUTED_VALUE"""),"Recruiting")</f>
        <v>Recruiting</v>
      </c>
      <c r="J42" s="17"/>
      <c r="K42" s="17"/>
      <c r="L42" s="17"/>
      <c r="M42" s="17"/>
      <c r="N42" s="17"/>
      <c r="O42" s="17"/>
    </row>
    <row r="43" spans="1:15" ht="12.5">
      <c r="A43" s="17" t="str">
        <f ca="1">IFERROR(__xludf.DUMMYFUNCTION("""COMPUTED_VALUE"""),"TRX1543")</f>
        <v>TRX1543</v>
      </c>
      <c r="B43" s="86" t="str">
        <f ca="1">IFERROR(__xludf.DUMMYFUNCTION("""COMPUTED_VALUE"""),"#26")</f>
        <v>#26</v>
      </c>
      <c r="C43" s="63">
        <f ca="1">IFERROR(__xludf.DUMMYFUNCTION("""COMPUTED_VALUE"""),46061.4166666666)</f>
        <v>46061.416666666599</v>
      </c>
      <c r="D43" s="65">
        <f ca="1">IFERROR(__xludf.DUMMYFUNCTION("""COMPUTED_VALUE"""),401.3)</f>
        <v>401.3</v>
      </c>
      <c r="E43" s="17" t="str">
        <f ca="1">IFERROR(__xludf.DUMMYFUNCTION("""COMPUTED_VALUE"""),"MXN")</f>
        <v>MXN</v>
      </c>
      <c r="F43" s="17" t="str">
        <f ca="1">IFERROR(__xludf.DUMMYFUNCTION("""COMPUTED_VALUE"""),"Karen Alexandra Ballesteros Contreras")</f>
        <v>Karen Alexandra Ballesteros Contreras</v>
      </c>
      <c r="G43" s="17" t="str">
        <f ca="1">IFERROR(__xludf.DUMMYFUNCTION("""COMPUTED_VALUE"""),"VIVAAEROBUS MOBILE     APODACA NL    MEX")</f>
        <v>VIVAAEROBUS MOBILE     APODACA NL    MEX</v>
      </c>
      <c r="H43" s="17" t="str">
        <f ca="1">IFERROR(__xludf.DUMMYFUNCTION("""COMPUTED_VALUE"""),"Vivaaerobus")</f>
        <v>Vivaaerobus</v>
      </c>
      <c r="I43" s="17" t="str">
        <f ca="1">IFERROR(__xludf.DUMMYFUNCTION("""COMPUTED_VALUE"""),"Recruiting")</f>
        <v>Recruiting</v>
      </c>
      <c r="J43" s="17"/>
      <c r="K43" s="17"/>
      <c r="L43" s="17"/>
      <c r="M43" s="17"/>
      <c r="N43" s="17"/>
      <c r="O43" s="17"/>
    </row>
    <row r="44" spans="1:15" ht="12.5">
      <c r="A44" s="17" t="str">
        <f ca="1">IFERROR(__xludf.DUMMYFUNCTION("""COMPUTED_VALUE"""),"TRX1984")</f>
        <v>TRX1984</v>
      </c>
      <c r="B44" s="86" t="str">
        <f ca="1">IFERROR(__xludf.DUMMYFUNCTION("""COMPUTED_VALUE"""),"#26")</f>
        <v>#26</v>
      </c>
      <c r="C44" s="63">
        <f ca="1">IFERROR(__xludf.DUMMYFUNCTION("""COMPUTED_VALUE"""),46062.4166666666)</f>
        <v>46062.416666666599</v>
      </c>
      <c r="D44" s="65">
        <f ca="1">IFERROR(__xludf.DUMMYFUNCTION("""COMPUTED_VALUE"""),1060.5)</f>
        <v>1060.5</v>
      </c>
      <c r="E44" s="17" t="str">
        <f ca="1">IFERROR(__xludf.DUMMYFUNCTION("""COMPUTED_VALUE"""),"MXN")</f>
        <v>MXN</v>
      </c>
      <c r="F44" s="17" t="str">
        <f ca="1">IFERROR(__xludf.DUMMYFUNCTION("""COMPUTED_VALUE"""),"Karen Alexandra Ballesteros Contreras")</f>
        <v>Karen Alexandra Ballesteros Contreras</v>
      </c>
      <c r="G44" s="17" t="str">
        <f ca="1">IFERROR(__xludf.DUMMYFUNCTION("""COMPUTED_VALUE"""),"TRANS PARTY ON BOARD   CANCUN QROO   MEX")</f>
        <v>TRANS PARTY ON BOARD   CANCUN QROO   MEX</v>
      </c>
      <c r="H44" s="17" t="str">
        <f ca="1">IFERROR(__xludf.DUMMYFUNCTION("""COMPUTED_VALUE"""),"Trans Party On Board Cancun Qroo Mex")</f>
        <v>Trans Party On Board Cancun Qroo Mex</v>
      </c>
      <c r="I44" s="17" t="str">
        <f ca="1">IFERROR(__xludf.DUMMYFUNCTION("""COMPUTED_VALUE"""),"Recruiting")</f>
        <v>Recruiting</v>
      </c>
      <c r="J44" s="17" t="str">
        <f ca="1">IFERROR(__xludf.DUMMYFUNCTION("""COMPUTED_VALUE"""),"PO2009 TRASLADO DE VERACRUZ A CUAUTITLAN")</f>
        <v>PO2009 TRASLADO DE VERACRUZ A CUAUTITLAN</v>
      </c>
      <c r="K44" s="17"/>
      <c r="L44" s="17"/>
      <c r="M44" s="17"/>
      <c r="N44" s="17"/>
      <c r="O44" s="17"/>
    </row>
    <row r="45" spans="1:15" ht="12.5">
      <c r="A45" s="17" t="str">
        <f ca="1">IFERROR(__xludf.DUMMYFUNCTION("""COMPUTED_VALUE"""),"TRX1798")</f>
        <v>TRX1798</v>
      </c>
      <c r="B45" s="86" t="str">
        <f ca="1">IFERROR(__xludf.DUMMYFUNCTION("""COMPUTED_VALUE"""),"#26")</f>
        <v>#26</v>
      </c>
      <c r="C45" s="63">
        <f ca="1">IFERROR(__xludf.DUMMYFUNCTION("""COMPUTED_VALUE"""),46062.4166666666)</f>
        <v>46062.416666666599</v>
      </c>
      <c r="D45" s="65">
        <f ca="1">IFERROR(__xludf.DUMMYFUNCTION("""COMPUTED_VALUE"""),46)</f>
        <v>46</v>
      </c>
      <c r="E45" s="17" t="str">
        <f ca="1">IFERROR(__xludf.DUMMYFUNCTION("""COMPUTED_VALUE"""),"MXN")</f>
        <v>MXN</v>
      </c>
      <c r="F45" s="17" t="str">
        <f ca="1">IFERROR(__xludf.DUMMYFUNCTION("""COMPUTED_VALUE"""),"Karen Alexandra Ballesteros Contreras")</f>
        <v>Karen Alexandra Ballesteros Contreras</v>
      </c>
      <c r="G45" s="17" t="str">
        <f ca="1">IFERROR(__xludf.DUMMYFUNCTION("""COMPUTED_VALUE"""),"D LOCAL*DIDI RIDES     CIUDAD DE MEX MEX")</f>
        <v>D LOCAL*DIDI RIDES     CIUDAD DE MEX MEX</v>
      </c>
      <c r="H45" s="17" t="str">
        <f ca="1">IFERROR(__xludf.DUMMYFUNCTION("""COMPUTED_VALUE"""),"Didi Chuxing")</f>
        <v>Didi Chuxing</v>
      </c>
      <c r="I45" s="17" t="str">
        <f ca="1">IFERROR(__xludf.DUMMYFUNCTION("""COMPUTED_VALUE"""),"Recruiting")</f>
        <v>Recruiting</v>
      </c>
      <c r="J45" s="17" t="str">
        <f ca="1">IFERROR(__xludf.DUMMYFUNCTION("""COMPUTED_VALUE"""),"PO2009 TRASLADO DE VERACRUZ A CUAUTITLAN")</f>
        <v>PO2009 TRASLADO DE VERACRUZ A CUAUTITLAN</v>
      </c>
      <c r="K45" s="17"/>
      <c r="L45" s="17"/>
      <c r="M45" s="17"/>
      <c r="N45" s="17"/>
      <c r="O45" s="17"/>
    </row>
    <row r="46" spans="1:15" ht="12.5">
      <c r="A46" s="17" t="str">
        <f ca="1">IFERROR(__xludf.DUMMYFUNCTION("""COMPUTED_VALUE"""),"TRX1535")</f>
        <v>TRX1535</v>
      </c>
      <c r="B46" s="86" t="str">
        <f ca="1">IFERROR(__xludf.DUMMYFUNCTION("""COMPUTED_VALUE"""),"#26")</f>
        <v>#26</v>
      </c>
      <c r="C46" s="63">
        <f ca="1">IFERROR(__xludf.DUMMYFUNCTION("""COMPUTED_VALUE"""),46063.4166666666)</f>
        <v>46063.416666666599</v>
      </c>
      <c r="D46" s="65">
        <f ca="1">IFERROR(__xludf.DUMMYFUNCTION("""COMPUTED_VALUE"""),387)</f>
        <v>387</v>
      </c>
      <c r="E46" s="17" t="str">
        <f ca="1">IFERROR(__xludf.DUMMYFUNCTION("""COMPUTED_VALUE"""),"MXN")</f>
        <v>MXN</v>
      </c>
      <c r="F46" s="17" t="str">
        <f ca="1">IFERROR(__xludf.DUMMYFUNCTION("""COMPUTED_VALUE"""),"Karen Alexandra Ballesteros Contreras")</f>
        <v>Karen Alexandra Ballesteros Contreras</v>
      </c>
      <c r="G46" s="17" t="str">
        <f ca="1">IFERROR(__xludf.DUMMYFUNCTION("""COMPUTED_VALUE"""),"STARBUCKS AIFA N AMB   MEX           MEX")</f>
        <v>STARBUCKS AIFA N AMB   MEX           MEX</v>
      </c>
      <c r="H46" s="17" t="str">
        <f ca="1">IFERROR(__xludf.DUMMYFUNCTION("""COMPUTED_VALUE"""),"Starbucks")</f>
        <v>Starbucks</v>
      </c>
      <c r="I46" s="17" t="str">
        <f ca="1">IFERROR(__xludf.DUMMYFUNCTION("""COMPUTED_VALUE"""),"Recruiting")</f>
        <v>Recruiting</v>
      </c>
      <c r="J46" s="17" t="str">
        <f ca="1">IFERROR(__xludf.DUMMYFUNCTION("""COMPUTED_VALUE"""),"PEAJES")</f>
        <v>PEAJES</v>
      </c>
      <c r="K46" s="17"/>
      <c r="L46" s="17"/>
      <c r="M46" s="17"/>
      <c r="N46" s="17"/>
      <c r="O46" s="17"/>
    </row>
    <row r="47" spans="1:15" ht="12.5">
      <c r="A47" s="17" t="str">
        <f ca="1">IFERROR(__xludf.DUMMYFUNCTION("""COMPUTED_VALUE"""),"TRX2026")</f>
        <v>TRX2026</v>
      </c>
      <c r="B47" s="86" t="str">
        <f ca="1">IFERROR(__xludf.DUMMYFUNCTION("""COMPUTED_VALUE"""),"#26")</f>
        <v>#26</v>
      </c>
      <c r="C47" s="63">
        <f ca="1">IFERROR(__xludf.DUMMYFUNCTION("""COMPUTED_VALUE"""),46063.4166666666)</f>
        <v>46063.416666666599</v>
      </c>
      <c r="D47" s="17">
        <f ca="1">IFERROR(__xludf.DUMMYFUNCTION("""COMPUTED_VALUE"""),250)</f>
        <v>250</v>
      </c>
      <c r="E47" s="17" t="str">
        <f ca="1">IFERROR(__xludf.DUMMYFUNCTION("""COMPUTED_VALUE"""),"MXN")</f>
        <v>MXN</v>
      </c>
      <c r="F47" s="17" t="str">
        <f ca="1">IFERROR(__xludf.DUMMYFUNCTION("""COMPUTED_VALUE"""),"Karen Alexandra Ballesteros Contreras")</f>
        <v>Karen Alexandra Ballesteros Contreras</v>
      </c>
      <c r="G47" s="17" t="str">
        <f ca="1">IFERROR(__xludf.DUMMYFUNCTION("""COMPUTED_VALUE"""),"D LOCAL*DIDI RIDES     CIUDAD DE MEX MEX")</f>
        <v>D LOCAL*DIDI RIDES     CIUDAD DE MEX MEX</v>
      </c>
      <c r="H47" s="17" t="str">
        <f ca="1">IFERROR(__xludf.DUMMYFUNCTION("""COMPUTED_VALUE"""),"Didi Chuxing")</f>
        <v>Didi Chuxing</v>
      </c>
      <c r="I47" s="17" t="str">
        <f ca="1">IFERROR(__xludf.DUMMYFUNCTION("""COMPUTED_VALUE"""),"Recruiting")</f>
        <v>Recruiting</v>
      </c>
      <c r="J47" s="17"/>
      <c r="K47" s="17"/>
      <c r="L47" s="17"/>
      <c r="M47" s="17"/>
      <c r="N47" s="17"/>
      <c r="O47" s="17"/>
    </row>
    <row r="48" spans="1:15" ht="12.5">
      <c r="A48" s="17" t="str">
        <f ca="1">IFERROR(__xludf.DUMMYFUNCTION("""COMPUTED_VALUE"""),"TRX1423")</f>
        <v>TRX1423</v>
      </c>
      <c r="B48" s="86" t="str">
        <f ca="1">IFERROR(__xludf.DUMMYFUNCTION("""COMPUTED_VALUE"""),"#26")</f>
        <v>#26</v>
      </c>
      <c r="C48" s="63">
        <f ca="1">IFERROR(__xludf.DUMMYFUNCTION("""COMPUTED_VALUE"""),46063.4166666666)</f>
        <v>46063.416666666599</v>
      </c>
      <c r="D48" s="65">
        <f ca="1">IFERROR(__xludf.DUMMYFUNCTION("""COMPUTED_VALUE"""),255)</f>
        <v>255</v>
      </c>
      <c r="E48" s="17" t="str">
        <f ca="1">IFERROR(__xludf.DUMMYFUNCTION("""COMPUTED_VALUE"""),"MXN")</f>
        <v>MXN</v>
      </c>
      <c r="F48" s="17" t="str">
        <f ca="1">IFERROR(__xludf.DUMMYFUNCTION("""COMPUTED_VALUE"""),"Karen Alexandra Ballesteros Contreras")</f>
        <v>Karen Alexandra Ballesteros Contreras</v>
      </c>
      <c r="G48" s="17" t="str">
        <f ca="1">IFERROR(__xludf.DUMMYFUNCTION("""COMPUTED_VALUE"""),"D LOCAL*DIDI RIDES     CIUDAD DE MEX MEX")</f>
        <v>D LOCAL*DIDI RIDES     CIUDAD DE MEX MEX</v>
      </c>
      <c r="H48" s="17" t="str">
        <f ca="1">IFERROR(__xludf.DUMMYFUNCTION("""COMPUTED_VALUE"""),"Didi Chuxing")</f>
        <v>Didi Chuxing</v>
      </c>
      <c r="I48" s="17" t="str">
        <f ca="1">IFERROR(__xludf.DUMMYFUNCTION("""COMPUTED_VALUE"""),"Recruiting")</f>
        <v>Recruiting</v>
      </c>
      <c r="J48" s="17" t="str">
        <f ca="1">IFERROR(__xludf.DUMMYFUNCTION("""COMPUTED_VALUE"""),"PEAJES")</f>
        <v>PEAJES</v>
      </c>
      <c r="K48" s="17"/>
      <c r="L48" s="17"/>
      <c r="M48" s="17"/>
      <c r="N48" s="17"/>
      <c r="O48" s="17"/>
    </row>
    <row r="49" spans="1:15" ht="12.5">
      <c r="A49" s="17" t="str">
        <f ca="1">IFERROR(__xludf.DUMMYFUNCTION("""COMPUTED_VALUE"""),"TRX2010")</f>
        <v>TRX2010</v>
      </c>
      <c r="B49" s="86" t="str">
        <f ca="1">IFERROR(__xludf.DUMMYFUNCTION("""COMPUTED_VALUE"""),"#26")</f>
        <v>#26</v>
      </c>
      <c r="C49" s="63">
        <f ca="1">IFERROR(__xludf.DUMMYFUNCTION("""COMPUTED_VALUE"""),46063.4166666666)</f>
        <v>46063.416666666599</v>
      </c>
      <c r="D49" s="17">
        <f ca="1">IFERROR(__xludf.DUMMYFUNCTION("""COMPUTED_VALUE"""),277)</f>
        <v>277</v>
      </c>
      <c r="E49" s="17" t="str">
        <f ca="1">IFERROR(__xludf.DUMMYFUNCTION("""COMPUTED_VALUE"""),"MXN")</f>
        <v>MXN</v>
      </c>
      <c r="F49" s="17" t="str">
        <f ca="1">IFERROR(__xludf.DUMMYFUNCTION("""COMPUTED_VALUE"""),"Karen Alexandra Ballesteros Contreras")</f>
        <v>Karen Alexandra Ballesteros Contreras</v>
      </c>
      <c r="G49" s="17" t="str">
        <f ca="1">IFERROR(__xludf.DUMMYFUNCTION("""COMPUTED_VALUE"""),"D LOCAL*DIDI RIDES     CIUDAD DE MEX MEX")</f>
        <v>D LOCAL*DIDI RIDES     CIUDAD DE MEX MEX</v>
      </c>
      <c r="H49" s="17" t="str">
        <f ca="1">IFERROR(__xludf.DUMMYFUNCTION("""COMPUTED_VALUE"""),"Didi Chuxing")</f>
        <v>Didi Chuxing</v>
      </c>
      <c r="I49" s="17" t="str">
        <f ca="1">IFERROR(__xludf.DUMMYFUNCTION("""COMPUTED_VALUE"""),"Recruiting")</f>
        <v>Recruiting</v>
      </c>
      <c r="J49" s="17"/>
      <c r="K49" s="17"/>
      <c r="L49" s="17"/>
      <c r="M49" s="17"/>
      <c r="N49" s="17"/>
      <c r="O49" s="17"/>
    </row>
    <row r="50" spans="1:15" ht="12.5">
      <c r="A50" s="17" t="str">
        <f ca="1">IFERROR(__xludf.DUMMYFUNCTION("""COMPUTED_VALUE"""),"TRX1469")</f>
        <v>TRX1469</v>
      </c>
      <c r="B50" s="86" t="str">
        <f ca="1">IFERROR(__xludf.DUMMYFUNCTION("""COMPUTED_VALUE"""),"#26")</f>
        <v>#26</v>
      </c>
      <c r="C50" s="63">
        <f ca="1">IFERROR(__xludf.DUMMYFUNCTION("""COMPUTED_VALUE"""),46063.4166666666)</f>
        <v>46063.416666666599</v>
      </c>
      <c r="D50" s="65">
        <f ca="1">IFERROR(__xludf.DUMMYFUNCTION("""COMPUTED_VALUE"""),81.94)</f>
        <v>81.94</v>
      </c>
      <c r="E50" s="17" t="str">
        <f ca="1">IFERROR(__xludf.DUMMYFUNCTION("""COMPUTED_VALUE"""),"MXN")</f>
        <v>MXN</v>
      </c>
      <c r="F50" s="17" t="str">
        <f ca="1">IFERROR(__xludf.DUMMYFUNCTION("""COMPUTED_VALUE"""),"Karen Alexandra Ballesteros Contreras")</f>
        <v>Karen Alexandra Ballesteros Contreras</v>
      </c>
      <c r="G50" s="17" t="str">
        <f ca="1">IFERROR(__xludf.DUMMYFUNCTION("""COMPUTED_VALUE"""),"DLO*DIDI RIDES         MEXICO        MEX")</f>
        <v>DLO*DIDI RIDES         MEXICO        MEX</v>
      </c>
      <c r="H50" s="17" t="str">
        <f ca="1">IFERROR(__xludf.DUMMYFUNCTION("""COMPUTED_VALUE"""),"Didi Chuxing")</f>
        <v>Didi Chuxing</v>
      </c>
      <c r="I50" s="17" t="str">
        <f ca="1">IFERROR(__xludf.DUMMYFUNCTION("""COMPUTED_VALUE"""),"Recruiting")</f>
        <v>Recruiting</v>
      </c>
      <c r="J50" s="17" t="str">
        <f ca="1">IFERROR(__xludf.DUMMYFUNCTION("""COMPUTED_VALUE"""),"PO2009 HOSPEDAJE")</f>
        <v>PO2009 HOSPEDAJE</v>
      </c>
      <c r="K50" s="17"/>
      <c r="L50" s="17"/>
      <c r="M50" s="17"/>
      <c r="N50" s="17"/>
      <c r="O50" s="17"/>
    </row>
    <row r="51" spans="1:15" ht="12.5">
      <c r="A51" s="17" t="str">
        <f ca="1">IFERROR(__xludf.DUMMYFUNCTION("""COMPUTED_VALUE"""),"TRX1081")</f>
        <v>TRX1081</v>
      </c>
      <c r="B51" s="86" t="str">
        <f ca="1">IFERROR(__xludf.DUMMYFUNCTION("""COMPUTED_VALUE"""),"#26")</f>
        <v>#26</v>
      </c>
      <c r="C51" s="63">
        <f ca="1">IFERROR(__xludf.DUMMYFUNCTION("""COMPUTED_VALUE"""),46063.4166666666)</f>
        <v>46063.416666666599</v>
      </c>
      <c r="D51" s="65">
        <f ca="1">IFERROR(__xludf.DUMMYFUNCTION("""COMPUTED_VALUE"""),218)</f>
        <v>218</v>
      </c>
      <c r="E51" s="17" t="str">
        <f ca="1">IFERROR(__xludf.DUMMYFUNCTION("""COMPUTED_VALUE"""),"MXN")</f>
        <v>MXN</v>
      </c>
      <c r="F51" s="17" t="str">
        <f ca="1">IFERROR(__xludf.DUMMYFUNCTION("""COMPUTED_VALUE"""),"Karen Alexandra Ballesteros Contreras")</f>
        <v>Karen Alexandra Ballesteros Contreras</v>
      </c>
      <c r="G51" s="17" t="str">
        <f ca="1">IFERROR(__xludf.DUMMYFUNCTION("""COMPUTED_VALUE"""),"D LOCAL*DIDI RIDES     CIUDAD DE MEX MEX")</f>
        <v>D LOCAL*DIDI RIDES     CIUDAD DE MEX MEX</v>
      </c>
      <c r="H51" s="17" t="str">
        <f ca="1">IFERROR(__xludf.DUMMYFUNCTION("""COMPUTED_VALUE"""),"Didi Chuxing")</f>
        <v>Didi Chuxing</v>
      </c>
      <c r="I51" s="17" t="str">
        <f ca="1">IFERROR(__xludf.DUMMYFUNCTION("""COMPUTED_VALUE"""),"Recruiting")</f>
        <v>Recruiting</v>
      </c>
      <c r="J51" s="17" t="str">
        <f ca="1">IFERROR(__xludf.DUMMYFUNCTION("""COMPUTED_VALUE"""),"PO2009 DESAYUNO CON IVAN")</f>
        <v>PO2009 DESAYUNO CON IVAN</v>
      </c>
      <c r="K51" s="17"/>
      <c r="L51" s="17"/>
      <c r="M51" s="17"/>
      <c r="N51" s="17"/>
      <c r="O51" s="17"/>
    </row>
    <row r="52" spans="1:15" ht="12.5">
      <c r="A52" s="17" t="str">
        <f ca="1">IFERROR(__xludf.DUMMYFUNCTION("""COMPUTED_VALUE"""),"TRX2011")</f>
        <v>TRX2011</v>
      </c>
      <c r="B52" s="86" t="str">
        <f ca="1">IFERROR(__xludf.DUMMYFUNCTION("""COMPUTED_VALUE"""),"#26")</f>
        <v>#26</v>
      </c>
      <c r="C52" s="63">
        <f ca="1">IFERROR(__xludf.DUMMYFUNCTION("""COMPUTED_VALUE"""),46063.4166666666)</f>
        <v>46063.416666666599</v>
      </c>
      <c r="D52" s="17">
        <f ca="1">IFERROR(__xludf.DUMMYFUNCTION("""COMPUTED_VALUE"""),277)</f>
        <v>277</v>
      </c>
      <c r="E52" s="17" t="str">
        <f ca="1">IFERROR(__xludf.DUMMYFUNCTION("""COMPUTED_VALUE"""),"MXN")</f>
        <v>MXN</v>
      </c>
      <c r="F52" s="17" t="str">
        <f ca="1">IFERROR(__xludf.DUMMYFUNCTION("""COMPUTED_VALUE"""),"Karen Alexandra Ballesteros Contreras")</f>
        <v>Karen Alexandra Ballesteros Contreras</v>
      </c>
      <c r="G52" s="17" t="str">
        <f ca="1">IFERROR(__xludf.DUMMYFUNCTION("""COMPUTED_VALUE"""),"20260208T01:01:01/D LOCAL*DIDI RIDES\UNKNOWN\UNKNOWN\06500        MEX")</f>
        <v>20260208T01:01:01/D LOCAL*DIDI RIDES\UNKNOWN\UNKNOWN\06500        MEX</v>
      </c>
      <c r="H52" s="17" t="str">
        <f ca="1">IFERROR(__xludf.DUMMYFUNCTION("""COMPUTED_VALUE"""),"Didi Chuxing")</f>
        <v>Didi Chuxing</v>
      </c>
      <c r="I52" s="17" t="str">
        <f ca="1">IFERROR(__xludf.DUMMYFUNCTION("""COMPUTED_VALUE"""),"Recruiting")</f>
        <v>Recruiting</v>
      </c>
      <c r="J52" s="17" t="str">
        <f ca="1">IFERROR(__xludf.DUMMYFUNCTION("""COMPUTED_VALUE"""),"PO2009 TRASLADOS A ASIPONA")</f>
        <v>PO2009 TRASLADOS A ASIPONA</v>
      </c>
      <c r="K52" s="17"/>
      <c r="L52" s="17"/>
      <c r="M52" s="17"/>
      <c r="N52" s="17"/>
      <c r="O52" s="17"/>
    </row>
    <row r="53" spans="1:15" ht="12.5">
      <c r="A53" s="17" t="str">
        <f ca="1">IFERROR(__xludf.DUMMYFUNCTION("""COMPUTED_VALUE"""),"TRX1330")</f>
        <v>TRX1330</v>
      </c>
      <c r="B53" s="86" t="str">
        <f ca="1">IFERROR(__xludf.DUMMYFUNCTION("""COMPUTED_VALUE"""),"#26")</f>
        <v>#26</v>
      </c>
      <c r="C53" s="63">
        <f ca="1">IFERROR(__xludf.DUMMYFUNCTION("""COMPUTED_VALUE"""),46063.4166666666)</f>
        <v>46063.416666666599</v>
      </c>
      <c r="D53" s="65">
        <f ca="1">IFERROR(__xludf.DUMMYFUNCTION("""COMPUTED_VALUE"""),218)</f>
        <v>218</v>
      </c>
      <c r="E53" s="17" t="str">
        <f ca="1">IFERROR(__xludf.DUMMYFUNCTION("""COMPUTED_VALUE"""),"MXN")</f>
        <v>MXN</v>
      </c>
      <c r="F53" s="17" t="str">
        <f ca="1">IFERROR(__xludf.DUMMYFUNCTION("""COMPUTED_VALUE"""),"Karen Alexandra Ballesteros Contreras")</f>
        <v>Karen Alexandra Ballesteros Contreras</v>
      </c>
      <c r="G53" s="17" t="str">
        <f ca="1">IFERROR(__xludf.DUMMYFUNCTION("""COMPUTED_VALUE"""),"20260208T01:01:01/D LOCAL*DIDI RIDES\UNKNOWN\UNKNOWN\06500        MEX")</f>
        <v>20260208T01:01:01/D LOCAL*DIDI RIDES\UNKNOWN\UNKNOWN\06500        MEX</v>
      </c>
      <c r="H53" s="17" t="str">
        <f ca="1">IFERROR(__xludf.DUMMYFUNCTION("""COMPUTED_VALUE"""),"Didi Chuxing")</f>
        <v>Didi Chuxing</v>
      </c>
      <c r="I53" s="17" t="str">
        <f ca="1">IFERROR(__xludf.DUMMYFUNCTION("""COMPUTED_VALUE"""),"Recruiting")</f>
        <v>Recruiting</v>
      </c>
      <c r="J53" s="17" t="str">
        <f ca="1">IFERROR(__xludf.DUMMYFUNCTION("""COMPUTED_VALUE"""),"PO2009 TRASLADOS A ASIPONA")</f>
        <v>PO2009 TRASLADOS A ASIPONA</v>
      </c>
      <c r="K53" s="17"/>
      <c r="L53" s="17"/>
      <c r="M53" s="17"/>
      <c r="N53" s="17"/>
      <c r="O53" s="17"/>
    </row>
    <row r="54" spans="1:15" ht="12.5">
      <c r="A54" s="17" t="str">
        <f ca="1">IFERROR(__xludf.DUMMYFUNCTION("""COMPUTED_VALUE"""),"TRX1781")</f>
        <v>TRX1781</v>
      </c>
      <c r="B54" s="86" t="str">
        <f ca="1">IFERROR(__xludf.DUMMYFUNCTION("""COMPUTED_VALUE"""),"#26")</f>
        <v>#26</v>
      </c>
      <c r="C54" s="63">
        <f ca="1">IFERROR(__xludf.DUMMYFUNCTION("""COMPUTED_VALUE"""),46064.4166666666)</f>
        <v>46064.416666666599</v>
      </c>
      <c r="D54" s="65">
        <f ca="1">IFERROR(__xludf.DUMMYFUNCTION("""COMPUTED_VALUE"""),370)</f>
        <v>370</v>
      </c>
      <c r="E54" s="17" t="str">
        <f ca="1">IFERROR(__xludf.DUMMYFUNCTION("""COMPUTED_VALUE"""),"MXN")</f>
        <v>MXN</v>
      </c>
      <c r="F54" s="17" t="str">
        <f ca="1">IFERROR(__xludf.DUMMYFUNCTION("""COMPUTED_VALUE"""),"Karen Alexandra Ballesteros Contreras")</f>
        <v>Karen Alexandra Ballesteros Contreras</v>
      </c>
      <c r="G54" s="17" t="str">
        <f ca="1">IFERROR(__xludf.DUMMYFUNCTION("""COMPUTED_VALUE"""),"D LOCAL*DIDI RIDES     CIUDAD DE MEX MEX")</f>
        <v>D LOCAL*DIDI RIDES     CIUDAD DE MEX MEX</v>
      </c>
      <c r="H54" s="17" t="str">
        <f ca="1">IFERROR(__xludf.DUMMYFUNCTION("""COMPUTED_VALUE"""),"Didi Chuxing")</f>
        <v>Didi Chuxing</v>
      </c>
      <c r="I54" s="17" t="str">
        <f ca="1">IFERROR(__xludf.DUMMYFUNCTION("""COMPUTED_VALUE"""),"Recruiting")</f>
        <v>Recruiting</v>
      </c>
      <c r="J54" s="17" t="str">
        <f ca="1">IFERROR(__xludf.DUMMYFUNCTION("""COMPUTED_VALUE"""),"PO2009 TRASLADOS A ASIPONA")</f>
        <v>PO2009 TRASLADOS A ASIPONA</v>
      </c>
      <c r="K54" s="17" t="str">
        <f ca="1">IFERROR(__xludf.DUMMYFUNCTION("""COMPUTED_VALUE"""),"24378126-5064-4591-863E-48B723B679EE")</f>
        <v>24378126-5064-4591-863E-48B723B679EE</v>
      </c>
      <c r="L54" s="17"/>
      <c r="M54" s="17"/>
      <c r="N54" s="17"/>
      <c r="O54" s="17"/>
    </row>
    <row r="55" spans="1:15" ht="12.5">
      <c r="A55" s="17" t="str">
        <f ca="1">IFERROR(__xludf.DUMMYFUNCTION("""COMPUTED_VALUE"""),"TRX1790")</f>
        <v>TRX1790</v>
      </c>
      <c r="B55" s="86" t="str">
        <f ca="1">IFERROR(__xludf.DUMMYFUNCTION("""COMPUTED_VALUE"""),"#26")</f>
        <v>#26</v>
      </c>
      <c r="C55" s="63">
        <f ca="1">IFERROR(__xludf.DUMMYFUNCTION("""COMPUTED_VALUE"""),46064.4166666666)</f>
        <v>46064.416666666599</v>
      </c>
      <c r="D55" s="65">
        <f ca="1">IFERROR(__xludf.DUMMYFUNCTION("""COMPUTED_VALUE"""),254)</f>
        <v>254</v>
      </c>
      <c r="E55" s="17" t="str">
        <f ca="1">IFERROR(__xludf.DUMMYFUNCTION("""COMPUTED_VALUE"""),"MXN")</f>
        <v>MXN</v>
      </c>
      <c r="F55" s="17" t="str">
        <f ca="1">IFERROR(__xludf.DUMMYFUNCTION("""COMPUTED_VALUE"""),"Karen Alexandra Ballesteros Contreras")</f>
        <v>Karen Alexandra Ballesteros Contreras</v>
      </c>
      <c r="G55" s="17" t="str">
        <f ca="1">IFERROR(__xludf.DUMMYFUNCTION("""COMPUTED_VALUE"""),"D LOCAL*DIDI RIDES     CIUDAD DE MEX MEX")</f>
        <v>D LOCAL*DIDI RIDES     CIUDAD DE MEX MEX</v>
      </c>
      <c r="H55" s="17" t="str">
        <f ca="1">IFERROR(__xludf.DUMMYFUNCTION("""COMPUTED_VALUE"""),"Didi Chuxing")</f>
        <v>Didi Chuxing</v>
      </c>
      <c r="I55" s="17" t="str">
        <f ca="1">IFERROR(__xludf.DUMMYFUNCTION("""COMPUTED_VALUE"""),"Recruiting")</f>
        <v>Recruiting</v>
      </c>
      <c r="J55" s="17" t="str">
        <f ca="1">IFERROR(__xludf.DUMMYFUNCTION("""COMPUTED_VALUE"""),"PO2009 TRASLADOS A ASIPONA")</f>
        <v>PO2009 TRASLADOS A ASIPONA</v>
      </c>
      <c r="K55" s="17" t="str">
        <f ca="1">IFERROR(__xludf.DUMMYFUNCTION("""COMPUTED_VALUE"""),"53C20633-0781-")</f>
        <v>53C20633-0781-</v>
      </c>
      <c r="L55" s="17"/>
      <c r="M55" s="17"/>
      <c r="N55" s="17"/>
      <c r="O55" s="17"/>
    </row>
    <row r="56" spans="1:15" ht="12.5">
      <c r="A56" s="17" t="str">
        <f ca="1">IFERROR(__xludf.DUMMYFUNCTION("""COMPUTED_VALUE"""),"TRX1386")</f>
        <v>TRX1386</v>
      </c>
      <c r="B56" s="86" t="str">
        <f ca="1">IFERROR(__xludf.DUMMYFUNCTION("""COMPUTED_VALUE"""),"#26")</f>
        <v>#26</v>
      </c>
      <c r="C56" s="63">
        <f ca="1">IFERROR(__xludf.DUMMYFUNCTION("""COMPUTED_VALUE"""),46064.4166666666)</f>
        <v>46064.416666666599</v>
      </c>
      <c r="D56" s="65">
        <f ca="1">IFERROR(__xludf.DUMMYFUNCTION("""COMPUTED_VALUE"""),300.82)</f>
        <v>300.82</v>
      </c>
      <c r="E56" s="17" t="str">
        <f ca="1">IFERROR(__xludf.DUMMYFUNCTION("""COMPUTED_VALUE"""),"MXN")</f>
        <v>MXN</v>
      </c>
      <c r="F56" s="17" t="str">
        <f ca="1">IFERROR(__xludf.DUMMYFUNCTION("""COMPUTED_VALUE"""),"Karen Alexandra Ballesteros Contreras")</f>
        <v>Karen Alexandra Ballesteros Contreras</v>
      </c>
      <c r="G56" s="17" t="str">
        <f ca="1">IFERROR(__xludf.DUMMYFUNCTION("""COMPUTED_VALUE"""),"D LOCAL*DIDI RIDES     CIUDAD DE MEX MEX")</f>
        <v>D LOCAL*DIDI RIDES     CIUDAD DE MEX MEX</v>
      </c>
      <c r="H56" s="17" t="str">
        <f ca="1">IFERROR(__xludf.DUMMYFUNCTION("""COMPUTED_VALUE"""),"Didi Chuxing")</f>
        <v>Didi Chuxing</v>
      </c>
      <c r="I56" s="17" t="str">
        <f ca="1">IFERROR(__xludf.DUMMYFUNCTION("""COMPUTED_VALUE"""),"Recruiting")</f>
        <v>Recruiting</v>
      </c>
      <c r="J56" s="17" t="str">
        <f ca="1">IFERROR(__xludf.DUMMYFUNCTION("""COMPUTED_VALUE"""),"PO2009 VERACRUZ A AIFA")</f>
        <v>PO2009 VERACRUZ A AIFA</v>
      </c>
      <c r="K56" s="17" t="str">
        <f ca="1">IFERROR(__xludf.DUMMYFUNCTION("""COMPUTED_VALUE"""),"92C6F08C-0605-596A-927A-739835AD638A")</f>
        <v>92C6F08C-0605-596A-927A-739835AD638A</v>
      </c>
      <c r="L56" s="17"/>
      <c r="M56" s="17"/>
      <c r="N56" s="17"/>
      <c r="O56" s="17"/>
    </row>
    <row r="57" spans="1:15" ht="12.5">
      <c r="A57" s="17" t="str">
        <f ca="1">IFERROR(__xludf.DUMMYFUNCTION("""COMPUTED_VALUE"""),"TRX1286")</f>
        <v>TRX1286</v>
      </c>
      <c r="B57" s="86" t="str">
        <f ca="1">IFERROR(__xludf.DUMMYFUNCTION("""COMPUTED_VALUE"""),"#26")</f>
        <v>#26</v>
      </c>
      <c r="C57" s="63">
        <f ca="1">IFERROR(__xludf.DUMMYFUNCTION("""COMPUTED_VALUE"""),46064.4173611111)</f>
        <v>46064.417361111096</v>
      </c>
      <c r="D57" s="65">
        <f ca="1">IFERROR(__xludf.DUMMYFUNCTION("""COMPUTED_VALUE"""),254)</f>
        <v>254</v>
      </c>
      <c r="E57" s="17" t="str">
        <f ca="1">IFERROR(__xludf.DUMMYFUNCTION("""COMPUTED_VALUE"""),"MXN")</f>
        <v>MXN</v>
      </c>
      <c r="F57" s="17" t="str">
        <f ca="1">IFERROR(__xludf.DUMMYFUNCTION("""COMPUTED_VALUE"""),"Karen Alexandra Ballesteros Contreras")</f>
        <v>Karen Alexandra Ballesteros Contreras</v>
      </c>
      <c r="G57" s="17" t="str">
        <f ca="1">IFERROR(__xludf.DUMMYFUNCTION("""COMPUTED_VALUE"""),"20260209T01:01:01/D LOCAL*DIDI RIDES\UNKNOWN\UNKNOWN\06500        MEX")</f>
        <v>20260209T01:01:01/D LOCAL*DIDI RIDES\UNKNOWN\UNKNOWN\06500        MEX</v>
      </c>
      <c r="H57" s="17" t="str">
        <f ca="1">IFERROR(__xludf.DUMMYFUNCTION("""COMPUTED_VALUE"""),"Didi Chuxing")</f>
        <v>Didi Chuxing</v>
      </c>
      <c r="I57" s="17" t="str">
        <f ca="1">IFERROR(__xludf.DUMMYFUNCTION("""COMPUTED_VALUE"""),"Recruiting")</f>
        <v>Recruiting</v>
      </c>
      <c r="J57" s="17" t="str">
        <f ca="1">IFERROR(__xludf.DUMMYFUNCTION("""COMPUTED_VALUE"""),"PO2009 TRASLADOS A ASIPONA")</f>
        <v>PO2009 TRASLADOS A ASIPONA</v>
      </c>
      <c r="K57" s="17"/>
      <c r="L57" s="17"/>
      <c r="M57" s="17"/>
      <c r="N57" s="17"/>
      <c r="O57" s="17"/>
    </row>
    <row r="58" spans="1:15" ht="12.5">
      <c r="A58" s="17" t="str">
        <f ca="1">IFERROR(__xludf.DUMMYFUNCTION("""COMPUTED_VALUE"""),"TRX1562")</f>
        <v>TRX1562</v>
      </c>
      <c r="B58" s="86" t="str">
        <f ca="1">IFERROR(__xludf.DUMMYFUNCTION("""COMPUTED_VALUE"""),"#26")</f>
        <v>#26</v>
      </c>
      <c r="C58" s="63">
        <f ca="1">IFERROR(__xludf.DUMMYFUNCTION("""COMPUTED_VALUE"""),46064.4173611111)</f>
        <v>46064.417361111096</v>
      </c>
      <c r="D58" s="65">
        <f ca="1">IFERROR(__xludf.DUMMYFUNCTION("""COMPUTED_VALUE"""),187)</f>
        <v>187</v>
      </c>
      <c r="E58" s="17" t="str">
        <f ca="1">IFERROR(__xludf.DUMMYFUNCTION("""COMPUTED_VALUE"""),"MXN")</f>
        <v>MXN</v>
      </c>
      <c r="F58" s="17" t="str">
        <f ca="1">IFERROR(__xludf.DUMMYFUNCTION("""COMPUTED_VALUE"""),"Karen Alexandra Ballesteros Contreras")</f>
        <v>Karen Alexandra Ballesteros Contreras</v>
      </c>
      <c r="G58" s="17" t="str">
        <f ca="1">IFERROR(__xludf.DUMMYFUNCTION("""COMPUTED_VALUE"""),"OLI CAFE NT            CIUDAD DE MEX MEX")</f>
        <v>OLI CAFE NT            CIUDAD DE MEX MEX</v>
      </c>
      <c r="H58" s="17" t="str">
        <f ca="1">IFERROR(__xludf.DUMMYFUNCTION("""COMPUTED_VALUE"""),"Oli Cafe Nt Ciudad De Mex Mex")</f>
        <v>Oli Cafe Nt Ciudad De Mex Mex</v>
      </c>
      <c r="I58" s="17" t="str">
        <f ca="1">IFERROR(__xludf.DUMMYFUNCTION("""COMPUTED_VALUE"""),"Recruiting")</f>
        <v>Recruiting</v>
      </c>
      <c r="J58" s="17" t="str">
        <f ca="1">IFERROR(__xludf.DUMMYFUNCTION("""COMPUTED_VALUE"""),"PO2009 TRASLADOS A ASIPONA")</f>
        <v>PO2009 TRASLADOS A ASIPONA</v>
      </c>
      <c r="K58" s="17"/>
      <c r="L58" s="17"/>
      <c r="M58" s="17"/>
      <c r="N58" s="17"/>
      <c r="O58" s="17"/>
    </row>
    <row r="59" spans="1:15" ht="12.5">
      <c r="A59" s="17" t="str">
        <f ca="1">IFERROR(__xludf.DUMMYFUNCTION("""COMPUTED_VALUE"""),"TRX1197")</f>
        <v>TRX1197</v>
      </c>
      <c r="B59" s="86" t="str">
        <f ca="1">IFERROR(__xludf.DUMMYFUNCTION("""COMPUTED_VALUE"""),"#26")</f>
        <v>#26</v>
      </c>
      <c r="C59" s="63">
        <f ca="1">IFERROR(__xludf.DUMMYFUNCTION("""COMPUTED_VALUE"""),46064.4173611111)</f>
        <v>46064.417361111096</v>
      </c>
      <c r="D59" s="65">
        <f ca="1">IFERROR(__xludf.DUMMYFUNCTION("""COMPUTED_VALUE"""),210)</f>
        <v>210</v>
      </c>
      <c r="E59" s="17" t="str">
        <f ca="1">IFERROR(__xludf.DUMMYFUNCTION("""COMPUTED_VALUE"""),"MXN")</f>
        <v>MXN</v>
      </c>
      <c r="F59" s="17" t="str">
        <f ca="1">IFERROR(__xludf.DUMMYFUNCTION("""COMPUTED_VALUE"""),"Karen Alexandra Ballesteros Contreras")</f>
        <v>Karen Alexandra Ballesteros Contreras</v>
      </c>
      <c r="G59" s="17" t="str">
        <f ca="1">IFERROR(__xludf.DUMMYFUNCTION("""COMPUTED_VALUE"""),"CAMINANTE AEROPUERTO   CUAUTITLAN IZ MEX")</f>
        <v>CAMINANTE AEROPUERTO   CUAUTITLAN IZ MEX</v>
      </c>
      <c r="H59" s="17" t="str">
        <f ca="1">IFERROR(__xludf.DUMMYFUNCTION("""COMPUTED_VALUE"""),"Caminante Aeropuerto Cuautitlan Iz Mex")</f>
        <v>Caminante Aeropuerto Cuautitlan Iz Mex</v>
      </c>
      <c r="I59" s="17" t="str">
        <f ca="1">IFERROR(__xludf.DUMMYFUNCTION("""COMPUTED_VALUE"""),"Recruiting")</f>
        <v>Recruiting</v>
      </c>
      <c r="J59" s="17" t="str">
        <f ca="1">IFERROR(__xludf.DUMMYFUNCTION("""COMPUTED_VALUE"""),"PO2009 TRASLADOS A ASIPONA")</f>
        <v>PO2009 TRASLADOS A ASIPONA</v>
      </c>
      <c r="K59" s="17" t="str">
        <f ca="1">IFERROR(__xludf.DUMMYFUNCTION("""COMPUTED_VALUE"""),"18BBB523-DFB4-5737-B21F-2EEAA6E1E753")</f>
        <v>18BBB523-DFB4-5737-B21F-2EEAA6E1E753</v>
      </c>
      <c r="L59" s="17"/>
      <c r="M59" s="17"/>
      <c r="N59" s="17"/>
      <c r="O59" s="17"/>
    </row>
    <row r="60" spans="1:15" ht="12.5">
      <c r="A60" s="17" t="str">
        <f ca="1">IFERROR(__xludf.DUMMYFUNCTION("""COMPUTED_VALUE"""),"TRX1819")</f>
        <v>TRX1819</v>
      </c>
      <c r="B60" s="86" t="str">
        <f ca="1">IFERROR(__xludf.DUMMYFUNCTION("""COMPUTED_VALUE"""),"#26")</f>
        <v>#26</v>
      </c>
      <c r="C60" s="63">
        <f ca="1">IFERROR(__xludf.DUMMYFUNCTION("""COMPUTED_VALUE"""),46065.4166666666)</f>
        <v>46065.416666666599</v>
      </c>
      <c r="D60" s="65">
        <f ca="1">IFERROR(__xludf.DUMMYFUNCTION("""COMPUTED_VALUE"""),141)</f>
        <v>141</v>
      </c>
      <c r="E60" s="17" t="str">
        <f ca="1">IFERROR(__xludf.DUMMYFUNCTION("""COMPUTED_VALUE"""),"MXN")</f>
        <v>MXN</v>
      </c>
      <c r="F60" s="17" t="str">
        <f ca="1">IFERROR(__xludf.DUMMYFUNCTION("""COMPUTED_VALUE"""),"Karen Alexandra Ballesteros Contreras")</f>
        <v>Karen Alexandra Ballesteros Contreras</v>
      </c>
      <c r="G60" s="17" t="str">
        <f ca="1">IFERROR(__xludf.DUMMYFUNCTION("""COMPUTED_VALUE"""),"D LOCAL*DIDI RIDES     CIUDAD DE MEX MEX")</f>
        <v>D LOCAL*DIDI RIDES     CIUDAD DE MEX MEX</v>
      </c>
      <c r="H60" s="17" t="str">
        <f ca="1">IFERROR(__xludf.DUMMYFUNCTION("""COMPUTED_VALUE"""),"Didi Chuxing")</f>
        <v>Didi Chuxing</v>
      </c>
      <c r="I60" s="17" t="str">
        <f ca="1">IFERROR(__xludf.DUMMYFUNCTION("""COMPUTED_VALUE"""),"Recruiting")</f>
        <v>Recruiting</v>
      </c>
      <c r="J60" s="17" t="str">
        <f ca="1">IFERROR(__xludf.DUMMYFUNCTION("""COMPUTED_VALUE"""),"PO2009 TRASLADOS A ASIPONA")</f>
        <v>PO2009 TRASLADOS A ASIPONA</v>
      </c>
      <c r="K60" s="17" t="str">
        <f ca="1">IFERROR(__xludf.DUMMYFUNCTION("""COMPUTED_VALUE"""),"570F6C1F-AFFD-461E-83C2-213401D128C7")</f>
        <v>570F6C1F-AFFD-461E-83C2-213401D128C7</v>
      </c>
      <c r="L60" s="17"/>
      <c r="M60" s="17"/>
      <c r="N60" s="17"/>
      <c r="O60" s="17"/>
    </row>
    <row r="61" spans="1:15" ht="12.5">
      <c r="A61" s="17" t="str">
        <f ca="1">IFERROR(__xludf.DUMMYFUNCTION("""COMPUTED_VALUE"""),"TRX1654")</f>
        <v>TRX1654</v>
      </c>
      <c r="B61" s="86" t="str">
        <f ca="1">IFERROR(__xludf.DUMMYFUNCTION("""COMPUTED_VALUE"""),"#26")</f>
        <v>#26</v>
      </c>
      <c r="C61" s="63">
        <f ca="1">IFERROR(__xludf.DUMMYFUNCTION("""COMPUTED_VALUE"""),46065.4166666666)</f>
        <v>46065.416666666599</v>
      </c>
      <c r="D61" s="65">
        <f ca="1">IFERROR(__xludf.DUMMYFUNCTION("""COMPUTED_VALUE"""),335)</f>
        <v>335</v>
      </c>
      <c r="E61" s="17" t="str">
        <f ca="1">IFERROR(__xludf.DUMMYFUNCTION("""COMPUTED_VALUE"""),"MXN")</f>
        <v>MXN</v>
      </c>
      <c r="F61" s="17" t="str">
        <f ca="1">IFERROR(__xludf.DUMMYFUNCTION("""COMPUTED_VALUE"""),"Karen Alexandra Ballesteros Contreras")</f>
        <v>Karen Alexandra Ballesteros Contreras</v>
      </c>
      <c r="G61" s="17" t="str">
        <f ca="1">IFERROR(__xludf.DUMMYFUNCTION("""COMPUTED_VALUE"""),"MISC PITS TOL ZIT      ALMOLOYA DE J MEX")</f>
        <v>MISC PITS TOL ZIT      ALMOLOYA DE J MEX</v>
      </c>
      <c r="H61" s="17" t="str">
        <f ca="1">IFERROR(__xludf.DUMMYFUNCTION("""COMPUTED_VALUE"""),"Misc Pits Tol Zit Almoloya De J Mex")</f>
        <v>Misc Pits Tol Zit Almoloya De J Mex</v>
      </c>
      <c r="I61" s="17" t="str">
        <f ca="1">IFERROR(__xludf.DUMMYFUNCTION("""COMPUTED_VALUE"""),"Recruiting")</f>
        <v>Recruiting</v>
      </c>
      <c r="J61" s="17" t="str">
        <f ca="1">IFERROR(__xludf.DUMMYFUNCTION("""COMPUTED_VALUE"""),"PO2009 TRASLADOS A ASIPONA")</f>
        <v>PO2009 TRASLADOS A ASIPONA</v>
      </c>
      <c r="K61" s="17"/>
      <c r="L61" s="17"/>
      <c r="M61" s="17"/>
      <c r="N61" s="17"/>
      <c r="O61" s="17"/>
    </row>
    <row r="62" spans="1:15" ht="12.5">
      <c r="A62" s="17" t="str">
        <f ca="1">IFERROR(__xludf.DUMMYFUNCTION("""COMPUTED_VALUE"""),"TRX1960")</f>
        <v>TRX1960</v>
      </c>
      <c r="B62" s="86" t="str">
        <f ca="1">IFERROR(__xludf.DUMMYFUNCTION("""COMPUTED_VALUE"""),"#26")</f>
        <v>#26</v>
      </c>
      <c r="C62" s="63">
        <f ca="1">IFERROR(__xludf.DUMMYFUNCTION("""COMPUTED_VALUE"""),46065.4173611111)</f>
        <v>46065.417361111096</v>
      </c>
      <c r="D62" s="65">
        <f ca="1">IFERROR(__xludf.DUMMYFUNCTION("""COMPUTED_VALUE"""),1149)</f>
        <v>1149</v>
      </c>
      <c r="E62" s="17" t="str">
        <f ca="1">IFERROR(__xludf.DUMMYFUNCTION("""COMPUTED_VALUE"""),"MXN")</f>
        <v>MXN</v>
      </c>
      <c r="F62" s="17" t="str">
        <f ca="1">IFERROR(__xludf.DUMMYFUNCTION("""COMPUTED_VALUE"""),"Karen Alexandra Ballesteros Contreras")</f>
        <v>Karen Alexandra Ballesteros Contreras</v>
      </c>
      <c r="G62" s="17" t="str">
        <f ca="1">IFERROR(__xludf.DUMMYFUNCTION("""COMPUTED_VALUE"""),"SUPERCENTER SANTIN     TOLUCA EM     MEX")</f>
        <v>SUPERCENTER SANTIN     TOLUCA EM     MEX</v>
      </c>
      <c r="H62" s="17" t="str">
        <f ca="1">IFERROR(__xludf.DUMMYFUNCTION("""COMPUTED_VALUE"""),"Supercenter Santin Toluca Em Mex")</f>
        <v>Supercenter Santin Toluca Em Mex</v>
      </c>
      <c r="I62" s="17" t="str">
        <f ca="1">IFERROR(__xludf.DUMMYFUNCTION("""COMPUTED_VALUE"""),"Recruiting")</f>
        <v>Recruiting</v>
      </c>
      <c r="J62" s="17" t="str">
        <f ca="1">IFERROR(__xludf.DUMMYFUNCTION("""COMPUTED_VALUE"""),"PO2009 CENAS")</f>
        <v>PO2009 CENAS</v>
      </c>
      <c r="K62" s="17"/>
      <c r="L62" s="17"/>
      <c r="M62" s="17"/>
      <c r="N62" s="17"/>
      <c r="O62" s="17"/>
    </row>
    <row r="63" spans="1:15" ht="12.5">
      <c r="A63" s="17" t="str">
        <f ca="1">IFERROR(__xludf.DUMMYFUNCTION("""COMPUTED_VALUE"""),"TRX1699")</f>
        <v>TRX1699</v>
      </c>
      <c r="B63" s="86" t="str">
        <f ca="1">IFERROR(__xludf.DUMMYFUNCTION("""COMPUTED_VALUE"""),"#26")</f>
        <v>#26</v>
      </c>
      <c r="C63" s="63">
        <f ca="1">IFERROR(__xludf.DUMMYFUNCTION("""COMPUTED_VALUE"""),46066.4166666666)</f>
        <v>46066.416666666599</v>
      </c>
      <c r="D63" s="65">
        <f ca="1">IFERROR(__xludf.DUMMYFUNCTION("""COMPUTED_VALUE"""),171.28)</f>
        <v>171.28</v>
      </c>
      <c r="E63" s="17" t="str">
        <f ca="1">IFERROR(__xludf.DUMMYFUNCTION("""COMPUTED_VALUE"""),"MXN")</f>
        <v>MXN</v>
      </c>
      <c r="F63" s="17" t="str">
        <f ca="1">IFERROR(__xludf.DUMMYFUNCTION("""COMPUTED_VALUE"""),"Karen Alexandra Ballesteros Contreras")</f>
        <v>Karen Alexandra Ballesteros Contreras</v>
      </c>
      <c r="G63" s="17" t="str">
        <f ca="1">IFERROR(__xludf.DUMMYFUNCTION("""COMPUTED_VALUE"""),"UBER * EATS PENDING    CMX           MEX")</f>
        <v>UBER * EATS PENDING    CMX           MEX</v>
      </c>
      <c r="H63" s="17" t="str">
        <f ca="1">IFERROR(__xludf.DUMMYFUNCTION("""COMPUTED_VALUE"""),"Uber Eats")</f>
        <v>Uber Eats</v>
      </c>
      <c r="I63" s="17" t="str">
        <f ca="1">IFERROR(__xludf.DUMMYFUNCTION("""COMPUTED_VALUE"""),"Recruiting")</f>
        <v>Recruiting</v>
      </c>
      <c r="J63" s="17" t="str">
        <f ca="1">IFERROR(__xludf.DUMMYFUNCTION("""COMPUTED_VALUE"""),"PO2009 TRASLADO ASIPONA HACIA AEROPUERTO")</f>
        <v>PO2009 TRASLADO ASIPONA HACIA AEROPUERTO</v>
      </c>
      <c r="K63" s="17"/>
      <c r="L63" s="17"/>
      <c r="M63" s="17"/>
      <c r="N63" s="17"/>
      <c r="O63" s="17"/>
    </row>
    <row r="64" spans="1:15" ht="12.5">
      <c r="A64" s="17" t="str">
        <f ca="1">IFERROR(__xludf.DUMMYFUNCTION("""COMPUTED_VALUE"""),"TRX1158")</f>
        <v>TRX1158</v>
      </c>
      <c r="B64" s="86" t="str">
        <f ca="1">IFERROR(__xludf.DUMMYFUNCTION("""COMPUTED_VALUE"""),"#26")</f>
        <v>#26</v>
      </c>
      <c r="C64" s="63">
        <f ca="1">IFERROR(__xludf.DUMMYFUNCTION("""COMPUTED_VALUE"""),46066.4166666666)</f>
        <v>46066.416666666599</v>
      </c>
      <c r="D64" s="65">
        <f ca="1">IFERROR(__xludf.DUMMYFUNCTION("""COMPUTED_VALUE"""),112)</f>
        <v>112</v>
      </c>
      <c r="E64" s="17" t="str">
        <f ca="1">IFERROR(__xludf.DUMMYFUNCTION("""COMPUTED_VALUE"""),"MXN")</f>
        <v>MXN</v>
      </c>
      <c r="F64" s="17" t="str">
        <f ca="1">IFERROR(__xludf.DUMMYFUNCTION("""COMPUTED_VALUE"""),"Karen Alexandra Ballesteros Contreras")</f>
        <v>Karen Alexandra Ballesteros Contreras</v>
      </c>
      <c r="G64" s="17" t="str">
        <f ca="1">IFERROR(__xludf.DUMMYFUNCTION("""COMPUTED_VALUE"""),"MISC PITS TOL ZIT      ALMOLOYA DE J MEX")</f>
        <v>MISC PITS TOL ZIT      ALMOLOYA DE J MEX</v>
      </c>
      <c r="H64" s="17" t="str">
        <f ca="1">IFERROR(__xludf.DUMMYFUNCTION("""COMPUTED_VALUE"""),"Misc Pits Tol Zit Almoloya De J Mex")</f>
        <v>Misc Pits Tol Zit Almoloya De J Mex</v>
      </c>
      <c r="I64" s="17" t="str">
        <f ca="1">IFERROR(__xludf.DUMMYFUNCTION("""COMPUTED_VALUE"""),"Recruiting")</f>
        <v>Recruiting</v>
      </c>
      <c r="J64" s="17" t="str">
        <f ca="1">IFERROR(__xludf.DUMMYFUNCTION("""COMPUTED_VALUE"""),"PO2009 TRASLADO HACIA DOMICILIO DESDE AIFA")</f>
        <v>PO2009 TRASLADO HACIA DOMICILIO DESDE AIFA</v>
      </c>
      <c r="K64" s="17" t="str">
        <f ca="1">IFERROR(__xludf.DUMMYFUNCTION("""COMPUTED_VALUE"""),"E41C975E-2E60-4795-81C6-6737CF0D62D1")</f>
        <v>E41C975E-2E60-4795-81C6-6737CF0D62D1</v>
      </c>
      <c r="L64" s="17"/>
      <c r="M64" s="17"/>
      <c r="N64" s="17"/>
      <c r="O64" s="17"/>
    </row>
    <row r="65" spans="1:15" ht="12.5">
      <c r="A65" s="17" t="str">
        <f ca="1">IFERROR(__xludf.DUMMYFUNCTION("""COMPUTED_VALUE"""),"TRX1540")</f>
        <v>TRX1540</v>
      </c>
      <c r="B65" s="86" t="str">
        <f ca="1">IFERROR(__xludf.DUMMYFUNCTION("""COMPUTED_VALUE"""),"#26")</f>
        <v>#26</v>
      </c>
      <c r="C65" s="63">
        <f ca="1">IFERROR(__xludf.DUMMYFUNCTION("""COMPUTED_VALUE"""),46066.4166666666)</f>
        <v>46066.416666666599</v>
      </c>
      <c r="D65" s="65">
        <f ca="1">IFERROR(__xludf.DUMMYFUNCTION("""COMPUTED_VALUE"""),310)</f>
        <v>310</v>
      </c>
      <c r="E65" s="17" t="str">
        <f ca="1">IFERROR(__xludf.DUMMYFUNCTION("""COMPUTED_VALUE"""),"MXN")</f>
        <v>MXN</v>
      </c>
      <c r="F65" s="17" t="str">
        <f ca="1">IFERROR(__xludf.DUMMYFUNCTION("""COMPUTED_VALUE"""),"Karen Alexandra Ballesteros Contreras")</f>
        <v>Karen Alexandra Ballesteros Contreras</v>
      </c>
      <c r="G65" s="17" t="str">
        <f ca="1">IFERROR(__xludf.DUMMYFUNCTION("""COMPUTED_VALUE"""),"PITS CORTADITO TOLUCA  ALMOLOYA DE J MEX")</f>
        <v>PITS CORTADITO TOLUCA  ALMOLOYA DE J MEX</v>
      </c>
      <c r="H65" s="17" t="str">
        <f ca="1">IFERROR(__xludf.DUMMYFUNCTION("""COMPUTED_VALUE"""),"Pits Cortadito Toluca Almoloya De J Mex")</f>
        <v>Pits Cortadito Toluca Almoloya De J Mex</v>
      </c>
      <c r="I65" s="17" t="str">
        <f ca="1">IFERROR(__xludf.DUMMYFUNCTION("""COMPUTED_VALUE"""),"Recruiting")</f>
        <v>Recruiting</v>
      </c>
      <c r="J65" s="17" t="str">
        <f ca="1">IFERROR(__xludf.DUMMYFUNCTION("""COMPUTED_VALUE"""),"PO2009 TRASLADO HACIA DOMICILIO DESDE AIFA")</f>
        <v>PO2009 TRASLADO HACIA DOMICILIO DESDE AIFA</v>
      </c>
      <c r="K65" s="17" t="str">
        <f ca="1">IFERROR(__xludf.DUMMYFUNCTION("""COMPUTED_VALUE"""),"6370444F-7AE3-4880-88A-F35E67F06C7E")</f>
        <v>6370444F-7AE3-4880-88A-F35E67F06C7E</v>
      </c>
      <c r="L65" s="17"/>
      <c r="M65" s="17"/>
      <c r="N65" s="17"/>
      <c r="O65" s="17"/>
    </row>
    <row r="66" spans="1:15" ht="12.5">
      <c r="A66" s="17" t="str">
        <f ca="1">IFERROR(__xludf.DUMMYFUNCTION("""COMPUTED_VALUE"""),"TRX1529")</f>
        <v>TRX1529</v>
      </c>
      <c r="B66" s="86" t="str">
        <f ca="1">IFERROR(__xludf.DUMMYFUNCTION("""COMPUTED_VALUE"""),"#26")</f>
        <v>#26</v>
      </c>
      <c r="C66" s="63">
        <f ca="1">IFERROR(__xludf.DUMMYFUNCTION("""COMPUTED_VALUE"""),46066.4166666666)</f>
        <v>46066.416666666599</v>
      </c>
      <c r="D66" s="65">
        <f ca="1">IFERROR(__xludf.DUMMYFUNCTION("""COMPUTED_VALUE"""),150)</f>
        <v>150</v>
      </c>
      <c r="E66" s="17" t="str">
        <f ca="1">IFERROR(__xludf.DUMMYFUNCTION("""COMPUTED_VALUE"""),"MXN")</f>
        <v>MXN</v>
      </c>
      <c r="F66" s="17" t="str">
        <f ca="1">IFERROR(__xludf.DUMMYFUNCTION("""COMPUTED_VALUE"""),"Karen Alexandra Ballesteros Contreras")</f>
        <v>Karen Alexandra Ballesteros Contreras</v>
      </c>
      <c r="G66" s="17" t="str">
        <f ca="1">IFERROR(__xludf.DUMMYFUNCTION("""COMPUTED_VALUE"""),"D LOCAL*DIDI RIDES     CIUDAD DE MEX MEX")</f>
        <v>D LOCAL*DIDI RIDES     CIUDAD DE MEX MEX</v>
      </c>
      <c r="H66" s="17" t="str">
        <f ca="1">IFERROR(__xludf.DUMMYFUNCTION("""COMPUTED_VALUE"""),"Didi Chuxing")</f>
        <v>Didi Chuxing</v>
      </c>
      <c r="I66" s="17" t="str">
        <f ca="1">IFERROR(__xludf.DUMMYFUNCTION("""COMPUTED_VALUE"""),"Recruiting")</f>
        <v>Recruiting</v>
      </c>
      <c r="J66" s="17" t="str">
        <f ca="1">IFERROR(__xludf.DUMMYFUNCTION("""COMPUTED_VALUE"""),"PO2009 TRASLADO HACIA DOMICILIO DESDE AIFA")</f>
        <v>PO2009 TRASLADO HACIA DOMICILIO DESDE AIFA</v>
      </c>
      <c r="K66" s="17" t="str">
        <f ca="1">IFERROR(__xludf.DUMMYFUNCTION("""COMPUTED_VALUE"""),"E3A0B0FD-670A-43A3-8884-94C5B27D3F68")</f>
        <v>E3A0B0FD-670A-43A3-8884-94C5B27D3F68</v>
      </c>
      <c r="L66" s="17"/>
      <c r="M66" s="17"/>
      <c r="N66" s="17"/>
      <c r="O66" s="17"/>
    </row>
    <row r="67" spans="1:15" ht="12.5">
      <c r="A67" s="17" t="str">
        <f ca="1">IFERROR(__xludf.DUMMYFUNCTION("""COMPUTED_VALUE"""),"TRX1215")</f>
        <v>TRX1215</v>
      </c>
      <c r="B67" s="86" t="str">
        <f ca="1">IFERROR(__xludf.DUMMYFUNCTION("""COMPUTED_VALUE"""),"#26")</f>
        <v>#26</v>
      </c>
      <c r="C67" s="63">
        <f ca="1">IFERROR(__xludf.DUMMYFUNCTION("""COMPUTED_VALUE"""),46066.4173611111)</f>
        <v>46066.417361111096</v>
      </c>
      <c r="D67" s="65">
        <f ca="1">IFERROR(__xludf.DUMMYFUNCTION("""COMPUTED_VALUE"""),210)</f>
        <v>210</v>
      </c>
      <c r="E67" s="17" t="str">
        <f ca="1">IFERROR(__xludf.DUMMYFUNCTION("""COMPUTED_VALUE"""),"MXN")</f>
        <v>MXN</v>
      </c>
      <c r="F67" s="17" t="str">
        <f ca="1">IFERROR(__xludf.DUMMYFUNCTION("""COMPUTED_VALUE"""),"Karen Alexandra Ballesteros Contreras")</f>
        <v>Karen Alexandra Ballesteros Contreras</v>
      </c>
      <c r="G67" s="17" t="str">
        <f ca="1">IFERROR(__xludf.DUMMYFUNCTION("""COMPUTED_VALUE"""),"CAMINANTE AIT          TOLUCA EM     MEX")</f>
        <v>CAMINANTE AIT          TOLUCA EM     MEX</v>
      </c>
      <c r="H67" s="17" t="str">
        <f ca="1">IFERROR(__xludf.DUMMYFUNCTION("""COMPUTED_VALUE"""),"Caminante Ait Toluca Em Mex")</f>
        <v>Caminante Ait Toluca Em Mex</v>
      </c>
      <c r="I67" s="17" t="str">
        <f ca="1">IFERROR(__xludf.DUMMYFUNCTION("""COMPUTED_VALUE"""),"Recruiting")</f>
        <v>Recruiting</v>
      </c>
      <c r="J67" s="17" t="str">
        <f ca="1">IFERROR(__xludf.DUMMYFUNCTION("""COMPUTED_VALUE"""),"PO2009 CENA")</f>
        <v>PO2009 CENA</v>
      </c>
      <c r="K67" s="17"/>
      <c r="L67" s="17"/>
      <c r="M67" s="17"/>
      <c r="N67" s="17"/>
      <c r="O67" s="17"/>
    </row>
    <row r="68" spans="1:15" ht="12.5">
      <c r="A68" s="17" t="str">
        <f ca="1">IFERROR(__xludf.DUMMYFUNCTION("""COMPUTED_VALUE"""),"TRX1754")</f>
        <v>TRX1754</v>
      </c>
      <c r="B68" s="86" t="str">
        <f ca="1">IFERROR(__xludf.DUMMYFUNCTION("""COMPUTED_VALUE"""),"#26")</f>
        <v>#26</v>
      </c>
      <c r="C68" s="63">
        <f ca="1">IFERROR(__xludf.DUMMYFUNCTION("""COMPUTED_VALUE"""),46066.4173611111)</f>
        <v>46066.417361111096</v>
      </c>
      <c r="D68" s="65">
        <f ca="1">IFERROR(__xludf.DUMMYFUNCTION("""COMPUTED_VALUE"""),572)</f>
        <v>572</v>
      </c>
      <c r="E68" s="17" t="str">
        <f ca="1">IFERROR(__xludf.DUMMYFUNCTION("""COMPUTED_VALUE"""),"MXN")</f>
        <v>MXN</v>
      </c>
      <c r="F68" s="17" t="str">
        <f ca="1">IFERROR(__xludf.DUMMYFUNCTION("""COMPUTED_VALUE"""),"Karen Alexandra Ballesteros Contreras")</f>
        <v>Karen Alexandra Ballesteros Contreras</v>
      </c>
      <c r="G68" s="17" t="str">
        <f ca="1">IFERROR(__xludf.DUMMYFUNCTION("""COMPUTED_VALUE"""),"REST HERENCIA AVANDARO VALLE DE BRAV MEX")</f>
        <v>REST HERENCIA AVANDARO VALLE DE BRAV MEX</v>
      </c>
      <c r="H68" s="17" t="str">
        <f ca="1">IFERROR(__xludf.DUMMYFUNCTION("""COMPUTED_VALUE"""),"Rest Herencia Avandaro Valle De Brav Mex")</f>
        <v>Rest Herencia Avandaro Valle De Brav Mex</v>
      </c>
      <c r="I68" s="17" t="str">
        <f ca="1">IFERROR(__xludf.DUMMYFUNCTION("""COMPUTED_VALUE"""),"Recruiting")</f>
        <v>Recruiting</v>
      </c>
      <c r="J68" s="17" t="str">
        <f ca="1">IFERROR(__xludf.DUMMYFUNCTION("""COMPUTED_VALUE"""),"PO1801 UBER HACIA GRAJALES")</f>
        <v>PO1801 UBER HACIA GRAJALES</v>
      </c>
      <c r="K68" s="17" t="str">
        <f ca="1">IFERROR(__xludf.DUMMYFUNCTION("""COMPUTED_VALUE"""),".")</f>
        <v>.</v>
      </c>
      <c r="L68" s="17"/>
      <c r="M68" s="17"/>
      <c r="N68" s="17"/>
      <c r="O68" s="17"/>
    </row>
    <row r="69" spans="1:15" ht="12.5">
      <c r="A69" s="17" t="str">
        <f ca="1">IFERROR(__xludf.DUMMYFUNCTION("""COMPUTED_VALUE"""),"TRX1445")</f>
        <v>TRX1445</v>
      </c>
      <c r="B69" s="86" t="str">
        <f ca="1">IFERROR(__xludf.DUMMYFUNCTION("""COMPUTED_VALUE"""),"#26")</f>
        <v>#26</v>
      </c>
      <c r="C69" s="63">
        <f ca="1">IFERROR(__xludf.DUMMYFUNCTION("""COMPUTED_VALUE"""),46067.4166666666)</f>
        <v>46067.416666666599</v>
      </c>
      <c r="D69" s="65">
        <f ca="1">IFERROR(__xludf.DUMMYFUNCTION("""COMPUTED_VALUE"""),1.8)</f>
        <v>1.8</v>
      </c>
      <c r="E69" s="17" t="str">
        <f ca="1">IFERROR(__xludf.DUMMYFUNCTION("""COMPUTED_VALUE"""),"MXN")</f>
        <v>MXN</v>
      </c>
      <c r="F69" s="17" t="str">
        <f ca="1">IFERROR(__xludf.DUMMYFUNCTION("""COMPUTED_VALUE"""),"Karen Alexandra Ballesteros Contreras")</f>
        <v>Karen Alexandra Ballesteros Contreras</v>
      </c>
      <c r="G69" s="17" t="str">
        <f ca="1">IFERROR(__xludf.DUMMYFUNCTION("""COMPUTED_VALUE"""),"Didi Mexico            CAUHTEMOC     MEX")</f>
        <v>Didi Mexico            CAUHTEMOC     MEX</v>
      </c>
      <c r="H69" s="17" t="str">
        <f ca="1">IFERROR(__xludf.DUMMYFUNCTION("""COMPUTED_VALUE"""),"Didi Mexico Cauhtemoc Mex")</f>
        <v>Didi Mexico Cauhtemoc Mex</v>
      </c>
      <c r="I69" s="17" t="str">
        <f ca="1">IFERROR(__xludf.DUMMYFUNCTION("""COMPUTED_VALUE"""),"Recruiting")</f>
        <v>Recruiting</v>
      </c>
      <c r="J69" s="17" t="str">
        <f ca="1">IFERROR(__xludf.DUMMYFUNCTION("""COMPUTED_VALUE""")," EPP calzado")</f>
        <v xml:space="preserve"> EPP calzado</v>
      </c>
      <c r="K69" s="17" t="str">
        <f ca="1">IFERROR(__xludf.DUMMYFUNCTION("""COMPUTED_VALUE"""),".")</f>
        <v>.</v>
      </c>
      <c r="L69" s="17"/>
      <c r="M69" s="17"/>
      <c r="N69" s="17"/>
      <c r="O69" s="17"/>
    </row>
    <row r="70" spans="1:15" ht="12.5">
      <c r="A70" s="17" t="str">
        <f ca="1">IFERROR(__xludf.DUMMYFUNCTION("""COMPUTED_VALUE"""),"TRX1993")</f>
        <v>TRX1993</v>
      </c>
      <c r="B70" s="86" t="str">
        <f ca="1">IFERROR(__xludf.DUMMYFUNCTION("""COMPUTED_VALUE"""),"#26")</f>
        <v>#26</v>
      </c>
      <c r="C70" s="63">
        <f ca="1">IFERROR(__xludf.DUMMYFUNCTION("""COMPUTED_VALUE"""),46067.4166666666)</f>
        <v>46067.416666666599</v>
      </c>
      <c r="D70" s="65">
        <f ca="1">IFERROR(__xludf.DUMMYFUNCTION("""COMPUTED_VALUE"""),129.88)</f>
        <v>129.88</v>
      </c>
      <c r="E70" s="17" t="str">
        <f ca="1">IFERROR(__xludf.DUMMYFUNCTION("""COMPUTED_VALUE"""),"MXN")</f>
        <v>MXN</v>
      </c>
      <c r="F70" s="17" t="str">
        <f ca="1">IFERROR(__xludf.DUMMYFUNCTION("""COMPUTED_VALUE"""),"Karen Alexandra Ballesteros Contreras")</f>
        <v>Karen Alexandra Ballesteros Contreras</v>
      </c>
      <c r="G70" s="17" t="str">
        <f ca="1">IFERROR(__xludf.DUMMYFUNCTION("""COMPUTED_VALUE"""),"UBER *TRIP HELP.UBER.C CMX           MEX")</f>
        <v>UBER *TRIP HELP.UBER.C CMX           MEX</v>
      </c>
      <c r="H70" s="17" t="str">
        <f ca="1">IFERROR(__xludf.DUMMYFUNCTION("""COMPUTED_VALUE"""),"Uber")</f>
        <v>Uber</v>
      </c>
      <c r="I70" s="17" t="str">
        <f ca="1">IFERROR(__xludf.DUMMYFUNCTION("""COMPUTED_VALUE"""),"Recruiting")</f>
        <v>Recruiting</v>
      </c>
      <c r="J70" s="17" t="str">
        <f ca="1">IFERROR(__xludf.DUMMYFUNCTION("""COMPUTED_VALUE"""),"PO1801 UBER HACIA GRAJALES")</f>
        <v>PO1801 UBER HACIA GRAJALES</v>
      </c>
      <c r="K70" s="17" t="str">
        <f ca="1">IFERROR(__xludf.DUMMYFUNCTION("""COMPUTED_VALUE"""),"D58EFE30-0FD5-48E7-B113-44610D34E722")</f>
        <v>D58EFE30-0FD5-48E7-B113-44610D34E722</v>
      </c>
      <c r="L70" s="17"/>
      <c r="M70" s="17"/>
      <c r="N70" s="17"/>
      <c r="O70" s="17"/>
    </row>
    <row r="71" spans="1:15" ht="12.5">
      <c r="A71" s="17" t="str">
        <f ca="1">IFERROR(__xludf.DUMMYFUNCTION("""COMPUTED_VALUE"""),"TRX1210")</f>
        <v>TRX1210</v>
      </c>
      <c r="B71" s="86" t="str">
        <f ca="1">IFERROR(__xludf.DUMMYFUNCTION("""COMPUTED_VALUE"""),"#26")</f>
        <v>#26</v>
      </c>
      <c r="C71" s="63">
        <f ca="1">IFERROR(__xludf.DUMMYFUNCTION("""COMPUTED_VALUE"""),46067.4166666666)</f>
        <v>46067.416666666599</v>
      </c>
      <c r="D71" s="65">
        <f ca="1">IFERROR(__xludf.DUMMYFUNCTION("""COMPUTED_VALUE"""),484.43)</f>
        <v>484.43</v>
      </c>
      <c r="E71" s="17" t="str">
        <f ca="1">IFERROR(__xludf.DUMMYFUNCTION("""COMPUTED_VALUE"""),"MXN")</f>
        <v>MXN</v>
      </c>
      <c r="F71" s="17" t="str">
        <f ca="1">IFERROR(__xludf.DUMMYFUNCTION("""COMPUTED_VALUE"""),"Karen Alexandra Ballesteros Contreras")</f>
        <v>Karen Alexandra Ballesteros Contreras</v>
      </c>
      <c r="G71" s="17" t="str">
        <f ca="1">IFERROR(__xludf.DUMMYFUNCTION("""COMPUTED_VALUE"""),"UBER * PENDING         CMX           MEX")</f>
        <v>UBER * PENDING         CMX           MEX</v>
      </c>
      <c r="H71" s="17" t="str">
        <f ca="1">IFERROR(__xludf.DUMMYFUNCTION("""COMPUTED_VALUE"""),"Uber")</f>
        <v>Uber</v>
      </c>
      <c r="I71" s="17" t="str">
        <f ca="1">IFERROR(__xludf.DUMMYFUNCTION("""COMPUTED_VALUE"""),"Recruiting")</f>
        <v>Recruiting</v>
      </c>
      <c r="J71" s="17" t="str">
        <f ca="1">IFERROR(__xludf.DUMMYFUNCTION("""COMPUTED_VALUE"""),"peaje")</f>
        <v>peaje</v>
      </c>
      <c r="K71" s="17" t="str">
        <f ca="1">IFERROR(__xludf.DUMMYFUNCTION("""COMPUTED_VALUE"""),"BB1C9819-1CA0-4E66-824D-5C9CF4A81400")</f>
        <v>BB1C9819-1CA0-4E66-824D-5C9CF4A81400</v>
      </c>
      <c r="L71" s="17"/>
      <c r="M71" s="17"/>
      <c r="N71" s="17"/>
      <c r="O71" s="17"/>
    </row>
    <row r="72" spans="1:15" ht="12.5">
      <c r="A72" s="17" t="str">
        <f ca="1">IFERROR(__xludf.DUMMYFUNCTION("""COMPUTED_VALUE"""),"TRX1006")</f>
        <v>TRX1006</v>
      </c>
      <c r="B72" s="86" t="str">
        <f ca="1">IFERROR(__xludf.DUMMYFUNCTION("""COMPUTED_VALUE"""),"#26")</f>
        <v>#26</v>
      </c>
      <c r="C72" s="63">
        <f ca="1">IFERROR(__xludf.DUMMYFUNCTION("""COMPUTED_VALUE"""),46067.4166666666)</f>
        <v>46067.416666666599</v>
      </c>
      <c r="D72" s="65">
        <f ca="1">IFERROR(__xludf.DUMMYFUNCTION("""COMPUTED_VALUE"""),161.2)</f>
        <v>161.19999999999999</v>
      </c>
      <c r="E72" s="17" t="str">
        <f ca="1">IFERROR(__xludf.DUMMYFUNCTION("""COMPUTED_VALUE"""),"MXN")</f>
        <v>MXN</v>
      </c>
      <c r="F72" s="17" t="str">
        <f ca="1">IFERROR(__xludf.DUMMYFUNCTION("""COMPUTED_VALUE"""),"Karen Alexandra Ballesteros Contreras")</f>
        <v>Karen Alexandra Ballesteros Contreras</v>
      </c>
      <c r="G72" s="17" t="str">
        <f ca="1">IFERROR(__xludf.DUMMYFUNCTION("""COMPUTED_VALUE"""),"UBER * EATS PENDING    CMX           MEX")</f>
        <v>UBER * EATS PENDING    CMX           MEX</v>
      </c>
      <c r="H72" s="17" t="str">
        <f ca="1">IFERROR(__xludf.DUMMYFUNCTION("""COMPUTED_VALUE"""),"Uber Eats")</f>
        <v>Uber Eats</v>
      </c>
      <c r="I72" s="17" t="str">
        <f ca="1">IFERROR(__xludf.DUMMYFUNCTION("""COMPUTED_VALUE"""),"Recruiting")</f>
        <v>Recruiting</v>
      </c>
      <c r="J72" s="17" t="str">
        <f ca="1">IFERROR(__xludf.DUMMYFUNCTION("""COMPUTED_VALUE"""),"po1802 uber de grajales")</f>
        <v>po1802 uber de grajales</v>
      </c>
      <c r="K72" s="17" t="str">
        <f ca="1">IFERROR(__xludf.DUMMYFUNCTION("""COMPUTED_VALUE"""),".")</f>
        <v>.</v>
      </c>
      <c r="L72" s="17"/>
      <c r="M72" s="17"/>
      <c r="N72" s="17"/>
      <c r="O72" s="17"/>
    </row>
    <row r="73" spans="1:15" ht="12.5">
      <c r="A73" s="17" t="str">
        <f ca="1">IFERROR(__xludf.DUMMYFUNCTION("""COMPUTED_VALUE"""),"TRX1787")</f>
        <v>TRX1787</v>
      </c>
      <c r="B73" s="86" t="str">
        <f ca="1">IFERROR(__xludf.DUMMYFUNCTION("""COMPUTED_VALUE"""),"#26")</f>
        <v>#26</v>
      </c>
      <c r="C73" s="63">
        <f ca="1">IFERROR(__xludf.DUMMYFUNCTION("""COMPUTED_VALUE"""),46067.4166666666)</f>
        <v>46067.416666666599</v>
      </c>
      <c r="D73" s="65">
        <f ca="1">IFERROR(__xludf.DUMMYFUNCTION("""COMPUTED_VALUE"""),510)</f>
        <v>510</v>
      </c>
      <c r="E73" s="17" t="str">
        <f ca="1">IFERROR(__xludf.DUMMYFUNCTION("""COMPUTED_VALUE"""),"MXN")</f>
        <v>MXN</v>
      </c>
      <c r="F73" s="17" t="str">
        <f ca="1">IFERROR(__xludf.DUMMYFUNCTION("""COMPUTED_VALUE"""),"Karen Alexandra Ballesteros Contreras")</f>
        <v>Karen Alexandra Ballesteros Contreras</v>
      </c>
      <c r="G73" s="17" t="str">
        <f ca="1">IFERROR(__xludf.DUMMYFUNCTION("""COMPUTED_VALUE"""),"MERCADOPAGO *PASE      MIGUEL HIDALG MEX")</f>
        <v>MERCADOPAGO *PASE      MIGUEL HIDALG MEX</v>
      </c>
      <c r="H73" s="17" t="str">
        <f ca="1">IFERROR(__xludf.DUMMYFUNCTION("""COMPUTED_VALUE"""),"Mercadopago")</f>
        <v>Mercadopago</v>
      </c>
      <c r="I73" s="17" t="str">
        <f ca="1">IFERROR(__xludf.DUMMYFUNCTION("""COMPUTED_VALUE"""),"Recruiting")</f>
        <v>Recruiting</v>
      </c>
      <c r="J73" s="17" t="str">
        <f ca="1">IFERROR(__xludf.DUMMYFUNCTION("""COMPUTED_VALUE"""),"PO1801 UBER HACIA GRAJALES")</f>
        <v>PO1801 UBER HACIA GRAJALES</v>
      </c>
      <c r="K73" s="17" t="str">
        <f ca="1">IFERROR(__xludf.DUMMYFUNCTION("""COMPUTED_VALUE"""),".")</f>
        <v>.</v>
      </c>
      <c r="L73" s="17"/>
      <c r="M73" s="17"/>
      <c r="N73" s="17"/>
      <c r="O73" s="17"/>
    </row>
    <row r="74" spans="1:15" ht="12.5">
      <c r="A74" s="17" t="str">
        <f ca="1">IFERROR(__xludf.DUMMYFUNCTION("""COMPUTED_VALUE"""),"TRX1178")</f>
        <v>TRX1178</v>
      </c>
      <c r="B74" s="86" t="str">
        <f ca="1">IFERROR(__xludf.DUMMYFUNCTION("""COMPUTED_VALUE"""),"#26")</f>
        <v>#26</v>
      </c>
      <c r="C74" s="63">
        <f ca="1">IFERROR(__xludf.DUMMYFUNCTION("""COMPUTED_VALUE"""),46067.4166666666)</f>
        <v>46067.416666666599</v>
      </c>
      <c r="D74" s="65">
        <f ca="1">IFERROR(__xludf.DUMMYFUNCTION("""COMPUTED_VALUE"""),36)</f>
        <v>36</v>
      </c>
      <c r="E74" s="17" t="str">
        <f ca="1">IFERROR(__xludf.DUMMYFUNCTION("""COMPUTED_VALUE"""),"MXN")</f>
        <v>MXN</v>
      </c>
      <c r="F74" s="17" t="str">
        <f ca="1">IFERROR(__xludf.DUMMYFUNCTION("""COMPUTED_VALUE"""),"Karen Alexandra Ballesteros Contreras")</f>
        <v>Karen Alexandra Ballesteros Contreras</v>
      </c>
      <c r="G74" s="17" t="str">
        <f ca="1">IFERROR(__xludf.DUMMYFUNCTION("""COMPUTED_VALUE"""),"DLO DIDI RIDES MX      CIUDAD DE MEX MEX")</f>
        <v>DLO DIDI RIDES MX      CIUDAD DE MEX MEX</v>
      </c>
      <c r="H74" s="17" t="str">
        <f ca="1">IFERROR(__xludf.DUMMYFUNCTION("""COMPUTED_VALUE"""),"Didi Chuxing")</f>
        <v>Didi Chuxing</v>
      </c>
      <c r="I74" s="17" t="str">
        <f ca="1">IFERROR(__xludf.DUMMYFUNCTION("""COMPUTED_VALUE"""),"Recruiting")</f>
        <v>Recruiting</v>
      </c>
      <c r="J74" s="17" t="str">
        <f ca="1">IFERROR(__xludf.DUMMYFUNCTION("""COMPUTED_VALUE"""),"po1802 uber de grajales")</f>
        <v>po1802 uber de grajales</v>
      </c>
      <c r="K74" s="17" t="str">
        <f ca="1">IFERROR(__xludf.DUMMYFUNCTION("""COMPUTED_VALUE"""),".")</f>
        <v>.</v>
      </c>
      <c r="L74" s="17"/>
      <c r="M74" s="17"/>
      <c r="N74" s="17"/>
      <c r="O74" s="17"/>
    </row>
    <row r="75" spans="1:15" ht="12.5">
      <c r="A75" s="17" t="str">
        <f ca="1">IFERROR(__xludf.DUMMYFUNCTION("""COMPUTED_VALUE"""),"TRX1694")</f>
        <v>TRX1694</v>
      </c>
      <c r="B75" s="86" t="str">
        <f ca="1">IFERROR(__xludf.DUMMYFUNCTION("""COMPUTED_VALUE"""),"#26")</f>
        <v>#26</v>
      </c>
      <c r="C75" s="63">
        <f ca="1">IFERROR(__xludf.DUMMYFUNCTION("""COMPUTED_VALUE"""),46067.4166666666)</f>
        <v>46067.416666666599</v>
      </c>
      <c r="D75" s="65">
        <f ca="1">IFERROR(__xludf.DUMMYFUNCTION("""COMPUTED_VALUE"""),15)</f>
        <v>15</v>
      </c>
      <c r="E75" s="17" t="str">
        <f ca="1">IFERROR(__xludf.DUMMYFUNCTION("""COMPUTED_VALUE"""),"MXN")</f>
        <v>MXN</v>
      </c>
      <c r="F75" s="17" t="str">
        <f ca="1">IFERROR(__xludf.DUMMYFUNCTION("""COMPUTED_VALUE"""),"Karen Alexandra Ballesteros Contreras")</f>
        <v>Karen Alexandra Ballesteros Contreras</v>
      </c>
      <c r="G75" s="17" t="str">
        <f ca="1">IFERROR(__xludf.DUMMYFUNCTION("""COMPUTED_VALUE"""),"DLO DIDI RIDES MX      CIUDAD DE MEX MEX")</f>
        <v>DLO DIDI RIDES MX      CIUDAD DE MEX MEX</v>
      </c>
      <c r="H75" s="17" t="str">
        <f ca="1">IFERROR(__xludf.DUMMYFUNCTION("""COMPUTED_VALUE"""),"Didi Chuxing")</f>
        <v>Didi Chuxing</v>
      </c>
      <c r="I75" s="17" t="str">
        <f ca="1">IFERROR(__xludf.DUMMYFUNCTION("""COMPUTED_VALUE"""),"Recruiting")</f>
        <v>Recruiting</v>
      </c>
      <c r="J75" s="17" t="str">
        <f ca="1">IFERROR(__xludf.DUMMYFUNCTION("""COMPUTED_VALUE"""),"PO1947 DESAYUNO")</f>
        <v>PO1947 DESAYUNO</v>
      </c>
      <c r="K75" s="17" t="str">
        <f ca="1">IFERROR(__xludf.DUMMYFUNCTION("""COMPUTED_VALUE"""),".")</f>
        <v>.</v>
      </c>
      <c r="L75" s="17"/>
      <c r="M75" s="17"/>
      <c r="N75" s="17"/>
      <c r="O75" s="17"/>
    </row>
    <row r="76" spans="1:15" ht="12.5">
      <c r="A76" s="17" t="str">
        <f ca="1">IFERROR(__xludf.DUMMYFUNCTION("""COMPUTED_VALUE"""),"TRX1978")</f>
        <v>TRX1978</v>
      </c>
      <c r="B76" s="86" t="str">
        <f ca="1">IFERROR(__xludf.DUMMYFUNCTION("""COMPUTED_VALUE"""),"#26")</f>
        <v>#26</v>
      </c>
      <c r="C76" s="63">
        <f ca="1">IFERROR(__xludf.DUMMYFUNCTION("""COMPUTED_VALUE"""),46067.4166666666)</f>
        <v>46067.416666666599</v>
      </c>
      <c r="D76" s="65">
        <f ca="1">IFERROR(__xludf.DUMMYFUNCTION("""COMPUTED_VALUE"""),27.2)</f>
        <v>27.2</v>
      </c>
      <c r="E76" s="17" t="str">
        <f ca="1">IFERROR(__xludf.DUMMYFUNCTION("""COMPUTED_VALUE"""),"MXN")</f>
        <v>MXN</v>
      </c>
      <c r="F76" s="17" t="str">
        <f ca="1">IFERROR(__xludf.DUMMYFUNCTION("""COMPUTED_VALUE"""),"Karen Alexandra Ballesteros Contreras")</f>
        <v>Karen Alexandra Ballesteros Contreras</v>
      </c>
      <c r="G76" s="17" t="str">
        <f ca="1">IFERROR(__xludf.DUMMYFUNCTION("""COMPUTED_VALUE"""),"DLO DIDI RIDES MX      CIUDAD DE MEX MEX")</f>
        <v>DLO DIDI RIDES MX      CIUDAD DE MEX MEX</v>
      </c>
      <c r="H76" s="17" t="str">
        <f ca="1">IFERROR(__xludf.DUMMYFUNCTION("""COMPUTED_VALUE"""),"Didi Chuxing")</f>
        <v>Didi Chuxing</v>
      </c>
      <c r="I76" s="17" t="str">
        <f ca="1">IFERROR(__xludf.DUMMYFUNCTION("""COMPUTED_VALUE"""),"Recruiting")</f>
        <v>Recruiting</v>
      </c>
      <c r="J76" s="17"/>
      <c r="K76" s="17" t="str">
        <f ca="1">IFERROR(__xludf.DUMMYFUNCTION("""COMPUTED_VALUE"""),".")</f>
        <v>.</v>
      </c>
      <c r="L76" s="17"/>
      <c r="M76" s="17"/>
      <c r="N76" s="17"/>
      <c r="O76" s="17"/>
    </row>
    <row r="77" spans="1:15" ht="12.5">
      <c r="A77" s="17" t="str">
        <f ca="1">IFERROR(__xludf.DUMMYFUNCTION("""COMPUTED_VALUE"""),"TRX1709")</f>
        <v>TRX1709</v>
      </c>
      <c r="B77" s="86" t="str">
        <f ca="1">IFERROR(__xludf.DUMMYFUNCTION("""COMPUTED_VALUE"""),"#26")</f>
        <v>#26</v>
      </c>
      <c r="C77" s="63">
        <f ca="1">IFERROR(__xludf.DUMMYFUNCTION("""COMPUTED_VALUE"""),46067.4166666666)</f>
        <v>46067.416666666599</v>
      </c>
      <c r="D77" s="65">
        <f ca="1">IFERROR(__xludf.DUMMYFUNCTION("""COMPUTED_VALUE"""),328)</f>
        <v>328</v>
      </c>
      <c r="E77" s="17" t="str">
        <f ca="1">IFERROR(__xludf.DUMMYFUNCTION("""COMPUTED_VALUE"""),"MXN")</f>
        <v>MXN</v>
      </c>
      <c r="F77" s="17" t="str">
        <f ca="1">IFERROR(__xludf.DUMMYFUNCTION("""COMPUTED_VALUE"""),"Karen Alexandra Ballesteros Contreras")</f>
        <v>Karen Alexandra Ballesteros Contreras</v>
      </c>
      <c r="G77" s="17" t="str">
        <f ca="1">IFERROR(__xludf.DUMMYFUNCTION("""COMPUTED_VALUE"""),"D LOCAL*DIDI RIDES     CIUDAD DE MEX MEX")</f>
        <v>D LOCAL*DIDI RIDES     CIUDAD DE MEX MEX</v>
      </c>
      <c r="H77" s="17" t="str">
        <f ca="1">IFERROR(__xludf.DUMMYFUNCTION("""COMPUTED_VALUE"""),"Didi Chuxing")</f>
        <v>Didi Chuxing</v>
      </c>
      <c r="I77" s="17" t="str">
        <f ca="1">IFERROR(__xludf.DUMMYFUNCTION("""COMPUTED_VALUE"""),"Recruiting")</f>
        <v>Recruiting</v>
      </c>
      <c r="J77" s="17" t="str">
        <f ca="1">IFERROR(__xludf.DUMMYFUNCTION("""COMPUTED_VALUE"""),"PO1947 UBER HACIA SYNERGO")</f>
        <v>PO1947 UBER HACIA SYNERGO</v>
      </c>
      <c r="K77" s="17" t="str">
        <f ca="1">IFERROR(__xludf.DUMMYFUNCTION("""COMPUTED_VALUE"""),".")</f>
        <v>.</v>
      </c>
      <c r="L77" s="17"/>
      <c r="M77" s="17"/>
      <c r="N77" s="17"/>
      <c r="O77" s="17"/>
    </row>
    <row r="78" spans="1:15" ht="12.5">
      <c r="A78" s="17" t="str">
        <f ca="1">IFERROR(__xludf.DUMMYFUNCTION("""COMPUTED_VALUE"""),"TRX1557")</f>
        <v>TRX1557</v>
      </c>
      <c r="B78" s="86" t="str">
        <f ca="1">IFERROR(__xludf.DUMMYFUNCTION("""COMPUTED_VALUE"""),"#26")</f>
        <v>#26</v>
      </c>
      <c r="C78" s="63">
        <f ca="1">IFERROR(__xludf.DUMMYFUNCTION("""COMPUTED_VALUE"""),46067.4173611111)</f>
        <v>46067.417361111096</v>
      </c>
      <c r="D78" s="65">
        <f ca="1">IFERROR(__xludf.DUMMYFUNCTION("""COMPUTED_VALUE"""),118)</f>
        <v>118</v>
      </c>
      <c r="E78" s="17" t="str">
        <f ca="1">IFERROR(__xludf.DUMMYFUNCTION("""COMPUTED_VALUE"""),"MXN")</f>
        <v>MXN</v>
      </c>
      <c r="F78" s="17" t="str">
        <f ca="1">IFERROR(__xludf.DUMMYFUNCTION("""COMPUTED_VALUE"""),"Karen Alexandra Ballesteros Contreras")</f>
        <v>Karen Alexandra Ballesteros Contreras</v>
      </c>
      <c r="G78" s="17" t="str">
        <f ca="1">IFERROR(__xludf.DUMMYFUNCTION("""COMPUTED_VALUE"""),"D LOCAL*DIDI RIDES     CIUDAD DE MEX MEX")</f>
        <v>D LOCAL*DIDI RIDES     CIUDAD DE MEX MEX</v>
      </c>
      <c r="H78" s="17" t="str">
        <f ca="1">IFERROR(__xludf.DUMMYFUNCTION("""COMPUTED_VALUE"""),"Didi Chuxing")</f>
        <v>Didi Chuxing</v>
      </c>
      <c r="I78" s="17" t="str">
        <f ca="1">IFERROR(__xludf.DUMMYFUNCTION("""COMPUTED_VALUE"""),"Recruiting")</f>
        <v>Recruiting</v>
      </c>
      <c r="J78" s="17" t="str">
        <f ca="1">IFERROR(__xludf.DUMMYFUNCTION("""COMPUTED_VALUE"""),"PO1801 COMIDA")</f>
        <v>PO1801 COMIDA</v>
      </c>
      <c r="K78" s="17" t="str">
        <f ca="1">IFERROR(__xludf.DUMMYFUNCTION("""COMPUTED_VALUE"""),".")</f>
        <v>.</v>
      </c>
      <c r="L78" s="17"/>
      <c r="M78" s="17"/>
      <c r="N78" s="17"/>
      <c r="O78" s="17"/>
    </row>
    <row r="79" spans="1:15" ht="12.5">
      <c r="A79" s="17" t="str">
        <f ca="1">IFERROR(__xludf.DUMMYFUNCTION("""COMPUTED_VALUE"""),"TRX1049")</f>
        <v>TRX1049</v>
      </c>
      <c r="B79" s="86" t="str">
        <f ca="1">IFERROR(__xludf.DUMMYFUNCTION("""COMPUTED_VALUE"""),"#26")</f>
        <v>#26</v>
      </c>
      <c r="C79" s="63">
        <f ca="1">IFERROR(__xludf.DUMMYFUNCTION("""COMPUTED_VALUE"""),46067.4173611111)</f>
        <v>46067.417361111096</v>
      </c>
      <c r="D79" s="65">
        <f ca="1">IFERROR(__xludf.DUMMYFUNCTION("""COMPUTED_VALUE"""),328)</f>
        <v>328</v>
      </c>
      <c r="E79" s="17" t="str">
        <f ca="1">IFERROR(__xludf.DUMMYFUNCTION("""COMPUTED_VALUE"""),"MXN")</f>
        <v>MXN</v>
      </c>
      <c r="F79" s="17" t="str">
        <f ca="1">IFERROR(__xludf.DUMMYFUNCTION("""COMPUTED_VALUE"""),"Karen Alexandra Ballesteros Contreras")</f>
        <v>Karen Alexandra Ballesteros Contreras</v>
      </c>
      <c r="G79" s="17" t="str">
        <f ca="1">IFERROR(__xludf.DUMMYFUNCTION("""COMPUTED_VALUE"""),"20260212T01:01:01/D LOCAL*DIDI RIDES\UNKNOWN\UNKNOWN\06500        MEX")</f>
        <v>20260212T01:01:01/D LOCAL*DIDI RIDES\UNKNOWN\UNKNOWN\06500        MEX</v>
      </c>
      <c r="H79" s="17" t="str">
        <f ca="1">IFERROR(__xludf.DUMMYFUNCTION("""COMPUTED_VALUE"""),"Didi Chuxing")</f>
        <v>Didi Chuxing</v>
      </c>
      <c r="I79" s="17" t="str">
        <f ca="1">IFERROR(__xludf.DUMMYFUNCTION("""COMPUTED_VALUE"""),"Recruiting")</f>
        <v>Recruiting</v>
      </c>
      <c r="J79" s="17" t="str">
        <f ca="1">IFERROR(__xludf.DUMMYFUNCTION("""COMPUTED_VALUE"""),"PO1801 UBER HACIA GRAJALES")</f>
        <v>PO1801 UBER HACIA GRAJALES</v>
      </c>
      <c r="K79" s="17" t="str">
        <f ca="1">IFERROR(__xludf.DUMMYFUNCTION("""COMPUTED_VALUE"""),".")</f>
        <v>.</v>
      </c>
      <c r="L79" s="17"/>
      <c r="M79" s="17"/>
      <c r="N79" s="17"/>
      <c r="O79" s="17"/>
    </row>
    <row r="80" spans="1:15" ht="12.5">
      <c r="A80" s="17" t="str">
        <f ca="1">IFERROR(__xludf.DUMMYFUNCTION("""COMPUTED_VALUE"""),"TRX2000")</f>
        <v>TRX2000</v>
      </c>
      <c r="B80" s="86" t="str">
        <f ca="1">IFERROR(__xludf.DUMMYFUNCTION("""COMPUTED_VALUE"""),"#26")</f>
        <v>#26</v>
      </c>
      <c r="C80" s="63">
        <f ca="1">IFERROR(__xludf.DUMMYFUNCTION("""COMPUTED_VALUE"""),46068.4166666666)</f>
        <v>46068.416666666599</v>
      </c>
      <c r="D80" s="17">
        <f ca="1">IFERROR(__xludf.DUMMYFUNCTION("""COMPUTED_VALUE"""),252)</f>
        <v>252</v>
      </c>
      <c r="E80" s="17" t="str">
        <f ca="1">IFERROR(__xludf.DUMMYFUNCTION("""COMPUTED_VALUE"""),"MXN")</f>
        <v>MXN</v>
      </c>
      <c r="F80" s="17" t="str">
        <f ca="1">IFERROR(__xludf.DUMMYFUNCTION("""COMPUTED_VALUE"""),"Karen Alexandra Ballesteros Contreras")</f>
        <v>Karen Alexandra Ballesteros Contreras</v>
      </c>
      <c r="G80" s="17" t="str">
        <f ca="1">IFERROR(__xludf.DUMMYFUNCTION("""COMPUTED_VALUE"""),"D LOCAL*DIDI RIDES     CIUDAD DE MEX MEX")</f>
        <v>D LOCAL*DIDI RIDES     CIUDAD DE MEX MEX</v>
      </c>
      <c r="H80" s="17" t="str">
        <f ca="1">IFERROR(__xludf.DUMMYFUNCTION("""COMPUTED_VALUE"""),"Didi Chuxing")</f>
        <v>Didi Chuxing</v>
      </c>
      <c r="I80" s="17" t="str">
        <f ca="1">IFERROR(__xludf.DUMMYFUNCTION("""COMPUTED_VALUE"""),"Recruiting")</f>
        <v>Recruiting</v>
      </c>
      <c r="J80" s="17" t="str">
        <f ca="1">IFERROR(__xludf.DUMMYFUNCTION("""COMPUTED_VALUE"""),"PEAJE")</f>
        <v>PEAJE</v>
      </c>
      <c r="K80" s="17" t="str">
        <f ca="1">IFERROR(__xludf.DUMMYFUNCTION("""COMPUTED_VALUE"""),".")</f>
        <v>.</v>
      </c>
      <c r="L80" s="17"/>
      <c r="M80" s="17"/>
      <c r="N80" s="17"/>
      <c r="O80" s="17"/>
    </row>
    <row r="81" spans="1:15" ht="12.5">
      <c r="A81" s="17" t="str">
        <f ca="1">IFERROR(__xludf.DUMMYFUNCTION("""COMPUTED_VALUE"""),"TRX1490")</f>
        <v>TRX1490</v>
      </c>
      <c r="B81" s="86" t="str">
        <f ca="1">IFERROR(__xludf.DUMMYFUNCTION("""COMPUTED_VALUE"""),"#26")</f>
        <v>#26</v>
      </c>
      <c r="C81" s="63">
        <f ca="1">IFERROR(__xludf.DUMMYFUNCTION("""COMPUTED_VALUE"""),46068.4166666666)</f>
        <v>46068.416666666599</v>
      </c>
      <c r="D81" s="65">
        <f ca="1">IFERROR(__xludf.DUMMYFUNCTION("""COMPUTED_VALUE"""),25)</f>
        <v>25</v>
      </c>
      <c r="E81" s="17" t="str">
        <f ca="1">IFERROR(__xludf.DUMMYFUNCTION("""COMPUTED_VALUE"""),"MXN")</f>
        <v>MXN</v>
      </c>
      <c r="F81" s="17" t="str">
        <f ca="1">IFERROR(__xludf.DUMMYFUNCTION("""COMPUTED_VALUE"""),"Karen Alexandra Ballesteros Contreras")</f>
        <v>Karen Alexandra Ballesteros Contreras</v>
      </c>
      <c r="G81" s="17" t="str">
        <f ca="1">IFERROR(__xludf.DUMMYFUNCTION("""COMPUTED_VALUE"""),"DLO DIDI RIDES MX      CIUDAD DE MEX MEX")</f>
        <v>DLO DIDI RIDES MX      CIUDAD DE MEX MEX</v>
      </c>
      <c r="H81" s="17" t="str">
        <f ca="1">IFERROR(__xludf.DUMMYFUNCTION("""COMPUTED_VALUE"""),"Didi Chuxing")</f>
        <v>Didi Chuxing</v>
      </c>
      <c r="I81" s="17"/>
      <c r="J81" s="17"/>
      <c r="K81" s="17"/>
      <c r="L81" s="17"/>
      <c r="M81" s="17"/>
      <c r="N81" s="17"/>
      <c r="O81" s="17"/>
    </row>
    <row r="82" spans="1:15" ht="12.5">
      <c r="A82" s="17" t="str">
        <f ca="1">IFERROR(__xludf.DUMMYFUNCTION("""COMPUTED_VALUE"""),"TRX1269")</f>
        <v>TRX1269</v>
      </c>
      <c r="B82" s="86" t="str">
        <f ca="1">IFERROR(__xludf.DUMMYFUNCTION("""COMPUTED_VALUE"""),"#26")</f>
        <v>#26</v>
      </c>
      <c r="C82" s="63">
        <f ca="1">IFERROR(__xludf.DUMMYFUNCTION("""COMPUTED_VALUE"""),46068.4173611111)</f>
        <v>46068.417361111096</v>
      </c>
      <c r="D82" s="65">
        <f ca="1">IFERROR(__xludf.DUMMYFUNCTION("""COMPUTED_VALUE"""),144)</f>
        <v>144</v>
      </c>
      <c r="E82" s="17" t="str">
        <f ca="1">IFERROR(__xludf.DUMMYFUNCTION("""COMPUTED_VALUE"""),"MXN")</f>
        <v>MXN</v>
      </c>
      <c r="F82" s="17" t="str">
        <f ca="1">IFERROR(__xludf.DUMMYFUNCTION("""COMPUTED_VALUE"""),"Karen Alexandra Ballesteros Contreras")</f>
        <v>Karen Alexandra Ballesteros Contreras</v>
      </c>
      <c r="G82" s="17" t="str">
        <f ca="1">IFERROR(__xludf.DUMMYFUNCTION("""COMPUTED_VALUE"""),"D LOCAL*DIDI RIDES     CIUDAD DE MEX MEX")</f>
        <v>D LOCAL*DIDI RIDES     CIUDAD DE MEX MEX</v>
      </c>
      <c r="H82" s="17" t="str">
        <f ca="1">IFERROR(__xludf.DUMMYFUNCTION("""COMPUTED_VALUE"""),"Didi Chuxing")</f>
        <v>Didi Chuxing</v>
      </c>
      <c r="I82" s="17"/>
      <c r="J82" s="17"/>
      <c r="K82" s="17"/>
      <c r="L82" s="17"/>
      <c r="M82" s="17"/>
      <c r="N82" s="17"/>
      <c r="O82" s="17"/>
    </row>
    <row r="83" spans="1:15" ht="12.5">
      <c r="A83" s="17" t="str">
        <f ca="1">IFERROR(__xludf.DUMMYFUNCTION("""COMPUTED_VALUE"""),"TRX1789")</f>
        <v>TRX1789</v>
      </c>
      <c r="B83" s="86" t="str">
        <f ca="1">IFERROR(__xludf.DUMMYFUNCTION("""COMPUTED_VALUE"""),"#26")</f>
        <v>#26</v>
      </c>
      <c r="C83" s="63">
        <f ca="1">IFERROR(__xludf.DUMMYFUNCTION("""COMPUTED_VALUE"""),46069.4166666666)</f>
        <v>46069.416666666599</v>
      </c>
      <c r="D83" s="65">
        <f ca="1">IFERROR(__xludf.DUMMYFUNCTION("""COMPUTED_VALUE"""),233.68)</f>
        <v>233.68</v>
      </c>
      <c r="E83" s="17" t="str">
        <f ca="1">IFERROR(__xludf.DUMMYFUNCTION("""COMPUTED_VALUE"""),"MXN")</f>
        <v>MXN</v>
      </c>
      <c r="F83" s="17" t="str">
        <f ca="1">IFERROR(__xludf.DUMMYFUNCTION("""COMPUTED_VALUE"""),"Karen Alexandra Ballesteros Contreras")</f>
        <v>Karen Alexandra Ballesteros Contreras</v>
      </c>
      <c r="G83" s="17" t="str">
        <f ca="1">IFERROR(__xludf.DUMMYFUNCTION("""COMPUTED_VALUE"""),"UBER *TRIP HELP.UBER.C CMX           MEX")</f>
        <v>UBER *TRIP HELP.UBER.C CMX           MEX</v>
      </c>
      <c r="H83" s="17" t="str">
        <f ca="1">IFERROR(__xludf.DUMMYFUNCTION("""COMPUTED_VALUE"""),"Uber")</f>
        <v>Uber</v>
      </c>
      <c r="I83" s="17"/>
      <c r="J83" s="17"/>
      <c r="K83" s="17"/>
      <c r="L83" s="17"/>
      <c r="M83" s="17"/>
      <c r="N83" s="17"/>
      <c r="O83" s="17"/>
    </row>
    <row r="84" spans="1:15" ht="12.5">
      <c r="A84" s="17" t="str">
        <f ca="1">IFERROR(__xludf.DUMMYFUNCTION("""COMPUTED_VALUE"""),"TRX1994")</f>
        <v>TRX1994</v>
      </c>
      <c r="B84" s="86" t="str">
        <f ca="1">IFERROR(__xludf.DUMMYFUNCTION("""COMPUTED_VALUE"""),"#26")</f>
        <v>#26</v>
      </c>
      <c r="C84" s="63">
        <f ca="1">IFERROR(__xludf.DUMMYFUNCTION("""COMPUTED_VALUE"""),46069.4166666666)</f>
        <v>46069.416666666599</v>
      </c>
      <c r="D84" s="65">
        <f ca="1">IFERROR(__xludf.DUMMYFUNCTION("""COMPUTED_VALUE"""),216)</f>
        <v>216</v>
      </c>
      <c r="E84" s="17" t="str">
        <f ca="1">IFERROR(__xludf.DUMMYFUNCTION("""COMPUTED_VALUE"""),"MXN")</f>
        <v>MXN</v>
      </c>
      <c r="F84" s="17" t="str">
        <f ca="1">IFERROR(__xludf.DUMMYFUNCTION("""COMPUTED_VALUE"""),"Karen Alexandra Ballesteros Contreras")</f>
        <v>Karen Alexandra Ballesteros Contreras</v>
      </c>
      <c r="G84" s="17" t="str">
        <f ca="1">IFERROR(__xludf.DUMMYFUNCTION("""COMPUTED_VALUE"""),"D LOCAL*DIDI RIDES     CIUDAD DE MEX MEX")</f>
        <v>D LOCAL*DIDI RIDES     CIUDAD DE MEX MEX</v>
      </c>
      <c r="H84" s="17" t="str">
        <f ca="1">IFERROR(__xludf.DUMMYFUNCTION("""COMPUTED_VALUE"""),"Didi Chuxing")</f>
        <v>Didi Chuxing</v>
      </c>
      <c r="I84" s="17"/>
      <c r="J84" s="17"/>
      <c r="K84" s="17"/>
      <c r="L84" s="17"/>
      <c r="M84" s="17"/>
      <c r="N84" s="17"/>
      <c r="O84" s="17"/>
    </row>
    <row r="85" spans="1:15" ht="12.5">
      <c r="A85" s="17" t="str">
        <f ca="1">IFERROR(__xludf.DUMMYFUNCTION("""COMPUTED_VALUE"""),"TRX1138")</f>
        <v>TRX1138</v>
      </c>
      <c r="B85" s="86" t="str">
        <f ca="1">IFERROR(__xludf.DUMMYFUNCTION("""COMPUTED_VALUE"""),"#26")</f>
        <v>#26</v>
      </c>
      <c r="C85" s="63">
        <f ca="1">IFERROR(__xludf.DUMMYFUNCTION("""COMPUTED_VALUE"""),46069.4166666666)</f>
        <v>46069.416666666599</v>
      </c>
      <c r="D85" s="65">
        <f ca="1">IFERROR(__xludf.DUMMYFUNCTION("""COMPUTED_VALUE"""),216)</f>
        <v>216</v>
      </c>
      <c r="E85" s="17" t="str">
        <f ca="1">IFERROR(__xludf.DUMMYFUNCTION("""COMPUTED_VALUE"""),"MXN")</f>
        <v>MXN</v>
      </c>
      <c r="F85" s="17" t="str">
        <f ca="1">IFERROR(__xludf.DUMMYFUNCTION("""COMPUTED_VALUE"""),"Karen Alexandra Ballesteros Contreras")</f>
        <v>Karen Alexandra Ballesteros Contreras</v>
      </c>
      <c r="G85" s="17" t="str">
        <f ca="1">IFERROR(__xludf.DUMMYFUNCTION("""COMPUTED_VALUE"""),"20260214T01:01:01/D LOCAL*DIDI RIDES\UNKNOWN\UNKNOWN\06500        MEX")</f>
        <v>20260214T01:01:01/D LOCAL*DIDI RIDES\UNKNOWN\UNKNOWN\06500        MEX</v>
      </c>
      <c r="H85" s="17" t="str">
        <f ca="1">IFERROR(__xludf.DUMMYFUNCTION("""COMPUTED_VALUE"""),"Didi Chuxing")</f>
        <v>Didi Chuxing</v>
      </c>
      <c r="I85" s="17"/>
      <c r="J85" s="17"/>
      <c r="K85" s="17"/>
      <c r="L85" s="17"/>
      <c r="M85" s="17"/>
      <c r="N85" s="17"/>
      <c r="O85" s="17"/>
    </row>
    <row r="86" spans="1:15" ht="12.5">
      <c r="A86" s="17" t="str">
        <f ca="1">IFERROR(__xludf.DUMMYFUNCTION("""COMPUTED_VALUE"""),"TRX2031")</f>
        <v>TRX2031</v>
      </c>
      <c r="B86" s="86" t="str">
        <f ca="1">IFERROR(__xludf.DUMMYFUNCTION("""COMPUTED_VALUE"""),"#26")</f>
        <v>#26</v>
      </c>
      <c r="C86" s="63">
        <f ca="1">IFERROR(__xludf.DUMMYFUNCTION("""COMPUTED_VALUE"""),46070.4166666666)</f>
        <v>46070.416666666599</v>
      </c>
      <c r="D86" s="17">
        <f ca="1">IFERROR(__xludf.DUMMYFUNCTION("""COMPUTED_VALUE"""),558)</f>
        <v>558</v>
      </c>
      <c r="E86" s="17" t="str">
        <f ca="1">IFERROR(__xludf.DUMMYFUNCTION("""COMPUTED_VALUE"""),"MXN")</f>
        <v>MXN</v>
      </c>
      <c r="F86" s="17" t="str">
        <f ca="1">IFERROR(__xludf.DUMMYFUNCTION("""COMPUTED_VALUE"""),"Karen Alexandra Ballesteros Contreras")</f>
        <v>Karen Alexandra Ballesteros Contreras</v>
      </c>
      <c r="G86" s="17" t="str">
        <f ca="1">IFERROR(__xludf.DUMMYFUNCTION("""COMPUTED_VALUE"""),"OFFICE DEPOT IZCALLI   CUAUTITLAN IZ MEX")</f>
        <v>OFFICE DEPOT IZCALLI   CUAUTITLAN IZ MEX</v>
      </c>
      <c r="H86" s="17" t="str">
        <f ca="1">IFERROR(__xludf.DUMMYFUNCTION("""COMPUTED_VALUE"""),"Office Depot")</f>
        <v>Office Depot</v>
      </c>
      <c r="I86" s="17"/>
      <c r="J86" s="17"/>
      <c r="K86" s="17"/>
      <c r="L86" s="17"/>
      <c r="M86" s="17"/>
      <c r="N86" s="17"/>
      <c r="O86" s="17"/>
    </row>
    <row r="87" spans="1:15" ht="12.5">
      <c r="A87" s="17" t="str">
        <f ca="1">IFERROR(__xludf.DUMMYFUNCTION("""COMPUTED_VALUE"""),"TRX1914")</f>
        <v>TRX1914</v>
      </c>
      <c r="B87" s="86" t="str">
        <f ca="1">IFERROR(__xludf.DUMMYFUNCTION("""COMPUTED_VALUE"""),"#26")</f>
        <v>#26</v>
      </c>
      <c r="C87" s="63">
        <f ca="1">IFERROR(__xludf.DUMMYFUNCTION("""COMPUTED_VALUE"""),46071.4166666666)</f>
        <v>46071.416666666599</v>
      </c>
      <c r="D87" s="65">
        <f ca="1">IFERROR(__xludf.DUMMYFUNCTION("""COMPUTED_VALUE"""),9.43)</f>
        <v>9.43</v>
      </c>
      <c r="E87" s="17" t="str">
        <f ca="1">IFERROR(__xludf.DUMMYFUNCTION("""COMPUTED_VALUE"""),"MXN")</f>
        <v>MXN</v>
      </c>
      <c r="F87" s="17" t="str">
        <f ca="1">IFERROR(__xludf.DUMMYFUNCTION("""COMPUTED_VALUE"""),"Karen Alexandra Ballesteros Contreras")</f>
        <v>Karen Alexandra Ballesteros Contreras</v>
      </c>
      <c r="G87" s="17" t="str">
        <f ca="1">IFERROR(__xludf.DUMMYFUNCTION("""COMPUTED_VALUE"""),"UBER * PENDING         CMX           MEX")</f>
        <v>UBER * PENDING         CMX           MEX</v>
      </c>
      <c r="H87" s="17" t="str">
        <f ca="1">IFERROR(__xludf.DUMMYFUNCTION("""COMPUTED_VALUE"""),"Uber")</f>
        <v>Uber</v>
      </c>
      <c r="I87" s="17"/>
      <c r="J87" s="17"/>
      <c r="K87" s="17"/>
      <c r="L87" s="17"/>
      <c r="M87" s="17"/>
      <c r="N87" s="17"/>
      <c r="O87" s="17"/>
    </row>
    <row r="88" spans="1:15" ht="12.5">
      <c r="A88" s="17" t="str">
        <f ca="1">IFERROR(__xludf.DUMMYFUNCTION("""COMPUTED_VALUE"""),"TRX1494")</f>
        <v>TRX1494</v>
      </c>
      <c r="B88" s="86" t="str">
        <f ca="1">IFERROR(__xludf.DUMMYFUNCTION("""COMPUTED_VALUE"""),"#26")</f>
        <v>#26</v>
      </c>
      <c r="C88" s="63">
        <f ca="1">IFERROR(__xludf.DUMMYFUNCTION("""COMPUTED_VALUE"""),46071.4166666666)</f>
        <v>46071.416666666599</v>
      </c>
      <c r="D88" s="65">
        <f ca="1">IFERROR(__xludf.DUMMYFUNCTION("""COMPUTED_VALUE"""),77.09)</f>
        <v>77.09</v>
      </c>
      <c r="E88" s="17" t="str">
        <f ca="1">IFERROR(__xludf.DUMMYFUNCTION("""COMPUTED_VALUE"""),"MXN")</f>
        <v>MXN</v>
      </c>
      <c r="F88" s="17" t="str">
        <f ca="1">IFERROR(__xludf.DUMMYFUNCTION("""COMPUTED_VALUE"""),"Karen Alexandra Ballesteros Contreras")</f>
        <v>Karen Alexandra Ballesteros Contreras</v>
      </c>
      <c r="G88" s="17" t="str">
        <f ca="1">IFERROR(__xludf.DUMMYFUNCTION("""COMPUTED_VALUE"""),"DLO DIDI RIDES MX      CIUDAD DE MEX MEX")</f>
        <v>DLO DIDI RIDES MX      CIUDAD DE MEX MEX</v>
      </c>
      <c r="H88" s="17" t="str">
        <f ca="1">IFERROR(__xludf.DUMMYFUNCTION("""COMPUTED_VALUE"""),"Didi Chuxing")</f>
        <v>Didi Chuxing</v>
      </c>
      <c r="I88" s="17"/>
      <c r="J88" s="17"/>
      <c r="K88" s="17"/>
      <c r="L88" s="17"/>
      <c r="M88" s="17"/>
      <c r="N88" s="17"/>
      <c r="O88" s="17"/>
    </row>
    <row r="89" spans="1:15" ht="12.5">
      <c r="A89" s="17" t="str">
        <f ca="1">IFERROR(__xludf.DUMMYFUNCTION("""COMPUTED_VALUE"""),"TRX1099")</f>
        <v>TRX1099</v>
      </c>
      <c r="B89" s="86" t="str">
        <f ca="1">IFERROR(__xludf.DUMMYFUNCTION("""COMPUTED_VALUE"""),"#26")</f>
        <v>#26</v>
      </c>
      <c r="C89" s="63">
        <f ca="1">IFERROR(__xludf.DUMMYFUNCTION("""COMPUTED_VALUE"""),46071.4166666666)</f>
        <v>46071.416666666599</v>
      </c>
      <c r="D89" s="65">
        <f ca="1">IFERROR(__xludf.DUMMYFUNCTION("""COMPUTED_VALUE"""),250)</f>
        <v>250</v>
      </c>
      <c r="E89" s="17" t="str">
        <f ca="1">IFERROR(__xludf.DUMMYFUNCTION("""COMPUTED_VALUE"""),"MXN")</f>
        <v>MXN</v>
      </c>
      <c r="F89" s="17" t="str">
        <f ca="1">IFERROR(__xludf.DUMMYFUNCTION("""COMPUTED_VALUE"""),"Karen Alexandra Ballesteros Contreras")</f>
        <v>Karen Alexandra Ballesteros Contreras</v>
      </c>
      <c r="G89" s="17" t="str">
        <f ca="1">IFERROR(__xludf.DUMMYFUNCTION("""COMPUTED_VALUE"""),"D LOCAL*DIDI RIDES     CIUDAD DE MEX MEX")</f>
        <v>D LOCAL*DIDI RIDES     CIUDAD DE MEX MEX</v>
      </c>
      <c r="H89" s="17" t="str">
        <f ca="1">IFERROR(__xludf.DUMMYFUNCTION("""COMPUTED_VALUE"""),"Didi Chuxing")</f>
        <v>Didi Chuxing</v>
      </c>
      <c r="I89" s="17"/>
      <c r="J89" s="17"/>
      <c r="K89" s="17"/>
      <c r="L89" s="17"/>
      <c r="M89" s="17"/>
      <c r="N89" s="17"/>
      <c r="O89" s="17"/>
    </row>
    <row r="90" spans="1:15" ht="12.5">
      <c r="A90" s="17" t="str">
        <f ca="1">IFERROR(__xludf.DUMMYFUNCTION("""COMPUTED_VALUE"""),"TRX1384")</f>
        <v>TRX1384</v>
      </c>
      <c r="B90" s="86" t="str">
        <f ca="1">IFERROR(__xludf.DUMMYFUNCTION("""COMPUTED_VALUE"""),"#26")</f>
        <v>#26</v>
      </c>
      <c r="C90" s="63">
        <f ca="1">IFERROR(__xludf.DUMMYFUNCTION("""COMPUTED_VALUE"""),46071.4173611111)</f>
        <v>46071.417361111096</v>
      </c>
      <c r="D90" s="65">
        <f ca="1">IFERROR(__xludf.DUMMYFUNCTION("""COMPUTED_VALUE"""),158.2)</f>
        <v>158.19999999999999</v>
      </c>
      <c r="E90" s="17" t="str">
        <f ca="1">IFERROR(__xludf.DUMMYFUNCTION("""COMPUTED_VALUE"""),"MXN")</f>
        <v>MXN</v>
      </c>
      <c r="F90" s="17" t="str">
        <f ca="1">IFERROR(__xludf.DUMMYFUNCTION("""COMPUTED_VALUE"""),"Karen Alexandra Ballesteros Contreras")</f>
        <v>Karen Alexandra Ballesteros Contreras</v>
      </c>
      <c r="G90" s="17" t="str">
        <f ca="1">IFERROR(__xludf.DUMMYFUNCTION("""COMPUTED_VALUE"""),"OXXONACIONAL AIFA      ZUMPANGO EM   MEX")</f>
        <v>OXXONACIONAL AIFA      ZUMPANGO EM   MEX</v>
      </c>
      <c r="H90" s="17" t="str">
        <f ca="1">IFERROR(__xludf.DUMMYFUNCTION("""COMPUTED_VALUE"""),"Oxxonacional Aifa Zumpango Em Mex")</f>
        <v>Oxxonacional Aifa Zumpango Em Mex</v>
      </c>
      <c r="I90" s="17"/>
      <c r="J90" s="17"/>
      <c r="K90" s="17"/>
      <c r="L90" s="17"/>
      <c r="M90" s="17"/>
      <c r="N90" s="17"/>
      <c r="O90" s="17"/>
    </row>
    <row r="91" spans="1:15" ht="12.5">
      <c r="A91" s="17" t="str">
        <f ca="1">IFERROR(__xludf.DUMMYFUNCTION("""COMPUTED_VALUE"""),"TRX1823")</f>
        <v>TRX1823</v>
      </c>
      <c r="B91" s="86" t="str">
        <f ca="1">IFERROR(__xludf.DUMMYFUNCTION("""COMPUTED_VALUE"""),"#26")</f>
        <v>#26</v>
      </c>
      <c r="C91" s="63">
        <f ca="1">IFERROR(__xludf.DUMMYFUNCTION("""COMPUTED_VALUE"""),46072.4166666666)</f>
        <v>46072.416666666599</v>
      </c>
      <c r="D91" s="65">
        <f ca="1">IFERROR(__xludf.DUMMYFUNCTION("""COMPUTED_VALUE"""),564)</f>
        <v>564</v>
      </c>
      <c r="E91" s="17" t="str">
        <f ca="1">IFERROR(__xludf.DUMMYFUNCTION("""COMPUTED_VALUE"""),"MXN")</f>
        <v>MXN</v>
      </c>
      <c r="F91" s="17" t="str">
        <f ca="1">IFERROR(__xludf.DUMMYFUNCTION("""COMPUTED_VALUE"""),"Karen Alexandra Ballesteros Contreras")</f>
        <v>Karen Alexandra Ballesteros Contreras</v>
      </c>
      <c r="G91" s="17" t="str">
        <f ca="1">IFERROR(__xludf.DUMMYFUNCTION("""COMPUTED_VALUE"""),"CARLS JR CORALES       VERACRUZ VER  MEX")</f>
        <v>CARLS JR CORALES       VERACRUZ VER  MEX</v>
      </c>
      <c r="H91" s="17" t="str">
        <f ca="1">IFERROR(__xludf.DUMMYFUNCTION("""COMPUTED_VALUE"""),"Carls Jr.")</f>
        <v>Carls Jr.</v>
      </c>
      <c r="I91" s="17"/>
      <c r="J91" s="17"/>
      <c r="K91" s="17"/>
      <c r="L91" s="17"/>
      <c r="M91" s="17"/>
      <c r="N91" s="17"/>
      <c r="O91" s="17"/>
    </row>
    <row r="92" spans="1:15" ht="12.5">
      <c r="A92" s="17" t="str">
        <f ca="1">IFERROR(__xludf.DUMMYFUNCTION("""COMPUTED_VALUE"""),"TRX1172")</f>
        <v>TRX1172</v>
      </c>
      <c r="B92" s="86" t="str">
        <f ca="1">IFERROR(__xludf.DUMMYFUNCTION("""COMPUTED_VALUE"""),"#26")</f>
        <v>#26</v>
      </c>
      <c r="C92" s="63">
        <f ca="1">IFERROR(__xludf.DUMMYFUNCTION("""COMPUTED_VALUE"""),46072.4166666666)</f>
        <v>46072.416666666599</v>
      </c>
      <c r="D92" s="65">
        <f ca="1">IFERROR(__xludf.DUMMYFUNCTION("""COMPUTED_VALUE"""),73.51)</f>
        <v>73.510000000000005</v>
      </c>
      <c r="E92" s="17" t="str">
        <f ca="1">IFERROR(__xludf.DUMMYFUNCTION("""COMPUTED_VALUE"""),"MXN")</f>
        <v>MXN</v>
      </c>
      <c r="F92" s="17" t="str">
        <f ca="1">IFERROR(__xludf.DUMMYFUNCTION("""COMPUTED_VALUE"""),"Karen Alexandra Ballesteros Contreras")</f>
        <v>Karen Alexandra Ballesteros Contreras</v>
      </c>
      <c r="G92" s="17" t="str">
        <f ca="1">IFERROR(__xludf.DUMMYFUNCTION("""COMPUTED_VALUE"""),"D LOCAL*DIDI RIDES     CIUDAD DE MEX MEX")</f>
        <v>D LOCAL*DIDI RIDES     CIUDAD DE MEX MEX</v>
      </c>
      <c r="H92" s="17" t="str">
        <f ca="1">IFERROR(__xludf.DUMMYFUNCTION("""COMPUTED_VALUE"""),"Didi Chuxing")</f>
        <v>Didi Chuxing</v>
      </c>
      <c r="I92" s="17"/>
      <c r="J92" s="17"/>
      <c r="K92" s="17"/>
      <c r="L92" s="17"/>
      <c r="M92" s="17"/>
      <c r="N92" s="17"/>
      <c r="O92" s="17"/>
    </row>
    <row r="93" spans="1:15" ht="12.5">
      <c r="A93" s="17" t="str">
        <f ca="1">IFERROR(__xludf.DUMMYFUNCTION("""COMPUTED_VALUE"""),"TRX1794")</f>
        <v>TRX1794</v>
      </c>
      <c r="B93" s="86" t="str">
        <f ca="1">IFERROR(__xludf.DUMMYFUNCTION("""COMPUTED_VALUE"""),"#26")</f>
        <v>#26</v>
      </c>
      <c r="C93" s="63">
        <f ca="1">IFERROR(__xludf.DUMMYFUNCTION("""COMPUTED_VALUE"""),46072.4166666666)</f>
        <v>46072.416666666599</v>
      </c>
      <c r="D93" s="65">
        <f ca="1">IFERROR(__xludf.DUMMYFUNCTION("""COMPUTED_VALUE"""),1202)</f>
        <v>1202</v>
      </c>
      <c r="E93" s="17" t="str">
        <f ca="1">IFERROR(__xludf.DUMMYFUNCTION("""COMPUTED_VALUE"""),"MXN")</f>
        <v>MXN</v>
      </c>
      <c r="F93" s="17" t="str">
        <f ca="1">IFERROR(__xludf.DUMMYFUNCTION("""COMPUTED_VALUE"""),"Karen Alexandra Ballesteros Contreras")</f>
        <v>Karen Alexandra Ballesteros Contreras</v>
      </c>
      <c r="G93" s="17" t="str">
        <f ca="1">IFERROR(__xludf.DUMMYFUNCTION("""COMPUTED_VALUE"""),"OFFICE DEPOT VER II    VERACRUZ VER  MEX")</f>
        <v>OFFICE DEPOT VER II    VERACRUZ VER  MEX</v>
      </c>
      <c r="H93" s="17" t="str">
        <f ca="1">IFERROR(__xludf.DUMMYFUNCTION("""COMPUTED_VALUE"""),"Office Depot")</f>
        <v>Office Depot</v>
      </c>
      <c r="I93" s="17"/>
      <c r="J93" s="17"/>
      <c r="K93" s="17"/>
      <c r="L93" s="17"/>
      <c r="M93" s="17"/>
      <c r="N93" s="17"/>
      <c r="O93" s="17"/>
    </row>
    <row r="94" spans="1:15" ht="12.5">
      <c r="A94" s="17" t="str">
        <f ca="1">IFERROR(__xludf.DUMMYFUNCTION("""COMPUTED_VALUE"""),"TRX1565")</f>
        <v>TRX1565</v>
      </c>
      <c r="B94" s="86" t="str">
        <f ca="1">IFERROR(__xludf.DUMMYFUNCTION("""COMPUTED_VALUE"""),"#26")</f>
        <v>#26</v>
      </c>
      <c r="C94" s="63">
        <f ca="1">IFERROR(__xludf.DUMMYFUNCTION("""COMPUTED_VALUE"""),46072.4166666666)</f>
        <v>46072.416666666599</v>
      </c>
      <c r="D94" s="65">
        <f ca="1">IFERROR(__xludf.DUMMYFUNCTION("""COMPUTED_VALUE"""),43)</f>
        <v>43</v>
      </c>
      <c r="E94" s="17" t="str">
        <f ca="1">IFERROR(__xludf.DUMMYFUNCTION("""COMPUTED_VALUE"""),"MXN")</f>
        <v>MXN</v>
      </c>
      <c r="F94" s="17" t="str">
        <f ca="1">IFERROR(__xludf.DUMMYFUNCTION("""COMPUTED_VALUE"""),"Karen Alexandra Ballesteros Contreras")</f>
        <v>Karen Alexandra Ballesteros Contreras</v>
      </c>
      <c r="G94" s="17" t="str">
        <f ca="1">IFERROR(__xludf.DUMMYFUNCTION("""COMPUTED_VALUE"""),"F AHORRO VRC7 CALLE 7  BOCA DEL RIO  MEX")</f>
        <v>F AHORRO VRC7 CALLE 7  BOCA DEL RIO  MEX</v>
      </c>
      <c r="H94" s="17" t="str">
        <f ca="1">IFERROR(__xludf.DUMMYFUNCTION("""COMPUTED_VALUE"""),"F Ahorro Vrc7 Calle 7 Boca Del Rio Mex")</f>
        <v>F Ahorro Vrc7 Calle 7 Boca Del Rio Mex</v>
      </c>
      <c r="I94" s="17"/>
      <c r="J94" s="17"/>
      <c r="K94" s="17"/>
      <c r="L94" s="17"/>
      <c r="M94" s="17"/>
      <c r="N94" s="17"/>
      <c r="O94" s="17"/>
    </row>
    <row r="95" spans="1:15" ht="12.5">
      <c r="A95" s="17" t="str">
        <f ca="1">IFERROR(__xludf.DUMMYFUNCTION("""COMPUTED_VALUE"""),"TRX1217")</f>
        <v>TRX1217</v>
      </c>
      <c r="B95" s="86" t="str">
        <f ca="1">IFERROR(__xludf.DUMMYFUNCTION("""COMPUTED_VALUE"""),"#26")</f>
        <v>#26</v>
      </c>
      <c r="C95" s="63">
        <f ca="1">IFERROR(__xludf.DUMMYFUNCTION("""COMPUTED_VALUE"""),46072.4166666666)</f>
        <v>46072.416666666599</v>
      </c>
      <c r="D95" s="65">
        <f ca="1">IFERROR(__xludf.DUMMYFUNCTION("""COMPUTED_VALUE"""),180)</f>
        <v>180</v>
      </c>
      <c r="E95" s="17" t="str">
        <f ca="1">IFERROR(__xludf.DUMMYFUNCTION("""COMPUTED_VALUE"""),"MXN")</f>
        <v>MXN</v>
      </c>
      <c r="F95" s="17" t="str">
        <f ca="1">IFERROR(__xludf.DUMMYFUNCTION("""COMPUTED_VALUE"""),"Karen Alexandra Ballesteros Contreras")</f>
        <v>Karen Alexandra Ballesteros Contreras</v>
      </c>
      <c r="G95" s="17" t="str">
        <f ca="1">IFERROR(__xludf.DUMMYFUNCTION("""COMPUTED_VALUE"""),"OXXOCOSTA AZUL VER     VERACRUZ VER  MEX")</f>
        <v>OXXOCOSTA AZUL VER     VERACRUZ VER  MEX</v>
      </c>
      <c r="H95" s="17" t="str">
        <f ca="1">IFERROR(__xludf.DUMMYFUNCTION("""COMPUTED_VALUE"""),"Oxxocosta Azul Ver Veracruz Ver Mex")</f>
        <v>Oxxocosta Azul Ver Veracruz Ver Mex</v>
      </c>
      <c r="I95" s="17"/>
      <c r="J95" s="17"/>
      <c r="K95" s="17"/>
      <c r="L95" s="17"/>
      <c r="M95" s="17"/>
      <c r="N95" s="17"/>
      <c r="O95" s="17"/>
    </row>
    <row r="96" spans="1:15" ht="12.5">
      <c r="A96" s="17" t="str">
        <f ca="1">IFERROR(__xludf.DUMMYFUNCTION("""COMPUTED_VALUE"""),"TRX1219")</f>
        <v>TRX1219</v>
      </c>
      <c r="B96" s="86" t="str">
        <f ca="1">IFERROR(__xludf.DUMMYFUNCTION("""COMPUTED_VALUE"""),"#26")</f>
        <v>#26</v>
      </c>
      <c r="C96" s="63">
        <f ca="1">IFERROR(__xludf.DUMMYFUNCTION("""COMPUTED_VALUE"""),46072.4166666666)</f>
        <v>46072.416666666599</v>
      </c>
      <c r="D96" s="65">
        <f ca="1">IFERROR(__xludf.DUMMYFUNCTION("""COMPUTED_VALUE"""),184)</f>
        <v>184</v>
      </c>
      <c r="E96" s="17" t="str">
        <f ca="1">IFERROR(__xludf.DUMMYFUNCTION("""COMPUTED_VALUE"""),"MXN")</f>
        <v>MXN</v>
      </c>
      <c r="F96" s="17" t="str">
        <f ca="1">IFERROR(__xludf.DUMMYFUNCTION("""COMPUTED_VALUE"""),"Karen Alexandra Ballesteros Contreras")</f>
        <v>Karen Alexandra Ballesteros Contreras</v>
      </c>
      <c r="G96" s="17" t="str">
        <f ca="1">IFERROR(__xludf.DUMMYFUNCTION("""COMPUTED_VALUE"""),"FAR GUAD 2094          BOCA DEL RIO  MEX")</f>
        <v>FAR GUAD 2094          BOCA DEL RIO  MEX</v>
      </c>
      <c r="H96" s="17" t="str">
        <f ca="1">IFERROR(__xludf.DUMMYFUNCTION("""COMPUTED_VALUE"""),"Far Guad 2094 Boca Del Rio Mex")</f>
        <v>Far Guad 2094 Boca Del Rio Mex</v>
      </c>
      <c r="I96" s="17"/>
      <c r="J96" s="17"/>
      <c r="K96" s="17"/>
      <c r="L96" s="17"/>
      <c r="M96" s="17"/>
      <c r="N96" s="17"/>
      <c r="O96" s="17"/>
    </row>
    <row r="97" spans="1:15" ht="12.5">
      <c r="A97" s="17" t="str">
        <f ca="1">IFERROR(__xludf.DUMMYFUNCTION("""COMPUTED_VALUE"""),"TRX1691")</f>
        <v>TRX1691</v>
      </c>
      <c r="B97" s="86" t="str">
        <f ca="1">IFERROR(__xludf.DUMMYFUNCTION("""COMPUTED_VALUE"""),"#26")</f>
        <v>#26</v>
      </c>
      <c r="C97" s="63">
        <f ca="1">IFERROR(__xludf.DUMMYFUNCTION("""COMPUTED_VALUE"""),46072.4166666666)</f>
        <v>46072.416666666599</v>
      </c>
      <c r="D97" s="65">
        <f ca="1">IFERROR(__xludf.DUMMYFUNCTION("""COMPUTED_VALUE"""),140)</f>
        <v>140</v>
      </c>
      <c r="E97" s="17" t="str">
        <f ca="1">IFERROR(__xludf.DUMMYFUNCTION("""COMPUTED_VALUE"""),"MXN")</f>
        <v>MXN</v>
      </c>
      <c r="F97" s="17" t="str">
        <f ca="1">IFERROR(__xludf.DUMMYFUNCTION("""COMPUTED_VALUE"""),"Karen Alexandra Ballesteros Contreras")</f>
        <v>Karen Alexandra Ballesteros Contreras</v>
      </c>
      <c r="G97" s="17" t="str">
        <f ca="1">IFERROR(__xludf.DUMMYFUNCTION("""COMPUTED_VALUE"""),"NETPAY *TERMINAL CAFFE BOCA DEL RIO  MEX")</f>
        <v>NETPAY *TERMINAL CAFFE BOCA DEL RIO  MEX</v>
      </c>
      <c r="H97" s="17" t="str">
        <f ca="1">IFERROR(__xludf.DUMMYFUNCTION("""COMPUTED_VALUE"""),"Netpay Terminal Caffe Boca Del Rio Mex")</f>
        <v>Netpay Terminal Caffe Boca Del Rio Mex</v>
      </c>
      <c r="I97" s="17"/>
      <c r="J97" s="17"/>
      <c r="K97" s="17"/>
      <c r="L97" s="17"/>
      <c r="M97" s="17"/>
      <c r="N97" s="17"/>
      <c r="O97" s="17"/>
    </row>
    <row r="98" spans="1:15" ht="12.5">
      <c r="A98" s="17" t="str">
        <f ca="1">IFERROR(__xludf.DUMMYFUNCTION("""COMPUTED_VALUE"""),"TRX1011")</f>
        <v>TRX1011</v>
      </c>
      <c r="B98" s="86" t="str">
        <f ca="1">IFERROR(__xludf.DUMMYFUNCTION("""COMPUTED_VALUE"""),"#26")</f>
        <v>#26</v>
      </c>
      <c r="C98" s="63">
        <f ca="1">IFERROR(__xludf.DUMMYFUNCTION("""COMPUTED_VALUE"""),46073.4166666666)</f>
        <v>46073.416666666599</v>
      </c>
      <c r="D98" s="65">
        <f ca="1">IFERROR(__xludf.DUMMYFUNCTION("""COMPUTED_VALUE"""),30)</f>
        <v>30</v>
      </c>
      <c r="E98" s="17" t="str">
        <f ca="1">IFERROR(__xludf.DUMMYFUNCTION("""COMPUTED_VALUE"""),"MXN")</f>
        <v>MXN</v>
      </c>
      <c r="F98" s="17" t="str">
        <f ca="1">IFERROR(__xludf.DUMMYFUNCTION("""COMPUTED_VALUE"""),"Karen Alexandra Ballesteros Contreras")</f>
        <v>Karen Alexandra Ballesteros Contreras</v>
      </c>
      <c r="G98" s="17" t="str">
        <f ca="1">IFERROR(__xludf.DUMMYFUNCTION("""COMPUTED_VALUE"""),"DLO DIDI RIDES MX      CIUDAD DE MEX MEX")</f>
        <v>DLO DIDI RIDES MX      CIUDAD DE MEX MEX</v>
      </c>
      <c r="H98" s="17" t="str">
        <f ca="1">IFERROR(__xludf.DUMMYFUNCTION("""COMPUTED_VALUE"""),"Didi Chuxing")</f>
        <v>Didi Chuxing</v>
      </c>
      <c r="I98" s="17"/>
      <c r="J98" s="17"/>
      <c r="K98" s="17"/>
      <c r="L98" s="17"/>
      <c r="M98" s="17"/>
      <c r="N98" s="17"/>
      <c r="O98" s="17"/>
    </row>
    <row r="99" spans="1:15" ht="12.5">
      <c r="A99" s="17" t="str">
        <f ca="1">IFERROR(__xludf.DUMMYFUNCTION("""COMPUTED_VALUE"""),"TRX1218")</f>
        <v>TRX1218</v>
      </c>
      <c r="B99" s="86" t="str">
        <f ca="1">IFERROR(__xludf.DUMMYFUNCTION("""COMPUTED_VALUE"""),"#26")</f>
        <v>#26</v>
      </c>
      <c r="C99" s="63">
        <f ca="1">IFERROR(__xludf.DUMMYFUNCTION("""COMPUTED_VALUE"""),46073.4166666666)</f>
        <v>46073.416666666599</v>
      </c>
      <c r="D99" s="65">
        <f ca="1">IFERROR(__xludf.DUMMYFUNCTION("""COMPUTED_VALUE"""),12.09)</f>
        <v>12.09</v>
      </c>
      <c r="E99" s="17" t="str">
        <f ca="1">IFERROR(__xludf.DUMMYFUNCTION("""COMPUTED_VALUE"""),"MXN")</f>
        <v>MXN</v>
      </c>
      <c r="F99" s="17" t="str">
        <f ca="1">IFERROR(__xludf.DUMMYFUNCTION("""COMPUTED_VALUE"""),"Karen Alexandra Ballesteros Contreras")</f>
        <v>Karen Alexandra Ballesteros Contreras</v>
      </c>
      <c r="G99" s="17" t="str">
        <f ca="1">IFERROR(__xludf.DUMMYFUNCTION("""COMPUTED_VALUE"""),"DLO DIDI RIDES MX      CIUDAD DE MEX MEX")</f>
        <v>DLO DIDI RIDES MX      CIUDAD DE MEX MEX</v>
      </c>
      <c r="H99" s="17" t="str">
        <f ca="1">IFERROR(__xludf.DUMMYFUNCTION("""COMPUTED_VALUE"""),"Didi Chuxing")</f>
        <v>Didi Chuxing</v>
      </c>
      <c r="I99" s="17"/>
      <c r="J99" s="17"/>
      <c r="K99" s="17"/>
      <c r="L99" s="17"/>
      <c r="M99" s="17"/>
      <c r="N99" s="17"/>
      <c r="O99" s="17"/>
    </row>
    <row r="100" spans="1:15" ht="12.5">
      <c r="A100" s="17" t="str">
        <f ca="1">IFERROR(__xludf.DUMMYFUNCTION("""COMPUTED_VALUE"""),"TRX1162")</f>
        <v>TRX1162</v>
      </c>
      <c r="B100" s="86" t="str">
        <f ca="1">IFERROR(__xludf.DUMMYFUNCTION("""COMPUTED_VALUE"""),"#26")</f>
        <v>#26</v>
      </c>
      <c r="C100" s="63">
        <f ca="1">IFERROR(__xludf.DUMMYFUNCTION("""COMPUTED_VALUE"""),46073.4166666666)</f>
        <v>46073.416666666599</v>
      </c>
      <c r="D100" s="65">
        <f ca="1">IFERROR(__xludf.DUMMYFUNCTION("""COMPUTED_VALUE"""),101)</f>
        <v>101</v>
      </c>
      <c r="E100" s="17" t="str">
        <f ca="1">IFERROR(__xludf.DUMMYFUNCTION("""COMPUTED_VALUE"""),"MXN")</f>
        <v>MXN</v>
      </c>
      <c r="F100" s="17" t="str">
        <f ca="1">IFERROR(__xludf.DUMMYFUNCTION("""COMPUTED_VALUE"""),"Karen Alexandra Ballesteros Contreras")</f>
        <v>Karen Alexandra Ballesteros Contreras</v>
      </c>
      <c r="G100" s="17" t="str">
        <f ca="1">IFERROR(__xludf.DUMMYFUNCTION("""COMPUTED_VALUE"""),"DLO DIDI RIDES MX      CIUDAD DE MEX MEX")</f>
        <v>DLO DIDI RIDES MX      CIUDAD DE MEX MEX</v>
      </c>
      <c r="H100" s="17" t="str">
        <f ca="1">IFERROR(__xludf.DUMMYFUNCTION("""COMPUTED_VALUE"""),"Didi Chuxing")</f>
        <v>Didi Chuxing</v>
      </c>
      <c r="I100" s="17"/>
      <c r="J100" s="17"/>
      <c r="K100" s="17"/>
      <c r="L100" s="17"/>
      <c r="M100" s="17"/>
      <c r="N100" s="17"/>
      <c r="O100" s="17"/>
    </row>
    <row r="101" spans="1:15" ht="12.5">
      <c r="A101" s="17" t="str">
        <f ca="1">IFERROR(__xludf.DUMMYFUNCTION("""COMPUTED_VALUE"""),"TRX1366")</f>
        <v>TRX1366</v>
      </c>
      <c r="B101" s="86" t="str">
        <f ca="1">IFERROR(__xludf.DUMMYFUNCTION("""COMPUTED_VALUE"""),"#26")</f>
        <v>#26</v>
      </c>
      <c r="C101" s="63">
        <f ca="1">IFERROR(__xludf.DUMMYFUNCTION("""COMPUTED_VALUE"""),46073.4166666666)</f>
        <v>46073.416666666599</v>
      </c>
      <c r="D101" s="65">
        <f ca="1">IFERROR(__xludf.DUMMYFUNCTION("""COMPUTED_VALUE"""),349)</f>
        <v>349</v>
      </c>
      <c r="E101" s="17" t="str">
        <f ca="1">IFERROR(__xludf.DUMMYFUNCTION("""COMPUTED_VALUE"""),"MXN")</f>
        <v>MXN</v>
      </c>
      <c r="F101" s="17" t="str">
        <f ca="1">IFERROR(__xludf.DUMMYFUNCTION("""COMPUTED_VALUE"""),"Karen Alexandra Ballesteros Contreras")</f>
        <v>Karen Alexandra Ballesteros Contreras</v>
      </c>
      <c r="G101" s="17" t="str">
        <f ca="1">IFERROR(__xludf.DUMMYFUNCTION("""COMPUTED_VALUE"""),"D LOCAL*DIDI RIDES     CIUDAD DE MEX MEX")</f>
        <v>D LOCAL*DIDI RIDES     CIUDAD DE MEX MEX</v>
      </c>
      <c r="H101" s="17" t="str">
        <f ca="1">IFERROR(__xludf.DUMMYFUNCTION("""COMPUTED_VALUE"""),"Didi Chuxing")</f>
        <v>Didi Chuxing</v>
      </c>
      <c r="I101" s="17"/>
      <c r="J101" s="17"/>
      <c r="K101" s="17"/>
      <c r="L101" s="17"/>
      <c r="M101" s="17"/>
      <c r="N101" s="17"/>
      <c r="O101" s="17"/>
    </row>
    <row r="102" spans="1:15" ht="12.5">
      <c r="A102" s="17" t="str">
        <f ca="1">IFERROR(__xludf.DUMMYFUNCTION("""COMPUTED_VALUE"""),"TRX1022")</f>
        <v>TRX1022</v>
      </c>
      <c r="B102" s="86" t="str">
        <f ca="1">IFERROR(__xludf.DUMMYFUNCTION("""COMPUTED_VALUE"""),"#26")</f>
        <v>#26</v>
      </c>
      <c r="C102" s="63">
        <f ca="1">IFERROR(__xludf.DUMMYFUNCTION("""COMPUTED_VALUE"""),46073.4166666666)</f>
        <v>46073.416666666599</v>
      </c>
      <c r="D102" s="65">
        <f ca="1">IFERROR(__xludf.DUMMYFUNCTION("""COMPUTED_VALUE"""),121.35)</f>
        <v>121.35</v>
      </c>
      <c r="E102" s="17" t="str">
        <f ca="1">IFERROR(__xludf.DUMMYFUNCTION("""COMPUTED_VALUE"""),"MXN")</f>
        <v>MXN</v>
      </c>
      <c r="F102" s="17" t="str">
        <f ca="1">IFERROR(__xludf.DUMMYFUNCTION("""COMPUTED_VALUE"""),"Karen Alexandra Ballesteros Contreras")</f>
        <v>Karen Alexandra Ballesteros Contreras</v>
      </c>
      <c r="G102" s="17" t="str">
        <f ca="1">IFERROR(__xludf.DUMMYFUNCTION("""COMPUTED_VALUE"""),"UBER * EATS PENDING    CMX           MEX")</f>
        <v>UBER * EATS PENDING    CMX           MEX</v>
      </c>
      <c r="H102" s="17" t="str">
        <f ca="1">IFERROR(__xludf.DUMMYFUNCTION("""COMPUTED_VALUE"""),"Uber Eats")</f>
        <v>Uber Eats</v>
      </c>
      <c r="I102" s="17"/>
      <c r="J102" s="17"/>
      <c r="K102" s="17"/>
      <c r="L102" s="17"/>
      <c r="M102" s="17"/>
      <c r="N102" s="17"/>
      <c r="O102" s="17"/>
    </row>
    <row r="103" spans="1:15" ht="12.5">
      <c r="A103" s="17" t="str">
        <f ca="1">IFERROR(__xludf.DUMMYFUNCTION("""COMPUTED_VALUE"""),"TRX1743")</f>
        <v>TRX1743</v>
      </c>
      <c r="B103" s="86" t="str">
        <f ca="1">IFERROR(__xludf.DUMMYFUNCTION("""COMPUTED_VALUE"""),"#26")</f>
        <v>#26</v>
      </c>
      <c r="C103" s="63">
        <f ca="1">IFERROR(__xludf.DUMMYFUNCTION("""COMPUTED_VALUE"""),46073.4166666666)</f>
        <v>46073.416666666599</v>
      </c>
      <c r="D103" s="65">
        <f ca="1">IFERROR(__xludf.DUMMYFUNCTION("""COMPUTED_VALUE"""),250)</f>
        <v>250</v>
      </c>
      <c r="E103" s="17" t="str">
        <f ca="1">IFERROR(__xludf.DUMMYFUNCTION("""COMPUTED_VALUE"""),"MXN")</f>
        <v>MXN</v>
      </c>
      <c r="F103" s="17" t="str">
        <f ca="1">IFERROR(__xludf.DUMMYFUNCTION("""COMPUTED_VALUE"""),"Karen Alexandra Ballesteros Contreras")</f>
        <v>Karen Alexandra Ballesteros Contreras</v>
      </c>
      <c r="G103" s="17" t="str">
        <f ca="1">IFERROR(__xludf.DUMMYFUNCTION("""COMPUTED_VALUE"""),"D LOCAL*DIDI RIDES     CIUDAD DE MEX MEX")</f>
        <v>D LOCAL*DIDI RIDES     CIUDAD DE MEX MEX</v>
      </c>
      <c r="H103" s="17" t="str">
        <f ca="1">IFERROR(__xludf.DUMMYFUNCTION("""COMPUTED_VALUE"""),"Didi Chuxing")</f>
        <v>Didi Chuxing</v>
      </c>
      <c r="I103" s="17"/>
      <c r="J103" s="17"/>
      <c r="K103" s="17"/>
      <c r="L103" s="17"/>
      <c r="M103" s="17"/>
      <c r="N103" s="17"/>
      <c r="O103" s="17"/>
    </row>
    <row r="104" spans="1:15" ht="12.5">
      <c r="A104" s="17" t="str">
        <f ca="1">IFERROR(__xludf.DUMMYFUNCTION("""COMPUTED_VALUE"""),"TRX1061")</f>
        <v>TRX1061</v>
      </c>
      <c r="B104" s="86" t="str">
        <f ca="1">IFERROR(__xludf.DUMMYFUNCTION("""COMPUTED_VALUE"""),"#26")</f>
        <v>#26</v>
      </c>
      <c r="C104" s="63">
        <f ca="1">IFERROR(__xludf.DUMMYFUNCTION("""COMPUTED_VALUE"""),46073.4173611111)</f>
        <v>46073.417361111096</v>
      </c>
      <c r="D104" s="65">
        <f ca="1">IFERROR(__xludf.DUMMYFUNCTION("""COMPUTED_VALUE"""),188)</f>
        <v>188</v>
      </c>
      <c r="E104" s="17" t="str">
        <f ca="1">IFERROR(__xludf.DUMMYFUNCTION("""COMPUTED_VALUE"""),"MXN")</f>
        <v>MXN</v>
      </c>
      <c r="F104" s="17" t="str">
        <f ca="1">IFERROR(__xludf.DUMMYFUNCTION("""COMPUTED_VALUE"""),"Karen Alexandra Ballesteros Contreras")</f>
        <v>Karen Alexandra Ballesteros Contreras</v>
      </c>
      <c r="G104" s="17" t="str">
        <f ca="1">IFERROR(__xludf.DUMMYFUNCTION("""COMPUTED_VALUE"""),"REST JOHNNY ROCKETS    VERACRUZ VER  MEX")</f>
        <v>REST JOHNNY ROCKETS    VERACRUZ VER  MEX</v>
      </c>
      <c r="H104" s="17" t="str">
        <f ca="1">IFERROR(__xludf.DUMMYFUNCTION("""COMPUTED_VALUE"""),"Johnny Rockets")</f>
        <v>Johnny Rockets</v>
      </c>
      <c r="I104" s="17"/>
      <c r="J104" s="17"/>
      <c r="K104" s="17"/>
      <c r="L104" s="17"/>
      <c r="M104" s="17"/>
      <c r="N104" s="17"/>
      <c r="O104" s="17"/>
    </row>
    <row r="105" spans="1:15" ht="12.5">
      <c r="A105" s="17" t="str">
        <f ca="1">IFERROR(__xludf.DUMMYFUNCTION("""COMPUTED_VALUE"""),"TRX1711")</f>
        <v>TRX1711</v>
      </c>
      <c r="B105" s="86" t="str">
        <f ca="1">IFERROR(__xludf.DUMMYFUNCTION("""COMPUTED_VALUE"""),"#26")</f>
        <v>#26</v>
      </c>
      <c r="C105" s="63">
        <f ca="1">IFERROR(__xludf.DUMMYFUNCTION("""COMPUTED_VALUE"""),46074.4166666666)</f>
        <v>46074.416666666599</v>
      </c>
      <c r="D105" s="65">
        <f ca="1">IFERROR(__xludf.DUMMYFUNCTION("""COMPUTED_VALUE"""),20)</f>
        <v>20</v>
      </c>
      <c r="E105" s="17" t="str">
        <f ca="1">IFERROR(__xludf.DUMMYFUNCTION("""COMPUTED_VALUE"""),"MXN")</f>
        <v>MXN</v>
      </c>
      <c r="F105" s="17" t="str">
        <f ca="1">IFERROR(__xludf.DUMMYFUNCTION("""COMPUTED_VALUE"""),"Karen Alexandra Ballesteros Contreras")</f>
        <v>Karen Alexandra Ballesteros Contreras</v>
      </c>
      <c r="G105" s="17" t="str">
        <f ca="1">IFERROR(__xludf.DUMMYFUNCTION("""COMPUTED_VALUE"""),"DLO DIDI RIDES MX      CIUDAD DE MEX MEX")</f>
        <v>DLO DIDI RIDES MX      CIUDAD DE MEX MEX</v>
      </c>
      <c r="H105" s="17" t="str">
        <f ca="1">IFERROR(__xludf.DUMMYFUNCTION("""COMPUTED_VALUE"""),"Didi Chuxing")</f>
        <v>Didi Chuxing</v>
      </c>
      <c r="I105" s="17"/>
      <c r="J105" s="17"/>
      <c r="K105" s="17"/>
      <c r="L105" s="17"/>
      <c r="M105" s="17"/>
      <c r="N105" s="17"/>
      <c r="O105" s="17"/>
    </row>
    <row r="106" spans="1:15" ht="12.5">
      <c r="A106" s="17" t="str">
        <f ca="1">IFERROR(__xludf.DUMMYFUNCTION("""COMPUTED_VALUE"""),"TRX1013")</f>
        <v>TRX1013</v>
      </c>
      <c r="B106" s="86" t="str">
        <f ca="1">IFERROR(__xludf.DUMMYFUNCTION("""COMPUTED_VALUE"""),"#26")</f>
        <v>#26</v>
      </c>
      <c r="C106" s="63">
        <f ca="1">IFERROR(__xludf.DUMMYFUNCTION("""COMPUTED_VALUE"""),46074.4166666666)</f>
        <v>46074.416666666599</v>
      </c>
      <c r="D106" s="65">
        <f ca="1">IFERROR(__xludf.DUMMYFUNCTION("""COMPUTED_VALUE"""),92)</f>
        <v>92</v>
      </c>
      <c r="E106" s="17" t="str">
        <f ca="1">IFERROR(__xludf.DUMMYFUNCTION("""COMPUTED_VALUE"""),"MXN")</f>
        <v>MXN</v>
      </c>
      <c r="F106" s="17" t="str">
        <f ca="1">IFERROR(__xludf.DUMMYFUNCTION("""COMPUTED_VALUE"""),"Karen Alexandra Ballesteros Contreras")</f>
        <v>Karen Alexandra Ballesteros Contreras</v>
      </c>
      <c r="G106" s="17" t="str">
        <f ca="1">IFERROR(__xludf.DUMMYFUNCTION("""COMPUTED_VALUE"""),"D LOCAL*DIDI RIDES     CIUDAD DE MEX MEX")</f>
        <v>D LOCAL*DIDI RIDES     CIUDAD DE MEX MEX</v>
      </c>
      <c r="H106" s="17" t="str">
        <f ca="1">IFERROR(__xludf.DUMMYFUNCTION("""COMPUTED_VALUE"""),"Didi Chuxing")</f>
        <v>Didi Chuxing</v>
      </c>
      <c r="I106" s="17"/>
      <c r="J106" s="17"/>
      <c r="K106" s="17"/>
      <c r="L106" s="17"/>
      <c r="M106" s="17"/>
      <c r="N106" s="17"/>
      <c r="O106" s="17"/>
    </row>
    <row r="107" spans="1:15" ht="12.5">
      <c r="A107" s="17" t="str">
        <f ca="1">IFERROR(__xludf.DUMMYFUNCTION("""COMPUTED_VALUE"""),"TRX1025")</f>
        <v>TRX1025</v>
      </c>
      <c r="B107" s="86" t="str">
        <f ca="1">IFERROR(__xludf.DUMMYFUNCTION("""COMPUTED_VALUE"""),"#26")</f>
        <v>#26</v>
      </c>
      <c r="C107" s="63">
        <f ca="1">IFERROR(__xludf.DUMMYFUNCTION("""COMPUTED_VALUE"""),46074.4173611111)</f>
        <v>46074.417361111096</v>
      </c>
      <c r="D107" s="65">
        <f ca="1">IFERROR(__xludf.DUMMYFUNCTION("""COMPUTED_VALUE"""),55)</f>
        <v>55</v>
      </c>
      <c r="E107" s="17" t="str">
        <f ca="1">IFERROR(__xludf.DUMMYFUNCTION("""COMPUTED_VALUE"""),"MXN")</f>
        <v>MXN</v>
      </c>
      <c r="F107" s="17" t="str">
        <f ca="1">IFERROR(__xludf.DUMMYFUNCTION("""COMPUTED_VALUE"""),"Karen Alexandra Ballesteros Contreras")</f>
        <v>Karen Alexandra Ballesteros Contreras</v>
      </c>
      <c r="G107" s="17" t="str">
        <f ca="1">IFERROR(__xludf.DUMMYFUNCTION("""COMPUTED_VALUE"""),"D LOCAL*DIDI RIDES     CIUDAD DE MEX MEX")</f>
        <v>D LOCAL*DIDI RIDES     CIUDAD DE MEX MEX</v>
      </c>
      <c r="H107" s="17" t="str">
        <f ca="1">IFERROR(__xludf.DUMMYFUNCTION("""COMPUTED_VALUE"""),"Didi Chuxing")</f>
        <v>Didi Chuxing</v>
      </c>
      <c r="I107" s="17"/>
      <c r="J107" s="17"/>
      <c r="K107" s="17"/>
      <c r="L107" s="17"/>
      <c r="M107" s="17"/>
      <c r="N107" s="17"/>
      <c r="O107" s="17"/>
    </row>
    <row r="108" spans="1:15" ht="12.5">
      <c r="A108" s="17" t="str">
        <f ca="1">IFERROR(__xludf.DUMMYFUNCTION("""COMPUTED_VALUE"""),"TRX1026")</f>
        <v>TRX1026</v>
      </c>
      <c r="B108" s="86" t="str">
        <f ca="1">IFERROR(__xludf.DUMMYFUNCTION("""COMPUTED_VALUE"""),"#26")</f>
        <v>#26</v>
      </c>
      <c r="C108" s="63">
        <f ca="1">IFERROR(__xludf.DUMMYFUNCTION("""COMPUTED_VALUE"""),46074.4173611111)</f>
        <v>46074.417361111096</v>
      </c>
      <c r="D108" s="65">
        <f ca="1">IFERROR(__xludf.DUMMYFUNCTION("""COMPUTED_VALUE"""),194)</f>
        <v>194</v>
      </c>
      <c r="E108" s="17" t="str">
        <f ca="1">IFERROR(__xludf.DUMMYFUNCTION("""COMPUTED_VALUE"""),"MXN")</f>
        <v>MXN</v>
      </c>
      <c r="F108" s="17" t="str">
        <f ca="1">IFERROR(__xludf.DUMMYFUNCTION("""COMPUTED_VALUE"""),"Karen Alexandra Ballesteros Contreras")</f>
        <v>Karen Alexandra Ballesteros Contreras</v>
      </c>
      <c r="G108" s="17" t="str">
        <f ca="1">IFERROR(__xludf.DUMMYFUNCTION("""COMPUTED_VALUE"""),"D LOCAL*DIDI RIDES     CIUDAD DE MEX MEX")</f>
        <v>D LOCAL*DIDI RIDES     CIUDAD DE MEX MEX</v>
      </c>
      <c r="H108" s="17" t="str">
        <f ca="1">IFERROR(__xludf.DUMMYFUNCTION("""COMPUTED_VALUE"""),"Didi Chuxing")</f>
        <v>Didi Chuxing</v>
      </c>
      <c r="I108" s="17"/>
      <c r="J108" s="17"/>
      <c r="K108" s="17"/>
      <c r="L108" s="17"/>
      <c r="M108" s="17"/>
      <c r="N108" s="17"/>
      <c r="O108" s="17"/>
    </row>
    <row r="109" spans="1:15" ht="12.5">
      <c r="A109" s="17" t="str">
        <f ca="1">IFERROR(__xludf.DUMMYFUNCTION("""COMPUTED_VALUE"""),"TRX1027")</f>
        <v>TRX1027</v>
      </c>
      <c r="B109" s="86" t="str">
        <f ca="1">IFERROR(__xludf.DUMMYFUNCTION("""COMPUTED_VALUE"""),"#26")</f>
        <v>#26</v>
      </c>
      <c r="C109" s="63">
        <f ca="1">IFERROR(__xludf.DUMMYFUNCTION("""COMPUTED_VALUE"""),46074.4173611111)</f>
        <v>46074.417361111096</v>
      </c>
      <c r="D109" s="65">
        <f ca="1">IFERROR(__xludf.DUMMYFUNCTION("""COMPUTED_VALUE"""),113)</f>
        <v>113</v>
      </c>
      <c r="E109" s="17" t="str">
        <f ca="1">IFERROR(__xludf.DUMMYFUNCTION("""COMPUTED_VALUE"""),"MXN")</f>
        <v>MXN</v>
      </c>
      <c r="F109" s="17" t="str">
        <f ca="1">IFERROR(__xludf.DUMMYFUNCTION("""COMPUTED_VALUE"""),"Karen Alexandra Ballesteros Contreras")</f>
        <v>Karen Alexandra Ballesteros Contreras</v>
      </c>
      <c r="G109" s="17" t="str">
        <f ca="1">IFERROR(__xludf.DUMMYFUNCTION("""COMPUTED_VALUE"""),"OXXO CALACOAYA         TLALNEPANTLA  MEX")</f>
        <v>OXXO CALACOAYA         TLALNEPANTLA  MEX</v>
      </c>
      <c r="H109" s="17" t="str">
        <f ca="1">IFERROR(__xludf.DUMMYFUNCTION("""COMPUTED_VALUE"""),"Oxxo")</f>
        <v>Oxxo</v>
      </c>
      <c r="I109" s="17"/>
      <c r="J109" s="17"/>
      <c r="K109" s="17"/>
      <c r="L109" s="17"/>
      <c r="M109" s="17"/>
      <c r="N109" s="17"/>
      <c r="O109" s="17"/>
    </row>
    <row r="110" spans="1:15" ht="12.5">
      <c r="A110" s="17" t="str">
        <f ca="1">IFERROR(__xludf.DUMMYFUNCTION("""COMPUTED_VALUE"""),"TRX1048")</f>
        <v>TRX1048</v>
      </c>
      <c r="B110" s="86" t="str">
        <f ca="1">IFERROR(__xludf.DUMMYFUNCTION("""COMPUTED_VALUE"""),"#26")</f>
        <v>#26</v>
      </c>
      <c r="C110" s="63">
        <f ca="1">IFERROR(__xludf.DUMMYFUNCTION("""COMPUTED_VALUE"""),46075.4166666666)</f>
        <v>46075.416666666599</v>
      </c>
      <c r="D110" s="65">
        <f ca="1">IFERROR(__xludf.DUMMYFUNCTION("""COMPUTED_VALUE"""),37.9)</f>
        <v>37.9</v>
      </c>
      <c r="E110" s="17" t="str">
        <f ca="1">IFERROR(__xludf.DUMMYFUNCTION("""COMPUTED_VALUE"""),"MXN")</f>
        <v>MXN</v>
      </c>
      <c r="F110" s="17" t="str">
        <f ca="1">IFERROR(__xludf.DUMMYFUNCTION("""COMPUTED_VALUE"""),"Karen Alexandra Ballesteros Contreras")</f>
        <v>Karen Alexandra Ballesteros Contreras</v>
      </c>
      <c r="G110" s="17" t="str">
        <f ca="1">IFERROR(__xludf.DUMMYFUNCTION("""COMPUTED_VALUE"""),"UBER *TRIP HELP.UBER.C CMX           MEX")</f>
        <v>UBER *TRIP HELP.UBER.C CMX           MEX</v>
      </c>
      <c r="H110" s="17" t="str">
        <f ca="1">IFERROR(__xludf.DUMMYFUNCTION("""COMPUTED_VALUE"""),"Uber")</f>
        <v>Uber</v>
      </c>
      <c r="I110" s="17"/>
      <c r="J110" s="17"/>
      <c r="K110" s="17"/>
      <c r="L110" s="17"/>
      <c r="M110" s="17"/>
      <c r="N110" s="17"/>
      <c r="O110" s="17"/>
    </row>
    <row r="111" spans="1:15" ht="12.5">
      <c r="A111" s="17" t="str">
        <f ca="1">IFERROR(__xludf.DUMMYFUNCTION("""COMPUTED_VALUE"""),"TRX1054")</f>
        <v>TRX1054</v>
      </c>
      <c r="B111" s="86" t="str">
        <f ca="1">IFERROR(__xludf.DUMMYFUNCTION("""COMPUTED_VALUE"""),"#26")</f>
        <v>#26</v>
      </c>
      <c r="C111" s="63">
        <f ca="1">IFERROR(__xludf.DUMMYFUNCTION("""COMPUTED_VALUE"""),46075.4166666666)</f>
        <v>46075.416666666599</v>
      </c>
      <c r="D111" s="65">
        <f ca="1">IFERROR(__xludf.DUMMYFUNCTION("""COMPUTED_VALUE"""),134.62)</f>
        <v>134.62</v>
      </c>
      <c r="E111" s="17" t="str">
        <f ca="1">IFERROR(__xludf.DUMMYFUNCTION("""COMPUTED_VALUE"""),"MXN")</f>
        <v>MXN</v>
      </c>
      <c r="F111" s="17" t="str">
        <f ca="1">IFERROR(__xludf.DUMMYFUNCTION("""COMPUTED_VALUE"""),"Karen Alexandra Ballesteros Contreras")</f>
        <v>Karen Alexandra Ballesteros Contreras</v>
      </c>
      <c r="G111" s="17" t="str">
        <f ca="1">IFERROR(__xludf.DUMMYFUNCTION("""COMPUTED_VALUE"""),"UBER *TRIP HELP.UBER.C CMX           MEX")</f>
        <v>UBER *TRIP HELP.UBER.C CMX           MEX</v>
      </c>
      <c r="H111" s="17" t="str">
        <f ca="1">IFERROR(__xludf.DUMMYFUNCTION("""COMPUTED_VALUE"""),"Uber")</f>
        <v>Uber</v>
      </c>
      <c r="I111" s="17"/>
      <c r="J111" s="17"/>
      <c r="K111" s="17"/>
      <c r="L111" s="17"/>
      <c r="M111" s="17"/>
      <c r="N111" s="17"/>
      <c r="O111" s="17"/>
    </row>
    <row r="112" spans="1:15" ht="12.5">
      <c r="A112" s="17" t="str">
        <f ca="1">IFERROR(__xludf.DUMMYFUNCTION("""COMPUTED_VALUE"""),"TRX1060")</f>
        <v>TRX1060</v>
      </c>
      <c r="B112" s="86" t="str">
        <f ca="1">IFERROR(__xludf.DUMMYFUNCTION("""COMPUTED_VALUE"""),"#26")</f>
        <v>#26</v>
      </c>
      <c r="C112" s="63">
        <f ca="1">IFERROR(__xludf.DUMMYFUNCTION("""COMPUTED_VALUE"""),46075.4166666666)</f>
        <v>46075.416666666599</v>
      </c>
      <c r="D112" s="65">
        <f ca="1">IFERROR(__xludf.DUMMYFUNCTION("""COMPUTED_VALUE"""),244)</f>
        <v>244</v>
      </c>
      <c r="E112" s="17" t="str">
        <f ca="1">IFERROR(__xludf.DUMMYFUNCTION("""COMPUTED_VALUE"""),"MXN")</f>
        <v>MXN</v>
      </c>
      <c r="F112" s="17" t="str">
        <f ca="1">IFERROR(__xludf.DUMMYFUNCTION("""COMPUTED_VALUE"""),"Karen Alexandra Ballesteros Contreras")</f>
        <v>Karen Alexandra Ballesteros Contreras</v>
      </c>
      <c r="G112" s="17" t="str">
        <f ca="1">IFERROR(__xludf.DUMMYFUNCTION("""COMPUTED_VALUE"""),"MISC PITS TOL ZIT      ALMOLOYA DE J MEX")</f>
        <v>MISC PITS TOL ZIT      ALMOLOYA DE J MEX</v>
      </c>
      <c r="H112" s="17" t="str">
        <f ca="1">IFERROR(__xludf.DUMMYFUNCTION("""COMPUTED_VALUE"""),"Misc Pits Tol Zit Almoloya De J Mex")</f>
        <v>Misc Pits Tol Zit Almoloya De J Mex</v>
      </c>
      <c r="I112" s="17"/>
      <c r="J112" s="17"/>
      <c r="K112" s="17"/>
      <c r="L112" s="17"/>
      <c r="M112" s="17"/>
      <c r="N112" s="17"/>
      <c r="O112" s="17"/>
    </row>
    <row r="113" spans="1:15" ht="12.5">
      <c r="A113" s="17" t="str">
        <f ca="1">IFERROR(__xludf.DUMMYFUNCTION("""COMPUTED_VALUE"""),"TRX1061")</f>
        <v>TRX1061</v>
      </c>
      <c r="B113" s="86" t="str">
        <f ca="1">IFERROR(__xludf.DUMMYFUNCTION("""COMPUTED_VALUE"""),"#26")</f>
        <v>#26</v>
      </c>
      <c r="C113" s="63">
        <f ca="1">IFERROR(__xludf.DUMMYFUNCTION("""COMPUTED_VALUE"""),46075.4166666666)</f>
        <v>46075.416666666599</v>
      </c>
      <c r="D113" s="65">
        <f ca="1">IFERROR(__xludf.DUMMYFUNCTION("""COMPUTED_VALUE"""),510)</f>
        <v>510</v>
      </c>
      <c r="E113" s="17" t="str">
        <f ca="1">IFERROR(__xludf.DUMMYFUNCTION("""COMPUTED_VALUE"""),"MXN")</f>
        <v>MXN</v>
      </c>
      <c r="F113" s="17" t="str">
        <f ca="1">IFERROR(__xludf.DUMMYFUNCTION("""COMPUTED_VALUE"""),"Karen Alexandra Ballesteros Contreras")</f>
        <v>Karen Alexandra Ballesteros Contreras</v>
      </c>
      <c r="G113" s="17" t="str">
        <f ca="1">IFERROR(__xludf.DUMMYFUNCTION("""COMPUTED_VALUE"""),"MERCADOPAGO *PASE      MIGUEL HIDALG MEX")</f>
        <v>MERCADOPAGO *PASE      MIGUEL HIDALG MEX</v>
      </c>
      <c r="H113" s="17" t="str">
        <f ca="1">IFERROR(__xludf.DUMMYFUNCTION("""COMPUTED_VALUE"""),"Mercadopago")</f>
        <v>Mercadopago</v>
      </c>
      <c r="I113" s="17"/>
      <c r="J113" s="17"/>
      <c r="K113" s="17"/>
      <c r="L113" s="17"/>
      <c r="M113" s="17"/>
      <c r="N113" s="17"/>
      <c r="O113" s="17"/>
    </row>
    <row r="114" spans="1:15" ht="12.5">
      <c r="A114" s="17" t="str">
        <f ca="1">IFERROR(__xludf.DUMMYFUNCTION("""COMPUTED_VALUE"""),"TRX1063")</f>
        <v>TRX1063</v>
      </c>
      <c r="B114" s="86" t="str">
        <f ca="1">IFERROR(__xludf.DUMMYFUNCTION("""COMPUTED_VALUE"""),"#26")</f>
        <v>#26</v>
      </c>
      <c r="C114" s="63">
        <f ca="1">IFERROR(__xludf.DUMMYFUNCTION("""COMPUTED_VALUE"""),46075.4166666666)</f>
        <v>46075.416666666599</v>
      </c>
      <c r="D114" s="65">
        <f ca="1">IFERROR(__xludf.DUMMYFUNCTION("""COMPUTED_VALUE"""),440)</f>
        <v>440</v>
      </c>
      <c r="E114" s="17" t="str">
        <f ca="1">IFERROR(__xludf.DUMMYFUNCTION("""COMPUTED_VALUE"""),"MXN")</f>
        <v>MXN</v>
      </c>
      <c r="F114" s="17" t="str">
        <f ca="1">IFERROR(__xludf.DUMMYFUNCTION("""COMPUTED_VALUE"""),"Karen Alexandra Ballesteros Contreras")</f>
        <v>Karen Alexandra Ballesteros Contreras</v>
      </c>
      <c r="G114" s="17" t="str">
        <f ca="1">IFERROR(__xludf.DUMMYFUNCTION("""COMPUTED_VALUE"""),"MERCADOPAGO *ELCOCHIL  Naucalpan     MEX")</f>
        <v>MERCADOPAGO *ELCOCHIL  Naucalpan     MEX</v>
      </c>
      <c r="H114" s="17" t="str">
        <f ca="1">IFERROR(__xludf.DUMMYFUNCTION("""COMPUTED_VALUE"""),"Mercadopago")</f>
        <v>Mercadopago</v>
      </c>
      <c r="I114" s="17"/>
      <c r="J114" s="17"/>
      <c r="K114" s="17"/>
      <c r="L114" s="17"/>
      <c r="M114" s="17"/>
      <c r="N114" s="17"/>
      <c r="O114" s="17"/>
    </row>
    <row r="115" spans="1:15" ht="12.5">
      <c r="A115" s="17" t="str">
        <f ca="1">IFERROR(__xludf.DUMMYFUNCTION("""COMPUTED_VALUE"""),"TRX1064")</f>
        <v>TRX1064</v>
      </c>
      <c r="B115" s="86" t="str">
        <f ca="1">IFERROR(__xludf.DUMMYFUNCTION("""COMPUTED_VALUE"""),"#26")</f>
        <v>#26</v>
      </c>
      <c r="C115" s="63">
        <f ca="1">IFERROR(__xludf.DUMMYFUNCTION("""COMPUTED_VALUE"""),46075.4166666666)</f>
        <v>46075.416666666599</v>
      </c>
      <c r="D115" s="65">
        <f ca="1">IFERROR(__xludf.DUMMYFUNCTION("""COMPUTED_VALUE"""),510)</f>
        <v>510</v>
      </c>
      <c r="E115" s="17" t="str">
        <f ca="1">IFERROR(__xludf.DUMMYFUNCTION("""COMPUTED_VALUE"""),"MXN")</f>
        <v>MXN</v>
      </c>
      <c r="F115" s="17" t="str">
        <f ca="1">IFERROR(__xludf.DUMMYFUNCTION("""COMPUTED_VALUE"""),"Karen Alexandra Ballesteros Contreras")</f>
        <v>Karen Alexandra Ballesteros Contreras</v>
      </c>
      <c r="G115" s="17" t="str">
        <f ca="1">IFERROR(__xludf.DUMMYFUNCTION("""COMPUTED_VALUE"""),"MERCADOPAGO *PASE      MIGUEL HIDALG MEX")</f>
        <v>MERCADOPAGO *PASE      MIGUEL HIDALG MEX</v>
      </c>
      <c r="H115" s="17" t="str">
        <f ca="1">IFERROR(__xludf.DUMMYFUNCTION("""COMPUTED_VALUE"""),"Mercadopago")</f>
        <v>Mercadopago</v>
      </c>
      <c r="I115" s="17"/>
      <c r="J115" s="17"/>
      <c r="K115" s="17"/>
      <c r="L115" s="17"/>
      <c r="M115" s="17"/>
      <c r="N115" s="17"/>
      <c r="O115" s="17"/>
    </row>
    <row r="116" spans="1:15" ht="12.5">
      <c r="A116" s="17" t="str">
        <f ca="1">IFERROR(__xludf.DUMMYFUNCTION("""COMPUTED_VALUE"""),"TRX1066")</f>
        <v>TRX1066</v>
      </c>
      <c r="B116" s="86" t="str">
        <f ca="1">IFERROR(__xludf.DUMMYFUNCTION("""COMPUTED_VALUE"""),"#26")</f>
        <v>#26</v>
      </c>
      <c r="C116" s="63">
        <f ca="1">IFERROR(__xludf.DUMMYFUNCTION("""COMPUTED_VALUE"""),46075.4166666666)</f>
        <v>46075.416666666599</v>
      </c>
      <c r="D116" s="65">
        <f ca="1">IFERROR(__xludf.DUMMYFUNCTION("""COMPUTED_VALUE"""),79)</f>
        <v>79</v>
      </c>
      <c r="E116" s="17" t="str">
        <f ca="1">IFERROR(__xludf.DUMMYFUNCTION("""COMPUTED_VALUE"""),"MXN")</f>
        <v>MXN</v>
      </c>
      <c r="F116" s="17" t="str">
        <f ca="1">IFERROR(__xludf.DUMMYFUNCTION("""COMPUTED_VALUE"""),"Karen Alexandra Ballesteros Contreras")</f>
        <v>Karen Alexandra Ballesteros Contreras</v>
      </c>
      <c r="G116" s="17" t="str">
        <f ca="1">IFERROR(__xludf.DUMMYFUNCTION("""COMPUTED_VALUE"""),"MISC PITS TOL ZIT      ALMOLOYA DE J MEX")</f>
        <v>MISC PITS TOL ZIT      ALMOLOYA DE J MEX</v>
      </c>
      <c r="H116" s="17" t="str">
        <f ca="1">IFERROR(__xludf.DUMMYFUNCTION("""COMPUTED_VALUE"""),"Misc Pits Tol Zit Almoloya De J Mex")</f>
        <v>Misc Pits Tol Zit Almoloya De J Mex</v>
      </c>
      <c r="I116" s="17"/>
      <c r="J116" s="17"/>
      <c r="K116" s="17"/>
      <c r="L116" s="17"/>
      <c r="M116" s="17"/>
      <c r="N116" s="17"/>
      <c r="O116" s="17"/>
    </row>
    <row r="117" spans="1:15" ht="12.5">
      <c r="A117" s="17" t="str">
        <f ca="1">IFERROR(__xludf.DUMMYFUNCTION("""COMPUTED_VALUE"""),"TRX1081")</f>
        <v>TRX1081</v>
      </c>
      <c r="B117" s="86" t="str">
        <f ca="1">IFERROR(__xludf.DUMMYFUNCTION("""COMPUTED_VALUE"""),"#26")</f>
        <v>#26</v>
      </c>
      <c r="C117" s="63">
        <f ca="1">IFERROR(__xludf.DUMMYFUNCTION("""COMPUTED_VALUE"""),46075.4173611111)</f>
        <v>46075.417361111096</v>
      </c>
      <c r="D117" s="65">
        <f ca="1">IFERROR(__xludf.DUMMYFUNCTION("""COMPUTED_VALUE"""),357)</f>
        <v>357</v>
      </c>
      <c r="E117" s="17" t="str">
        <f ca="1">IFERROR(__xludf.DUMMYFUNCTION("""COMPUTED_VALUE"""),"MXN")</f>
        <v>MXN</v>
      </c>
      <c r="F117" s="17" t="str">
        <f ca="1">IFERROR(__xludf.DUMMYFUNCTION("""COMPUTED_VALUE"""),"Karen Alexandra Ballesteros Contreras")</f>
        <v>Karen Alexandra Ballesteros Contreras</v>
      </c>
      <c r="G117" s="17" t="str">
        <f ca="1">IFERROR(__xludf.DUMMYFUNCTION("""COMPUTED_VALUE"""),"FARMA PLUS             VALLE DE BRAV MEX")</f>
        <v>FARMA PLUS             VALLE DE BRAV MEX</v>
      </c>
      <c r="H117" s="17" t="str">
        <f ca="1">IFERROR(__xludf.DUMMYFUNCTION("""COMPUTED_VALUE"""),"Farma Plus Valle De Brav Mex")</f>
        <v>Farma Plus Valle De Brav Mex</v>
      </c>
      <c r="I117" s="17"/>
      <c r="J117" s="17"/>
      <c r="K117" s="17"/>
      <c r="L117" s="17"/>
      <c r="M117" s="17"/>
      <c r="N117" s="17"/>
      <c r="O117" s="17"/>
    </row>
    <row r="118" spans="1:15" ht="12.5">
      <c r="A118" s="17" t="str">
        <f ca="1">IFERROR(__xludf.DUMMYFUNCTION("""COMPUTED_VALUE"""),"TRX1084")</f>
        <v>TRX1084</v>
      </c>
      <c r="B118" s="86" t="str">
        <f ca="1">IFERROR(__xludf.DUMMYFUNCTION("""COMPUTED_VALUE"""),"#26")</f>
        <v>#26</v>
      </c>
      <c r="C118" s="63">
        <f ca="1">IFERROR(__xludf.DUMMYFUNCTION("""COMPUTED_VALUE"""),46075.4173611111)</f>
        <v>46075.417361111096</v>
      </c>
      <c r="D118" s="65">
        <f ca="1">IFERROR(__xludf.DUMMYFUNCTION("""COMPUTED_VALUE"""),61)</f>
        <v>61</v>
      </c>
      <c r="E118" s="17" t="str">
        <f ca="1">IFERROR(__xludf.DUMMYFUNCTION("""COMPUTED_VALUE"""),"MXN")</f>
        <v>MXN</v>
      </c>
      <c r="F118" s="17" t="str">
        <f ca="1">IFERROR(__xludf.DUMMYFUNCTION("""COMPUTED_VALUE"""),"Karen Alexandra Ballesteros Contreras")</f>
        <v>Karen Alexandra Ballesteros Contreras</v>
      </c>
      <c r="G118" s="17" t="str">
        <f ca="1">IFERROR(__xludf.DUMMYFUNCTION("""COMPUTED_VALUE"""),"OXXO BICENTENARIO TLC  TEMOAYA EM    MEX")</f>
        <v>OXXO BICENTENARIO TLC  TEMOAYA EM    MEX</v>
      </c>
      <c r="H118" s="17" t="str">
        <f ca="1">IFERROR(__xludf.DUMMYFUNCTION("""COMPUTED_VALUE"""),"Oxxo")</f>
        <v>Oxxo</v>
      </c>
      <c r="I118" s="17"/>
      <c r="J118" s="17"/>
      <c r="K118" s="17"/>
      <c r="L118" s="17"/>
      <c r="M118" s="17"/>
      <c r="N118" s="17"/>
      <c r="O118" s="17"/>
    </row>
    <row r="119" spans="1:15" ht="12.5">
      <c r="A119" s="17" t="str">
        <f ca="1">IFERROR(__xludf.DUMMYFUNCTION("""COMPUTED_VALUE"""),"TRX1093")</f>
        <v>TRX1093</v>
      </c>
      <c r="B119" s="86" t="str">
        <f ca="1">IFERROR(__xludf.DUMMYFUNCTION("""COMPUTED_VALUE"""),"#26")</f>
        <v>#26</v>
      </c>
      <c r="C119" s="63">
        <f ca="1">IFERROR(__xludf.DUMMYFUNCTION("""COMPUTED_VALUE"""),46076.4166666666)</f>
        <v>46076.416666666599</v>
      </c>
      <c r="D119" s="65">
        <f ca="1">IFERROR(__xludf.DUMMYFUNCTION("""COMPUTED_VALUE"""),181.32)</f>
        <v>181.32</v>
      </c>
      <c r="E119" s="17" t="str">
        <f ca="1">IFERROR(__xludf.DUMMYFUNCTION("""COMPUTED_VALUE"""),"MXN")</f>
        <v>MXN</v>
      </c>
      <c r="F119" s="17" t="str">
        <f ca="1">IFERROR(__xludf.DUMMYFUNCTION("""COMPUTED_VALUE"""),"Karen Alexandra Ballesteros Contreras")</f>
        <v>Karen Alexandra Ballesteros Contreras</v>
      </c>
      <c r="G119" s="17" t="str">
        <f ca="1">IFERROR(__xludf.DUMMYFUNCTION("""COMPUTED_VALUE"""),"UBER *TRIP HELP.UBER.C CMX           MEX")</f>
        <v>UBER *TRIP HELP.UBER.C CMX           MEX</v>
      </c>
      <c r="H119" s="17" t="str">
        <f ca="1">IFERROR(__xludf.DUMMYFUNCTION("""COMPUTED_VALUE"""),"Uber")</f>
        <v>Uber</v>
      </c>
      <c r="I119" s="17"/>
      <c r="J119" s="17"/>
      <c r="K119" s="17"/>
      <c r="L119" s="17"/>
      <c r="M119" s="17"/>
      <c r="N119" s="17"/>
      <c r="O119" s="17"/>
    </row>
    <row r="120" spans="1:15" ht="12.5">
      <c r="A120" s="17" t="str">
        <f ca="1">IFERROR(__xludf.DUMMYFUNCTION("""COMPUTED_VALUE"""),"TRX1094")</f>
        <v>TRX1094</v>
      </c>
      <c r="B120" s="86" t="str">
        <f ca="1">IFERROR(__xludf.DUMMYFUNCTION("""COMPUTED_VALUE"""),"#26")</f>
        <v>#26</v>
      </c>
      <c r="C120" s="63">
        <f ca="1">IFERROR(__xludf.DUMMYFUNCTION("""COMPUTED_VALUE"""),46076.4166666666)</f>
        <v>46076.416666666599</v>
      </c>
      <c r="D120" s="65">
        <f ca="1">IFERROR(__xludf.DUMMYFUNCTION("""COMPUTED_VALUE"""),110)</f>
        <v>110</v>
      </c>
      <c r="E120" s="17" t="str">
        <f ca="1">IFERROR(__xludf.DUMMYFUNCTION("""COMPUTED_VALUE"""),"MXN")</f>
        <v>MXN</v>
      </c>
      <c r="F120" s="17" t="str">
        <f ca="1">IFERROR(__xludf.DUMMYFUNCTION("""COMPUTED_VALUE"""),"Karen Alexandra Ballesteros Contreras")</f>
        <v>Karen Alexandra Ballesteros Contreras</v>
      </c>
      <c r="G120" s="17" t="str">
        <f ca="1">IFERROR(__xludf.DUMMYFUNCTION("""COMPUTED_VALUE"""),"KONFIO *MIBAIT         MEXICO        MEX")</f>
        <v>KONFIO *MIBAIT         MEXICO        MEX</v>
      </c>
      <c r="H120" s="17" t="str">
        <f ca="1">IFERROR(__xludf.DUMMYFUNCTION("""COMPUTED_VALUE"""),"Konfio Mibait Mexico Mex")</f>
        <v>Konfio Mibait Mexico Mex</v>
      </c>
      <c r="I120" s="17"/>
      <c r="J120" s="17"/>
      <c r="K120" s="17"/>
      <c r="L120" s="17"/>
      <c r="M120" s="17"/>
      <c r="N120" s="17"/>
      <c r="O120" s="17"/>
    </row>
    <row r="121" spans="1:15" ht="12.5">
      <c r="A121" s="17" t="str">
        <f ca="1">IFERROR(__xludf.DUMMYFUNCTION("""COMPUTED_VALUE"""),"TRX1100")</f>
        <v>TRX1100</v>
      </c>
      <c r="B121" s="86" t="str">
        <f ca="1">IFERROR(__xludf.DUMMYFUNCTION("""COMPUTED_VALUE"""),"#26")</f>
        <v>#26</v>
      </c>
      <c r="C121" s="63">
        <f ca="1">IFERROR(__xludf.DUMMYFUNCTION("""COMPUTED_VALUE"""),46076.4166666666)</f>
        <v>46076.416666666599</v>
      </c>
      <c r="D121" s="65">
        <f ca="1">IFERROR(__xludf.DUMMYFUNCTION("""COMPUTED_VALUE"""),600)</f>
        <v>600</v>
      </c>
      <c r="E121" s="17" t="str">
        <f ca="1">IFERROR(__xludf.DUMMYFUNCTION("""COMPUTED_VALUE"""),"MXN")</f>
        <v>MXN</v>
      </c>
      <c r="F121" s="17" t="str">
        <f ca="1">IFERROR(__xludf.DUMMYFUNCTION("""COMPUTED_VALUE"""),"Karen Alexandra Ballesteros Contreras")</f>
        <v>Karen Alexandra Ballesteros Contreras</v>
      </c>
      <c r="G121" s="17" t="str">
        <f ca="1">IFERROR(__xludf.DUMMYFUNCTION("""COMPUTED_VALUE"""),"SERV EL DORADO         TEMOAYA EM    MEX")</f>
        <v>SERV EL DORADO         TEMOAYA EM    MEX</v>
      </c>
      <c r="H121" s="17" t="str">
        <f ca="1">IFERROR(__xludf.DUMMYFUNCTION("""COMPUTED_VALUE"""),"Serv El Dorado Temoaya Em Mex")</f>
        <v>Serv El Dorado Temoaya Em Mex</v>
      </c>
      <c r="I121" s="17"/>
      <c r="J121" s="17"/>
      <c r="K121" s="17"/>
      <c r="L121" s="17"/>
      <c r="M121" s="17"/>
      <c r="N121" s="17"/>
      <c r="O121" s="17"/>
    </row>
    <row r="122" spans="1:15" ht="12.5">
      <c r="A122" s="17" t="str">
        <f ca="1">IFERROR(__xludf.DUMMYFUNCTION("""COMPUTED_VALUE"""),"TRX1109")</f>
        <v>TRX1109</v>
      </c>
      <c r="B122" s="86" t="str">
        <f ca="1">IFERROR(__xludf.DUMMYFUNCTION("""COMPUTED_VALUE"""),"#26")</f>
        <v>#26</v>
      </c>
      <c r="C122" s="63">
        <f ca="1">IFERROR(__xludf.DUMMYFUNCTION("""COMPUTED_VALUE"""),46077.4166666666)</f>
        <v>46077.416666666599</v>
      </c>
      <c r="D122" s="65">
        <f ca="1">IFERROR(__xludf.DUMMYFUNCTION("""COMPUTED_VALUE"""),210)</f>
        <v>210</v>
      </c>
      <c r="E122" s="17" t="str">
        <f ca="1">IFERROR(__xludf.DUMMYFUNCTION("""COMPUTED_VALUE"""),"MXN")</f>
        <v>MXN</v>
      </c>
      <c r="F122" s="17" t="str">
        <f ca="1">IFERROR(__xludf.DUMMYFUNCTION("""COMPUTED_VALUE"""),"Karen Alexandra Ballesteros Contreras")</f>
        <v>Karen Alexandra Ballesteros Contreras</v>
      </c>
      <c r="G122" s="17" t="str">
        <f ca="1">IFERROR(__xludf.DUMMYFUNCTION("""COMPUTED_VALUE"""),"MERCADOPAGO *PASE      MIGUEL HIDALG MEX")</f>
        <v>MERCADOPAGO *PASE      MIGUEL HIDALG MEX</v>
      </c>
      <c r="H122" s="17" t="str">
        <f ca="1">IFERROR(__xludf.DUMMYFUNCTION("""COMPUTED_VALUE"""),"Mercadopago")</f>
        <v>Mercadopago</v>
      </c>
      <c r="I122" s="17"/>
      <c r="J122" s="17"/>
      <c r="K122" s="17"/>
      <c r="L122" s="17"/>
      <c r="M122" s="17"/>
      <c r="N122" s="17"/>
      <c r="O122" s="17"/>
    </row>
    <row r="123" spans="1:15" ht="12.5">
      <c r="A123" s="17" t="str">
        <f ca="1">IFERROR(__xludf.DUMMYFUNCTION("""COMPUTED_VALUE"""),"TRX1110")</f>
        <v>TRX1110</v>
      </c>
      <c r="B123" s="86" t="str">
        <f ca="1">IFERROR(__xludf.DUMMYFUNCTION("""COMPUTED_VALUE"""),"#26")</f>
        <v>#26</v>
      </c>
      <c r="C123" s="63">
        <f ca="1">IFERROR(__xludf.DUMMYFUNCTION("""COMPUTED_VALUE"""),46077.4166666666)</f>
        <v>46077.416666666599</v>
      </c>
      <c r="D123" s="65">
        <f ca="1">IFERROR(__xludf.DUMMYFUNCTION("""COMPUTED_VALUE"""),410)</f>
        <v>410</v>
      </c>
      <c r="E123" s="17" t="str">
        <f ca="1">IFERROR(__xludf.DUMMYFUNCTION("""COMPUTED_VALUE"""),"MXN")</f>
        <v>MXN</v>
      </c>
      <c r="F123" s="17" t="str">
        <f ca="1">IFERROR(__xludf.DUMMYFUNCTION("""COMPUTED_VALUE"""),"Karen Alexandra Ballesteros Contreras")</f>
        <v>Karen Alexandra Ballesteros Contreras</v>
      </c>
      <c r="G123" s="17" t="str">
        <f ca="1">IFERROR(__xludf.DUMMYFUNCTION("""COMPUTED_VALUE"""),"MERCADOPAGO *PASE      MIGUEL HIDALG MEX")</f>
        <v>MERCADOPAGO *PASE      MIGUEL HIDALG MEX</v>
      </c>
      <c r="H123" s="17" t="str">
        <f ca="1">IFERROR(__xludf.DUMMYFUNCTION("""COMPUTED_VALUE"""),"Mercadopago")</f>
        <v>Mercadopago</v>
      </c>
      <c r="I123" s="17"/>
      <c r="J123" s="17"/>
      <c r="K123" s="17"/>
      <c r="L123" s="17"/>
      <c r="M123" s="17"/>
      <c r="N123" s="17"/>
      <c r="O123" s="17"/>
    </row>
    <row r="124" spans="1:15" ht="12.5">
      <c r="A124" s="17" t="str">
        <f ca="1">IFERROR(__xludf.DUMMYFUNCTION("""COMPUTED_VALUE"""),"TRX1112")</f>
        <v>TRX1112</v>
      </c>
      <c r="B124" s="86" t="str">
        <f ca="1">IFERROR(__xludf.DUMMYFUNCTION("""COMPUTED_VALUE"""),"#26")</f>
        <v>#26</v>
      </c>
      <c r="C124" s="63">
        <f ca="1">IFERROR(__xludf.DUMMYFUNCTION("""COMPUTED_VALUE"""),46077.4166666666)</f>
        <v>46077.416666666599</v>
      </c>
      <c r="D124" s="65">
        <f ca="1">IFERROR(__xludf.DUMMYFUNCTION("""COMPUTED_VALUE"""),500)</f>
        <v>500</v>
      </c>
      <c r="E124" s="17" t="str">
        <f ca="1">IFERROR(__xludf.DUMMYFUNCTION("""COMPUTED_VALUE"""),"MXN")</f>
        <v>MXN</v>
      </c>
      <c r="F124" s="17" t="str">
        <f ca="1">IFERROR(__xludf.DUMMYFUNCTION("""COMPUTED_VALUE"""),"Karen Alexandra Ballesteros Contreras")</f>
        <v>Karen Alexandra Ballesteros Contreras</v>
      </c>
      <c r="G124" s="17" t="str">
        <f ca="1">IFERROR(__xludf.DUMMYFUNCTION("""COMPUTED_VALUE"""),"EST 407 AEROPUERTO     CIUDAD DE MEX MEX")</f>
        <v>EST 407 AEROPUERTO     CIUDAD DE MEX MEX</v>
      </c>
      <c r="H124" s="17" t="str">
        <f ca="1">IFERROR(__xludf.DUMMYFUNCTION("""COMPUTED_VALUE"""),"Est 407 Aeropuerto Ciudad De Mex Mex")</f>
        <v>Est 407 Aeropuerto Ciudad De Mex Mex</v>
      </c>
      <c r="I124" s="17"/>
      <c r="J124" s="17"/>
      <c r="K124" s="17"/>
      <c r="L124" s="17"/>
      <c r="M124" s="17"/>
      <c r="N124" s="17"/>
      <c r="O124" s="17"/>
    </row>
    <row r="125" spans="1:15" ht="12.5">
      <c r="A125" s="17" t="str">
        <f ca="1">IFERROR(__xludf.DUMMYFUNCTION("""COMPUTED_VALUE"""),"TRX1138")</f>
        <v>TRX1138</v>
      </c>
      <c r="B125" s="86" t="str">
        <f ca="1">IFERROR(__xludf.DUMMYFUNCTION("""COMPUTED_VALUE"""),"#26")</f>
        <v>#26</v>
      </c>
      <c r="C125" s="63">
        <f ca="1">IFERROR(__xludf.DUMMYFUNCTION("""COMPUTED_VALUE"""),46078.4166666666)</f>
        <v>46078.416666666599</v>
      </c>
      <c r="D125" s="65">
        <f ca="1">IFERROR(__xludf.DUMMYFUNCTION("""COMPUTED_VALUE"""),210)</f>
        <v>210</v>
      </c>
      <c r="E125" s="17" t="str">
        <f ca="1">IFERROR(__xludf.DUMMYFUNCTION("""COMPUTED_VALUE"""),"MXN")</f>
        <v>MXN</v>
      </c>
      <c r="F125" s="17" t="str">
        <f ca="1">IFERROR(__xludf.DUMMYFUNCTION("""COMPUTED_VALUE"""),"Karen Alexandra Ballesteros Contreras")</f>
        <v>Karen Alexandra Ballesteros Contreras</v>
      </c>
      <c r="G125" s="17" t="str">
        <f ca="1">IFERROR(__xludf.DUMMYFUNCTION("""COMPUTED_VALUE"""),"MERCADOPAGO *PASE      MIGUEL HIDALG MEX")</f>
        <v>MERCADOPAGO *PASE      MIGUEL HIDALG MEX</v>
      </c>
      <c r="H125" s="17" t="str">
        <f ca="1">IFERROR(__xludf.DUMMYFUNCTION("""COMPUTED_VALUE"""),"Mercadopago")</f>
        <v>Mercadopago</v>
      </c>
      <c r="I125" s="17"/>
      <c r="J125" s="17"/>
      <c r="K125" s="17"/>
      <c r="L125" s="17"/>
      <c r="M125" s="17"/>
      <c r="N125" s="17"/>
      <c r="O125" s="17"/>
    </row>
    <row r="126" spans="1:15" ht="12.5">
      <c r="A126" s="17" t="str">
        <f ca="1">IFERROR(__xludf.DUMMYFUNCTION("""COMPUTED_VALUE"""),"TRX1139")</f>
        <v>TRX1139</v>
      </c>
      <c r="B126" s="86" t="str">
        <f ca="1">IFERROR(__xludf.DUMMYFUNCTION("""COMPUTED_VALUE"""),"#26")</f>
        <v>#26</v>
      </c>
      <c r="C126" s="63">
        <f ca="1">IFERROR(__xludf.DUMMYFUNCTION("""COMPUTED_VALUE"""),46078.4166666666)</f>
        <v>46078.416666666599</v>
      </c>
      <c r="D126" s="65">
        <f ca="1">IFERROR(__xludf.DUMMYFUNCTION("""COMPUTED_VALUE"""),310)</f>
        <v>310</v>
      </c>
      <c r="E126" s="17" t="str">
        <f ca="1">IFERROR(__xludf.DUMMYFUNCTION("""COMPUTED_VALUE"""),"MXN")</f>
        <v>MXN</v>
      </c>
      <c r="F126" s="17" t="str">
        <f ca="1">IFERROR(__xludf.DUMMYFUNCTION("""COMPUTED_VALUE"""),"Karen Alexandra Ballesteros Contreras")</f>
        <v>Karen Alexandra Ballesteros Contreras</v>
      </c>
      <c r="G126" s="17" t="str">
        <f ca="1">IFERROR(__xludf.DUMMYFUNCTION("""COMPUTED_VALUE"""),"MERCADOPAGO *PASE      MIGUEL HIDALG MEX")</f>
        <v>MERCADOPAGO *PASE      MIGUEL HIDALG MEX</v>
      </c>
      <c r="H126" s="17" t="str">
        <f ca="1">IFERROR(__xludf.DUMMYFUNCTION("""COMPUTED_VALUE"""),"Mercadopago")</f>
        <v>Mercadopago</v>
      </c>
      <c r="I126" s="17"/>
      <c r="J126" s="17"/>
      <c r="K126" s="17"/>
      <c r="L126" s="17"/>
      <c r="M126" s="17"/>
      <c r="N126" s="17"/>
      <c r="O126" s="17"/>
    </row>
    <row r="127" spans="1:15" ht="12.5">
      <c r="A127" s="17" t="str">
        <f ca="1">IFERROR(__xludf.DUMMYFUNCTION("""COMPUTED_VALUE"""),"TRX1149")</f>
        <v>TRX1149</v>
      </c>
      <c r="B127" s="86" t="str">
        <f ca="1">IFERROR(__xludf.DUMMYFUNCTION("""COMPUTED_VALUE"""),"#26")</f>
        <v>#26</v>
      </c>
      <c r="C127" s="63">
        <f ca="1">IFERROR(__xludf.DUMMYFUNCTION("""COMPUTED_VALUE"""),46078.4166666666)</f>
        <v>46078.416666666599</v>
      </c>
      <c r="D127" s="65">
        <f ca="1">IFERROR(__xludf.DUMMYFUNCTION("""COMPUTED_VALUE"""),31.5)</f>
        <v>31.5</v>
      </c>
      <c r="E127" s="17" t="str">
        <f ca="1">IFERROR(__xludf.DUMMYFUNCTION("""COMPUTED_VALUE"""),"MXN")</f>
        <v>MXN</v>
      </c>
      <c r="F127" s="17" t="str">
        <f ca="1">IFERROR(__xludf.DUMMYFUNCTION("""COMPUTED_VALUE"""),"Karen Alexandra Ballesteros Contreras")</f>
        <v>Karen Alexandra Ballesteros Contreras</v>
      </c>
      <c r="G127" s="17" t="str">
        <f ca="1">IFERROR(__xludf.DUMMYFUNCTION("""COMPUTED_VALUE"""),"UBER * PENDING         CMX           MEX")</f>
        <v>UBER * PENDING         CMX           MEX</v>
      </c>
      <c r="H127" s="17" t="str">
        <f ca="1">IFERROR(__xludf.DUMMYFUNCTION("""COMPUTED_VALUE"""),"Uber")</f>
        <v>Uber</v>
      </c>
      <c r="I127" s="17"/>
      <c r="J127" s="17"/>
      <c r="K127" s="17"/>
      <c r="L127" s="17"/>
      <c r="M127" s="17"/>
      <c r="N127" s="17"/>
      <c r="O127" s="17"/>
    </row>
    <row r="128" spans="1:15" ht="12.5">
      <c r="A128" s="17" t="str">
        <f ca="1">IFERROR(__xludf.DUMMYFUNCTION("""COMPUTED_VALUE"""),"TRX1151")</f>
        <v>TRX1151</v>
      </c>
      <c r="B128" s="86" t="str">
        <f ca="1">IFERROR(__xludf.DUMMYFUNCTION("""COMPUTED_VALUE"""),"#26")</f>
        <v>#26</v>
      </c>
      <c r="C128" s="63">
        <f ca="1">IFERROR(__xludf.DUMMYFUNCTION("""COMPUTED_VALUE"""),46078.4166666666)</f>
        <v>46078.416666666599</v>
      </c>
      <c r="D128" s="65">
        <f ca="1">IFERROR(__xludf.DUMMYFUNCTION("""COMPUTED_VALUE"""),17)</f>
        <v>17</v>
      </c>
      <c r="E128" s="17" t="str">
        <f ca="1">IFERROR(__xludf.DUMMYFUNCTION("""COMPUTED_VALUE"""),"MXN")</f>
        <v>MXN</v>
      </c>
      <c r="F128" s="17" t="str">
        <f ca="1">IFERROR(__xludf.DUMMYFUNCTION("""COMPUTED_VALUE"""),"Karen Alexandra Ballesteros Contreras")</f>
        <v>Karen Alexandra Ballesteros Contreras</v>
      </c>
      <c r="G128" s="17" t="str">
        <f ca="1">IFERROR(__xludf.DUMMYFUNCTION("""COMPUTED_VALUE"""),"Didi Mexico            CAUHTEMOC     MEX")</f>
        <v>Didi Mexico            CAUHTEMOC     MEX</v>
      </c>
      <c r="H128" s="17" t="str">
        <f ca="1">IFERROR(__xludf.DUMMYFUNCTION("""COMPUTED_VALUE"""),"Didi Mexico Cauhtemoc Mex")</f>
        <v>Didi Mexico Cauhtemoc Mex</v>
      </c>
      <c r="I128" s="17"/>
      <c r="J128" s="17"/>
      <c r="K128" s="17"/>
      <c r="L128" s="17"/>
      <c r="M128" s="17"/>
      <c r="N128" s="17"/>
      <c r="O128" s="17"/>
    </row>
    <row r="129" spans="1:15" ht="12.5">
      <c r="A129" s="17" t="str">
        <f ca="1">IFERROR(__xludf.DUMMYFUNCTION("""COMPUTED_VALUE"""),"TRX1156")</f>
        <v>TRX1156</v>
      </c>
      <c r="B129" s="86" t="str">
        <f ca="1">IFERROR(__xludf.DUMMYFUNCTION("""COMPUTED_VALUE"""),"#26")</f>
        <v>#26</v>
      </c>
      <c r="C129" s="63">
        <f ca="1">IFERROR(__xludf.DUMMYFUNCTION("""COMPUTED_VALUE"""),46078.4166666666)</f>
        <v>46078.416666666599</v>
      </c>
      <c r="D129" s="65">
        <f ca="1">IFERROR(__xludf.DUMMYFUNCTION("""COMPUTED_VALUE"""),163)</f>
        <v>163</v>
      </c>
      <c r="E129" s="17" t="str">
        <f ca="1">IFERROR(__xludf.DUMMYFUNCTION("""COMPUTED_VALUE"""),"MXN")</f>
        <v>MXN</v>
      </c>
      <c r="F129" s="17" t="str">
        <f ca="1">IFERROR(__xludf.DUMMYFUNCTION("""COMPUTED_VALUE"""),"Karen Alexandra Ballesteros Contreras")</f>
        <v>Karen Alexandra Ballesteros Contreras</v>
      </c>
      <c r="G129" s="17" t="str">
        <f ca="1">IFERROR(__xludf.DUMMYFUNCTION("""COMPUTED_VALUE"""),"D LOCAL*DIDI RIDES     CIUDAD DE MEX MEX")</f>
        <v>D LOCAL*DIDI RIDES     CIUDAD DE MEX MEX</v>
      </c>
      <c r="H129" s="17" t="str">
        <f ca="1">IFERROR(__xludf.DUMMYFUNCTION("""COMPUTED_VALUE"""),"Didi Chuxing")</f>
        <v>Didi Chuxing</v>
      </c>
      <c r="I129" s="17"/>
      <c r="J129" s="17"/>
      <c r="K129" s="17"/>
      <c r="L129" s="17"/>
      <c r="M129" s="17"/>
      <c r="N129" s="17"/>
      <c r="O129" s="17"/>
    </row>
    <row r="130" spans="1:15" ht="12.5">
      <c r="A130" s="17" t="str">
        <f ca="1">IFERROR(__xludf.DUMMYFUNCTION("""COMPUTED_VALUE"""),"TRX1158")</f>
        <v>TRX1158</v>
      </c>
      <c r="B130" s="86" t="str">
        <f ca="1">IFERROR(__xludf.DUMMYFUNCTION("""COMPUTED_VALUE"""),"#26")</f>
        <v>#26</v>
      </c>
      <c r="C130" s="63">
        <f ca="1">IFERROR(__xludf.DUMMYFUNCTION("""COMPUTED_VALUE"""),46078.4173611111)</f>
        <v>46078.417361111096</v>
      </c>
      <c r="D130" s="65">
        <f ca="1">IFERROR(__xludf.DUMMYFUNCTION("""COMPUTED_VALUE"""),115.5)</f>
        <v>115.5</v>
      </c>
      <c r="E130" s="17" t="str">
        <f ca="1">IFERROR(__xludf.DUMMYFUNCTION("""COMPUTED_VALUE"""),"MXN")</f>
        <v>MXN</v>
      </c>
      <c r="F130" s="17" t="str">
        <f ca="1">IFERROR(__xludf.DUMMYFUNCTION("""COMPUTED_VALUE"""),"Karen Alexandra Ballesteros Contreras")</f>
        <v>Karen Alexandra Ballesteros Contreras</v>
      </c>
      <c r="G130" s="17" t="str">
        <f ca="1">IFERROR(__xludf.DUMMYFUNCTION("""COMPUTED_VALUE"""),"OLI CAFE NT            CIUDAD DE MEX MEX")</f>
        <v>OLI CAFE NT            CIUDAD DE MEX MEX</v>
      </c>
      <c r="H130" s="17" t="str">
        <f ca="1">IFERROR(__xludf.DUMMYFUNCTION("""COMPUTED_VALUE"""),"Oli Cafe Nt Ciudad De Mex Mex")</f>
        <v>Oli Cafe Nt Ciudad De Mex Mex</v>
      </c>
      <c r="I130" s="17"/>
      <c r="J130" s="17"/>
      <c r="K130" s="17"/>
      <c r="L130" s="17"/>
      <c r="M130" s="17"/>
      <c r="N130" s="17"/>
      <c r="O130" s="17"/>
    </row>
    <row r="131" spans="1:15" ht="12.5">
      <c r="A131" s="17" t="str">
        <f ca="1">IFERROR(__xludf.DUMMYFUNCTION("""COMPUTED_VALUE"""),"TRX1165")</f>
        <v>TRX1165</v>
      </c>
      <c r="B131" s="86" t="str">
        <f ca="1">IFERROR(__xludf.DUMMYFUNCTION("""COMPUTED_VALUE"""),"#26")</f>
        <v>#26</v>
      </c>
      <c r="C131" s="63">
        <f ca="1">IFERROR(__xludf.DUMMYFUNCTION("""COMPUTED_VALUE"""),46078.4173611111)</f>
        <v>46078.417361111096</v>
      </c>
      <c r="D131" s="65">
        <f ca="1">IFERROR(__xludf.DUMMYFUNCTION("""COMPUTED_VALUE"""),767.55)</f>
        <v>767.55</v>
      </c>
      <c r="E131" s="17" t="str">
        <f ca="1">IFERROR(__xludf.DUMMYFUNCTION("""COMPUTED_VALUE"""),"MXN")</f>
        <v>MXN</v>
      </c>
      <c r="F131" s="17" t="str">
        <f ca="1">IFERROR(__xludf.DUMMYFUNCTION("""COMPUTED_VALUE"""),"Karen Alexandra Ballesteros Contreras")</f>
        <v>Karen Alexandra Ballesteros Contreras</v>
      </c>
      <c r="G131" s="17" t="str">
        <f ca="1">IFERROR(__xludf.DUMMYFUNCTION("""COMPUTED_VALUE"""),"GASOL SERVICIO TLATIL  NAUCALPAN DE  MEX")</f>
        <v>GASOL SERVICIO TLATIL  NAUCALPAN DE  MEX</v>
      </c>
      <c r="H131" s="17" t="str">
        <f ca="1">IFERROR(__xludf.DUMMYFUNCTION("""COMPUTED_VALUE"""),"Gasol Servicio Tlatil Naucalpan De Mex")</f>
        <v>Gasol Servicio Tlatil Naucalpan De Mex</v>
      </c>
      <c r="I131" s="17"/>
      <c r="J131" s="17"/>
      <c r="K131" s="17"/>
      <c r="L131" s="17"/>
      <c r="M131" s="17"/>
      <c r="N131" s="17"/>
      <c r="O131" s="17"/>
    </row>
    <row r="132" spans="1:15" ht="12.5">
      <c r="A132" s="17" t="str">
        <f ca="1">IFERROR(__xludf.DUMMYFUNCTION("""COMPUTED_VALUE"""),"TRX1181")</f>
        <v>TRX1181</v>
      </c>
      <c r="B132" s="86" t="str">
        <f ca="1">IFERROR(__xludf.DUMMYFUNCTION("""COMPUTED_VALUE"""),"#26")</f>
        <v>#26</v>
      </c>
      <c r="C132" s="63">
        <f ca="1">IFERROR(__xludf.DUMMYFUNCTION("""COMPUTED_VALUE"""),46079.4166666666)</f>
        <v>46079.416666666599</v>
      </c>
      <c r="D132" s="65">
        <f ca="1">IFERROR(__xludf.DUMMYFUNCTION("""COMPUTED_VALUE"""),210)</f>
        <v>210</v>
      </c>
      <c r="E132" s="17" t="str">
        <f ca="1">IFERROR(__xludf.DUMMYFUNCTION("""COMPUTED_VALUE"""),"MXN")</f>
        <v>MXN</v>
      </c>
      <c r="F132" s="17" t="str">
        <f ca="1">IFERROR(__xludf.DUMMYFUNCTION("""COMPUTED_VALUE"""),"Karen Alexandra Ballesteros Contreras")</f>
        <v>Karen Alexandra Ballesteros Contreras</v>
      </c>
      <c r="G132" s="17" t="str">
        <f ca="1">IFERROR(__xludf.DUMMYFUNCTION("""COMPUTED_VALUE"""),"MERCADOPAGO *PASE      MIGUEL HIDALG MEX")</f>
        <v>MERCADOPAGO *PASE      MIGUEL HIDALG MEX</v>
      </c>
      <c r="H132" s="17" t="str">
        <f ca="1">IFERROR(__xludf.DUMMYFUNCTION("""COMPUTED_VALUE"""),"Mercadopago")</f>
        <v>Mercadopago</v>
      </c>
      <c r="I132" s="17"/>
      <c r="J132" s="17"/>
      <c r="K132" s="17"/>
      <c r="L132" s="17"/>
      <c r="M132" s="17"/>
      <c r="N132" s="17"/>
      <c r="O132" s="17"/>
    </row>
    <row r="133" spans="1:15" ht="12.5">
      <c r="A133" s="17" t="str">
        <f ca="1">IFERROR(__xludf.DUMMYFUNCTION("""COMPUTED_VALUE"""),"TRX1183")</f>
        <v>TRX1183</v>
      </c>
      <c r="B133" s="86" t="str">
        <f ca="1">IFERROR(__xludf.DUMMYFUNCTION("""COMPUTED_VALUE"""),"#26")</f>
        <v>#26</v>
      </c>
      <c r="C133" s="63">
        <f ca="1">IFERROR(__xludf.DUMMYFUNCTION("""COMPUTED_VALUE"""),46079.4166666666)</f>
        <v>46079.416666666599</v>
      </c>
      <c r="D133" s="65">
        <f ca="1">IFERROR(__xludf.DUMMYFUNCTION("""COMPUTED_VALUE"""),339)</f>
        <v>339</v>
      </c>
      <c r="E133" s="17" t="str">
        <f ca="1">IFERROR(__xludf.DUMMYFUNCTION("""COMPUTED_VALUE"""),"MXN")</f>
        <v>MXN</v>
      </c>
      <c r="F133" s="17" t="str">
        <f ca="1">IFERROR(__xludf.DUMMYFUNCTION("""COMPUTED_VALUE"""),"Karen Alexandra Ballesteros Contreras")</f>
        <v>Karen Alexandra Ballesteros Contreras</v>
      </c>
      <c r="G133" s="17" t="str">
        <f ca="1">IFERROR(__xludf.DUMMYFUNCTION("""COMPUTED_VALUE"""),"D LOCAL*DIDI RIDES     CIUDAD DE MEX MEX")</f>
        <v>D LOCAL*DIDI RIDES     CIUDAD DE MEX MEX</v>
      </c>
      <c r="H133" s="17" t="str">
        <f ca="1">IFERROR(__xludf.DUMMYFUNCTION("""COMPUTED_VALUE"""),"Didi Chuxing")</f>
        <v>Didi Chuxing</v>
      </c>
      <c r="I133" s="17"/>
      <c r="J133" s="17"/>
      <c r="K133" s="17"/>
      <c r="L133" s="17"/>
      <c r="M133" s="17"/>
      <c r="N133" s="17"/>
      <c r="O133" s="17"/>
    </row>
    <row r="134" spans="1:15" ht="12.5">
      <c r="A134" s="17" t="str">
        <f ca="1">IFERROR(__xludf.DUMMYFUNCTION("""COMPUTED_VALUE"""),"TRX1195")</f>
        <v>TRX1195</v>
      </c>
      <c r="B134" s="86" t="str">
        <f ca="1">IFERROR(__xludf.DUMMYFUNCTION("""COMPUTED_VALUE"""),"#26")</f>
        <v>#26</v>
      </c>
      <c r="C134" s="63">
        <f ca="1">IFERROR(__xludf.DUMMYFUNCTION("""COMPUTED_VALUE"""),46079.4166666666)</f>
        <v>46079.416666666599</v>
      </c>
      <c r="D134" s="65">
        <f ca="1">IFERROR(__xludf.DUMMYFUNCTION("""COMPUTED_VALUE"""),232)</f>
        <v>232</v>
      </c>
      <c r="E134" s="17" t="str">
        <f ca="1">IFERROR(__xludf.DUMMYFUNCTION("""COMPUTED_VALUE"""),"MXN")</f>
        <v>MXN</v>
      </c>
      <c r="F134" s="17" t="str">
        <f ca="1">IFERROR(__xludf.DUMMYFUNCTION("""COMPUTED_VALUE"""),"Karen Alexandra Ballesteros Contreras")</f>
        <v>Karen Alexandra Ballesteros Contreras</v>
      </c>
      <c r="G134" s="17" t="str">
        <f ca="1">IFERROR(__xludf.DUMMYFUNCTION("""COMPUTED_VALUE"""),"D LOCAL*DIDI RIDES     CIUDAD DE MEX MEX")</f>
        <v>D LOCAL*DIDI RIDES     CIUDAD DE MEX MEX</v>
      </c>
      <c r="H134" s="17" t="str">
        <f ca="1">IFERROR(__xludf.DUMMYFUNCTION("""COMPUTED_VALUE"""),"Didi Chuxing")</f>
        <v>Didi Chuxing</v>
      </c>
      <c r="I134" s="17"/>
      <c r="J134" s="17"/>
      <c r="K134" s="17"/>
      <c r="L134" s="17"/>
      <c r="M134" s="17"/>
      <c r="N134" s="17"/>
      <c r="O134" s="17"/>
    </row>
    <row r="135" spans="1:15" ht="12.5">
      <c r="A135" s="17" t="str">
        <f ca="1">IFERROR(__xludf.DUMMYFUNCTION("""COMPUTED_VALUE"""),"TRX1202")</f>
        <v>TRX1202</v>
      </c>
      <c r="B135" s="86" t="str">
        <f ca="1">IFERROR(__xludf.DUMMYFUNCTION("""COMPUTED_VALUE"""),"#26")</f>
        <v>#26</v>
      </c>
      <c r="C135" s="63">
        <f ca="1">IFERROR(__xludf.DUMMYFUNCTION("""COMPUTED_VALUE"""),46079.4166666666)</f>
        <v>46079.416666666599</v>
      </c>
      <c r="D135" s="65">
        <f ca="1">IFERROR(__xludf.DUMMYFUNCTION("""COMPUTED_VALUE"""),95.83)</f>
        <v>95.83</v>
      </c>
      <c r="E135" s="17" t="str">
        <f ca="1">IFERROR(__xludf.DUMMYFUNCTION("""COMPUTED_VALUE"""),"MXN")</f>
        <v>MXN</v>
      </c>
      <c r="F135" s="17" t="str">
        <f ca="1">IFERROR(__xludf.DUMMYFUNCTION("""COMPUTED_VALUE"""),"Karen Alexandra Ballesteros Contreras")</f>
        <v>Karen Alexandra Ballesteros Contreras</v>
      </c>
      <c r="G135" s="17" t="str">
        <f ca="1">IFERROR(__xludf.DUMMYFUNCTION("""COMPUTED_VALUE"""),"DLO*UBER RIDE          CIUDAD DE MEX MEX")</f>
        <v>DLO*UBER RIDE          CIUDAD DE MEX MEX</v>
      </c>
      <c r="H135" s="17" t="str">
        <f ca="1">IFERROR(__xludf.DUMMYFUNCTION("""COMPUTED_VALUE"""),"Uber")</f>
        <v>Uber</v>
      </c>
      <c r="I135" s="17"/>
      <c r="J135" s="17"/>
      <c r="K135" s="17"/>
      <c r="L135" s="17"/>
      <c r="M135" s="17"/>
      <c r="N135" s="17"/>
      <c r="O135" s="17"/>
    </row>
    <row r="136" spans="1:15" ht="12.5">
      <c r="A136" s="17" t="str">
        <f ca="1">IFERROR(__xludf.DUMMYFUNCTION("""COMPUTED_VALUE"""),"TRX1204")</f>
        <v>TRX1204</v>
      </c>
      <c r="B136" s="86" t="str">
        <f ca="1">IFERROR(__xludf.DUMMYFUNCTION("""COMPUTED_VALUE"""),"#26")</f>
        <v>#26</v>
      </c>
      <c r="C136" s="63">
        <f ca="1">IFERROR(__xludf.DUMMYFUNCTION("""COMPUTED_VALUE"""),46079.4166666666)</f>
        <v>46079.416666666599</v>
      </c>
      <c r="D136" s="65">
        <f ca="1">IFERROR(__xludf.DUMMYFUNCTION("""COMPUTED_VALUE"""),199.96)</f>
        <v>199.96</v>
      </c>
      <c r="E136" s="17" t="str">
        <f ca="1">IFERROR(__xludf.DUMMYFUNCTION("""COMPUTED_VALUE"""),"MXN")</f>
        <v>MXN</v>
      </c>
      <c r="F136" s="17" t="str">
        <f ca="1">IFERROR(__xludf.DUMMYFUNCTION("""COMPUTED_VALUE"""),"Karen Alexandra Ballesteros Contreras")</f>
        <v>Karen Alexandra Ballesteros Contreras</v>
      </c>
      <c r="G136" s="17" t="str">
        <f ca="1">IFERROR(__xludf.DUMMYFUNCTION("""COMPUTED_VALUE"""),"DLO*Uber               CDMX          MEX")</f>
        <v>DLO*Uber               CDMX          MEX</v>
      </c>
      <c r="H136" s="17" t="str">
        <f ca="1">IFERROR(__xludf.DUMMYFUNCTION("""COMPUTED_VALUE"""),"Uber")</f>
        <v>Uber</v>
      </c>
      <c r="I136" s="17"/>
      <c r="J136" s="17"/>
      <c r="K136" s="17"/>
      <c r="L136" s="17"/>
      <c r="M136" s="17"/>
      <c r="N136" s="17"/>
      <c r="O136" s="17"/>
    </row>
    <row r="137" spans="1:15" ht="12.5">
      <c r="A137" s="17" t="str">
        <f ca="1">IFERROR(__xludf.DUMMYFUNCTION("""COMPUTED_VALUE"""),"TRX1210")</f>
        <v>TRX1210</v>
      </c>
      <c r="B137" s="86" t="str">
        <f ca="1">IFERROR(__xludf.DUMMYFUNCTION("""COMPUTED_VALUE"""),"#26")</f>
        <v>#26</v>
      </c>
      <c r="C137" s="63">
        <f ca="1">IFERROR(__xludf.DUMMYFUNCTION("""COMPUTED_VALUE"""),46079.4173611111)</f>
        <v>46079.417361111096</v>
      </c>
      <c r="D137" s="65">
        <f ca="1">IFERROR(__xludf.DUMMYFUNCTION("""COMPUTED_VALUE"""),462)</f>
        <v>462</v>
      </c>
      <c r="E137" s="17" t="str">
        <f ca="1">IFERROR(__xludf.DUMMYFUNCTION("""COMPUTED_VALUE"""),"MXN")</f>
        <v>MXN</v>
      </c>
      <c r="F137" s="17" t="str">
        <f ca="1">IFERROR(__xludf.DUMMYFUNCTION("""COMPUTED_VALUE"""),"Karen Alexandra Ballesteros Contreras")</f>
        <v>Karen Alexandra Ballesteros Contreras</v>
      </c>
      <c r="G137" s="17" t="str">
        <f ca="1">IFERROR(__xludf.DUMMYFUNCTION("""COMPUTED_VALUE"""),"VIPS COFRADIAS         CUAUTITLAN IZ MEX")</f>
        <v>VIPS COFRADIAS         CUAUTITLAN IZ MEX</v>
      </c>
      <c r="H137" s="17" t="str">
        <f ca="1">IFERROR(__xludf.DUMMYFUNCTION("""COMPUTED_VALUE"""),"Vips Cofradias Cuautitlan Iz Mex")</f>
        <v>Vips Cofradias Cuautitlan Iz Mex</v>
      </c>
      <c r="I137" s="17"/>
      <c r="J137" s="17"/>
      <c r="K137" s="17"/>
      <c r="L137" s="17"/>
      <c r="M137" s="17"/>
      <c r="N137" s="17"/>
      <c r="O137" s="17"/>
    </row>
    <row r="138" spans="1:15" ht="12.5">
      <c r="A138" s="17" t="str">
        <f ca="1">IFERROR(__xludf.DUMMYFUNCTION("""COMPUTED_VALUE"""),"TRX1226")</f>
        <v>TRX1226</v>
      </c>
      <c r="B138" s="86" t="str">
        <f ca="1">IFERROR(__xludf.DUMMYFUNCTION("""COMPUTED_VALUE"""),"#26")</f>
        <v>#26</v>
      </c>
      <c r="C138" s="63">
        <f ca="1">IFERROR(__xludf.DUMMYFUNCTION("""COMPUTED_VALUE"""),46080.4166666666)</f>
        <v>46080.416666666599</v>
      </c>
      <c r="D138" s="65">
        <f ca="1">IFERROR(__xludf.DUMMYFUNCTION("""COMPUTED_VALUE"""),210)</f>
        <v>210</v>
      </c>
      <c r="E138" s="17" t="str">
        <f ca="1">IFERROR(__xludf.DUMMYFUNCTION("""COMPUTED_VALUE"""),"MXN")</f>
        <v>MXN</v>
      </c>
      <c r="F138" s="17" t="str">
        <f ca="1">IFERROR(__xludf.DUMMYFUNCTION("""COMPUTED_VALUE"""),"Karen Alexandra Ballesteros Contreras")</f>
        <v>Karen Alexandra Ballesteros Contreras</v>
      </c>
      <c r="G138" s="17" t="str">
        <f ca="1">IFERROR(__xludf.DUMMYFUNCTION("""COMPUTED_VALUE"""),"MERCADOPAGO *PASE      MIGUEL HIDALG MEX")</f>
        <v>MERCADOPAGO *PASE      MIGUEL HIDALG MEX</v>
      </c>
      <c r="H138" s="17" t="str">
        <f ca="1">IFERROR(__xludf.DUMMYFUNCTION("""COMPUTED_VALUE"""),"Mercadopago")</f>
        <v>Mercadopago</v>
      </c>
      <c r="I138" s="17"/>
      <c r="J138" s="17"/>
      <c r="K138" s="17"/>
      <c r="L138" s="17"/>
      <c r="M138" s="17"/>
      <c r="N138" s="17"/>
      <c r="O138" s="17"/>
    </row>
    <row r="139" spans="1:15" ht="12.5">
      <c r="A139" s="17" t="str">
        <f ca="1">IFERROR(__xludf.DUMMYFUNCTION("""COMPUTED_VALUE"""),"TRX1227")</f>
        <v>TRX1227</v>
      </c>
      <c r="B139" s="86" t="str">
        <f ca="1">IFERROR(__xludf.DUMMYFUNCTION("""COMPUTED_VALUE"""),"#26")</f>
        <v>#26</v>
      </c>
      <c r="C139" s="63">
        <f ca="1">IFERROR(__xludf.DUMMYFUNCTION("""COMPUTED_VALUE"""),46080.4166666666)</f>
        <v>46080.416666666599</v>
      </c>
      <c r="D139" s="65">
        <f ca="1">IFERROR(__xludf.DUMMYFUNCTION("""COMPUTED_VALUE"""),341.83)</f>
        <v>341.83</v>
      </c>
      <c r="E139" s="17" t="str">
        <f ca="1">IFERROR(__xludf.DUMMYFUNCTION("""COMPUTED_VALUE"""),"MXN")</f>
        <v>MXN</v>
      </c>
      <c r="F139" s="17" t="str">
        <f ca="1">IFERROR(__xludf.DUMMYFUNCTION("""COMPUTED_VALUE"""),"Karen Alexandra Ballesteros Contreras")</f>
        <v>Karen Alexandra Ballesteros Contreras</v>
      </c>
      <c r="G139" s="17" t="str">
        <f ca="1">IFERROR(__xludf.DUMMYFUNCTION("""COMPUTED_VALUE"""),"DLO*UBER RIDES         CIUDAD DE MEX MEX")</f>
        <v>DLO*UBER RIDES         CIUDAD DE MEX MEX</v>
      </c>
      <c r="H139" s="17" t="str">
        <f ca="1">IFERROR(__xludf.DUMMYFUNCTION("""COMPUTED_VALUE"""),"Uber")</f>
        <v>Uber</v>
      </c>
      <c r="I139" s="17"/>
      <c r="J139" s="17"/>
      <c r="K139" s="17"/>
      <c r="L139" s="17"/>
      <c r="M139" s="17"/>
      <c r="N139" s="17"/>
      <c r="O139" s="17"/>
    </row>
    <row r="140" spans="1:15" ht="12.5">
      <c r="A140" s="17" t="str">
        <f ca="1">IFERROR(__xludf.DUMMYFUNCTION("""COMPUTED_VALUE"""),"TRX1228")</f>
        <v>TRX1228</v>
      </c>
      <c r="B140" s="86" t="str">
        <f ca="1">IFERROR(__xludf.DUMMYFUNCTION("""COMPUTED_VALUE"""),"#26")</f>
        <v>#26</v>
      </c>
      <c r="C140" s="63">
        <f ca="1">IFERROR(__xludf.DUMMYFUNCTION("""COMPUTED_VALUE"""),46080.4166666666)</f>
        <v>46080.416666666599</v>
      </c>
      <c r="D140" s="65">
        <f ca="1">IFERROR(__xludf.DUMMYFUNCTION("""COMPUTED_VALUE"""),62.25)</f>
        <v>62.25</v>
      </c>
      <c r="E140" s="17" t="str">
        <f ca="1">IFERROR(__xludf.DUMMYFUNCTION("""COMPUTED_VALUE"""),"MXN")</f>
        <v>MXN</v>
      </c>
      <c r="F140" s="17" t="str">
        <f ca="1">IFERROR(__xludf.DUMMYFUNCTION("""COMPUTED_VALUE"""),"Karen Alexandra Ballesteros Contreras")</f>
        <v>Karen Alexandra Ballesteros Contreras</v>
      </c>
      <c r="G140" s="17" t="str">
        <f ca="1">IFERROR(__xludf.DUMMYFUNCTION("""COMPUTED_VALUE"""),"DLO DIDI RIDES MX      CIUDAD DE MEX MEX")</f>
        <v>DLO DIDI RIDES MX      CIUDAD DE MEX MEX</v>
      </c>
      <c r="H140" s="17" t="str">
        <f ca="1">IFERROR(__xludf.DUMMYFUNCTION("""COMPUTED_VALUE"""),"Didi Chuxing")</f>
        <v>Didi Chuxing</v>
      </c>
      <c r="I140" s="17"/>
      <c r="J140" s="17"/>
      <c r="K140" s="17"/>
      <c r="L140" s="17"/>
      <c r="M140" s="17"/>
      <c r="N140" s="17"/>
      <c r="O140" s="17"/>
    </row>
    <row r="141" spans="1:15" ht="12.5">
      <c r="A141" s="17" t="str">
        <f ca="1">IFERROR(__xludf.DUMMYFUNCTION("""COMPUTED_VALUE"""),"TRX1229")</f>
        <v>TRX1229</v>
      </c>
      <c r="B141" s="86" t="str">
        <f ca="1">IFERROR(__xludf.DUMMYFUNCTION("""COMPUTED_VALUE"""),"#26")</f>
        <v>#26</v>
      </c>
      <c r="C141" s="63">
        <f ca="1">IFERROR(__xludf.DUMMYFUNCTION("""COMPUTED_VALUE"""),46080.4166666666)</f>
        <v>46080.416666666599</v>
      </c>
      <c r="D141" s="65">
        <f ca="1">IFERROR(__xludf.DUMMYFUNCTION("""COMPUTED_VALUE"""),99.74)</f>
        <v>99.74</v>
      </c>
      <c r="E141" s="17" t="str">
        <f ca="1">IFERROR(__xludf.DUMMYFUNCTION("""COMPUTED_VALUE"""),"MXN")</f>
        <v>MXN</v>
      </c>
      <c r="F141" s="17" t="str">
        <f ca="1">IFERROR(__xludf.DUMMYFUNCTION("""COMPUTED_VALUE"""),"Karen Alexandra Ballesteros Contreras")</f>
        <v>Karen Alexandra Ballesteros Contreras</v>
      </c>
      <c r="G141" s="17" t="str">
        <f ca="1">IFERROR(__xludf.DUMMYFUNCTION("""COMPUTED_VALUE"""),"DLO DIDI RIDES MX      CIUDAD DE MEX MEX")</f>
        <v>DLO DIDI RIDES MX      CIUDAD DE MEX MEX</v>
      </c>
      <c r="H141" s="17" t="str">
        <f ca="1">IFERROR(__xludf.DUMMYFUNCTION("""COMPUTED_VALUE"""),"Didi Chuxing")</f>
        <v>Didi Chuxing</v>
      </c>
      <c r="I141" s="17"/>
      <c r="J141" s="17"/>
      <c r="K141" s="17"/>
      <c r="L141" s="17"/>
      <c r="M141" s="17"/>
      <c r="N141" s="17"/>
      <c r="O141" s="17"/>
    </row>
    <row r="142" spans="1:15" ht="12.5">
      <c r="A142" s="17" t="str">
        <f ca="1">IFERROR(__xludf.DUMMYFUNCTION("""COMPUTED_VALUE"""),"TRX1230")</f>
        <v>TRX1230</v>
      </c>
      <c r="B142" s="86" t="str">
        <f ca="1">IFERROR(__xludf.DUMMYFUNCTION("""COMPUTED_VALUE"""),"#26")</f>
        <v>#26</v>
      </c>
      <c r="C142" s="63">
        <f ca="1">IFERROR(__xludf.DUMMYFUNCTION("""COMPUTED_VALUE"""),46080.4166666666)</f>
        <v>46080.416666666599</v>
      </c>
      <c r="D142" s="65">
        <f ca="1">IFERROR(__xludf.DUMMYFUNCTION("""COMPUTED_VALUE"""),56.09)</f>
        <v>56.09</v>
      </c>
      <c r="E142" s="17" t="str">
        <f ca="1">IFERROR(__xludf.DUMMYFUNCTION("""COMPUTED_VALUE"""),"MXN")</f>
        <v>MXN</v>
      </c>
      <c r="F142" s="17" t="str">
        <f ca="1">IFERROR(__xludf.DUMMYFUNCTION("""COMPUTED_VALUE"""),"Karen Alexandra Ballesteros Contreras")</f>
        <v>Karen Alexandra Ballesteros Contreras</v>
      </c>
      <c r="G142" s="17" t="str">
        <f ca="1">IFERROR(__xludf.DUMMYFUNCTION("""COMPUTED_VALUE"""),"DLO DIDI RIDES MX      CIUDAD DE MEX MEX")</f>
        <v>DLO DIDI RIDES MX      CIUDAD DE MEX MEX</v>
      </c>
      <c r="H142" s="17" t="str">
        <f ca="1">IFERROR(__xludf.DUMMYFUNCTION("""COMPUTED_VALUE"""),"Didi Chuxing")</f>
        <v>Didi Chuxing</v>
      </c>
      <c r="I142" s="17"/>
      <c r="J142" s="17"/>
      <c r="K142" s="17"/>
      <c r="L142" s="17"/>
      <c r="M142" s="17"/>
      <c r="N142" s="17"/>
      <c r="O142" s="17"/>
    </row>
    <row r="143" spans="1:15" ht="12.5">
      <c r="A143" s="17" t="str">
        <f ca="1">IFERROR(__xludf.DUMMYFUNCTION("""COMPUTED_VALUE"""),"TRX1231")</f>
        <v>TRX1231</v>
      </c>
      <c r="B143" s="86" t="str">
        <f ca="1">IFERROR(__xludf.DUMMYFUNCTION("""COMPUTED_VALUE"""),"#26")</f>
        <v>#26</v>
      </c>
      <c r="C143" s="63">
        <f ca="1">IFERROR(__xludf.DUMMYFUNCTION("""COMPUTED_VALUE"""),46080.4166666666)</f>
        <v>46080.416666666599</v>
      </c>
      <c r="D143" s="65">
        <f ca="1">IFERROR(__xludf.DUMMYFUNCTION("""COMPUTED_VALUE"""),318)</f>
        <v>318</v>
      </c>
      <c r="E143" s="17" t="str">
        <f ca="1">IFERROR(__xludf.DUMMYFUNCTION("""COMPUTED_VALUE"""),"MXN")</f>
        <v>MXN</v>
      </c>
      <c r="F143" s="17" t="str">
        <f ca="1">IFERROR(__xludf.DUMMYFUNCTION("""COMPUTED_VALUE"""),"Karen Alexandra Ballesteros Contreras")</f>
        <v>Karen Alexandra Ballesteros Contreras</v>
      </c>
      <c r="G143" s="17" t="str">
        <f ca="1">IFERROR(__xludf.DUMMYFUNCTION("""COMPUTED_VALUE"""),"KFC 230 XOLA           CIUDAD DE MEX MEX")</f>
        <v>KFC 230 XOLA           CIUDAD DE MEX MEX</v>
      </c>
      <c r="H143" s="17" t="str">
        <f ca="1">IFERROR(__xludf.DUMMYFUNCTION("""COMPUTED_VALUE"""),"Kentucky Fried Chicken")</f>
        <v>Kentucky Fried Chicken</v>
      </c>
      <c r="I143" s="17"/>
      <c r="J143" s="17"/>
      <c r="K143" s="17"/>
      <c r="L143" s="17"/>
      <c r="M143" s="17"/>
      <c r="N143" s="17"/>
      <c r="O143" s="17"/>
    </row>
    <row r="144" spans="1:15" ht="12.5">
      <c r="A144" s="17" t="str">
        <f ca="1">IFERROR(__xludf.DUMMYFUNCTION("""COMPUTED_VALUE"""),"TRX1235")</f>
        <v>TRX1235</v>
      </c>
      <c r="B144" s="86" t="str">
        <f ca="1">IFERROR(__xludf.DUMMYFUNCTION("""COMPUTED_VALUE"""),"#26")</f>
        <v>#26</v>
      </c>
      <c r="C144" s="63">
        <f ca="1">IFERROR(__xludf.DUMMYFUNCTION("""COMPUTED_VALUE"""),46080.4166666666)</f>
        <v>46080.416666666599</v>
      </c>
      <c r="D144" s="65">
        <f ca="1">IFERROR(__xludf.DUMMYFUNCTION("""COMPUTED_VALUE"""),193)</f>
        <v>193</v>
      </c>
      <c r="E144" s="17" t="str">
        <f ca="1">IFERROR(__xludf.DUMMYFUNCTION("""COMPUTED_VALUE"""),"MXN")</f>
        <v>MXN</v>
      </c>
      <c r="F144" s="17" t="str">
        <f ca="1">IFERROR(__xludf.DUMMYFUNCTION("""COMPUTED_VALUE"""),"Karen Alexandra Ballesteros Contreras")</f>
        <v>Karen Alexandra Ballesteros Contreras</v>
      </c>
      <c r="G144" s="17" t="str">
        <f ca="1">IFERROR(__xludf.DUMMYFUNCTION("""COMPUTED_VALUE"""),"D LOCAL*DIDI RIDES     CIUDAD DE MEX MEX")</f>
        <v>D LOCAL*DIDI RIDES     CIUDAD DE MEX MEX</v>
      </c>
      <c r="H144" s="17" t="str">
        <f ca="1">IFERROR(__xludf.DUMMYFUNCTION("""COMPUTED_VALUE"""),"Didi Chuxing")</f>
        <v>Didi Chuxing</v>
      </c>
      <c r="I144" s="17"/>
      <c r="J144" s="17"/>
      <c r="K144" s="17"/>
      <c r="L144" s="17"/>
      <c r="M144" s="17"/>
      <c r="N144" s="17"/>
      <c r="O144" s="17"/>
    </row>
    <row r="145" spans="1:15" ht="12.5">
      <c r="A145" s="17" t="str">
        <f ca="1">IFERROR(__xludf.DUMMYFUNCTION("""COMPUTED_VALUE"""),"TRX1247")</f>
        <v>TRX1247</v>
      </c>
      <c r="B145" s="86" t="str">
        <f ca="1">IFERROR(__xludf.DUMMYFUNCTION("""COMPUTED_VALUE"""),"#26")</f>
        <v>#26</v>
      </c>
      <c r="C145" s="63">
        <f ca="1">IFERROR(__xludf.DUMMYFUNCTION("""COMPUTED_VALUE"""),46080.4173611111)</f>
        <v>46080.417361111096</v>
      </c>
      <c r="D145" s="65">
        <f ca="1">IFERROR(__xludf.DUMMYFUNCTION("""COMPUTED_VALUE"""),228)</f>
        <v>228</v>
      </c>
      <c r="E145" s="17" t="str">
        <f ca="1">IFERROR(__xludf.DUMMYFUNCTION("""COMPUTED_VALUE"""),"MXN")</f>
        <v>MXN</v>
      </c>
      <c r="F145" s="17" t="str">
        <f ca="1">IFERROR(__xludf.DUMMYFUNCTION("""COMPUTED_VALUE"""),"Karen Alexandra Ballesteros Contreras")</f>
        <v>Karen Alexandra Ballesteros Contreras</v>
      </c>
      <c r="G145" s="17" t="str">
        <f ca="1">IFERROR(__xludf.DUMMYFUNCTION("""COMPUTED_VALUE"""),"WM EXPRESS DLVALL NORT CIUDAD DE MEX MEX")</f>
        <v>WM EXPRESS DLVALL NORT CIUDAD DE MEX MEX</v>
      </c>
      <c r="H145" s="17" t="str">
        <f ca="1">IFERROR(__xludf.DUMMYFUNCTION("""COMPUTED_VALUE"""),"Wm Express Dlvall Nort Ciudad De Mex Mex")</f>
        <v>Wm Express Dlvall Nort Ciudad De Mex Mex</v>
      </c>
      <c r="I145" s="17"/>
      <c r="J145" s="17"/>
      <c r="K145" s="17"/>
      <c r="L145" s="17"/>
      <c r="M145" s="17"/>
      <c r="N145" s="17"/>
      <c r="O145" s="17"/>
    </row>
    <row r="146" spans="1:15" ht="12.5">
      <c r="A146" s="17" t="str">
        <f ca="1">IFERROR(__xludf.DUMMYFUNCTION("""COMPUTED_VALUE"""),"TRX1261")</f>
        <v>TRX1261</v>
      </c>
      <c r="B146" s="86" t="str">
        <f ca="1">IFERROR(__xludf.DUMMYFUNCTION("""COMPUTED_VALUE"""),"#26")</f>
        <v>#26</v>
      </c>
      <c r="C146" s="63">
        <f ca="1">IFERROR(__xludf.DUMMYFUNCTION("""COMPUTED_VALUE"""),46081.4166666666)</f>
        <v>46081.416666666599</v>
      </c>
      <c r="D146" s="17">
        <f ca="1">IFERROR(__xludf.DUMMYFUNCTION("""COMPUTED_VALUE"""),910)</f>
        <v>910</v>
      </c>
      <c r="E146" s="17" t="str">
        <f ca="1">IFERROR(__xludf.DUMMYFUNCTION("""COMPUTED_VALUE"""),"MXN")</f>
        <v>MXN</v>
      </c>
      <c r="F146" s="17" t="str">
        <f ca="1">IFERROR(__xludf.DUMMYFUNCTION("""COMPUTED_VALUE"""),"Karen Alexandra Ballesteros Contreras")</f>
        <v>Karen Alexandra Ballesteros Contreras</v>
      </c>
      <c r="G146" s="17" t="str">
        <f ca="1">IFERROR(__xludf.DUMMYFUNCTION("""COMPUTED_VALUE"""),"MERCADOPAGO *PASE      MIGUEL HIDALG MEX")</f>
        <v>MERCADOPAGO *PASE      MIGUEL HIDALG MEX</v>
      </c>
      <c r="H146" s="17" t="str">
        <f ca="1">IFERROR(__xludf.DUMMYFUNCTION("""COMPUTED_VALUE"""),"Mercadopago")</f>
        <v>Mercadopago</v>
      </c>
      <c r="I146" s="17"/>
      <c r="J146" s="17"/>
      <c r="K146" s="17"/>
      <c r="L146" s="17"/>
      <c r="M146" s="17"/>
      <c r="N146" s="17"/>
      <c r="O146" s="17"/>
    </row>
    <row r="147" spans="1:15" ht="12.5">
      <c r="A147" s="17" t="str">
        <f ca="1">IFERROR(__xludf.DUMMYFUNCTION("""COMPUTED_VALUE"""),"TRX1263")</f>
        <v>TRX1263</v>
      </c>
      <c r="B147" s="86" t="str">
        <f ca="1">IFERROR(__xludf.DUMMYFUNCTION("""COMPUTED_VALUE"""),"#26")</f>
        <v>#26</v>
      </c>
      <c r="C147" s="63">
        <f ca="1">IFERROR(__xludf.DUMMYFUNCTION("""COMPUTED_VALUE"""),46081.4166666666)</f>
        <v>46081.416666666599</v>
      </c>
      <c r="D147" s="17">
        <f ca="1">IFERROR(__xludf.DUMMYFUNCTION("""COMPUTED_VALUE"""),1010)</f>
        <v>1010</v>
      </c>
      <c r="E147" s="17" t="str">
        <f ca="1">IFERROR(__xludf.DUMMYFUNCTION("""COMPUTED_VALUE"""),"MXN")</f>
        <v>MXN</v>
      </c>
      <c r="F147" s="17" t="str">
        <f ca="1">IFERROR(__xludf.DUMMYFUNCTION("""COMPUTED_VALUE"""),"Karen Alexandra Ballesteros Contreras")</f>
        <v>Karen Alexandra Ballesteros Contreras</v>
      </c>
      <c r="G147" s="17" t="str">
        <f ca="1">IFERROR(__xludf.DUMMYFUNCTION("""COMPUTED_VALUE"""),"MERCADOPAGO *PASE      MIGUEL HIDALG MEX")</f>
        <v>MERCADOPAGO *PASE      MIGUEL HIDALG MEX</v>
      </c>
      <c r="H147" s="17" t="str">
        <f ca="1">IFERROR(__xludf.DUMMYFUNCTION("""COMPUTED_VALUE"""),"Mercadopago")</f>
        <v>Mercadopago</v>
      </c>
      <c r="I147" s="17"/>
      <c r="J147" s="17"/>
      <c r="K147" s="17"/>
      <c r="L147" s="17"/>
      <c r="M147" s="17"/>
      <c r="N147" s="17"/>
      <c r="O147" s="17"/>
    </row>
    <row r="148" spans="1:15" ht="12.5">
      <c r="A148" s="17" t="str">
        <f ca="1">IFERROR(__xludf.DUMMYFUNCTION("""COMPUTED_VALUE"""),"TRX1264")</f>
        <v>TRX1264</v>
      </c>
      <c r="B148" s="86" t="str">
        <f ca="1">IFERROR(__xludf.DUMMYFUNCTION("""COMPUTED_VALUE"""),"#26")</f>
        <v>#26</v>
      </c>
      <c r="C148" s="63">
        <f ca="1">IFERROR(__xludf.DUMMYFUNCTION("""COMPUTED_VALUE"""),46081.4166666666)</f>
        <v>46081.416666666599</v>
      </c>
      <c r="D148" s="17">
        <f ca="1">IFERROR(__xludf.DUMMYFUNCTION("""COMPUTED_VALUE"""),456)</f>
        <v>456</v>
      </c>
      <c r="E148" s="17" t="str">
        <f ca="1">IFERROR(__xludf.DUMMYFUNCTION("""COMPUTED_VALUE"""),"MXN")</f>
        <v>MXN</v>
      </c>
      <c r="F148" s="17" t="str">
        <f ca="1">IFERROR(__xludf.DUMMYFUNCTION("""COMPUTED_VALUE"""),"Karen Alexandra Ballesteros Contreras")</f>
        <v>Karen Alexandra Ballesteros Contreras</v>
      </c>
      <c r="G148" s="17" t="str">
        <f ca="1">IFERROR(__xludf.DUMMYFUNCTION("""COMPUTED_VALUE"""),"MERCADOPAGO *FARMACIA  Cuautitlan Iz MEX")</f>
        <v>MERCADOPAGO *FARMACIA  Cuautitlan Iz MEX</v>
      </c>
      <c r="H148" s="17" t="str">
        <f ca="1">IFERROR(__xludf.DUMMYFUNCTION("""COMPUTED_VALUE"""),"Mercadopago")</f>
        <v>Mercadopago</v>
      </c>
      <c r="I148" s="17"/>
      <c r="J148" s="17"/>
      <c r="K148" s="17"/>
      <c r="L148" s="17"/>
      <c r="M148" s="17"/>
      <c r="N148" s="17"/>
      <c r="O148" s="17"/>
    </row>
    <row r="149" spans="1:15" ht="12.5">
      <c r="A149" s="17" t="str">
        <f ca="1">IFERROR(__xludf.DUMMYFUNCTION("""COMPUTED_VALUE"""),"TRX1265")</f>
        <v>TRX1265</v>
      </c>
      <c r="B149" s="86" t="str">
        <f ca="1">IFERROR(__xludf.DUMMYFUNCTION("""COMPUTED_VALUE"""),"#26")</f>
        <v>#26</v>
      </c>
      <c r="C149" s="63">
        <f ca="1">IFERROR(__xludf.DUMMYFUNCTION("""COMPUTED_VALUE"""),46081.4166666666)</f>
        <v>46081.416666666599</v>
      </c>
      <c r="D149" s="17">
        <f ca="1">IFERROR(__xludf.DUMMYFUNCTION("""COMPUTED_VALUE"""),507)</f>
        <v>507</v>
      </c>
      <c r="E149" s="17" t="str">
        <f ca="1">IFERROR(__xludf.DUMMYFUNCTION("""COMPUTED_VALUE"""),"MXN")</f>
        <v>MXN</v>
      </c>
      <c r="F149" s="17" t="str">
        <f ca="1">IFERROR(__xludf.DUMMYFUNCTION("""COMPUTED_VALUE"""),"Karen Alexandra Ballesteros Contreras")</f>
        <v>Karen Alexandra Ballesteros Contreras</v>
      </c>
      <c r="G149" s="17" t="str">
        <f ca="1">IFERROR(__xludf.DUMMYFUNCTION("""COMPUTED_VALUE"""),"MISC PITS TOL ZIT      ALMOLOYA DE J MEX")</f>
        <v>MISC PITS TOL ZIT      ALMOLOYA DE J MEX</v>
      </c>
      <c r="H149" s="17" t="str">
        <f ca="1">IFERROR(__xludf.DUMMYFUNCTION("""COMPUTED_VALUE"""),"Misc Pits Tol Zit Almoloya De J Mex")</f>
        <v>Misc Pits Tol Zit Almoloya De J Mex</v>
      </c>
      <c r="I149" s="17"/>
      <c r="J149" s="17"/>
      <c r="K149" s="17"/>
      <c r="L149" s="17"/>
      <c r="M149" s="17"/>
      <c r="N149" s="17"/>
      <c r="O149" s="17"/>
    </row>
    <row r="150" spans="1:15" ht="12.5">
      <c r="A150" s="17" t="str">
        <f ca="1">IFERROR(__xludf.DUMMYFUNCTION("""COMPUTED_VALUE"""),"TRX1266")</f>
        <v>TRX1266</v>
      </c>
      <c r="B150" s="86" t="str">
        <f ca="1">IFERROR(__xludf.DUMMYFUNCTION("""COMPUTED_VALUE"""),"#26")</f>
        <v>#26</v>
      </c>
      <c r="C150" s="63">
        <f ca="1">IFERROR(__xludf.DUMMYFUNCTION("""COMPUTED_VALUE"""),46081.4166666666)</f>
        <v>46081.416666666599</v>
      </c>
      <c r="D150" s="17">
        <f ca="1">IFERROR(__xludf.DUMMYFUNCTION("""COMPUTED_VALUE"""),13299.4)</f>
        <v>13299.4</v>
      </c>
      <c r="E150" s="17" t="str">
        <f ca="1">IFERROR(__xludf.DUMMYFUNCTION("""COMPUTED_VALUE"""),"MXN")</f>
        <v>MXN</v>
      </c>
      <c r="F150" s="17" t="str">
        <f ca="1">IFERROR(__xludf.DUMMYFUNCTION("""COMPUTED_VALUE"""),"Karen Alexandra Ballesteros Contreras")</f>
        <v>Karen Alexandra Ballesteros Contreras</v>
      </c>
      <c r="G150" s="17" t="str">
        <f ca="1">IFERROR(__xludf.DUMMYFUNCTION("""COMPUTED_VALUE"""),"CLIP MX*MED CLEAN DIAG APODACA       MEX")</f>
        <v>CLIP MX*MED CLEAN DIAG APODACA       MEX</v>
      </c>
      <c r="H150" s="17" t="str">
        <f ca="1">IFERROR(__xludf.DUMMYFUNCTION("""COMPUTED_VALUE"""),"Clip Mx Med Clean Diag Apodaca Mex")</f>
        <v>Clip Mx Med Clean Diag Apodaca Mex</v>
      </c>
      <c r="I150" s="17"/>
      <c r="J150" s="17"/>
      <c r="K150" s="17"/>
      <c r="L150" s="17"/>
      <c r="M150" s="17"/>
      <c r="N150" s="17"/>
      <c r="O150" s="17"/>
    </row>
    <row r="151" spans="1:15" ht="12.5">
      <c r="A151" s="17" t="str">
        <f ca="1">IFERROR(__xludf.DUMMYFUNCTION("""COMPUTED_VALUE"""),"TRX1276")</f>
        <v>TRX1276</v>
      </c>
      <c r="B151" s="86" t="str">
        <f ca="1">IFERROR(__xludf.DUMMYFUNCTION("""COMPUTED_VALUE"""),"#26")</f>
        <v>#26</v>
      </c>
      <c r="C151" s="63">
        <f ca="1">IFERROR(__xludf.DUMMYFUNCTION("""COMPUTED_VALUE"""),46081.4166666666)</f>
        <v>46081.416666666599</v>
      </c>
      <c r="D151" s="17">
        <f ca="1">IFERROR(__xludf.DUMMYFUNCTION("""COMPUTED_VALUE"""),726)</f>
        <v>726</v>
      </c>
      <c r="E151" s="17" t="str">
        <f ca="1">IFERROR(__xludf.DUMMYFUNCTION("""COMPUTED_VALUE"""),"MXN")</f>
        <v>MXN</v>
      </c>
      <c r="F151" s="17" t="str">
        <f ca="1">IFERROR(__xludf.DUMMYFUNCTION("""COMPUTED_VALUE"""),"Karen Alexandra Ballesteros Contreras")</f>
        <v>Karen Alexandra Ballesteros Contreras</v>
      </c>
      <c r="G151" s="17" t="str">
        <f ca="1">IFERROR(__xludf.DUMMYFUNCTION("""COMPUTED_VALUE"""),"SUSHI ROLL VALLE DE BR VALLE DE BRAV MEX")</f>
        <v>SUSHI ROLL VALLE DE BR VALLE DE BRAV MEX</v>
      </c>
      <c r="H151" s="17" t="str">
        <f ca="1">IFERROR(__xludf.DUMMYFUNCTION("""COMPUTED_VALUE"""),"Sushi Roll Valle De Br Valle De Brav Mex")</f>
        <v>Sushi Roll Valle De Br Valle De Brav Mex</v>
      </c>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77</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Sept'!$A$12:$C$1700,'Edo Cta Jeeves Sept'!$J$12:$J$1700=$A$2)"),"TRX1252")</f>
        <v>TRX1252</v>
      </c>
      <c r="B12" s="112" t="str">
        <f ca="1">IFERROR(__xludf.DUMMYFUNCTION("""COMPUTED_VALUE"""),"#28")</f>
        <v>#28</v>
      </c>
      <c r="C12" s="112">
        <f ca="1">IFERROR(__xludf.DUMMYFUNCTION("""COMPUTED_VALUE"""),46058.4166666666)</f>
        <v>46058.416666666599</v>
      </c>
      <c r="D12" s="113">
        <f ca="1">IFERROR(__xludf.DUMMYFUNCTION("FILTER('Edo Cta Jeeves Sept'!$G$12:$G$1700,'Edo Cta Jeeves Sept'!$J$12:$J$1700=$A$2)"),79.96)</f>
        <v>79.959999999999994</v>
      </c>
      <c r="E12" s="90" t="str">
        <f ca="1">IFERROR(__xludf.DUMMYFUNCTION("FILTER('Edo Cta Jeeves Sept'!$I$12:$I$1700,'Edo Cta Jeeves Sept'!$J$12:$J$1700=$A$2)"),"MXN")</f>
        <v>MXN</v>
      </c>
      <c r="F12" s="90" t="str">
        <f ca="1">IFERROR(__xludf.DUMMYFUNCTION("FILTER('Edo Cta Jeeves Sept'!$J$12:$J$1700,'Edo Cta Jeeves Sept'!$J$12:$J$1700=$A$2)"),"Fernando Villalobos Lara")</f>
        <v>Fernando Villalobos Lara</v>
      </c>
      <c r="G12" s="90" t="str">
        <f ca="1">IFERROR(__xludf.DUMMYFUNCTION("FILTER('Edo Cta Jeeves Sept'!$K$12:$L$1700,'Edo Cta Jeeves Sept'!$J$12:$J$1700=$A$2)"),"UBER * PENDING         CMX           MEX")</f>
        <v>UBER * PENDING         CMX           MEX</v>
      </c>
      <c r="H12" s="90" t="str">
        <f ca="1">IFERROR(__xludf.DUMMYFUNCTION("""COMPUTED_VALUE"""),"Uber")</f>
        <v>Uber</v>
      </c>
      <c r="I12" s="90" t="str">
        <f ca="1">IFERROR(__xludf.DUMMYFUNCTION("IMPORTRANGE(""https://docs.google.com/spreadsheets/d/1UdOAn4NUz7TLEiVWZd-37kYgDvyNXRolH9egCUW5dgo/edit#gid=1404531132"",""I12:K80"")"),"Transaction cost")</f>
        <v>Transaction cost</v>
      </c>
      <c r="J12" s="90" t="str">
        <f ca="1">IFERROR(__xludf.DUMMYFUNCTION("""COMPUTED_VALUE"""),"PO 1505 - Uber oficinas Arha")</f>
        <v>PO 1505 - Uber oficinas Arha</v>
      </c>
      <c r="K12" s="17"/>
      <c r="L12" s="17"/>
      <c r="M12" s="17"/>
      <c r="N12" s="17"/>
      <c r="O12" s="17"/>
    </row>
    <row r="13" spans="1:15" ht="15.75" customHeight="1">
      <c r="A13" s="111" t="str">
        <f ca="1">IFERROR(__xludf.DUMMYFUNCTION("""COMPUTED_VALUE"""),"TRX1432")</f>
        <v>TRX1432</v>
      </c>
      <c r="B13" s="112" t="str">
        <f ca="1">IFERROR(__xludf.DUMMYFUNCTION("""COMPUTED_VALUE"""),"#28")</f>
        <v>#28</v>
      </c>
      <c r="C13" s="114">
        <f ca="1">IFERROR(__xludf.DUMMYFUNCTION("""COMPUTED_VALUE"""),46060.4173611111)</f>
        <v>46060.417361111096</v>
      </c>
      <c r="D13" s="113">
        <f ca="1">IFERROR(__xludf.DUMMYFUNCTION("""COMPUTED_VALUE"""),361.14)</f>
        <v>361.14</v>
      </c>
      <c r="E13" s="90" t="str">
        <f ca="1">IFERROR(__xludf.DUMMYFUNCTION("""COMPUTED_VALUE"""),"USD")</f>
        <v>USD</v>
      </c>
      <c r="F13" s="90" t="str">
        <f ca="1">IFERROR(__xludf.DUMMYFUNCTION("""COMPUTED_VALUE"""),"Fernando Villalobos Lara")</f>
        <v>Fernando Villalobos Lara</v>
      </c>
      <c r="G13" s="90" t="str">
        <f ca="1">IFERROR(__xludf.DUMMYFUNCTION("""COMPUTED_VALUE"""),"OPENAI *CHATGPT SUBSCR SAN FRANCISCO USA")</f>
        <v>OPENAI *CHATGPT SUBSCR SAN FRANCISCO USA</v>
      </c>
      <c r="H13" s="90" t="str">
        <f ca="1">IFERROR(__xludf.DUMMYFUNCTION("""COMPUTED_VALUE"""),"Openai")</f>
        <v>Openai</v>
      </c>
      <c r="I13" s="90" t="str">
        <f ca="1">IFERROR(__xludf.DUMMYFUNCTION("""COMPUTED_VALUE"""),"Tech&amp;Product")</f>
        <v>Tech&amp;Product</v>
      </c>
      <c r="J13" s="90" t="str">
        <f ca="1">IFERROR(__xludf.DUMMYFUNCTION("""COMPUTED_VALUE"""),"Subcripción ChatGPT")</f>
        <v>Subcripción ChatGPT</v>
      </c>
      <c r="K13" s="17"/>
      <c r="L13" s="17"/>
      <c r="M13" s="17"/>
      <c r="N13" s="17"/>
      <c r="O13" s="17"/>
    </row>
    <row r="14" spans="1:15" ht="15.75" customHeight="1">
      <c r="A14" s="111" t="str">
        <f ca="1">IFERROR(__xludf.DUMMYFUNCTION("""COMPUTED_VALUE"""),"TRX1230")</f>
        <v>TRX1230</v>
      </c>
      <c r="B14" s="112" t="str">
        <f ca="1">IFERROR(__xludf.DUMMYFUNCTION("""COMPUTED_VALUE"""),"#28")</f>
        <v>#28</v>
      </c>
      <c r="C14" s="114">
        <f ca="1">IFERROR(__xludf.DUMMYFUNCTION("""COMPUTED_VALUE"""),46060.4173611111)</f>
        <v>46060.417361111096</v>
      </c>
      <c r="D14" s="113">
        <f ca="1">IFERROR(__xludf.DUMMYFUNCTION("""COMPUTED_VALUE"""),495)</f>
        <v>495</v>
      </c>
      <c r="E14" s="90" t="str">
        <f ca="1">IFERROR(__xludf.DUMMYFUNCTION("""COMPUTED_VALUE"""),"MXN")</f>
        <v>MXN</v>
      </c>
      <c r="F14" s="90" t="str">
        <f ca="1">IFERROR(__xludf.DUMMYFUNCTION("""COMPUTED_VALUE"""),"Fernando Villalobos Lara")</f>
        <v>Fernando Villalobos Lara</v>
      </c>
      <c r="G14" s="90" t="str">
        <f ca="1">IFERROR(__xludf.DUMMYFUNCTION("""COMPUTED_VALUE"""),"PASTELERIA LOS TULIPAN CIUDAD DE MEX MEX")</f>
        <v>PASTELERIA LOS TULIPAN CIUDAD DE MEX MEX</v>
      </c>
      <c r="H14" s="90" t="str">
        <f ca="1">IFERROR(__xludf.DUMMYFUNCTION("""COMPUTED_VALUE"""),"Pasteleria Los Tulipan Ciudad De Mex Mex")</f>
        <v>Pasteleria Los Tulipan Ciudad De Mex Mex</v>
      </c>
      <c r="I14" s="90" t="str">
        <f ca="1">IFERROR(__xludf.DUMMYFUNCTION("""COMPUTED_VALUE"""),"Office expenses")</f>
        <v>Office expenses</v>
      </c>
      <c r="J14" s="90" t="str">
        <f ca="1">IFERROR(__xludf.DUMMYFUNCTION("""COMPUTED_VALUE"""),"Pastel 4 años Prima")</f>
        <v>Pastel 4 años Prima</v>
      </c>
      <c r="K14" s="17"/>
      <c r="L14" s="17"/>
      <c r="M14" s="17"/>
      <c r="N14" s="17"/>
      <c r="O14" s="17"/>
    </row>
    <row r="15" spans="1:15" ht="15.75" customHeight="1">
      <c r="A15" s="111" t="str">
        <f ca="1">IFERROR(__xludf.DUMMYFUNCTION("""COMPUTED_VALUE"""),"TRX1065")</f>
        <v>TRX1065</v>
      </c>
      <c r="B15" s="112" t="str">
        <f ca="1">IFERROR(__xludf.DUMMYFUNCTION("""COMPUTED_VALUE"""),"#28")</f>
        <v>#28</v>
      </c>
      <c r="C15" s="114">
        <f ca="1">IFERROR(__xludf.DUMMYFUNCTION("""COMPUTED_VALUE"""),46075.4166666666)</f>
        <v>46075.416666666599</v>
      </c>
      <c r="D15" s="113">
        <f ca="1">IFERROR(__xludf.DUMMYFUNCTION("""COMPUTED_VALUE"""),600)</f>
        <v>600</v>
      </c>
      <c r="E15" s="90" t="str">
        <f ca="1">IFERROR(__xludf.DUMMYFUNCTION("""COMPUTED_VALUE"""),"MXN")</f>
        <v>MXN</v>
      </c>
      <c r="F15" s="90" t="str">
        <f ca="1">IFERROR(__xludf.DUMMYFUNCTION("""COMPUTED_VALUE"""),"Fernando Villalobos Lara")</f>
        <v>Fernando Villalobos Lara</v>
      </c>
      <c r="G15" s="90" t="str">
        <f ca="1">IFERROR(__xludf.DUMMYFUNCTION("""COMPUTED_VALUE"""),"RECARGA PASE TUTAG     CIUDAD DE MEX MEX")</f>
        <v>RECARGA PASE TUTAG     CIUDAD DE MEX MEX</v>
      </c>
      <c r="H15" s="90" t="str">
        <f ca="1">IFERROR(__xludf.DUMMYFUNCTION("""COMPUTED_VALUE"""),"Recarga Pase Tutag Ciudad De Mex Mex")</f>
        <v>Recarga Pase Tutag Ciudad De Mex Mex</v>
      </c>
      <c r="I15" s="90" t="str">
        <f ca="1">IFERROR(__xludf.DUMMYFUNCTION("""COMPUTED_VALUE"""),"Transaction cost")</f>
        <v>Transaction cost</v>
      </c>
      <c r="J15" s="90" t="str">
        <f ca="1">IFERROR(__xludf.DUMMYFUNCTION("""COMPUTED_VALUE"""),"PO 1777 - Visita Proveedor")</f>
        <v>PO 1777 - Visita Proveedor</v>
      </c>
      <c r="K15" s="17" t="str">
        <f ca="1">IFERROR(__xludf.DUMMYFUNCTION("""COMPUTED_VALUE"""),"B57D0045-67CE-48A3-AA50-FE746732BB12")</f>
        <v>B57D0045-67CE-48A3-AA50-FE746732BB12</v>
      </c>
      <c r="L15" s="17"/>
      <c r="M15" s="17"/>
      <c r="N15" s="17"/>
      <c r="O15" s="17"/>
    </row>
    <row r="16" spans="1:15" ht="15.75" customHeight="1">
      <c r="A16" s="90" t="str">
        <f ca="1">IFERROR(__xludf.DUMMYFUNCTION("""COMPUTED_VALUE"""),"TRX1284")</f>
        <v>TRX1284</v>
      </c>
      <c r="B16" s="112" t="str">
        <f ca="1">IFERROR(__xludf.DUMMYFUNCTION("""COMPUTED_VALUE"""),"#28")</f>
        <v>#28</v>
      </c>
      <c r="C16" s="114">
        <f ca="1">IFERROR(__xludf.DUMMYFUNCTION("""COMPUTED_VALUE"""),46081.4173611111)</f>
        <v>46081.417361111096</v>
      </c>
      <c r="D16" s="90">
        <f ca="1">IFERROR(__xludf.DUMMYFUNCTION("""COMPUTED_VALUE"""),359.78)</f>
        <v>359.78</v>
      </c>
      <c r="E16" s="90" t="str">
        <f ca="1">IFERROR(__xludf.DUMMYFUNCTION("""COMPUTED_VALUE"""),"USD")</f>
        <v>USD</v>
      </c>
      <c r="F16" s="90" t="str">
        <f ca="1">IFERROR(__xludf.DUMMYFUNCTION("""COMPUTED_VALUE"""),"Fernando Villalobos Lara")</f>
        <v>Fernando Villalobos Lara</v>
      </c>
      <c r="G16" s="90" t="str">
        <f ca="1">IFERROR(__xludf.DUMMYFUNCTION("""COMPUTED_VALUE"""),"CLAUDE.AI SUBSCRIPTION SAN FRANCISCO USA")</f>
        <v>CLAUDE.AI SUBSCRIPTION SAN FRANCISCO USA</v>
      </c>
      <c r="H16" s="115" t="str">
        <f ca="1">IFERROR(__xludf.DUMMYFUNCTION("""COMPUTED_VALUE"""),"Claude.ai")</f>
        <v>Claude.ai</v>
      </c>
      <c r="I16" s="90" t="str">
        <f ca="1">IFERROR(__xludf.DUMMYFUNCTION("""COMPUTED_VALUE"""),"Tech&amp;Product")</f>
        <v>Tech&amp;Product</v>
      </c>
      <c r="J16" s="90" t="str">
        <f ca="1">IFERROR(__xludf.DUMMYFUNCTION("""COMPUTED_VALUE"""),"Pruba CLAUDE")</f>
        <v>Pruba CLAUDE</v>
      </c>
      <c r="K16" s="17"/>
      <c r="L16" s="17"/>
      <c r="M16" s="17"/>
      <c r="N16" s="17"/>
      <c r="O16" s="17"/>
    </row>
    <row r="17" spans="1:15" ht="15.75" customHeight="1">
      <c r="A17" s="90"/>
      <c r="B17" s="111"/>
      <c r="C17" s="111"/>
      <c r="D17" s="90"/>
      <c r="E17" s="90"/>
      <c r="F17" s="90"/>
      <c r="G17" s="90"/>
      <c r="H17" s="90"/>
      <c r="I17" s="90"/>
      <c r="J17" s="90"/>
      <c r="K17" s="17"/>
      <c r="L17" s="17"/>
      <c r="M17" s="17"/>
      <c r="N17" s="17"/>
      <c r="O17" s="17"/>
    </row>
    <row r="18" spans="1:15" ht="15.75" customHeight="1">
      <c r="A18" s="90"/>
      <c r="B18" s="111"/>
      <c r="C18" s="111"/>
      <c r="D18" s="90"/>
      <c r="E18" s="90"/>
      <c r="F18" s="90"/>
      <c r="G18" s="90"/>
      <c r="H18" s="90"/>
      <c r="I18" s="90"/>
      <c r="J18" s="90"/>
      <c r="K18" s="17"/>
      <c r="L18" s="17"/>
      <c r="M18" s="17"/>
      <c r="N18" s="17"/>
      <c r="O18" s="17"/>
    </row>
    <row r="19" spans="1:15" ht="15.75" customHeight="1">
      <c r="A19" s="90"/>
      <c r="B19" s="111"/>
      <c r="C19" s="111"/>
      <c r="D19" s="90"/>
      <c r="E19" s="90"/>
      <c r="F19" s="90"/>
      <c r="G19" s="90"/>
      <c r="H19" s="90"/>
      <c r="I19" s="90"/>
      <c r="J19" s="90"/>
      <c r="K19" s="17"/>
      <c r="L19" s="17"/>
      <c r="M19" s="17"/>
      <c r="N19" s="17"/>
      <c r="O19" s="17"/>
    </row>
    <row r="20" spans="1:15" ht="12.5">
      <c r="A20" s="90"/>
      <c r="B20" s="111"/>
      <c r="C20" s="111"/>
      <c r="D20" s="90"/>
      <c r="E20" s="90"/>
      <c r="F20" s="90"/>
      <c r="G20" s="90"/>
      <c r="H20" s="90"/>
      <c r="I20" s="90"/>
      <c r="J20" s="90"/>
      <c r="K20" s="17"/>
      <c r="L20" s="17"/>
      <c r="M20" s="17"/>
      <c r="N20" s="17"/>
      <c r="O20" s="17"/>
    </row>
    <row r="21" spans="1:15" ht="12.5">
      <c r="A21" s="90"/>
      <c r="B21" s="111"/>
      <c r="C21" s="111"/>
      <c r="D21" s="90"/>
      <c r="E21" s="90"/>
      <c r="F21" s="90"/>
      <c r="G21" s="90"/>
      <c r="H21" s="90"/>
      <c r="I21" s="90"/>
      <c r="J21" s="90"/>
      <c r="K21" s="17"/>
      <c r="L21" s="17"/>
      <c r="M21" s="17"/>
      <c r="N21" s="17"/>
      <c r="O21" s="17"/>
    </row>
    <row r="22" spans="1:15" ht="12.5">
      <c r="A22" s="90"/>
      <c r="B22" s="111"/>
      <c r="C22" s="111"/>
      <c r="D22" s="90"/>
      <c r="E22" s="90"/>
      <c r="F22" s="90"/>
      <c r="G22" s="90"/>
      <c r="H22" s="90"/>
      <c r="I22" s="90"/>
      <c r="J22" s="90"/>
      <c r="K22" s="17"/>
      <c r="L22" s="17"/>
      <c r="M22" s="17"/>
      <c r="N22" s="17"/>
      <c r="O22" s="17"/>
    </row>
    <row r="23" spans="1:15" ht="12.5">
      <c r="A23" s="90"/>
      <c r="B23" s="111"/>
      <c r="C23" s="111"/>
      <c r="D23" s="90"/>
      <c r="E23" s="90"/>
      <c r="F23" s="90"/>
      <c r="G23" s="90"/>
      <c r="H23" s="90"/>
      <c r="I23" s="90"/>
      <c r="J23" s="90"/>
      <c r="K23" s="17"/>
      <c r="L23" s="17"/>
      <c r="M23" s="17"/>
      <c r="N23" s="17"/>
      <c r="O23" s="17"/>
    </row>
    <row r="24" spans="1:15" ht="12.5">
      <c r="A24" s="90"/>
      <c r="B24" s="111"/>
      <c r="C24" s="111"/>
      <c r="D24" s="90"/>
      <c r="E24" s="90"/>
      <c r="F24" s="90"/>
      <c r="G24" s="90"/>
      <c r="H24" s="90"/>
      <c r="I24" s="90"/>
      <c r="J24" s="90"/>
      <c r="K24" s="17"/>
      <c r="L24" s="17"/>
      <c r="M24" s="17"/>
      <c r="N24" s="17"/>
      <c r="O24" s="17"/>
    </row>
    <row r="25" spans="1:15" ht="12.5">
      <c r="A25" s="90"/>
      <c r="B25" s="111"/>
      <c r="C25" s="111"/>
      <c r="D25" s="90"/>
      <c r="E25" s="90"/>
      <c r="F25" s="90"/>
      <c r="G25" s="90"/>
      <c r="H25" s="90"/>
      <c r="I25" s="90"/>
      <c r="J25" s="90"/>
      <c r="K25" s="17"/>
      <c r="L25" s="17"/>
      <c r="M25" s="17"/>
      <c r="N25" s="17"/>
      <c r="O25" s="17"/>
    </row>
    <row r="26" spans="1:15" ht="12.5">
      <c r="A26" s="90"/>
      <c r="B26" s="111"/>
      <c r="C26" s="111"/>
      <c r="D26" s="90"/>
      <c r="E26" s="90"/>
      <c r="F26" s="90"/>
      <c r="G26" s="90"/>
      <c r="H26" s="90"/>
      <c r="I26" s="90"/>
      <c r="J26" s="90"/>
      <c r="K26" s="17"/>
      <c r="L26" s="17"/>
      <c r="M26" s="17"/>
      <c r="N26" s="17"/>
      <c r="O26" s="17"/>
    </row>
    <row r="27" spans="1:15" ht="12.5">
      <c r="A27" s="90"/>
      <c r="B27" s="111"/>
      <c r="C27" s="111"/>
      <c r="D27" s="90"/>
      <c r="E27" s="90"/>
      <c r="F27" s="90"/>
      <c r="G27" s="90"/>
      <c r="H27" s="90"/>
      <c r="I27" s="90"/>
      <c r="J27" s="90"/>
      <c r="K27" s="17"/>
      <c r="L27" s="17"/>
      <c r="M27" s="17"/>
      <c r="N27" s="17"/>
      <c r="O27" s="17"/>
    </row>
    <row r="28" spans="1:15" ht="12.5">
      <c r="A28" s="90"/>
      <c r="B28" s="111"/>
      <c r="C28" s="111"/>
      <c r="D28" s="90"/>
      <c r="E28" s="90"/>
      <c r="F28" s="90"/>
      <c r="G28" s="90"/>
      <c r="H28" s="90"/>
      <c r="I28" s="90"/>
      <c r="J28" s="90"/>
      <c r="K28" s="17"/>
      <c r="L28" s="17"/>
      <c r="M28" s="17"/>
      <c r="N28" s="17"/>
      <c r="O28" s="17"/>
    </row>
    <row r="29" spans="1:15" ht="12.5">
      <c r="A29" s="90"/>
      <c r="B29" s="111"/>
      <c r="C29" s="111"/>
      <c r="D29" s="90"/>
      <c r="E29" s="90"/>
      <c r="F29" s="90"/>
      <c r="G29" s="90"/>
      <c r="H29" s="90"/>
      <c r="I29" s="90"/>
      <c r="J29" s="90"/>
      <c r="K29" s="17"/>
      <c r="L29" s="17"/>
      <c r="M29" s="17"/>
      <c r="N29" s="17"/>
      <c r="O29" s="17"/>
    </row>
    <row r="30" spans="1:15" ht="12.5">
      <c r="A30" s="90"/>
      <c r="B30" s="111"/>
      <c r="C30" s="111"/>
      <c r="D30" s="90"/>
      <c r="E30" s="90"/>
      <c r="F30" s="90"/>
      <c r="G30" s="90"/>
      <c r="H30" s="90"/>
      <c r="I30" s="90"/>
      <c r="J30" s="90"/>
      <c r="K30" s="17"/>
      <c r="L30" s="17"/>
      <c r="M30" s="17"/>
      <c r="N30" s="17"/>
      <c r="O30" s="17"/>
    </row>
    <row r="31" spans="1:15" ht="12.5">
      <c r="A31" s="90"/>
      <c r="B31" s="111"/>
      <c r="C31" s="111"/>
      <c r="D31" s="90"/>
      <c r="E31" s="90"/>
      <c r="F31" s="90"/>
      <c r="G31" s="90"/>
      <c r="H31" s="90"/>
      <c r="I31" s="90"/>
      <c r="J31" s="90"/>
      <c r="K31" s="17"/>
      <c r="L31" s="17"/>
      <c r="M31" s="17"/>
      <c r="N31" s="17"/>
      <c r="O31" s="17"/>
    </row>
    <row r="32" spans="1:15" ht="12.5">
      <c r="A32" s="90"/>
      <c r="B32" s="111"/>
      <c r="C32" s="111"/>
      <c r="D32" s="90"/>
      <c r="E32" s="90"/>
      <c r="F32" s="90"/>
      <c r="G32" s="90"/>
      <c r="H32" s="90"/>
      <c r="I32" s="90"/>
      <c r="J32" s="90"/>
      <c r="K32" s="17"/>
      <c r="L32" s="17"/>
      <c r="M32" s="17"/>
      <c r="N32" s="17"/>
      <c r="O32" s="17"/>
    </row>
    <row r="33" spans="1:15" ht="12.5">
      <c r="A33" s="90"/>
      <c r="B33" s="111"/>
      <c r="C33" s="111"/>
      <c r="D33" s="116"/>
      <c r="E33" s="90"/>
      <c r="F33" s="90"/>
      <c r="G33" s="90"/>
      <c r="H33" s="90"/>
      <c r="I33" s="90"/>
      <c r="J33" s="90"/>
      <c r="K33" s="17"/>
      <c r="L33" s="17"/>
      <c r="M33" s="17"/>
      <c r="N33" s="17"/>
      <c r="O33" s="17"/>
    </row>
    <row r="34" spans="1:15" ht="12.5">
      <c r="A34" s="90"/>
      <c r="B34" s="111"/>
      <c r="C34" s="111"/>
      <c r="D34" s="116"/>
      <c r="E34" s="90"/>
      <c r="F34" s="90"/>
      <c r="G34" s="90"/>
      <c r="H34" s="90"/>
      <c r="I34" s="90"/>
      <c r="J34" s="90"/>
      <c r="K34" s="17"/>
      <c r="L34" s="17"/>
      <c r="M34" s="17"/>
      <c r="N34" s="17"/>
      <c r="O34" s="17"/>
    </row>
    <row r="35" spans="1:15" ht="12.5">
      <c r="A35" s="90"/>
      <c r="B35" s="111"/>
      <c r="C35" s="111"/>
      <c r="D35" s="116"/>
      <c r="E35" s="90"/>
      <c r="F35" s="90"/>
      <c r="G35" s="90"/>
      <c r="H35" s="90"/>
      <c r="I35" s="90"/>
      <c r="J35" s="90"/>
      <c r="K35" s="17"/>
      <c r="L35" s="17"/>
      <c r="M35" s="17"/>
      <c r="N35" s="17"/>
      <c r="O35" s="17"/>
    </row>
    <row r="36" spans="1:15" ht="12.5">
      <c r="A36" s="90"/>
      <c r="B36" s="111"/>
      <c r="C36" s="111"/>
      <c r="D36" s="116"/>
      <c r="E36" s="90"/>
      <c r="F36" s="90"/>
      <c r="G36" s="90"/>
      <c r="H36" s="90"/>
      <c r="I36" s="90"/>
      <c r="J36" s="90"/>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t="str">
        <f ca="1">IFERROR(__xludf.DUMMYFUNCTION("""COMPUTED_VALUE"""),"Tech&amp;Product")</f>
        <v>Tech&amp;Product</v>
      </c>
      <c r="J78" s="17" t="str">
        <f ca="1">IFERROR(__xludf.DUMMYFUNCTION("""COMPUTED_VALUE"""),"Licencia Microsoft")</f>
        <v>Licencia Microsoft</v>
      </c>
      <c r="K78" s="17" t="str">
        <f ca="1">IFERROR(__xludf.DUMMYFUNCTION("""COMPUTED_VALUE"""),".")</f>
        <v>.</v>
      </c>
      <c r="L78" s="17"/>
      <c r="M78" s="17"/>
      <c r="N78" s="17"/>
      <c r="O78" s="17"/>
    </row>
    <row r="79" spans="1:15" ht="12.5">
      <c r="A79" s="17"/>
      <c r="B79" s="24"/>
      <c r="C79" s="24"/>
      <c r="D79" s="17"/>
      <c r="E79" s="17"/>
      <c r="F79" s="17"/>
      <c r="G79" s="17"/>
      <c r="H79" s="17"/>
      <c r="I79" s="17" t="str">
        <f ca="1">IFERROR(__xludf.DUMMYFUNCTION("""COMPUTED_VALUE"""),"Tech&amp;Product")</f>
        <v>Tech&amp;Product</v>
      </c>
      <c r="J79" s="17" t="str">
        <f ca="1">IFERROR(__xludf.DUMMYFUNCTION("""COMPUTED_VALUE"""),"Licencia Adobe")</f>
        <v>Licencia Adobe</v>
      </c>
      <c r="K79" s="17" t="str">
        <f ca="1">IFERROR(__xludf.DUMMYFUNCTION("""COMPUTED_VALUE"""),".")</f>
        <v>.</v>
      </c>
      <c r="L79" s="17"/>
      <c r="M79" s="17"/>
      <c r="N79" s="17"/>
      <c r="O79" s="17"/>
    </row>
    <row r="80" spans="1:15" ht="12.5">
      <c r="A80" s="17"/>
      <c r="B80" s="24"/>
      <c r="C80" s="24"/>
      <c r="D80" s="17"/>
      <c r="E80" s="17"/>
      <c r="F80" s="17"/>
      <c r="G80" s="17"/>
      <c r="H80" s="17"/>
      <c r="I80" s="17" t="str">
        <f ca="1">IFERROR(__xludf.DUMMYFUNCTION("""COMPUTED_VALUE"""),"Tech&amp;Product")</f>
        <v>Tech&amp;Product</v>
      </c>
      <c r="J80" s="17" t="str">
        <f ca="1">IFERROR(__xludf.DUMMYFUNCTION("""COMPUTED_VALUE"""),"Licencia Openai")</f>
        <v>Licencia Openai</v>
      </c>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16" r:id="rId1" display="http://claude.ai/" xr:uid="{00000000-0004-0000-1E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32.26953125" customWidth="1"/>
    <col min="12" max="12" width="8.90625" customWidth="1"/>
    <col min="13" max="13" width="12.08984375" customWidth="1"/>
  </cols>
  <sheetData>
    <row r="1" spans="1:15" ht="12.5">
      <c r="A1" s="17"/>
      <c r="B1" s="17" t="s">
        <v>1990</v>
      </c>
      <c r="C1" s="24"/>
      <c r="D1" s="17"/>
      <c r="E1" s="17"/>
      <c r="F1" s="17"/>
      <c r="G1" s="17"/>
      <c r="H1" s="17"/>
      <c r="I1" s="17"/>
      <c r="J1" s="17"/>
      <c r="K1" s="17"/>
      <c r="L1" s="17"/>
      <c r="M1" s="17"/>
      <c r="N1" s="17"/>
      <c r="O1" s="17"/>
    </row>
    <row r="2" spans="1:15" ht="12.5">
      <c r="A2" s="143" t="s">
        <v>97</v>
      </c>
      <c r="B2" s="139"/>
      <c r="C2" s="139"/>
      <c r="D2" s="68"/>
      <c r="E2" s="141" t="s">
        <v>63</v>
      </c>
      <c r="F2" s="139"/>
      <c r="G2" s="69" t="s">
        <v>1975</v>
      </c>
      <c r="H2" s="17"/>
      <c r="I2" s="17"/>
      <c r="J2" s="17"/>
      <c r="K2" s="17"/>
      <c r="L2" s="17"/>
      <c r="M2" s="17"/>
      <c r="N2" s="17"/>
      <c r="O2" s="17"/>
    </row>
    <row r="3" spans="1:15" ht="12.5">
      <c r="A3" s="26"/>
      <c r="B3" s="26"/>
      <c r="C3" s="10"/>
      <c r="D3" s="13"/>
      <c r="E3" s="142" t="s">
        <v>74</v>
      </c>
      <c r="F3" s="139"/>
      <c r="G3" s="70" t="s">
        <v>1976</v>
      </c>
      <c r="H3" s="11"/>
      <c r="I3" s="13"/>
      <c r="J3" s="13"/>
      <c r="K3" s="13"/>
      <c r="L3" s="13"/>
      <c r="M3" s="13"/>
      <c r="N3" s="17"/>
      <c r="O3" s="17"/>
    </row>
    <row r="4" spans="1:15" ht="12.5">
      <c r="A4" s="26"/>
      <c r="B4" s="26"/>
      <c r="C4" s="10"/>
      <c r="D4" s="13"/>
      <c r="E4" s="138" t="s">
        <v>83</v>
      </c>
      <c r="F4" s="139"/>
      <c r="G4" s="70" t="s">
        <v>1977</v>
      </c>
      <c r="H4" s="11"/>
      <c r="I4" s="13"/>
      <c r="J4" s="13"/>
      <c r="K4" s="13"/>
      <c r="L4" s="13"/>
      <c r="M4" s="13"/>
      <c r="N4" s="17"/>
      <c r="O4" s="17"/>
    </row>
    <row r="5" spans="1:15" ht="12.5">
      <c r="A5" s="26"/>
      <c r="B5" s="26"/>
      <c r="C5" s="10"/>
      <c r="D5" s="13"/>
      <c r="E5" s="142" t="s">
        <v>94</v>
      </c>
      <c r="F5" s="139"/>
      <c r="G5" s="70" t="s">
        <v>1978</v>
      </c>
      <c r="H5" s="11"/>
      <c r="I5" s="13"/>
      <c r="J5" s="13"/>
      <c r="K5" s="13"/>
      <c r="L5" s="13"/>
      <c r="M5" s="13"/>
      <c r="N5" s="17"/>
      <c r="O5" s="17"/>
    </row>
    <row r="6" spans="1:15" ht="12.5">
      <c r="A6" s="26"/>
      <c r="B6" s="26"/>
      <c r="C6" s="10"/>
      <c r="D6" s="13"/>
      <c r="E6" s="141" t="s">
        <v>103</v>
      </c>
      <c r="F6" s="139"/>
      <c r="G6" s="70" t="s">
        <v>1980</v>
      </c>
      <c r="H6" s="11"/>
      <c r="I6" s="13"/>
      <c r="J6" s="13"/>
      <c r="K6" s="13"/>
      <c r="L6" s="13"/>
      <c r="M6" s="13"/>
      <c r="N6" s="17"/>
      <c r="O6" s="17"/>
    </row>
    <row r="7" spans="1:15" ht="12.5">
      <c r="A7" s="26"/>
      <c r="B7" s="26"/>
      <c r="C7" s="10"/>
      <c r="D7" s="13"/>
      <c r="E7" s="142" t="s">
        <v>113</v>
      </c>
      <c r="F7" s="139"/>
      <c r="G7" s="70" t="s">
        <v>1981</v>
      </c>
      <c r="H7" s="11"/>
      <c r="I7" s="13"/>
      <c r="J7" s="13"/>
      <c r="K7" s="13"/>
      <c r="L7" s="13"/>
      <c r="M7" s="13"/>
      <c r="N7" s="17"/>
      <c r="O7" s="17"/>
    </row>
    <row r="8" spans="1:15" ht="12.5">
      <c r="A8" s="26"/>
      <c r="B8" s="26"/>
      <c r="C8" s="10"/>
      <c r="D8" s="13"/>
      <c r="E8" s="141" t="s">
        <v>120</v>
      </c>
      <c r="F8" s="139"/>
      <c r="G8" s="70" t="s">
        <v>1982</v>
      </c>
      <c r="H8" s="11"/>
      <c r="I8" s="13"/>
      <c r="J8" s="13"/>
      <c r="K8" s="13"/>
      <c r="L8" s="13"/>
      <c r="M8" s="13"/>
      <c r="N8" s="17"/>
      <c r="O8" s="17"/>
    </row>
    <row r="9" spans="1:15" ht="12.5">
      <c r="A9" s="26"/>
      <c r="B9" s="26"/>
      <c r="C9" s="10"/>
      <c r="D9" s="13"/>
      <c r="E9" s="13"/>
      <c r="F9" s="13"/>
      <c r="G9" s="11"/>
      <c r="H9" s="11"/>
      <c r="I9" s="13"/>
      <c r="J9" s="13"/>
      <c r="K9" s="13"/>
      <c r="L9" s="13"/>
      <c r="M9" s="13"/>
      <c r="N9" s="17"/>
      <c r="O9" s="17"/>
    </row>
    <row r="10" spans="1:15" ht="12.5">
      <c r="A10" s="26"/>
      <c r="B10" s="26"/>
      <c r="C10" s="10"/>
      <c r="D10" s="13"/>
      <c r="E10" s="13"/>
      <c r="F10" s="13"/>
      <c r="G10" s="11"/>
      <c r="H10" s="11"/>
      <c r="I10" s="13"/>
      <c r="J10" s="13"/>
      <c r="K10" s="13"/>
      <c r="L10" s="13"/>
      <c r="M10" s="13"/>
      <c r="N10" s="17"/>
      <c r="O10" s="17"/>
    </row>
    <row r="11" spans="1:15" ht="12.5">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2.5">
      <c r="A12" s="111" t="str">
        <f ca="1">IFERROR(__xludf.DUMMYFUNCTION("FILTER('Edo Cta Jeeves Sept'!$A$12:$C$1700,'Edo Cta Jeeves Sept'!$J$12:$J$1700=$A$2)"),"TRX1270")</f>
        <v>TRX1270</v>
      </c>
      <c r="B12" s="112" t="str">
        <f ca="1">IFERROR(__xludf.DUMMYFUNCTION("""COMPUTED_VALUE"""),"#30")</f>
        <v>#30</v>
      </c>
      <c r="C12" s="112">
        <f ca="1">IFERROR(__xludf.DUMMYFUNCTION("""COMPUTED_VALUE"""),46057.4166666666)</f>
        <v>46057.416666666599</v>
      </c>
      <c r="D12" s="113">
        <f ca="1">IFERROR(__xludf.DUMMYFUNCTION("FILTER('Edo Cta Jeeves Sept'!$G$12:$G$1627,'Edo Cta Jeeves Sept'!$J$12:$J$1627=$A$2)"),907.88)</f>
        <v>907.88</v>
      </c>
      <c r="E12" s="90" t="str">
        <f ca="1">IFERROR(__xludf.DUMMYFUNCTION("FILTER('Edo Cta Jeeves Sept'!$I$12:$I$1700,'Edo Cta Jeeves Sept'!$J$12:$J$1700=$A$2)"),"USD")</f>
        <v>USD</v>
      </c>
      <c r="F12" s="90" t="str">
        <f ca="1">IFERROR(__xludf.DUMMYFUNCTION("FILTER('Edo Cta Jeeves Sept'!$J$12:$J$1700,'Edo Cta Jeeves Sept'!$J$12:$J$1700=$A$2)"),"Manuel Ibarra Cebreros")</f>
        <v>Manuel Ibarra Cebreros</v>
      </c>
      <c r="G12" s="90" t="str">
        <f ca="1">IFERROR(__xludf.DUMMYFUNCTION("FILTER('Edo Cta Jeeves Sept'!$K$12:$L$1700,'Edo Cta Jeeves Sept'!$J$12:$J$1700=$A$2)"),"SONESTA SIMPLY SUITES  LAS VEGAS     USA")</f>
        <v>SONESTA SIMPLY SUITES  LAS VEGAS     USA</v>
      </c>
      <c r="H12" s="90" t="str">
        <f ca="1">IFERROR(__xludf.DUMMYFUNCTION("""COMPUTED_VALUE"""),"Simply Vegas Real Estate")</f>
        <v>Simply Vegas Real Estate</v>
      </c>
      <c r="I12" s="90" t="str">
        <f ca="1">IFERROR(__xludf.DUMMYFUNCTION("IMPORTRANGE(""https://docs.google.com/spreadsheets/d/1k3BmuStjWylkJ3EmwXJ7atRrqteIbi2foJpNA8PAQBU/edit#gid=1404531132"",""I12:K80"")"),"Sales")</f>
        <v>Sales</v>
      </c>
      <c r="J12" s="90" t="str">
        <f ca="1">IFERROR(__xludf.DUMMYFUNCTION("""COMPUTED_VALUE"""),"Expo AHR Las Vegas")</f>
        <v>Expo AHR Las Vegas</v>
      </c>
      <c r="K12" s="90"/>
      <c r="L12" s="90"/>
      <c r="M12" s="90"/>
      <c r="N12" s="90"/>
      <c r="O12" s="90"/>
    </row>
    <row r="13" spans="1:15" ht="15" customHeight="1">
      <c r="A13" s="111" t="str">
        <f ca="1">IFERROR(__xludf.DUMMYFUNCTION("""COMPUTED_VALUE"""),"TRX1723")</f>
        <v>TRX1723</v>
      </c>
      <c r="B13" s="112" t="str">
        <f ca="1">IFERROR(__xludf.DUMMYFUNCTION("""COMPUTED_VALUE"""),"#30")</f>
        <v>#30</v>
      </c>
      <c r="C13" s="114">
        <f ca="1">IFERROR(__xludf.DUMMYFUNCTION("""COMPUTED_VALUE"""),46059.4173611111)</f>
        <v>46059.417361111096</v>
      </c>
      <c r="D13" s="113">
        <f ca="1">IFERROR(__xludf.DUMMYFUNCTION("""COMPUTED_VALUE"""),187.02)</f>
        <v>187.02</v>
      </c>
      <c r="E13" s="90" t="str">
        <f ca="1">IFERROR(__xludf.DUMMYFUNCTION("""COMPUTED_VALUE"""),"USD")</f>
        <v>USD</v>
      </c>
      <c r="F13" s="90" t="str">
        <f ca="1">IFERROR(__xludf.DUMMYFUNCTION("""COMPUTED_VALUE"""),"Manuel Ibarra Cebreros")</f>
        <v>Manuel Ibarra Cebreros</v>
      </c>
      <c r="G13" s="90" t="str">
        <f ca="1">IFERROR(__xludf.DUMMYFUNCTION("""COMPUTED_VALUE"""),"LAS VEGAS CONVENTION C LAS VEGAS     USA")</f>
        <v>LAS VEGAS CONVENTION C LAS VEGAS     USA</v>
      </c>
      <c r="H13" s="90" t="str">
        <f ca="1">IFERROR(__xludf.DUMMYFUNCTION("""COMPUTED_VALUE"""),"Las Vegas Convention C Las Vegas USA")</f>
        <v>Las Vegas Convention C Las Vegas USA</v>
      </c>
      <c r="I13" s="90" t="str">
        <f ca="1">IFERROR(__xludf.DUMMYFUNCTION("""COMPUTED_VALUE"""),"Sales")</f>
        <v>Sales</v>
      </c>
      <c r="J13" s="90" t="str">
        <f ca="1">IFERROR(__xludf.DUMMYFUNCTION("""COMPUTED_VALUE"""),"Expo AHR Las Vegas")</f>
        <v>Expo AHR Las Vegas</v>
      </c>
      <c r="K13" s="90"/>
      <c r="L13" s="90"/>
      <c r="M13" s="90"/>
      <c r="N13" s="90"/>
      <c r="O13" s="90"/>
    </row>
    <row r="14" spans="1:15" ht="12.5">
      <c r="A14" s="111" t="str">
        <f ca="1">IFERROR(__xludf.DUMMYFUNCTION("""COMPUTED_VALUE"""),"TRX1719")</f>
        <v>TRX1719</v>
      </c>
      <c r="B14" s="112" t="str">
        <f ca="1">IFERROR(__xludf.DUMMYFUNCTION("""COMPUTED_VALUE"""),"#30")</f>
        <v>#30</v>
      </c>
      <c r="C14" s="114">
        <f ca="1">IFERROR(__xludf.DUMMYFUNCTION("""COMPUTED_VALUE"""),46060.4173611111)</f>
        <v>46060.417361111096</v>
      </c>
      <c r="D14" s="113">
        <f ca="1">IFERROR(__xludf.DUMMYFUNCTION("""COMPUTED_VALUE"""),1255.06)</f>
        <v>1255.06</v>
      </c>
      <c r="E14" s="90" t="str">
        <f ca="1">IFERROR(__xludf.DUMMYFUNCTION("""COMPUTED_VALUE"""),"USD")</f>
        <v>USD</v>
      </c>
      <c r="F14" s="90" t="str">
        <f ca="1">IFERROR(__xludf.DUMMYFUNCTION("""COMPUTED_VALUE"""),"Manuel Ibarra Cebreros")</f>
        <v>Manuel Ibarra Cebreros</v>
      </c>
      <c r="G14" s="90" t="str">
        <f ca="1">IFERROR(__xludf.DUMMYFUNCTION("""COMPUTED_VALUE"""),"DENNY'S #9686          Las Vegas     USA")</f>
        <v>DENNY'S #9686          Las Vegas     USA</v>
      </c>
      <c r="H14" s="90" t="str">
        <f ca="1">IFERROR(__xludf.DUMMYFUNCTION("""COMPUTED_VALUE"""),"Dennys")</f>
        <v>Dennys</v>
      </c>
      <c r="I14" s="90" t="str">
        <f ca="1">IFERROR(__xludf.DUMMYFUNCTION("""COMPUTED_VALUE"""),"Sales")</f>
        <v>Sales</v>
      </c>
      <c r="J14" s="90" t="str">
        <f ca="1">IFERROR(__xludf.DUMMYFUNCTION("""COMPUTED_VALUE"""),"Expo AHR Las Vegas")</f>
        <v>Expo AHR Las Vegas</v>
      </c>
      <c r="K14" s="90"/>
      <c r="L14" s="90"/>
      <c r="M14" s="90"/>
      <c r="N14" s="90"/>
      <c r="O14" s="90"/>
    </row>
    <row r="15" spans="1:15" ht="12.5">
      <c r="A15" s="111" t="str">
        <f ca="1">IFERROR(__xludf.DUMMYFUNCTION("""COMPUTED_VALUE"""),"TRX1568")</f>
        <v>TRX1568</v>
      </c>
      <c r="B15" s="112" t="str">
        <f ca="1">IFERROR(__xludf.DUMMYFUNCTION("""COMPUTED_VALUE"""),"#30")</f>
        <v>#30</v>
      </c>
      <c r="C15" s="114">
        <f ca="1">IFERROR(__xludf.DUMMYFUNCTION("""COMPUTED_VALUE"""),46060.4173611111)</f>
        <v>46060.417361111096</v>
      </c>
      <c r="D15" s="113">
        <f ca="1">IFERROR(__xludf.DUMMYFUNCTION("""COMPUTED_VALUE"""),866.55)</f>
        <v>866.55</v>
      </c>
      <c r="E15" s="90" t="str">
        <f ca="1">IFERROR(__xludf.DUMMYFUNCTION("""COMPUTED_VALUE"""),"USD")</f>
        <v>USD</v>
      </c>
      <c r="F15" s="90" t="str">
        <f ca="1">IFERROR(__xludf.DUMMYFUNCTION("""COMPUTED_VALUE"""),"Manuel Ibarra Cebreros")</f>
        <v>Manuel Ibarra Cebreros</v>
      </c>
      <c r="G15" s="90" t="str">
        <f ca="1">IFERROR(__xludf.DUMMYFUNCTION("""COMPUTED_VALUE"""),"20260204T00:00:00/SONESTA SIMPLY SUITES\4034 PARADISE RD\LAS VEGAS    \89169     NV USA")</f>
        <v>20260204T00:00:00/SONESTA SIMPLY SUITES\4034 PARADISE RD\LAS VEGAS    \89169     NV USA</v>
      </c>
      <c r="H15" s="90" t="str">
        <f ca="1">IFERROR(__xludf.DUMMYFUNCTION("""COMPUTED_VALUE"""),"Simply Vegas Real Estate")</f>
        <v>Simply Vegas Real Estate</v>
      </c>
      <c r="I15" s="90" t="str">
        <f ca="1">IFERROR(__xludf.DUMMYFUNCTION("""COMPUTED_VALUE"""),"Sales")</f>
        <v>Sales</v>
      </c>
      <c r="J15" s="90" t="str">
        <f ca="1">IFERROR(__xludf.DUMMYFUNCTION("""COMPUTED_VALUE"""),"Expo AHR Las Vegas")</f>
        <v>Expo AHR Las Vegas</v>
      </c>
      <c r="K15" s="90"/>
      <c r="L15" s="90"/>
      <c r="M15" s="90"/>
      <c r="N15" s="90"/>
      <c r="O15" s="90"/>
    </row>
    <row r="16" spans="1:15" ht="12.5">
      <c r="A16" s="90" t="str">
        <f ca="1">IFERROR(__xludf.DUMMYFUNCTION("""COMPUTED_VALUE"""),"TRX1077")</f>
        <v>TRX1077</v>
      </c>
      <c r="B16" s="112" t="str">
        <f ca="1">IFERROR(__xludf.DUMMYFUNCTION("""COMPUTED_VALUE"""),"#30")</f>
        <v>#30</v>
      </c>
      <c r="C16" s="114">
        <f ca="1">IFERROR(__xludf.DUMMYFUNCTION("""COMPUTED_VALUE"""),46065.4166666666)</f>
        <v>46065.416666666599</v>
      </c>
      <c r="D16" s="113">
        <f ca="1">IFERROR(__xludf.DUMMYFUNCTION("""COMPUTED_VALUE"""),300)</f>
        <v>300</v>
      </c>
      <c r="E16" s="90" t="str">
        <f ca="1">IFERROR(__xludf.DUMMYFUNCTION("""COMPUTED_VALUE"""),"MXN")</f>
        <v>MXN</v>
      </c>
      <c r="F16" s="90" t="str">
        <f ca="1">IFERROR(__xludf.DUMMYFUNCTION("""COMPUTED_VALUE"""),"Manuel Ibarra Cebreros")</f>
        <v>Manuel Ibarra Cebreros</v>
      </c>
      <c r="G16" s="90" t="str">
        <f ca="1">IFERROR(__xludf.DUMMYFUNCTION("""COMPUTED_VALUE"""),"RECARGA PASE TUTAG     CIUDAD DE MEX MEX")</f>
        <v>RECARGA PASE TUTAG     CIUDAD DE MEX MEX</v>
      </c>
      <c r="H16" s="90" t="str">
        <f ca="1">IFERROR(__xludf.DUMMYFUNCTION("""COMPUTED_VALUE"""),"Recarga Pase Tutag Ciudad De Mex Mex")</f>
        <v>Recarga Pase Tutag Ciudad De Mex Mex</v>
      </c>
      <c r="I16" s="90" t="str">
        <f ca="1">IFERROR(__xludf.DUMMYFUNCTION("""COMPUTED_VALUE"""),"Transaction cost")</f>
        <v>Transaction cost</v>
      </c>
      <c r="J16" s="90" t="str">
        <f ca="1">IFERROR(__xludf.DUMMYFUNCTION("""COMPUTED_VALUE"""),"PO 2230 - Visita IMESA")</f>
        <v>PO 2230 - Visita IMESA</v>
      </c>
      <c r="K16" s="90"/>
      <c r="L16" s="90"/>
      <c r="M16" s="90"/>
      <c r="N16" s="90"/>
      <c r="O16" s="90"/>
    </row>
    <row r="17" spans="1:15" ht="12.5">
      <c r="A17" s="90" t="str">
        <f ca="1">IFERROR(__xludf.DUMMYFUNCTION("""COMPUTED_VALUE"""),"TRX1659")</f>
        <v>TRX1659</v>
      </c>
      <c r="B17" s="112" t="str">
        <f ca="1">IFERROR(__xludf.DUMMYFUNCTION("""COMPUTED_VALUE"""),"#30")</f>
        <v>#30</v>
      </c>
      <c r="C17" s="114">
        <f ca="1">IFERROR(__xludf.DUMMYFUNCTION("""COMPUTED_VALUE"""),46065.4173611111)</f>
        <v>46065.417361111096</v>
      </c>
      <c r="D17" s="113">
        <f ca="1">IFERROR(__xludf.DUMMYFUNCTION("""COMPUTED_VALUE"""),500)</f>
        <v>500</v>
      </c>
      <c r="E17" s="113" t="str">
        <f ca="1">IFERROR(__xludf.DUMMYFUNCTION("""COMPUTED_VALUE"""),"MXN")</f>
        <v>MXN</v>
      </c>
      <c r="F17" s="90" t="str">
        <f ca="1">IFERROR(__xludf.DUMMYFUNCTION("""COMPUTED_VALUE"""),"Manuel Ibarra Cebreros")</f>
        <v>Manuel Ibarra Cebreros</v>
      </c>
      <c r="G17" s="90" t="str">
        <f ca="1">IFERROR(__xludf.DUMMYFUNCTION("""COMPUTED_VALUE"""),"PMX*GAS PALACIO ATIZPN ATIZAPAN DE Z MEX")</f>
        <v>PMX*GAS PALACIO ATIZPN ATIZAPAN DE Z MEX</v>
      </c>
      <c r="H17" s="90" t="str">
        <f ca="1">IFERROR(__xludf.DUMMYFUNCTION("""COMPUTED_VALUE"""),"Pmx Gas Palacio Atizpn Atizapan De Z Mex")</f>
        <v>Pmx Gas Palacio Atizpn Atizapan De Z Mex</v>
      </c>
      <c r="I17" s="90" t="str">
        <f ca="1">IFERROR(__xludf.DUMMYFUNCTION("""COMPUTED_VALUE"""),"Transaction cost")</f>
        <v>Transaction cost</v>
      </c>
      <c r="J17" s="90" t="str">
        <f ca="1">IFERROR(__xludf.DUMMYFUNCTION("""COMPUTED_VALUE"""),"PO 2230 - Visita IMESA")</f>
        <v>PO 2230 - Visita IMESA</v>
      </c>
      <c r="K17" s="90"/>
      <c r="L17" s="90"/>
      <c r="M17" s="90"/>
      <c r="N17" s="90"/>
      <c r="O17" s="90"/>
    </row>
    <row r="18" spans="1:15" ht="12.5">
      <c r="A18" s="90" t="str">
        <f ca="1">IFERROR(__xludf.DUMMYFUNCTION("""COMPUTED_VALUE"""),"TRX1713")</f>
        <v>TRX1713</v>
      </c>
      <c r="B18" s="112" t="str">
        <f ca="1">IFERROR(__xludf.DUMMYFUNCTION("""COMPUTED_VALUE"""),"#30")</f>
        <v>#30</v>
      </c>
      <c r="C18" s="114">
        <f ca="1">IFERROR(__xludf.DUMMYFUNCTION("""COMPUTED_VALUE"""),46066.4166666666)</f>
        <v>46066.416666666599</v>
      </c>
      <c r="D18" s="113">
        <f ca="1">IFERROR(__xludf.DUMMYFUNCTION("""COMPUTED_VALUE"""),165.6)</f>
        <v>165.6</v>
      </c>
      <c r="E18" s="90" t="str">
        <f ca="1">IFERROR(__xludf.DUMMYFUNCTION("""COMPUTED_VALUE"""),"MXN")</f>
        <v>MXN</v>
      </c>
      <c r="F18" s="90" t="str">
        <f ca="1">IFERROR(__xludf.DUMMYFUNCTION("""COMPUTED_VALUE"""),"Manuel Ibarra Cebreros")</f>
        <v>Manuel Ibarra Cebreros</v>
      </c>
      <c r="G18" s="90" t="str">
        <f ca="1">IFERROR(__xludf.DUMMYFUNCTION("""COMPUTED_VALUE"""),"OFFICE DEPOT PATRIOTIS CIUDAD DE MEX MEX")</f>
        <v>OFFICE DEPOT PATRIOTIS CIUDAD DE MEX MEX</v>
      </c>
      <c r="H18" s="90" t="str">
        <f ca="1">IFERROR(__xludf.DUMMYFUNCTION("""COMPUTED_VALUE"""),"Office Depot")</f>
        <v>Office Depot</v>
      </c>
      <c r="I18" s="90" t="str">
        <f ca="1">IFERROR(__xludf.DUMMYFUNCTION("""COMPUTED_VALUE"""),"Sales")</f>
        <v>Sales</v>
      </c>
      <c r="J18" s="90" t="str">
        <f ca="1">IFERROR(__xludf.DUMMYFUNCTION("""COMPUTED_VALUE"""),"Visita posible cliente Wilo QRO")</f>
        <v>Visita posible cliente Wilo QRO</v>
      </c>
      <c r="K18" s="90"/>
      <c r="L18" s="90">
        <f t="shared" ref="L18:L19" ca="1" si="0">D18/1.16</f>
        <v>142.75862068965517</v>
      </c>
      <c r="M18" s="90">
        <f t="shared" ref="M18:M19" ca="1" si="1">L18*0.16</f>
        <v>22.841379310344827</v>
      </c>
      <c r="N18" s="90">
        <f ca="1">L18/2</f>
        <v>71.379310344827587</v>
      </c>
      <c r="O18" s="90"/>
    </row>
    <row r="19" spans="1:15" ht="12.5">
      <c r="A19" s="90" t="str">
        <f ca="1">IFERROR(__xludf.DUMMYFUNCTION("""COMPUTED_VALUE"""),"TRX1182")</f>
        <v>TRX1182</v>
      </c>
      <c r="B19" s="112" t="str">
        <f ca="1">IFERROR(__xludf.DUMMYFUNCTION("""COMPUTED_VALUE"""),"#30")</f>
        <v>#30</v>
      </c>
      <c r="C19" s="114">
        <f ca="1">IFERROR(__xludf.DUMMYFUNCTION("""COMPUTED_VALUE"""),46079.4166666666)</f>
        <v>46079.416666666599</v>
      </c>
      <c r="D19" s="113">
        <f ca="1">IFERROR(__xludf.DUMMYFUNCTION("""COMPUTED_VALUE"""),300)</f>
        <v>300</v>
      </c>
      <c r="E19" s="90" t="str">
        <f ca="1">IFERROR(__xludf.DUMMYFUNCTION("""COMPUTED_VALUE"""),"MXN")</f>
        <v>MXN</v>
      </c>
      <c r="F19" s="90" t="str">
        <f ca="1">IFERROR(__xludf.DUMMYFUNCTION("""COMPUTED_VALUE"""),"Manuel Ibarra Cebreros")</f>
        <v>Manuel Ibarra Cebreros</v>
      </c>
      <c r="G19" s="90" t="str">
        <f ca="1">IFERROR(__xludf.DUMMYFUNCTION("""COMPUTED_VALUE"""),"RECARGA PASE TUTAG     CIUDAD DE MEX MEX")</f>
        <v>RECARGA PASE TUTAG     CIUDAD DE MEX MEX</v>
      </c>
      <c r="H19" s="90" t="str">
        <f ca="1">IFERROR(__xludf.DUMMYFUNCTION("""COMPUTED_VALUE"""),"Recarga Pase Tutag Ciudad De Mex Mex")</f>
        <v>Recarga Pase Tutag Ciudad De Mex Mex</v>
      </c>
      <c r="I19" s="90" t="str">
        <f ca="1">IFERROR(__xludf.DUMMYFUNCTION("""COMPUTED_VALUE"""),"Transaction cost")</f>
        <v>Transaction cost</v>
      </c>
      <c r="J19" s="90" t="str">
        <f ca="1">IFERROR(__xludf.DUMMYFUNCTION("""COMPUTED_VALUE"""),"PO 2041 - Visita IMESA")</f>
        <v>PO 2041 - Visita IMESA</v>
      </c>
      <c r="K19" s="90"/>
      <c r="L19" s="90">
        <f t="shared" ca="1" si="0"/>
        <v>258.62068965517244</v>
      </c>
      <c r="M19" s="90">
        <f t="shared" ca="1" si="1"/>
        <v>41.379310344827594</v>
      </c>
      <c r="N19" s="90"/>
      <c r="O19" s="90"/>
    </row>
    <row r="20" spans="1:15" ht="12.5">
      <c r="A20" s="90"/>
      <c r="B20" s="111"/>
      <c r="C20" s="111"/>
      <c r="D20" s="90"/>
      <c r="E20" s="90"/>
      <c r="F20" s="90"/>
      <c r="G20" s="90"/>
      <c r="H20" s="90"/>
      <c r="I20" s="90"/>
      <c r="J20" s="90"/>
      <c r="K20" s="90"/>
      <c r="L20" s="90"/>
      <c r="M20" s="90"/>
      <c r="N20" s="90"/>
      <c r="O20" s="90"/>
    </row>
    <row r="21" spans="1:15" ht="12.5">
      <c r="A21" s="90"/>
      <c r="B21" s="111"/>
      <c r="C21" s="111"/>
      <c r="D21" s="90"/>
      <c r="E21" s="90"/>
      <c r="F21" s="90"/>
      <c r="G21" s="90"/>
      <c r="H21" s="90"/>
      <c r="I21" s="90"/>
      <c r="J21" s="90"/>
      <c r="K21" s="90"/>
      <c r="L21" s="90"/>
      <c r="M21" s="90"/>
      <c r="N21" s="90"/>
      <c r="O21" s="90"/>
    </row>
    <row r="22" spans="1:15" ht="12.5">
      <c r="A22" s="90"/>
      <c r="B22" s="111"/>
      <c r="C22" s="111"/>
      <c r="D22" s="90"/>
      <c r="E22" s="90"/>
      <c r="F22" s="90"/>
      <c r="G22" s="90"/>
      <c r="H22" s="90"/>
      <c r="I22" s="90"/>
      <c r="J22" s="90"/>
      <c r="K22" s="90"/>
      <c r="L22" s="90"/>
      <c r="M22" s="90"/>
      <c r="N22" s="90"/>
      <c r="O22" s="90"/>
    </row>
    <row r="23" spans="1:15" ht="12.5">
      <c r="A23" s="90"/>
      <c r="B23" s="111"/>
      <c r="C23" s="111"/>
      <c r="D23" s="90"/>
      <c r="E23" s="90"/>
      <c r="F23" s="90"/>
      <c r="G23" s="90"/>
      <c r="H23" s="90"/>
      <c r="I23" s="90"/>
      <c r="J23" s="90"/>
      <c r="K23" s="90"/>
      <c r="L23" s="90"/>
      <c r="M23" s="90">
        <f ca="1">SUM(D12:D17)/2</f>
        <v>2008.2550000000001</v>
      </c>
      <c r="N23" s="90"/>
      <c r="O23" s="90"/>
    </row>
    <row r="24" spans="1:15" ht="12.5">
      <c r="A24" s="90"/>
      <c r="B24" s="111"/>
      <c r="C24" s="111"/>
      <c r="D24" s="90"/>
      <c r="E24" s="90"/>
      <c r="F24" s="90"/>
      <c r="G24" s="90"/>
      <c r="H24" s="90"/>
      <c r="I24" s="90"/>
      <c r="J24" s="90"/>
      <c r="K24" s="90"/>
      <c r="L24" s="90"/>
      <c r="M24" s="90"/>
      <c r="N24" s="90"/>
      <c r="O24" s="90"/>
    </row>
    <row r="25" spans="1:15" ht="12.5">
      <c r="A25" s="90"/>
      <c r="B25" s="111"/>
      <c r="C25" s="111"/>
      <c r="D25" s="90"/>
      <c r="E25" s="90"/>
      <c r="F25" s="90"/>
      <c r="G25" s="90"/>
      <c r="H25" s="90"/>
      <c r="I25" s="90"/>
      <c r="J25" s="90"/>
      <c r="K25" s="90"/>
      <c r="L25" s="90"/>
      <c r="M25" s="90"/>
      <c r="N25" s="90"/>
      <c r="O25" s="90"/>
    </row>
    <row r="26" spans="1:15" ht="12.5">
      <c r="A26" s="90"/>
      <c r="B26" s="111"/>
      <c r="C26" s="111"/>
      <c r="D26" s="90"/>
      <c r="E26" s="90"/>
      <c r="F26" s="90"/>
      <c r="G26" s="90"/>
      <c r="H26" s="90"/>
      <c r="I26" s="90"/>
      <c r="J26" s="90"/>
      <c r="K26" s="90"/>
      <c r="L26" s="90"/>
      <c r="M26" s="90"/>
      <c r="N26" s="90"/>
      <c r="O26" s="90"/>
    </row>
    <row r="27" spans="1:15" ht="12.5">
      <c r="A27" s="90"/>
      <c r="B27" s="111"/>
      <c r="C27" s="111"/>
      <c r="D27" s="90"/>
      <c r="E27" s="90"/>
      <c r="F27" s="90"/>
      <c r="G27" s="90"/>
      <c r="H27" s="90"/>
      <c r="I27" s="90"/>
      <c r="J27" s="90"/>
      <c r="K27" s="90"/>
      <c r="L27" s="90"/>
      <c r="M27" s="90"/>
      <c r="N27" s="90"/>
      <c r="O27" s="90"/>
    </row>
    <row r="28" spans="1:15" ht="12.5">
      <c r="A28" s="90"/>
      <c r="B28" s="111"/>
      <c r="C28" s="111"/>
      <c r="D28" s="90"/>
      <c r="E28" s="90"/>
      <c r="F28" s="90"/>
      <c r="G28" s="90"/>
      <c r="H28" s="90"/>
      <c r="I28" s="90"/>
      <c r="J28" s="90"/>
      <c r="K28" s="90"/>
      <c r="L28" s="90"/>
      <c r="M28" s="90"/>
      <c r="N28" s="90"/>
      <c r="O28" s="90"/>
    </row>
    <row r="29" spans="1:15" ht="12.5">
      <c r="A29" s="90"/>
      <c r="B29" s="111"/>
      <c r="C29" s="111"/>
      <c r="D29" s="90"/>
      <c r="E29" s="90"/>
      <c r="F29" s="90"/>
      <c r="G29" s="90"/>
      <c r="H29" s="90"/>
      <c r="I29" s="90"/>
      <c r="J29" s="90"/>
      <c r="K29" s="90"/>
      <c r="L29" s="90"/>
      <c r="M29" s="90"/>
      <c r="N29" s="90"/>
      <c r="O29" s="90"/>
    </row>
    <row r="30" spans="1:15" ht="12.5">
      <c r="A30" s="90"/>
      <c r="B30" s="111"/>
      <c r="C30" s="111"/>
      <c r="D30" s="90"/>
      <c r="E30" s="90"/>
      <c r="F30" s="90"/>
      <c r="G30" s="90"/>
      <c r="H30" s="90"/>
      <c r="I30" s="90"/>
      <c r="J30" s="90"/>
      <c r="K30" s="90"/>
      <c r="L30" s="90"/>
      <c r="M30" s="90"/>
      <c r="N30" s="90"/>
      <c r="O30" s="90"/>
    </row>
    <row r="31" spans="1:15" ht="12.5">
      <c r="A31" s="90"/>
      <c r="B31" s="111"/>
      <c r="C31" s="111"/>
      <c r="D31" s="90"/>
      <c r="E31" s="90"/>
      <c r="F31" s="90"/>
      <c r="G31" s="90"/>
      <c r="H31" s="90"/>
      <c r="I31" s="90"/>
      <c r="J31" s="90"/>
      <c r="K31" s="90"/>
      <c r="L31" s="90"/>
      <c r="M31" s="90"/>
      <c r="N31" s="90"/>
      <c r="O31" s="90"/>
    </row>
    <row r="32" spans="1:15" ht="12.5">
      <c r="A32" s="90"/>
      <c r="B32" s="111"/>
      <c r="C32" s="111"/>
      <c r="D32" s="90"/>
      <c r="E32" s="90"/>
      <c r="F32" s="90"/>
      <c r="G32" s="90"/>
      <c r="H32" s="90"/>
      <c r="I32" s="90"/>
      <c r="J32" s="90"/>
      <c r="K32" s="90"/>
      <c r="L32" s="90"/>
      <c r="M32" s="90"/>
      <c r="N32" s="90"/>
      <c r="O32" s="90"/>
    </row>
    <row r="33" spans="1:15" ht="12.5">
      <c r="A33" s="90"/>
      <c r="B33" s="111"/>
      <c r="C33" s="111"/>
      <c r="D33" s="90"/>
      <c r="E33" s="90"/>
      <c r="F33" s="90"/>
      <c r="G33" s="90"/>
      <c r="H33" s="90"/>
      <c r="I33" s="90"/>
      <c r="J33" s="90"/>
      <c r="K33" s="90"/>
      <c r="L33" s="90"/>
      <c r="M33" s="90"/>
      <c r="N33" s="90"/>
      <c r="O33" s="90"/>
    </row>
    <row r="34" spans="1:15" ht="12.5">
      <c r="A34" s="90"/>
      <c r="B34" s="111"/>
      <c r="C34" s="111"/>
      <c r="D34" s="90"/>
      <c r="E34" s="90"/>
      <c r="F34" s="90"/>
      <c r="G34" s="90"/>
      <c r="H34" s="90"/>
      <c r="I34" s="90"/>
      <c r="J34" s="90"/>
      <c r="K34" s="90"/>
      <c r="L34" s="90"/>
      <c r="M34" s="90"/>
      <c r="N34" s="90"/>
      <c r="O34" s="90"/>
    </row>
    <row r="35" spans="1:15" ht="12.5">
      <c r="A35" s="90"/>
      <c r="B35" s="111"/>
      <c r="C35" s="111"/>
      <c r="D35" s="90"/>
      <c r="E35" s="90"/>
      <c r="F35" s="90"/>
      <c r="G35" s="90"/>
      <c r="H35" s="90"/>
      <c r="I35" s="90"/>
      <c r="J35" s="90"/>
      <c r="K35" s="90"/>
      <c r="L35" s="90"/>
      <c r="M35" s="90"/>
      <c r="N35" s="90"/>
      <c r="O35" s="90"/>
    </row>
    <row r="36" spans="1:15" ht="12.5">
      <c r="A36" s="90"/>
      <c r="B36" s="111"/>
      <c r="C36" s="111"/>
      <c r="D36" s="90"/>
      <c r="E36" s="90"/>
      <c r="F36" s="90"/>
      <c r="G36" s="90"/>
      <c r="H36" s="90"/>
      <c r="I36" s="90"/>
      <c r="J36" s="90"/>
      <c r="K36" s="90"/>
      <c r="L36" s="90"/>
      <c r="M36" s="90"/>
      <c r="N36" s="90"/>
      <c r="O36" s="90"/>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3.9062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106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09" t="str">
        <f ca="1">IFERROR(__xludf.DUMMYFUNCTION("FILTER('Edo Cta Jeeves Sept'!$A$12:$C$1700,'Edo Cta Jeeves Sept'!$J$12:$J$1700=$A$2)"),"TRX1171")</f>
        <v>TRX1171</v>
      </c>
      <c r="B12" s="110" t="str">
        <f ca="1">IFERROR(__xludf.DUMMYFUNCTION("""COMPUTED_VALUE"""),"#31")</f>
        <v>#31</v>
      </c>
      <c r="C12" s="110">
        <f ca="1">IFERROR(__xludf.DUMMYFUNCTION("""COMPUTED_VALUE"""),46059.4166666666)</f>
        <v>46059.416666666599</v>
      </c>
      <c r="D12" s="117">
        <f ca="1">IFERROR(__xludf.DUMMYFUNCTION("FILTER('Edo Cta Jeeves Sept'!$G$12:$G$1300,'Edo Cta Jeeves Sept'!$J$12:$J$1300=$A$2)"),61.2)</f>
        <v>61.2</v>
      </c>
      <c r="E12" s="89" t="str">
        <f ca="1">IFERROR(__xludf.DUMMYFUNCTION("FILTER('Edo Cta Jeeves Sept'!$I$12:$I$1300,'Edo Cta Jeeves Sept'!$J$12:$J$1300=$A$2)"),"MXN")</f>
        <v>MXN</v>
      </c>
      <c r="F12" s="89" t="str">
        <f ca="1">IFERROR(__xludf.DUMMYFUNCTION("FILTER('Edo Cta Jeeves Sept'!$J$12:$J$1300,'Edo Cta Jeeves Sept'!$J$12:$J$1300=$A$2)"),"Emiliano Cavazos")</f>
        <v>Emiliano Cavazos</v>
      </c>
      <c r="G12" s="89" t="str">
        <f ca="1">IFERROR(__xludf.DUMMYFUNCTION("FILTER('Edo Cta Jeeves Sept'!$K$12:$L$1300,'Edo Cta Jeeves Sept'!$J$12:$J$1300=$A$2)"),"REA AUTOPISTA GPE      CADEREYTA JIM MEX")</f>
        <v>REA AUTOPISTA GPE      CADEREYTA JIM MEX</v>
      </c>
      <c r="H12" s="89" t="str">
        <f ca="1">IFERROR(__xludf.DUMMYFUNCTION("""COMPUTED_VALUE"""),"Rea Autopista Gpe Cadereyta Jim Mex")</f>
        <v>Rea Autopista Gpe Cadereyta Jim Mex</v>
      </c>
      <c r="I12" s="89" t="str">
        <f ca="1">IFERROR(__xludf.DUMMYFUNCTION("IMPORTRANGE(""https://docs.google.com/spreadsheets/d/1FWLDKFkDgfHjCOyKFD7Z8qOWY-DF725XRjqgdWEAOog/edit#gid=1404531132"",""I12:K80"")"),"Office expenses")</f>
        <v>Office expenses</v>
      </c>
      <c r="J12" s="89" t="str">
        <f ca="1">IFERROR(__xludf.DUMMYFUNCTION("""COMPUTED_VALUE"""),"All Hands Enero - Pizzas y Cocas")</f>
        <v>All Hands Enero - Pizzas y Cocas</v>
      </c>
      <c r="K12" s="90"/>
      <c r="L12" s="17"/>
      <c r="M12" s="17"/>
      <c r="N12" s="17"/>
      <c r="O12" s="17"/>
    </row>
    <row r="13" spans="1:15" ht="15.75" customHeight="1">
      <c r="A13" s="109" t="str">
        <f ca="1">IFERROR(__xludf.DUMMYFUNCTION("""COMPUTED_VALUE"""),"TRX1972")</f>
        <v>TRX1972</v>
      </c>
      <c r="B13" s="110" t="str">
        <f ca="1">IFERROR(__xludf.DUMMYFUNCTION("""COMPUTED_VALUE"""),"#31")</f>
        <v>#31</v>
      </c>
      <c r="C13" s="118">
        <f ca="1">IFERROR(__xludf.DUMMYFUNCTION("""COMPUTED_VALUE"""),46059.4173611111)</f>
        <v>46059.417361111096</v>
      </c>
      <c r="D13" s="117">
        <f ca="1">IFERROR(__xludf.DUMMYFUNCTION("""COMPUTED_VALUE"""),61.2)</f>
        <v>61.2</v>
      </c>
      <c r="E13" s="89" t="str">
        <f ca="1">IFERROR(__xludf.DUMMYFUNCTION("""COMPUTED_VALUE"""),"MXN")</f>
        <v>MXN</v>
      </c>
      <c r="F13" s="89" t="str">
        <f ca="1">IFERROR(__xludf.DUMMYFUNCTION("""COMPUTED_VALUE"""),"Emiliano Cavazos")</f>
        <v>Emiliano Cavazos</v>
      </c>
      <c r="G13" s="89" t="str">
        <f ca="1">IFERROR(__xludf.DUMMYFUNCTION("""COMPUTED_VALUE"""),"REA AUTOPISTA GPE      CADEREYTA JIM MEX")</f>
        <v>REA AUTOPISTA GPE      CADEREYTA JIM MEX</v>
      </c>
      <c r="H13" s="89" t="str">
        <f ca="1">IFERROR(__xludf.DUMMYFUNCTION("""COMPUTED_VALUE"""),"Rea Autopista Gpe Cadereyta Jim Mex")</f>
        <v>Rea Autopista Gpe Cadereyta Jim Mex</v>
      </c>
      <c r="I13" s="89" t="str">
        <f ca="1">IFERROR(__xludf.DUMMYFUNCTION("""COMPUTED_VALUE"""),"Transaction cost")</f>
        <v>Transaction cost</v>
      </c>
      <c r="J13" s="89" t="str">
        <f ca="1">IFERROR(__xludf.DUMMYFUNCTION("""COMPUTED_VALUE"""),"PO: 1242 - Gas visita a MP")</f>
        <v>PO: 1242 - Gas visita a MP</v>
      </c>
      <c r="K13" s="90"/>
      <c r="L13" s="17"/>
      <c r="M13" s="17"/>
      <c r="N13" s="17"/>
      <c r="O13" s="17"/>
    </row>
    <row r="14" spans="1:15" ht="15.75" customHeight="1">
      <c r="A14" s="109" t="str">
        <f ca="1">IFERROR(__xludf.DUMMYFUNCTION("""COMPUTED_VALUE"""),"TRX1923")</f>
        <v>TRX1923</v>
      </c>
      <c r="B14" s="110" t="str">
        <f ca="1">IFERROR(__xludf.DUMMYFUNCTION("""COMPUTED_VALUE"""),"#31")</f>
        <v>#31</v>
      </c>
      <c r="C14" s="118">
        <f ca="1">IFERROR(__xludf.DUMMYFUNCTION("""COMPUTED_VALUE"""),46060.4173611111)</f>
        <v>46060.417361111096</v>
      </c>
      <c r="D14" s="117">
        <f ca="1">IFERROR(__xludf.DUMMYFUNCTION("""COMPUTED_VALUE"""),358.67)</f>
        <v>358.67</v>
      </c>
      <c r="E14" s="89" t="str">
        <f ca="1">IFERROR(__xludf.DUMMYFUNCTION("""COMPUTED_VALUE"""),"MXN")</f>
        <v>MXN</v>
      </c>
      <c r="F14" s="89" t="str">
        <f ca="1">IFERROR(__xludf.DUMMYFUNCTION("""COMPUTED_VALUE"""),"Emiliano Cavazos")</f>
        <v>Emiliano Cavazos</v>
      </c>
      <c r="G14" s="89" t="str">
        <f ca="1">IFERROR(__xludf.DUMMYFUNCTION("""COMPUTED_VALUE"""),"PETRO7 GAS CORTIJO DEL MONTERREY NL  MEX")</f>
        <v>PETRO7 GAS CORTIJO DEL MONTERREY NL  MEX</v>
      </c>
      <c r="H14" s="89" t="str">
        <f ca="1">IFERROR(__xludf.DUMMYFUNCTION("""COMPUTED_VALUE"""),"Petro7 Gas Cortijo Del Monterrey Nl Mex")</f>
        <v>Petro7 Gas Cortijo Del Monterrey Nl Mex</v>
      </c>
      <c r="I14" s="89" t="str">
        <f ca="1">IFERROR(__xludf.DUMMYFUNCTION("""COMPUTED_VALUE"""),"Transaction cost")</f>
        <v>Transaction cost</v>
      </c>
      <c r="J14" s="89" t="str">
        <f ca="1">IFERROR(__xludf.DUMMYFUNCTION("""COMPUTED_VALUE"""),"RFQ 3416 : Visita a Cliente Viva Aerobus")</f>
        <v>RFQ 3416 : Visita a Cliente Viva Aerobus</v>
      </c>
      <c r="K14" s="90"/>
      <c r="L14" s="17"/>
      <c r="M14" s="17"/>
      <c r="N14" s="17"/>
      <c r="O14" s="17"/>
    </row>
    <row r="15" spans="1:15" ht="15.75" customHeight="1">
      <c r="A15" s="109" t="str">
        <f ca="1">IFERROR(__xludf.DUMMYFUNCTION("""COMPUTED_VALUE"""),"TRX1736")</f>
        <v>TRX1736</v>
      </c>
      <c r="B15" s="110" t="str">
        <f ca="1">IFERROR(__xludf.DUMMYFUNCTION("""COMPUTED_VALUE"""),"#31")</f>
        <v>#31</v>
      </c>
      <c r="C15" s="118">
        <f ca="1">IFERROR(__xludf.DUMMYFUNCTION("""COMPUTED_VALUE"""),46064.4166666666)</f>
        <v>46064.416666666599</v>
      </c>
      <c r="D15" s="117">
        <f ca="1">IFERROR(__xludf.DUMMYFUNCTION("""COMPUTED_VALUE"""),249.95)</f>
        <v>249.95</v>
      </c>
      <c r="E15" s="89" t="str">
        <f ca="1">IFERROR(__xludf.DUMMYFUNCTION("""COMPUTED_VALUE"""),"MXN")</f>
        <v>MXN</v>
      </c>
      <c r="F15" s="89" t="str">
        <f ca="1">IFERROR(__xludf.DUMMYFUNCTION("""COMPUTED_VALUE"""),"Emiliano Cavazos")</f>
        <v>Emiliano Cavazos</v>
      </c>
      <c r="G15" s="89" t="str">
        <f ca="1">IFERROR(__xludf.DUMMYFUNCTION("""COMPUTED_VALUE"""),"UBER * PENDING         CMX           MEX")</f>
        <v>UBER * PENDING         CMX           MEX</v>
      </c>
      <c r="H15" s="89" t="str">
        <f ca="1">IFERROR(__xludf.DUMMYFUNCTION("""COMPUTED_VALUE"""),"Uber")</f>
        <v>Uber</v>
      </c>
      <c r="I15" s="89" t="str">
        <f ca="1">IFERROR(__xludf.DUMMYFUNCTION("""COMPUTED_VALUE"""),"Transaction cost")</f>
        <v>Transaction cost</v>
      </c>
      <c r="J15" s="89" t="str">
        <f ca="1">IFERROR(__xludf.DUMMYFUNCTION("""COMPUTED_VALUE"""),"RFQ 3416 : Visita a Cliente Viva Aerobus")</f>
        <v>RFQ 3416 : Visita a Cliente Viva Aerobus</v>
      </c>
      <c r="K15" s="90"/>
      <c r="L15" s="17"/>
      <c r="M15" s="17"/>
      <c r="N15" s="17"/>
      <c r="O15" s="17"/>
    </row>
    <row r="16" spans="1:15" ht="15.75" customHeight="1">
      <c r="A16" s="59"/>
      <c r="B16" s="103"/>
      <c r="C16" s="103"/>
      <c r="D16" s="59"/>
      <c r="E16" s="59"/>
      <c r="F16" s="59"/>
      <c r="G16" s="59"/>
      <c r="H16" s="59"/>
      <c r="I16" s="59" t="str">
        <f ca="1">IFERROR(__xludf.DUMMYFUNCTION("""COMPUTED_VALUE"""),"Transaction cost")</f>
        <v>Transaction cost</v>
      </c>
      <c r="J16" s="59" t="str">
        <f ca="1">IFERROR(__xludf.DUMMYFUNCTION("""COMPUTED_VALUE"""),"PO: 1565 - Vuelo a CDMX para visita cliente")</f>
        <v>PO: 1565 - Vuelo a CDMX para visita cliente</v>
      </c>
      <c r="K16" s="90"/>
      <c r="L16" s="17"/>
      <c r="M16" s="17"/>
      <c r="N16" s="17"/>
      <c r="O16" s="17"/>
    </row>
    <row r="17" spans="1:15" ht="15.75" customHeight="1">
      <c r="A17" s="59"/>
      <c r="B17" s="103"/>
      <c r="C17" s="103"/>
      <c r="D17" s="59"/>
      <c r="E17" s="59"/>
      <c r="F17" s="59"/>
      <c r="G17" s="59"/>
      <c r="H17" s="59"/>
      <c r="I17" s="59" t="str">
        <f ca="1">IFERROR(__xludf.DUMMYFUNCTION("""COMPUTED_VALUE"""),"Transaction cost")</f>
        <v>Transaction cost</v>
      </c>
      <c r="J17" s="59" t="str">
        <f ca="1">IFERROR(__xludf.DUMMYFUNCTION("""COMPUTED_VALUE"""),"RFQ: 4667 - envío de muestras")</f>
        <v>RFQ: 4667 - envío de muestras</v>
      </c>
      <c r="K17" s="90"/>
      <c r="L17" s="17"/>
      <c r="M17" s="17"/>
      <c r="N17" s="17"/>
      <c r="O17" s="17"/>
    </row>
    <row r="18" spans="1:15" ht="15.75" customHeight="1">
      <c r="A18" s="90"/>
      <c r="B18" s="111"/>
      <c r="C18" s="111"/>
      <c r="D18" s="90"/>
      <c r="E18" s="90"/>
      <c r="F18" s="90"/>
      <c r="G18" s="90"/>
      <c r="H18" s="90"/>
      <c r="I18" s="90" t="str">
        <f ca="1">IFERROR(__xludf.DUMMYFUNCTION("""COMPUTED_VALUE"""),"Transaction cost")</f>
        <v>Transaction cost</v>
      </c>
      <c r="J18" s="90" t="str">
        <f ca="1">IFERROR(__xludf.DUMMYFUNCTION("""COMPUTED_VALUE"""),"PO: 1565 - Daniel me pidió cambiar mi vuelo para estar más tiempo")</f>
        <v>PO: 1565 - Daniel me pidió cambiar mi vuelo para estar más tiempo</v>
      </c>
      <c r="K18" s="90"/>
      <c r="L18" s="17"/>
      <c r="M18" s="17"/>
      <c r="N18" s="17"/>
      <c r="O18" s="17"/>
    </row>
    <row r="19" spans="1:15" ht="15.75" customHeight="1">
      <c r="A19" s="90"/>
      <c r="B19" s="111"/>
      <c r="C19" s="111"/>
      <c r="D19" s="90"/>
      <c r="E19" s="90"/>
      <c r="F19" s="90"/>
      <c r="G19" s="90"/>
      <c r="H19" s="90"/>
      <c r="I19" s="90" t="str">
        <f ca="1">IFERROR(__xludf.DUMMYFUNCTION("""COMPUTED_VALUE"""),"Transaction cost")</f>
        <v>Transaction cost</v>
      </c>
      <c r="J19" s="90" t="str">
        <f ca="1">IFERROR(__xludf.DUMMYFUNCTION("""COMPUTED_VALUE"""),"PO: 1565 - Hospedaje CDMX para visita cliente")</f>
        <v>PO: 1565 - Hospedaje CDMX para visita cliente</v>
      </c>
      <c r="K19" s="90"/>
      <c r="L19" s="17"/>
      <c r="M19" s="17"/>
      <c r="N19" s="17"/>
      <c r="O19" s="17"/>
    </row>
    <row r="20" spans="1:15" ht="12.5">
      <c r="A20" s="59"/>
      <c r="B20" s="103"/>
      <c r="C20" s="103"/>
      <c r="D20" s="59"/>
      <c r="E20" s="59"/>
      <c r="F20" s="59"/>
      <c r="G20" s="59"/>
      <c r="H20" s="59"/>
      <c r="I20" s="59" t="str">
        <f ca="1">IFERROR(__xludf.DUMMYFUNCTION("""COMPUTED_VALUE"""),"Transaction cost")</f>
        <v>Transaction cost</v>
      </c>
      <c r="J20" s="59" t="str">
        <f ca="1">IFERROR(__xludf.DUMMYFUNCTION("""COMPUTED_VALUE"""),"po: 1565 - Caseta para aeropeurto visita a cliente")</f>
        <v>po: 1565 - Caseta para aeropeurto visita a cliente</v>
      </c>
      <c r="K20" s="90"/>
      <c r="L20" s="17"/>
      <c r="M20" s="17"/>
      <c r="N20" s="17"/>
      <c r="O20" s="17"/>
    </row>
    <row r="21" spans="1:15" ht="12.5">
      <c r="A21" s="90"/>
      <c r="B21" s="111"/>
      <c r="C21" s="111"/>
      <c r="D21" s="90"/>
      <c r="E21" s="90"/>
      <c r="F21" s="90"/>
      <c r="G21" s="90"/>
      <c r="H21" s="90"/>
      <c r="I21" s="90" t="str">
        <f ca="1">IFERROR(__xludf.DUMMYFUNCTION("""COMPUTED_VALUE"""),"Transaction cost")</f>
        <v>Transaction cost</v>
      </c>
      <c r="J21" s="90" t="str">
        <f ca="1">IFERROR(__xludf.DUMMYFUNCTION("""COMPUTED_VALUE"""),"PO: 1565 - airbnb oficina")</f>
        <v>PO: 1565 - airbnb oficina</v>
      </c>
      <c r="K21" s="90" t="str">
        <f ca="1">IFERROR(__xludf.DUMMYFUNCTION("""COMPUTED_VALUE"""),".")</f>
        <v>.</v>
      </c>
      <c r="L21" s="17"/>
      <c r="M21" s="17"/>
      <c r="N21" s="17"/>
      <c r="O21" s="17"/>
    </row>
    <row r="22" spans="1:15" ht="12.5">
      <c r="A22" s="90"/>
      <c r="B22" s="111"/>
      <c r="C22" s="111"/>
      <c r="D22" s="90"/>
      <c r="E22" s="90"/>
      <c r="F22" s="90"/>
      <c r="G22" s="90"/>
      <c r="H22" s="90"/>
      <c r="I22" s="90" t="str">
        <f ca="1">IFERROR(__xludf.DUMMYFUNCTION("""COMPUTED_VALUE"""),"Transaction cost")</f>
        <v>Transaction cost</v>
      </c>
      <c r="J22" s="90" t="str">
        <f ca="1">IFERROR(__xludf.DUMMYFUNCTION("""COMPUTED_VALUE"""),"PO: 1565 - comida")</f>
        <v>PO: 1565 - comida</v>
      </c>
      <c r="K22" s="90" t="str">
        <f ca="1">IFERROR(__xludf.DUMMYFUNCTION("""COMPUTED_VALUE"""),".")</f>
        <v>.</v>
      </c>
      <c r="L22" s="17"/>
      <c r="M22" s="17"/>
      <c r="N22" s="17"/>
      <c r="O22" s="17"/>
    </row>
    <row r="23" spans="1:15" ht="12.5">
      <c r="A23" s="90"/>
      <c r="B23" s="111"/>
      <c r="C23" s="111"/>
      <c r="D23" s="90"/>
      <c r="E23" s="90"/>
      <c r="F23" s="90"/>
      <c r="G23" s="90"/>
      <c r="H23" s="90"/>
      <c r="I23" s="90" t="str">
        <f ca="1">IFERROR(__xludf.DUMMYFUNCTION("""COMPUTED_VALUE"""),"Transaction cost")</f>
        <v>Transaction cost</v>
      </c>
      <c r="J23" s="90" t="str">
        <f ca="1">IFERROR(__xludf.DUMMYFUNCTION("""COMPUTED_VALUE"""),"PO: 1565 - uber a aeropuerto")</f>
        <v>PO: 1565 - uber a aeropuerto</v>
      </c>
      <c r="K23" s="90" t="str">
        <f ca="1">IFERROR(__xludf.DUMMYFUNCTION("""COMPUTED_VALUE"""),".")</f>
        <v>.</v>
      </c>
      <c r="L23" s="17"/>
      <c r="M23" s="17"/>
      <c r="N23" s="17"/>
      <c r="O23" s="17"/>
    </row>
    <row r="24" spans="1:15" ht="12.5">
      <c r="A24" s="59"/>
      <c r="B24" s="103"/>
      <c r="C24" s="103"/>
      <c r="D24" s="59"/>
      <c r="E24" s="59"/>
      <c r="F24" s="59"/>
      <c r="G24" s="59"/>
      <c r="H24" s="59"/>
      <c r="I24" s="59" t="str">
        <f ca="1">IFERROR(__xludf.DUMMYFUNCTION("""COMPUTED_VALUE"""),"Transaction cost")</f>
        <v>Transaction cost</v>
      </c>
      <c r="J24" s="59" t="str">
        <f ca="1">IFERROR(__xludf.DUMMYFUNCTION("""COMPUTED_VALUE"""),"PO: 1565 - estacionamiento aeropuerto")</f>
        <v>PO: 1565 - estacionamiento aeropuerto</v>
      </c>
      <c r="K24" s="90" t="str">
        <f ca="1">IFERROR(__xludf.DUMMYFUNCTION("""COMPUTED_VALUE"""),".")</f>
        <v>.</v>
      </c>
      <c r="L24" s="17"/>
      <c r="M24" s="17"/>
      <c r="N24" s="17"/>
      <c r="O24" s="17"/>
    </row>
    <row r="25" spans="1:15" ht="12.5">
      <c r="A25" s="59"/>
      <c r="B25" s="103"/>
      <c r="C25" s="103"/>
      <c r="D25" s="59"/>
      <c r="E25" s="59"/>
      <c r="F25" s="59"/>
      <c r="G25" s="59"/>
      <c r="H25" s="59"/>
      <c r="I25" s="59" t="str">
        <f ca="1">IFERROR(__xludf.DUMMYFUNCTION("""COMPUTED_VALUE"""),"Transaction cost")</f>
        <v>Transaction cost</v>
      </c>
      <c r="J25" s="59" t="str">
        <f ca="1">IFERROR(__xludf.DUMMYFUNCTION("""COMPUTED_VALUE"""),"PO: 1565 - caseta de  aeropuerto")</f>
        <v>PO: 1565 - caseta de  aeropuerto</v>
      </c>
      <c r="K25" s="90" t="str">
        <f ca="1">IFERROR(__xludf.DUMMYFUNCTION("""COMPUTED_VALUE"""),".")</f>
        <v>.</v>
      </c>
      <c r="L25" s="17"/>
      <c r="M25" s="17"/>
      <c r="N25" s="17"/>
      <c r="O25" s="17"/>
    </row>
    <row r="26" spans="1:15" ht="12.5">
      <c r="A26" s="90"/>
      <c r="B26" s="111"/>
      <c r="C26" s="111"/>
      <c r="D26" s="90"/>
      <c r="E26" s="90"/>
      <c r="F26" s="90"/>
      <c r="G26" s="90"/>
      <c r="H26" s="90"/>
      <c r="I26" s="90" t="str">
        <f ca="1">IFERROR(__xludf.DUMMYFUNCTION("""COMPUTED_VALUE"""),"G&amp;A expenses")</f>
        <v>G&amp;A expenses</v>
      </c>
      <c r="J26" s="90"/>
      <c r="K26" s="90" t="str">
        <f ca="1">IFERROR(__xludf.DUMMYFUNCTION("""COMPUTED_VALUE"""),".")</f>
        <v>.</v>
      </c>
      <c r="L26" s="17"/>
      <c r="M26" s="17"/>
      <c r="N26" s="17"/>
      <c r="O26" s="17"/>
    </row>
    <row r="27" spans="1:15" ht="12.5">
      <c r="A27" s="89"/>
      <c r="B27" s="109"/>
      <c r="C27" s="109"/>
      <c r="D27" s="89"/>
      <c r="E27" s="89"/>
      <c r="F27" s="89"/>
      <c r="G27" s="89"/>
      <c r="H27" s="89"/>
      <c r="I27" s="89" t="str">
        <f ca="1">IFERROR(__xludf.DUMMYFUNCTION("""COMPUTED_VALUE"""),"G&amp;A expenses")</f>
        <v>G&amp;A expenses</v>
      </c>
      <c r="J27" s="89"/>
      <c r="K27" s="90" t="str">
        <f ca="1">IFERROR(__xludf.DUMMYFUNCTION("""COMPUTED_VALUE"""),".")</f>
        <v>.</v>
      </c>
      <c r="L27" s="17"/>
      <c r="M27" s="17"/>
      <c r="N27" s="17"/>
      <c r="O27" s="17"/>
    </row>
    <row r="28" spans="1:15" ht="12.5">
      <c r="A28" s="89"/>
      <c r="B28" s="109"/>
      <c r="C28" s="109"/>
      <c r="D28" s="89"/>
      <c r="E28" s="89"/>
      <c r="F28" s="89"/>
      <c r="G28" s="89"/>
      <c r="H28" s="89"/>
      <c r="I28" s="89" t="str">
        <f ca="1">IFERROR(__xludf.DUMMYFUNCTION("""COMPUTED_VALUE"""),"G&amp;A expenses")</f>
        <v>G&amp;A expenses</v>
      </c>
      <c r="J28" s="89"/>
      <c r="K28" s="90" t="str">
        <f ca="1">IFERROR(__xludf.DUMMYFUNCTION("""COMPUTED_VALUE"""),".")</f>
        <v>.</v>
      </c>
      <c r="L28" s="17"/>
      <c r="M28" s="17"/>
      <c r="N28" s="17"/>
      <c r="O28" s="17"/>
    </row>
    <row r="29" spans="1:15" ht="12.5">
      <c r="A29" s="89"/>
      <c r="B29" s="109"/>
      <c r="C29" s="109"/>
      <c r="D29" s="89"/>
      <c r="E29" s="89"/>
      <c r="F29" s="89"/>
      <c r="G29" s="89"/>
      <c r="H29" s="89"/>
      <c r="I29" s="89" t="str">
        <f ca="1">IFERROR(__xludf.DUMMYFUNCTION("""COMPUTED_VALUE"""),"G&amp;A expenses")</f>
        <v>G&amp;A expenses</v>
      </c>
      <c r="J29" s="89"/>
      <c r="K29" s="90"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IFERROR(__xludf.DUMMYFUNCTION("""COMPUTED_VALUE"""),"G&amp;A expenses")</f>
        <v>G&amp;A expenses</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IFERROR(__xludf.DUMMYFUNCTION("""COMPUTED_VALUE"""),"G&amp;A expenses")</f>
        <v>G&amp;A expenses</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IFERROR(__xludf.DUMMYFUNCTION("""COMPUTED_VALUE"""),"Office expenses")</f>
        <v>Office expenses</v>
      </c>
      <c r="J32" s="17"/>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8.72656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116</v>
      </c>
      <c r="B2" s="139"/>
      <c r="C2" s="139"/>
      <c r="D2" s="68"/>
      <c r="E2" s="141" t="s">
        <v>63</v>
      </c>
      <c r="F2" s="139"/>
      <c r="G2" s="69" t="s">
        <v>1975</v>
      </c>
      <c r="H2" s="17"/>
      <c r="I2" s="17"/>
      <c r="J2" s="17" t="s">
        <v>2001</v>
      </c>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Sept'!$J$12:$J$1700=$A$2)"),"TRX1212")</f>
        <v>TRX1212</v>
      </c>
      <c r="B12" s="86" t="str">
        <f ca="1">IFERROR(__xludf.DUMMYFUNCTION("""COMPUTED_VALUE"""),"#34")</f>
        <v>#34</v>
      </c>
      <c r="C12" s="86">
        <f ca="1">IFERROR(__xludf.DUMMYFUNCTION("""COMPUTED_VALUE"""),46058.4173611111)</f>
        <v>46058.417361111096</v>
      </c>
      <c r="D12" s="65">
        <f ca="1">IFERROR(__xludf.DUMMYFUNCTION("FILTER('Edo Cta Jeeves Sept'!$G$12:$G$1003,'Edo Cta Jeeves Sept'!$J$12:$J$1003=$A$2)"),661.25)</f>
        <v>661.25</v>
      </c>
      <c r="E12" s="17" t="str">
        <f ca="1">IFERROR(__xludf.DUMMYFUNCTION("FILTER('Edo Cta Jeeves Sept'!$I$12:$I$1003,'Edo Cta Jeeves Sept'!$J$12:$J$1003=$A$2)"),"MXN")</f>
        <v>MXN</v>
      </c>
      <c r="F12" s="17" t="str">
        <f ca="1">IFERROR(__xludf.DUMMYFUNCTION("FILTER('Edo Cta Jeeves Sept'!$J$12:$J$1003,'Edo Cta Jeeves Sept'!$J$12:$J$1003=$A$2)"),"Juan Pablo Ramos Aranda")</f>
        <v>Juan Pablo Ramos Aranda</v>
      </c>
      <c r="G12" s="17" t="str">
        <f ca="1">IFERROR(__xludf.DUMMYFUNCTION("FILTER('Edo Cta Jeeves Sept'!$K$12:$L$1003,'Edo Cta Jeeves Sept'!$J$12:$J$1003=$A$2)"),"COME REST              MEXICO DF     MEX")</f>
        <v>COME REST              MEXICO DF     MEX</v>
      </c>
      <c r="H12" s="17" t="str">
        <f ca="1">IFERROR(__xludf.DUMMYFUNCTION("""COMPUTED_VALUE"""),"Come Rest Mexico Df Mex")</f>
        <v>Come Rest Mexico Df Mex</v>
      </c>
      <c r="I12" s="17" t="str">
        <f ca="1">IFERROR(__xludf.DUMMYFUNCTION("IMPORTRANGE(""https://docs.google.com/spreadsheets/d/1IJyoAelWRP-0lSg3EwiJ12zwUcyEVmqm05u8eB-xvnY/edit?gid=1404531132#gid=1404531132"",""I12:K80"")"),"")</f>
        <v/>
      </c>
      <c r="J12" s="17"/>
      <c r="K12" s="17" t="str">
        <f ca="1">IFERROR(__xludf.DUMMYFUNCTION("""COMPUTED_VALUE"""),".")</f>
        <v>.</v>
      </c>
      <c r="L12" s="17"/>
      <c r="M12" s="17"/>
      <c r="N12" s="17"/>
      <c r="O12" s="17"/>
    </row>
    <row r="13" spans="1:15" ht="15.75" customHeight="1">
      <c r="A13" s="24" t="str">
        <f ca="1">IFERROR(__xludf.DUMMYFUNCTION("""COMPUTED_VALUE"""),"TRX1937")</f>
        <v>TRX1937</v>
      </c>
      <c r="B13" s="86" t="str">
        <f ca="1">IFERROR(__xludf.DUMMYFUNCTION("""COMPUTED_VALUE"""),"#34")</f>
        <v>#34</v>
      </c>
      <c r="C13" s="63">
        <f ca="1">IFERROR(__xludf.DUMMYFUNCTION("""COMPUTED_VALUE"""),46060.4166666666)</f>
        <v>46060.416666666599</v>
      </c>
      <c r="D13" s="65">
        <f ca="1">IFERROR(__xludf.DUMMYFUNCTION("""COMPUTED_VALUE"""),466.07)</f>
        <v>466.07</v>
      </c>
      <c r="E13" s="17" t="str">
        <f ca="1">IFERROR(__xludf.DUMMYFUNCTION("""COMPUTED_VALUE"""),"MXN")</f>
        <v>MXN</v>
      </c>
      <c r="F13" s="17" t="str">
        <f ca="1">IFERROR(__xludf.DUMMYFUNCTION("""COMPUTED_VALUE"""),"Juan Pablo Ramos Aranda")</f>
        <v>Juan Pablo Ramos Aranda</v>
      </c>
      <c r="G13" s="17" t="str">
        <f ca="1">IFERROR(__xludf.DUMMYFUNCTION("""COMPUTED_VALUE"""),"UBER * EATS PENDING    CMX           MEX")</f>
        <v>UBER * EATS PENDING    CMX           MEX</v>
      </c>
      <c r="H13" s="17" t="str">
        <f ca="1">IFERROR(__xludf.DUMMYFUNCTION("""COMPUTED_VALUE"""),"Uber Eats")</f>
        <v>Uber Eats</v>
      </c>
      <c r="I13" s="17"/>
      <c r="J13" s="17"/>
      <c r="K13" s="17" t="str">
        <f ca="1">IFERROR(__xludf.DUMMYFUNCTION("""COMPUTED_VALUE"""),".")</f>
        <v>.</v>
      </c>
      <c r="L13" s="17"/>
      <c r="M13" s="17"/>
      <c r="N13" s="17"/>
      <c r="O13" s="17"/>
    </row>
    <row r="14" spans="1:15" ht="15.75" customHeight="1">
      <c r="A14" s="24" t="str">
        <f ca="1">IFERROR(__xludf.DUMMYFUNCTION("""COMPUTED_VALUE"""),"TRX1455")</f>
        <v>TRX1455</v>
      </c>
      <c r="B14" s="86" t="str">
        <f ca="1">IFERROR(__xludf.DUMMYFUNCTION("""COMPUTED_VALUE"""),"#34")</f>
        <v>#34</v>
      </c>
      <c r="C14" s="63">
        <f ca="1">IFERROR(__xludf.DUMMYFUNCTION("""COMPUTED_VALUE"""),46064.4166666666)</f>
        <v>46064.416666666599</v>
      </c>
      <c r="D14" s="65">
        <f ca="1">IFERROR(__xludf.DUMMYFUNCTION("""COMPUTED_VALUE"""),519.8)</f>
        <v>519.79999999999995</v>
      </c>
      <c r="E14" s="17" t="str">
        <f ca="1">IFERROR(__xludf.DUMMYFUNCTION("""COMPUTED_VALUE"""),"MXN")</f>
        <v>MXN</v>
      </c>
      <c r="F14" s="17" t="str">
        <f ca="1">IFERROR(__xludf.DUMMYFUNCTION("""COMPUTED_VALUE"""),"Juan Pablo Ramos Aranda")</f>
        <v>Juan Pablo Ramos Aranda</v>
      </c>
      <c r="G14" s="17" t="str">
        <f ca="1">IFERROR(__xludf.DUMMYFUNCTION("""COMPUTED_VALUE"""),"PARIS 16 BISTRO        CIUDAD DE MEX MEX")</f>
        <v>PARIS 16 BISTRO        CIUDAD DE MEX MEX</v>
      </c>
      <c r="H14" s="17" t="str">
        <f ca="1">IFERROR(__xludf.DUMMYFUNCTION("""COMPUTED_VALUE"""),"Paris Bistro")</f>
        <v>Paris Bistro</v>
      </c>
      <c r="I14" s="17"/>
      <c r="J14" s="17"/>
      <c r="K14" s="17" t="str">
        <f ca="1">IFERROR(__xludf.DUMMYFUNCTION("""COMPUTED_VALUE"""),".")</f>
        <v>.</v>
      </c>
      <c r="L14" s="17"/>
      <c r="M14" s="17"/>
      <c r="N14" s="17"/>
      <c r="O14" s="17"/>
    </row>
    <row r="15" spans="1:15" ht="15.75" customHeight="1">
      <c r="A15" s="24" t="str">
        <f ca="1">IFERROR(__xludf.DUMMYFUNCTION("""COMPUTED_VALUE"""),"TRX1653")</f>
        <v>TRX1653</v>
      </c>
      <c r="B15" s="86" t="str">
        <f ca="1">IFERROR(__xludf.DUMMYFUNCTION("""COMPUTED_VALUE"""),"#34")</f>
        <v>#34</v>
      </c>
      <c r="C15" s="63">
        <f ca="1">IFERROR(__xludf.DUMMYFUNCTION("""COMPUTED_VALUE"""),46072.4166666666)</f>
        <v>46072.416666666599</v>
      </c>
      <c r="D15" s="65">
        <f ca="1">IFERROR(__xludf.DUMMYFUNCTION("""COMPUTED_VALUE"""),1020)</f>
        <v>1020</v>
      </c>
      <c r="E15" s="17" t="str">
        <f ca="1">IFERROR(__xludf.DUMMYFUNCTION("""COMPUTED_VALUE"""),"MXN")</f>
        <v>MXN</v>
      </c>
      <c r="F15" s="17" t="str">
        <f ca="1">IFERROR(__xludf.DUMMYFUNCTION("""COMPUTED_VALUE"""),"Juan Pablo Ramos Aranda")</f>
        <v>Juan Pablo Ramos Aranda</v>
      </c>
      <c r="G15" s="17" t="str">
        <f ca="1">IFERROR(__xludf.DUMMYFUNCTION("""COMPUTED_VALUE"""),"REST LA ONDA           CIUDAD DE MEX MEX")</f>
        <v>REST LA ONDA           CIUDAD DE MEX MEX</v>
      </c>
      <c r="H15" s="17" t="str">
        <f ca="1">IFERROR(__xludf.DUMMYFUNCTION("""COMPUTED_VALUE"""),"Rest La Onda Ciudad De Mex Mex")</f>
        <v>Rest La Onda Ciudad De Mex Mex</v>
      </c>
      <c r="I15" s="17"/>
      <c r="J15" s="17"/>
      <c r="K15" s="17" t="str">
        <f ca="1">IFERROR(__xludf.DUMMYFUNCTION("""COMPUTED_VALUE"""),".")</f>
        <v>.</v>
      </c>
      <c r="L15" s="17"/>
      <c r="M15" s="17"/>
      <c r="N15" s="17"/>
      <c r="O15" s="17"/>
    </row>
    <row r="16" spans="1:15" ht="15.75" customHeight="1">
      <c r="A16" s="17" t="str">
        <f ca="1">IFERROR(__xludf.DUMMYFUNCTION("""COMPUTED_VALUE"""),"TRX1026")</f>
        <v>TRX1026</v>
      </c>
      <c r="B16" s="86" t="str">
        <f ca="1">IFERROR(__xludf.DUMMYFUNCTION("""COMPUTED_VALUE"""),"#34")</f>
        <v>#34</v>
      </c>
      <c r="C16" s="63">
        <f ca="1">IFERROR(__xludf.DUMMYFUNCTION("""COMPUTED_VALUE"""),46074.4173611111)</f>
        <v>46074.417361111096</v>
      </c>
      <c r="D16" s="65">
        <f ca="1">IFERROR(__xludf.DUMMYFUNCTION("""COMPUTED_VALUE"""),309.98)</f>
        <v>309.98</v>
      </c>
      <c r="E16" s="17" t="str">
        <f ca="1">IFERROR(__xludf.DUMMYFUNCTION("""COMPUTED_VALUE"""),"MXN")</f>
        <v>MXN</v>
      </c>
      <c r="F16" s="17" t="str">
        <f ca="1">IFERROR(__xludf.DUMMYFUNCTION("""COMPUTED_VALUE"""),"Juan Pablo Ramos Aranda")</f>
        <v>Juan Pablo Ramos Aranda</v>
      </c>
      <c r="G16" s="17" t="str">
        <f ca="1">IFERROR(__xludf.DUMMYFUNCTION("""COMPUTED_VALUE"""),"UBER * PENDING         CMX           MEX")</f>
        <v>UBER * PENDING         CMX           MEX</v>
      </c>
      <c r="H16" s="17" t="str">
        <f ca="1">IFERROR(__xludf.DUMMYFUNCTION("""COMPUTED_VALUE"""),"Uber")</f>
        <v>Uber</v>
      </c>
      <c r="I16" s="17"/>
      <c r="J16" s="17"/>
      <c r="K16" s="17" t="str">
        <f ca="1">IFERROR(__xludf.DUMMYFUNCTION("""COMPUTED_VALUE"""),".")</f>
        <v>.</v>
      </c>
      <c r="L16" s="17"/>
      <c r="M16" s="17"/>
      <c r="N16" s="17"/>
      <c r="O16" s="17"/>
    </row>
    <row r="17" spans="1:15" ht="15.75" customHeight="1">
      <c r="A17" s="17" t="str">
        <f ca="1">IFERROR(__xludf.DUMMYFUNCTION("""COMPUTED_VALUE"""),"TRX1105")</f>
        <v>TRX1105</v>
      </c>
      <c r="B17" s="86" t="str">
        <f ca="1">IFERROR(__xludf.DUMMYFUNCTION("""COMPUTED_VALUE"""),"#34")</f>
        <v>#34</v>
      </c>
      <c r="C17" s="63">
        <f ca="1">IFERROR(__xludf.DUMMYFUNCTION("""COMPUTED_VALUE"""),46076.4166666666)</f>
        <v>46076.416666666599</v>
      </c>
      <c r="D17" s="65">
        <f ca="1">IFERROR(__xludf.DUMMYFUNCTION("""COMPUTED_VALUE"""),777.13)</f>
        <v>777.13</v>
      </c>
      <c r="E17" s="17" t="str">
        <f ca="1">IFERROR(__xludf.DUMMYFUNCTION("""COMPUTED_VALUE"""),"USD")</f>
        <v>USD</v>
      </c>
      <c r="F17" s="17" t="str">
        <f ca="1">IFERROR(__xludf.DUMMYFUNCTION("""COMPUTED_VALUE"""),"Juan Pablo Ramos Aranda")</f>
        <v>Juan Pablo Ramos Aranda</v>
      </c>
      <c r="G17" s="17" t="str">
        <f ca="1">IFERROR(__xludf.DUMMYFUNCTION("""COMPUTED_VALUE"""),"UBER   * PENDING       SAN FRANCISCO USA")</f>
        <v>UBER   * PENDING       SAN FRANCISCO USA</v>
      </c>
      <c r="H17" s="17" t="str">
        <f ca="1">IFERROR(__xludf.DUMMYFUNCTION("""COMPUTED_VALUE"""),"Uber")</f>
        <v>Uber</v>
      </c>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123</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19" t="s">
        <v>2002</v>
      </c>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Sept'!$J$12:$J$1700=$A$2)"),"TRX1283")</f>
        <v>TRX1283</v>
      </c>
      <c r="B12" s="86" t="str">
        <f ca="1">IFERROR(__xludf.DUMMYFUNCTION("""COMPUTED_VALUE"""),"#35")</f>
        <v>#35</v>
      </c>
      <c r="C12" s="86">
        <f ca="1">IFERROR(__xludf.DUMMYFUNCTION("""COMPUTED_VALUE"""),46056.4166666666)</f>
        <v>46056.416666666599</v>
      </c>
      <c r="D12" s="65">
        <f ca="1">IFERROR(__xludf.DUMMYFUNCTION("FILTER('Edo Cta Jeeves Sept'!$G$12:$G$1700,'Edo Cta Jeeves Sept'!$J$12:$J$1700=$A$2)"),137.81)</f>
        <v>137.81</v>
      </c>
      <c r="E12" s="17" t="str">
        <f ca="1">IFERROR(__xludf.DUMMYFUNCTION("FILTER('Edo Cta Jeeves Sept'!$I$12:$I$1700,'Edo Cta Jeeves Sept'!$J$12:$J$1700=$A$2)"),"USD")</f>
        <v>USD</v>
      </c>
      <c r="F12" s="17" t="str">
        <f ca="1">IFERROR(__xludf.DUMMYFUNCTION("FILTER('Edo Cta Jeeves Sept'!$J$12:$J$1700,'Edo Cta Jeeves Sept'!$J$12:$J$1700=$A$2)"),"Termis")</f>
        <v>Termis</v>
      </c>
      <c r="G12" s="17" t="str">
        <f ca="1">IFERROR(__xludf.DUMMYFUNCTION("FILTER('Edo Cta Jeeves Sept'!$K$12:$L$1700,'Edo Cta Jeeves Sept'!$J$12:$J$1700=$A$2)"),"FACEBK *Y8ZJ8FVSH2     DUBLIN 2      IRL")</f>
        <v>FACEBK *Y8ZJ8FVSH2     DUBLIN 2      IRL</v>
      </c>
      <c r="H12" s="17" t="str">
        <f ca="1">IFERROR(__xludf.DUMMYFUNCTION("""COMPUTED_VALUE"""),"Meta")</f>
        <v>Meta</v>
      </c>
      <c r="I12" s="17" t="str">
        <f ca="1">IFERROR(__xludf.DUMMYFUNCTION("IMPORTRANGE(""https://docs.google.com/spreadsheets/d/1q8N02hz7Obh6IOP0nLhLRSGTRcz_YD-5FNNNl_Nz3N4/edit?gid=1404531132#gid=1404531132"",""I12:K80"")"),"Tech&amp;Product")</f>
        <v>Tech&amp;Product</v>
      </c>
      <c r="J12" s="17" t="str">
        <f ca="1">IFERROR(__xludf.DUMMYFUNCTION("""COMPUTED_VALUE"""),"API whatsapp")</f>
        <v>API whatsapp</v>
      </c>
      <c r="K12" s="17"/>
      <c r="L12" s="17"/>
      <c r="M12" s="17"/>
      <c r="N12" s="17"/>
      <c r="O12" s="17"/>
    </row>
    <row r="13" spans="1:15" ht="15.75" customHeight="1">
      <c r="A13" s="24" t="str">
        <f ca="1">IFERROR(__xludf.DUMMYFUNCTION("""COMPUTED_VALUE"""),"TRX1282")</f>
        <v>TRX1282</v>
      </c>
      <c r="B13" s="86" t="str">
        <f ca="1">IFERROR(__xludf.DUMMYFUNCTION("""COMPUTED_VALUE"""),"#35")</f>
        <v>#35</v>
      </c>
      <c r="C13" s="63">
        <f ca="1">IFERROR(__xludf.DUMMYFUNCTION("""COMPUTED_VALUE"""),46056.4166666666)</f>
        <v>46056.416666666599</v>
      </c>
      <c r="D13" s="65">
        <f ca="1">IFERROR(__xludf.DUMMYFUNCTION("""COMPUTED_VALUE"""),790)</f>
        <v>790</v>
      </c>
      <c r="E13" s="17" t="str">
        <f ca="1">IFERROR(__xludf.DUMMYFUNCTION("""COMPUTED_VALUE"""),"MXN")</f>
        <v>MXN</v>
      </c>
      <c r="F13" s="17" t="str">
        <f ca="1">IFERROR(__xludf.DUMMYFUNCTION("""COMPUTED_VALUE"""),"Termis")</f>
        <v>Termis</v>
      </c>
      <c r="G13" s="17" t="str">
        <f ca="1">IFERROR(__xludf.DUMMYFUNCTION("""COMPUTED_VALUE"""),"CBA*AUTODESK           COLOGNE       DEU")</f>
        <v>CBA*AUTODESK           COLOGNE       DEU</v>
      </c>
      <c r="H13" s="17" t="str">
        <f ca="1">IFERROR(__xludf.DUMMYFUNCTION("""COMPUTED_VALUE"""),"Autodesk")</f>
        <v>Autodesk</v>
      </c>
      <c r="I13" s="17" t="str">
        <f ca="1">IFERROR(__xludf.DUMMYFUNCTION("""COMPUTED_VALUE"""),"Tech&amp;Product")</f>
        <v>Tech&amp;Product</v>
      </c>
      <c r="J13" s="17" t="str">
        <f ca="1">IFERROR(__xludf.DUMMYFUNCTION("""COMPUTED_VALUE"""),"Software de Whatsapp para Raw Materials")</f>
        <v>Software de Whatsapp para Raw Materials</v>
      </c>
      <c r="K13" s="17"/>
      <c r="L13" s="17"/>
      <c r="M13" s="17"/>
      <c r="N13" s="17"/>
      <c r="O13" s="17"/>
    </row>
    <row r="14" spans="1:15" ht="15.75" customHeight="1">
      <c r="A14" s="24" t="str">
        <f ca="1">IFERROR(__xludf.DUMMYFUNCTION("""COMPUTED_VALUE"""),"TRX1268")</f>
        <v>TRX1268</v>
      </c>
      <c r="B14" s="86" t="str">
        <f ca="1">IFERROR(__xludf.DUMMYFUNCTION("""COMPUTED_VALUE"""),"#35")</f>
        <v>#35</v>
      </c>
      <c r="C14" s="63">
        <f ca="1">IFERROR(__xludf.DUMMYFUNCTION("""COMPUTED_VALUE"""),46057.4166666666)</f>
        <v>46057.416666666599</v>
      </c>
      <c r="D14" s="65">
        <f ca="1">IFERROR(__xludf.DUMMYFUNCTION("""COMPUTED_VALUE"""),635.34)</f>
        <v>635.34</v>
      </c>
      <c r="E14" s="17" t="str">
        <f ca="1">IFERROR(__xludf.DUMMYFUNCTION("""COMPUTED_VALUE"""),"USD")</f>
        <v>USD</v>
      </c>
      <c r="F14" s="17" t="str">
        <f ca="1">IFERROR(__xludf.DUMMYFUNCTION("""COMPUTED_VALUE"""),"Termis")</f>
        <v>Termis</v>
      </c>
      <c r="G14" s="17" t="str">
        <f ca="1">IFERROR(__xludf.DUMMYFUNCTION("""COMPUTED_VALUE"""),"BLOOMBERG* B38899628   NEW YORK      USA")</f>
        <v>BLOOMBERG* B38899628   NEW YORK      USA</v>
      </c>
      <c r="H14" s="17" t="str">
        <f ca="1">IFERROR(__xludf.DUMMYFUNCTION("""COMPUTED_VALUE"""),"Bloomberg")</f>
        <v>Bloomberg</v>
      </c>
      <c r="I14" s="17" t="str">
        <f ca="1">IFERROR(__xludf.DUMMYFUNCTION("""COMPUTED_VALUE"""),"Tech&amp;Product")</f>
        <v>Tech&amp;Product</v>
      </c>
      <c r="J14" s="17" t="str">
        <f ca="1">IFERROR(__xludf.DUMMYFUNCTION("""COMPUTED_VALUE"""),"FX rate para loan tape lendable")</f>
        <v>FX rate para loan tape lendable</v>
      </c>
      <c r="K14" s="17"/>
      <c r="L14" s="17"/>
      <c r="M14" s="17"/>
      <c r="N14" s="17"/>
      <c r="O14" s="17"/>
    </row>
    <row r="15" spans="1:15" ht="15.75" customHeight="1">
      <c r="A15" s="24" t="str">
        <f ca="1">IFERROR(__xludf.DUMMYFUNCTION("""COMPUTED_VALUE"""),"TRX1241")</f>
        <v>TRX1241</v>
      </c>
      <c r="B15" s="86" t="str">
        <f ca="1">IFERROR(__xludf.DUMMYFUNCTION("""COMPUTED_VALUE"""),"#35")</f>
        <v>#35</v>
      </c>
      <c r="C15" s="63">
        <f ca="1">IFERROR(__xludf.DUMMYFUNCTION("""COMPUTED_VALUE"""),46058.4166666666)</f>
        <v>46058.416666666599</v>
      </c>
      <c r="D15" s="65">
        <f ca="1">IFERROR(__xludf.DUMMYFUNCTION("""COMPUTED_VALUE"""),1825.31)</f>
        <v>1825.31</v>
      </c>
      <c r="E15" s="17" t="str">
        <f ca="1">IFERROR(__xludf.DUMMYFUNCTION("""COMPUTED_VALUE"""),"MXN")</f>
        <v>MXN</v>
      </c>
      <c r="F15" s="17" t="str">
        <f ca="1">IFERROR(__xludf.DUMMYFUNCTION("""COMPUTED_VALUE"""),"Termis")</f>
        <v>Termis</v>
      </c>
      <c r="G15" s="17" t="str">
        <f ca="1">IFERROR(__xludf.DUMMYFUNCTION("""COMPUTED_VALUE"""),"PAYU   *GOOGLE CLOUD   MIGUEL HIDALG MEX")</f>
        <v>PAYU   *GOOGLE CLOUD   MIGUEL HIDALG MEX</v>
      </c>
      <c r="H15" s="17" t="str">
        <f ca="1">IFERROR(__xludf.DUMMYFUNCTION("""COMPUTED_VALUE"""),"Google Cloud")</f>
        <v>Google Cloud</v>
      </c>
      <c r="I15" s="17" t="str">
        <f ca="1">IFERROR(__xludf.DUMMYFUNCTION("""COMPUTED_VALUE"""),"Tech&amp;Product")</f>
        <v>Tech&amp;Product</v>
      </c>
      <c r="J15" s="17" t="str">
        <f ca="1">IFERROR(__xludf.DUMMYFUNCTION("""COMPUTED_VALUE"""),"Chatgpt")</f>
        <v>Chatgpt</v>
      </c>
      <c r="K15" s="17"/>
      <c r="L15" s="17"/>
      <c r="M15" s="17"/>
      <c r="N15" s="17"/>
      <c r="O15" s="17"/>
    </row>
    <row r="16" spans="1:15" ht="15.75" customHeight="1">
      <c r="A16" s="17" t="str">
        <f ca="1">IFERROR(__xludf.DUMMYFUNCTION("""COMPUTED_VALUE"""),"TRX1438")</f>
        <v>TRX1438</v>
      </c>
      <c r="B16" s="86" t="str">
        <f ca="1">IFERROR(__xludf.DUMMYFUNCTION("""COMPUTED_VALUE"""),"#35")</f>
        <v>#35</v>
      </c>
      <c r="C16" s="63">
        <f ca="1">IFERROR(__xludf.DUMMYFUNCTION("""COMPUTED_VALUE"""),46059.4173611111)</f>
        <v>46059.417361111096</v>
      </c>
      <c r="D16" s="65">
        <f ca="1">IFERROR(__xludf.DUMMYFUNCTION("""COMPUTED_VALUE"""),884.8)</f>
        <v>884.8</v>
      </c>
      <c r="E16" s="17" t="str">
        <f ca="1">IFERROR(__xludf.DUMMYFUNCTION("""COMPUTED_VALUE"""),"USD")</f>
        <v>USD</v>
      </c>
      <c r="F16" s="17" t="str">
        <f ca="1">IFERROR(__xludf.DUMMYFUNCTION("""COMPUTED_VALUE"""),"Termis")</f>
        <v>Termis</v>
      </c>
      <c r="G16" s="17" t="str">
        <f ca="1">IFERROR(__xludf.DUMMYFUNCTION("""COMPUTED_VALUE"""),"WEBFLOW.COM            SAN FRANCISCO USA")</f>
        <v>WEBFLOW.COM            SAN FRANCISCO USA</v>
      </c>
      <c r="H16" s="17" t="str">
        <f ca="1">IFERROR(__xludf.DUMMYFUNCTION("""COMPUTED_VALUE"""),"Webflow")</f>
        <v>Webflow</v>
      </c>
      <c r="I16" s="17"/>
      <c r="J16" s="17" t="str">
        <f ca="1">IFERROR(__xludf.DUMMYFUNCTION("""COMPUTED_VALUE"""),"Nos va a caer el reembolso era el starlink que ya regrese")</f>
        <v>Nos va a caer el reembolso era el starlink que ya regrese</v>
      </c>
      <c r="K16" s="17"/>
      <c r="L16" s="17"/>
      <c r="M16" s="17"/>
      <c r="N16" s="17"/>
      <c r="O16" s="17"/>
    </row>
    <row r="17" spans="1:15" ht="15.75" customHeight="1">
      <c r="A17" s="17" t="str">
        <f ca="1">IFERROR(__xludf.DUMMYFUNCTION("""COMPUTED_VALUE"""),"TRX1168")</f>
        <v>TRX1168</v>
      </c>
      <c r="B17" s="86" t="str">
        <f ca="1">IFERROR(__xludf.DUMMYFUNCTION("""COMPUTED_VALUE"""),"#35")</f>
        <v>#35</v>
      </c>
      <c r="C17" s="63">
        <f ca="1">IFERROR(__xludf.DUMMYFUNCTION("""COMPUTED_VALUE"""),46065.4173611111)</f>
        <v>46065.417361111096</v>
      </c>
      <c r="D17" s="65">
        <f ca="1">IFERROR(__xludf.DUMMYFUNCTION("""COMPUTED_VALUE"""),362.48)</f>
        <v>362.48</v>
      </c>
      <c r="E17" s="17" t="str">
        <f ca="1">IFERROR(__xludf.DUMMYFUNCTION("""COMPUTED_VALUE"""),"USD")</f>
        <v>USD</v>
      </c>
      <c r="F17" s="17" t="str">
        <f ca="1">IFERROR(__xludf.DUMMYFUNCTION("""COMPUTED_VALUE"""),"Termis")</f>
        <v>Termis</v>
      </c>
      <c r="G17" s="17" t="str">
        <f ca="1">IFERROR(__xludf.DUMMYFUNCTION("""COMPUTED_VALUE"""),"OPENAI *CHATGPT SUBSCR SAN FRANCISCO USA")</f>
        <v>OPENAI *CHATGPT SUBSCR SAN FRANCISCO USA</v>
      </c>
      <c r="H17" s="17" t="str">
        <f ca="1">IFERROR(__xludf.DUMMYFUNCTION("""COMPUTED_VALUE"""),"Openai")</f>
        <v>Openai</v>
      </c>
      <c r="I17" s="17" t="str">
        <f ca="1">IFERROR(__xludf.DUMMYFUNCTION("""COMPUTED_VALUE"""),"G&amp;A expenses")</f>
        <v>G&amp;A expenses</v>
      </c>
      <c r="J17" s="17" t="str">
        <f ca="1">IFERROR(__xludf.DUMMYFUNCTION("""COMPUTED_VALUE"""),"Hotel domingo a miercoles Karen y Pao")</f>
        <v>Hotel domingo a miercoles Karen y Pao</v>
      </c>
      <c r="K17" s="17" t="str">
        <f ca="1">IFERROR(__xludf.DUMMYFUNCTION("""COMPUTED_VALUE"""),"592CDC40-9C48-2046-B214-D7E8287334BB")</f>
        <v>592CDC40-9C48-2046-B214-D7E8287334BB</v>
      </c>
      <c r="L17" s="17"/>
      <c r="M17" s="17"/>
      <c r="N17" s="17"/>
      <c r="O17" s="17"/>
    </row>
    <row r="18" spans="1:15" ht="15.75" customHeight="1">
      <c r="A18" s="17" t="str">
        <f ca="1">IFERROR(__xludf.DUMMYFUNCTION("""COMPUTED_VALUE"""),"TRX1180")</f>
        <v>TRX1180</v>
      </c>
      <c r="B18" s="86" t="str">
        <f ca="1">IFERROR(__xludf.DUMMYFUNCTION("""COMPUTED_VALUE"""),"#35")</f>
        <v>#35</v>
      </c>
      <c r="C18" s="63">
        <f ca="1">IFERROR(__xludf.DUMMYFUNCTION("""COMPUTED_VALUE"""),46072.4173611111)</f>
        <v>46072.417361111096</v>
      </c>
      <c r="D18" s="65">
        <f ca="1">IFERROR(__xludf.DUMMYFUNCTION("""COMPUTED_VALUE"""),1799.93)</f>
        <v>1799.93</v>
      </c>
      <c r="E18" s="17" t="str">
        <f ca="1">IFERROR(__xludf.DUMMYFUNCTION("""COMPUTED_VALUE"""),"USD")</f>
        <v>USD</v>
      </c>
      <c r="F18" s="17" t="str">
        <f ca="1">IFERROR(__xludf.DUMMYFUNCTION("""COMPUTED_VALUE"""),"Termis")</f>
        <v>Termis</v>
      </c>
      <c r="G18" s="17" t="str">
        <f ca="1">IFERROR(__xludf.DUMMYFUNCTION("""COMPUTED_VALUE"""),"CLAUDE.AI SUBSCRIPTION SAN FRANCISCO USA")</f>
        <v>CLAUDE.AI SUBSCRIPTION SAN FRANCISCO USA</v>
      </c>
      <c r="H18" s="108" t="str">
        <f ca="1">IFERROR(__xludf.DUMMYFUNCTION("""COMPUTED_VALUE"""),"Claude.ai")</f>
        <v>Claude.ai</v>
      </c>
      <c r="I18" s="17" t="str">
        <f ca="1">IFERROR(__xludf.DUMMYFUNCTION("""COMPUTED_VALUE"""),"Tech&amp;Product")</f>
        <v>Tech&amp;Product</v>
      </c>
      <c r="J18" s="17" t="str">
        <f ca="1">IFERROR(__xludf.DUMMYFUNCTION("""COMPUTED_VALUE"""),"Evento del equipo de tech antes del offsite")</f>
        <v>Evento del equipo de tech antes del offsite</v>
      </c>
      <c r="K18" s="17"/>
      <c r="L18" s="17"/>
      <c r="M18" s="17"/>
      <c r="N18" s="17"/>
      <c r="O18" s="17"/>
    </row>
    <row r="19" spans="1:15" ht="15.75" customHeight="1">
      <c r="A19" s="17" t="str">
        <f ca="1">IFERROR(__xludf.DUMMYFUNCTION("""COMPUTED_VALUE"""),"TRX1746")</f>
        <v>TRX1746</v>
      </c>
      <c r="B19" s="86" t="str">
        <f ca="1">IFERROR(__xludf.DUMMYFUNCTION("""COMPUTED_VALUE"""),"#35")</f>
        <v>#35</v>
      </c>
      <c r="C19" s="63">
        <f ca="1">IFERROR(__xludf.DUMMYFUNCTION("""COMPUTED_VALUE"""),46073.4173611111)</f>
        <v>46073.417361111096</v>
      </c>
      <c r="D19" s="65">
        <f ca="1">IFERROR(__xludf.DUMMYFUNCTION("""COMPUTED_VALUE"""),4174.74)</f>
        <v>4174.74</v>
      </c>
      <c r="E19" s="17" t="str">
        <f ca="1">IFERROR(__xludf.DUMMYFUNCTION("""COMPUTED_VALUE"""),"USD")</f>
        <v>USD</v>
      </c>
      <c r="F19" s="17" t="str">
        <f ca="1">IFERROR(__xludf.DUMMYFUNCTION("""COMPUTED_VALUE"""),"Termis")</f>
        <v>Termis</v>
      </c>
      <c r="G19" s="17" t="str">
        <f ca="1">IFERROR(__xludf.DUMMYFUNCTION("""COMPUTED_VALUE"""),"FATHOM.VIDEO           SAN FRANCISCO USA")</f>
        <v>FATHOM.VIDEO           SAN FRANCISCO USA</v>
      </c>
      <c r="H19" s="17" t="str">
        <f ca="1">IFERROR(__xludf.DUMMYFUNCTION("""COMPUTED_VALUE"""),"Fathom.video")</f>
        <v>Fathom.video</v>
      </c>
      <c r="I19" s="17" t="str">
        <f ca="1">IFERROR(__xludf.DUMMYFUNCTION("""COMPUTED_VALUE"""),"Office expenses")</f>
        <v>Office expenses</v>
      </c>
      <c r="J19" s="17" t="str">
        <f ca="1">IFERROR(__xludf.DUMMYFUNCTION("""COMPUTED_VALUE"""),"Gasolina y casetas de visita de devs a Logrand")</f>
        <v>Gasolina y casetas de visita de devs a Logrand</v>
      </c>
      <c r="K19" s="17"/>
      <c r="L19" s="17"/>
      <c r="M19" s="17"/>
      <c r="N19" s="17"/>
      <c r="O19" s="17"/>
    </row>
    <row r="20" spans="1:15" ht="12.5">
      <c r="A20" s="17" t="str">
        <f ca="1">IFERROR(__xludf.DUMMYFUNCTION("""COMPUTED_VALUE"""),"TRX1216")</f>
        <v>TRX1216</v>
      </c>
      <c r="B20" s="86" t="str">
        <f ca="1">IFERROR(__xludf.DUMMYFUNCTION("""COMPUTED_VALUE"""),"#35")</f>
        <v>#35</v>
      </c>
      <c r="C20" s="63">
        <f ca="1">IFERROR(__xludf.DUMMYFUNCTION("""COMPUTED_VALUE"""),46079.4173611111)</f>
        <v>46079.417361111096</v>
      </c>
      <c r="D20" s="65">
        <f ca="1">IFERROR(__xludf.DUMMYFUNCTION("""COMPUTED_VALUE"""),790)</f>
        <v>790</v>
      </c>
      <c r="E20" s="17" t="str">
        <f ca="1">IFERROR(__xludf.DUMMYFUNCTION("""COMPUTED_VALUE"""),"MXN")</f>
        <v>MXN</v>
      </c>
      <c r="F20" s="17" t="str">
        <f ca="1">IFERROR(__xludf.DUMMYFUNCTION("""COMPUTED_VALUE"""),"Termis")</f>
        <v>Termis</v>
      </c>
      <c r="G20" s="17" t="str">
        <f ca="1">IFERROR(__xludf.DUMMYFUNCTION("""COMPUTED_VALUE"""),"CBA*AUTODESK           COLOGNE       DEU")</f>
        <v>CBA*AUTODESK           COLOGNE       DEU</v>
      </c>
      <c r="H20" s="17" t="str">
        <f ca="1">IFERROR(__xludf.DUMMYFUNCTION("""COMPUTED_VALUE"""),"Autodesk")</f>
        <v>Autodesk</v>
      </c>
      <c r="I20" s="17" t="str">
        <f ca="1">IFERROR(__xludf.DUMMYFUNCTION("""COMPUTED_VALUE"""),"G&amp;A expenses")</f>
        <v>G&amp;A expenses</v>
      </c>
      <c r="J20" s="17" t="str">
        <f ca="1">IFERROR(__xludf.DUMMYFUNCTION("""COMPUTED_VALUE"""),"Hotel viernes y sabado Karen y Pao")</f>
        <v>Hotel viernes y sabado Karen y Pao</v>
      </c>
      <c r="K20" s="17" t="str">
        <f ca="1">IFERROR(__xludf.DUMMYFUNCTION("""COMPUTED_VALUE"""),"CB0A79F5-3B96-E342-8F84-7A302E69E034")</f>
        <v>CB0A79F5-3B96-E342-8F84-7A302E69E034</v>
      </c>
      <c r="L20" s="17"/>
      <c r="M20" s="17"/>
      <c r="N20" s="17"/>
      <c r="O20" s="17"/>
    </row>
    <row r="21" spans="1:15" ht="12.5">
      <c r="A21" s="17"/>
      <c r="B21" s="24"/>
      <c r="C21" s="24"/>
      <c r="D21" s="17"/>
      <c r="E21" s="17"/>
      <c r="F21" s="17"/>
      <c r="G21" s="17"/>
      <c r="H21" s="17"/>
      <c r="I21" s="17" t="str">
        <f ca="1">IFERROR(__xludf.DUMMYFUNCTION("""COMPUTED_VALUE"""),"Tech&amp;Product")</f>
        <v>Tech&amp;Product</v>
      </c>
      <c r="J21" s="17" t="str">
        <f ca="1">IFERROR(__xludf.DUMMYFUNCTION("""COMPUTED_VALUE"""),"Licencia de Autocad para el equipo de HF")</f>
        <v>Licencia de Autocad para el equipo de HF</v>
      </c>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18" r:id="rId1" display="http://claude.ai/" xr:uid="{00000000-0004-0000-22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27" t="s">
        <v>2003</v>
      </c>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Sept'!$J$12:$J$1700=$A$2)"),"TRX1220")</f>
        <v>TRX1220</v>
      </c>
      <c r="B12" s="86" t="str">
        <f ca="1">IFERROR(__xludf.DUMMYFUNCTION("""COMPUTED_VALUE"""),"#40")</f>
        <v>#40</v>
      </c>
      <c r="C12" s="86">
        <f ca="1">IFERROR(__xludf.DUMMYFUNCTION("""COMPUTED_VALUE"""),46063.4166666666)</f>
        <v>46063.416666666599</v>
      </c>
      <c r="D12" s="65">
        <f ca="1">IFERROR(__xludf.DUMMYFUNCTION("FILTER('Edo Cta Jeeves Sept'!$G$12:$G$1300,'Edo Cta Jeeves Sept'!$J$12:$J$1300=$A$2)"),1159.99)</f>
        <v>1159.99</v>
      </c>
      <c r="E12" s="17" t="str">
        <f ca="1">IFERROR(__xludf.DUMMYFUNCTION("FILTER('Edo Cta Jeeves Sept'!$I$12:$I$1300,'Edo Cta Jeeves Sept'!$J$12:$J$1300=$A$2)"),"MXN")</f>
        <v>MXN</v>
      </c>
      <c r="F12" s="17" t="str">
        <f ca="1">IFERROR(__xludf.DUMMYFUNCTION("FILTER('Edo Cta Jeeves Sept'!$J$12:$J$1300,'Edo Cta Jeeves Sept'!$J$12:$J$1300=$A$2)"),"Gabriela Zacarias Aguirre")</f>
        <v>Gabriela Zacarias Aguirre</v>
      </c>
      <c r="G12" s="17" t="str">
        <f ca="1">IFERROR(__xludf.DUMMYFUNCTION("FILTER('Edo Cta Jeeves Sept'!$K$12:$L$1300,'Edo Cta Jeeves Sept'!$J$12:$J$1300=$A$2)"),"PPROMEX*LINKEDIN       CIUDAD DE MEX MEX")</f>
        <v>PPROMEX*LINKEDIN       CIUDAD DE MEX MEX</v>
      </c>
      <c r="H12" s="17" t="str">
        <f ca="1">IFERROR(__xludf.DUMMYFUNCTION("""COMPUTED_VALUE"""),"Linkedin")</f>
        <v>Linkedin</v>
      </c>
      <c r="I12" s="17" t="str">
        <f ca="1">IFERROR(__xludf.DUMMYFUNCTION("IMPORTRANGE(""https://docs.google.com/spreadsheets/d/1zVUjK6-dUX8kLlxVIh7kZiHQM7QMlX8VoC_EKusCSa8/edit#gid=1404531132"",""I12:K80"")"),"Sales")</f>
        <v>Sales</v>
      </c>
      <c r="J12" s="17"/>
      <c r="K12" s="17" t="str">
        <f ca="1">IFERROR(__xludf.DUMMYFUNCTION("""COMPUTED_VALUE"""),".")</f>
        <v>.</v>
      </c>
      <c r="L12" s="17"/>
      <c r="M12" s="17"/>
      <c r="N12" s="17"/>
      <c r="O12" s="17"/>
    </row>
    <row r="13" spans="1:15" ht="15.75" customHeight="1">
      <c r="A13" s="24" t="str">
        <f ca="1">IFERROR(__xludf.DUMMYFUNCTION("""COMPUTED_VALUE"""),"TRX1301")</f>
        <v>TRX1301</v>
      </c>
      <c r="B13" s="86" t="str">
        <f ca="1">IFERROR(__xludf.DUMMYFUNCTION("""COMPUTED_VALUE"""),"#40")</f>
        <v>#40</v>
      </c>
      <c r="C13" s="63">
        <f ca="1">IFERROR(__xludf.DUMMYFUNCTION("""COMPUTED_VALUE"""),46065.4166666666)</f>
        <v>46065.416666666599</v>
      </c>
      <c r="D13" s="65">
        <f ca="1">IFERROR(__xludf.DUMMYFUNCTION("""COMPUTED_VALUE"""),650)</f>
        <v>650</v>
      </c>
      <c r="E13" s="17" t="str">
        <f ca="1">IFERROR(__xludf.DUMMYFUNCTION("""COMPUTED_VALUE"""),"MXN")</f>
        <v>MXN</v>
      </c>
      <c r="F13" s="17" t="str">
        <f ca="1">IFERROR(__xludf.DUMMYFUNCTION("""COMPUTED_VALUE"""),"Gabriela Zacarias Aguirre")</f>
        <v>Gabriela Zacarias Aguirre</v>
      </c>
      <c r="G13" s="17" t="str">
        <f ca="1">IFERROR(__xludf.DUMMYFUNCTION("""COMPUTED_VALUE"""),"ZTL*TRANSPORTESEJECUTI MEXICO        MEX")</f>
        <v>ZTL*TRANSPORTESEJECUTI MEXICO        MEX</v>
      </c>
      <c r="H13" s="17" t="str">
        <f ca="1">IFERROR(__xludf.DUMMYFUNCTION("""COMPUTED_VALUE"""),"Transportesejecuti Mexico Mex")</f>
        <v>Transportesejecuti Mexico Mex</v>
      </c>
      <c r="I13" s="17" t="str">
        <f ca="1">IFERROR(__xludf.DUMMYFUNCTION("""COMPUTED_VALUE"""),"Sales")</f>
        <v>Sales</v>
      </c>
      <c r="J13" s="17" t="str">
        <f ca="1">IFERROR(__xludf.DUMMYFUNCTION("""COMPUTED_VALUE"""),"Linkedin sales navigator para outreach")</f>
        <v>Linkedin sales navigator para outreach</v>
      </c>
      <c r="K13" s="17" t="str">
        <f ca="1">IFERROR(__xludf.DUMMYFUNCTION("""COMPUTED_VALUE"""),".")</f>
        <v>.</v>
      </c>
      <c r="L13" s="17"/>
      <c r="M13" s="17"/>
      <c r="N13" s="17"/>
      <c r="O13" s="17"/>
    </row>
    <row r="14" spans="1:15" ht="15.75" customHeight="1">
      <c r="A14" s="24" t="str">
        <f ca="1">IFERROR(__xludf.DUMMYFUNCTION("""COMPUTED_VALUE"""),"TRX1299")</f>
        <v>TRX1299</v>
      </c>
      <c r="B14" s="86" t="str">
        <f ca="1">IFERROR(__xludf.DUMMYFUNCTION("""COMPUTED_VALUE"""),"#40")</f>
        <v>#40</v>
      </c>
      <c r="C14" s="63">
        <f ca="1">IFERROR(__xludf.DUMMYFUNCTION("""COMPUTED_VALUE"""),46065.4173611111)</f>
        <v>46065.417361111096</v>
      </c>
      <c r="D14" s="65">
        <f ca="1">IFERROR(__xludf.DUMMYFUNCTION("""COMPUTED_VALUE"""),477)</f>
        <v>477</v>
      </c>
      <c r="E14" s="17" t="str">
        <f ca="1">IFERROR(__xludf.DUMMYFUNCTION("""COMPUTED_VALUE"""),"MXN")</f>
        <v>MXN</v>
      </c>
      <c r="F14" s="17" t="str">
        <f ca="1">IFERROR(__xludf.DUMMYFUNCTION("""COMPUTED_VALUE"""),"Gabriela Zacarias Aguirre")</f>
        <v>Gabriela Zacarias Aguirre</v>
      </c>
      <c r="G14" s="17" t="str">
        <f ca="1">IFERROR(__xludf.DUMMYFUNCTION("""COMPUTED_VALUE"""),"REST LOCAL 16          CIUDAD DE MEX MEX")</f>
        <v>REST LOCAL 16          CIUDAD DE MEX MEX</v>
      </c>
      <c r="H14" s="17" t="str">
        <f ca="1">IFERROR(__xludf.DUMMYFUNCTION("""COMPUTED_VALUE"""),"Rest Local 16 Ciudad De Mex Mex")</f>
        <v>Rest Local 16 Ciudad De Mex Mex</v>
      </c>
      <c r="I14" s="17" t="str">
        <f ca="1">IFERROR(__xludf.DUMMYFUNCTION("""COMPUTED_VALUE"""),"Sales")</f>
        <v>Sales</v>
      </c>
      <c r="J14" s="17" t="str">
        <f ca="1">IFERROR(__xludf.DUMMYFUNCTION("""COMPUTED_VALUE"""),"Chat GPT 4 para canales y marketing")</f>
        <v>Chat GPT 4 para canales y marketing</v>
      </c>
      <c r="K14" s="17" t="str">
        <f ca="1">IFERROR(__xludf.DUMMYFUNCTION("""COMPUTED_VALUE"""),".")</f>
        <v>.</v>
      </c>
      <c r="L14" s="17"/>
      <c r="M14" s="17"/>
      <c r="N14" s="17"/>
      <c r="O14" s="17"/>
    </row>
    <row r="15" spans="1:15" ht="15.75" customHeight="1">
      <c r="A15" s="24" t="str">
        <f ca="1">IFERROR(__xludf.DUMMYFUNCTION("""COMPUTED_VALUE"""),"TRX1935")</f>
        <v>TRX1935</v>
      </c>
      <c r="B15" s="86" t="str">
        <f ca="1">IFERROR(__xludf.DUMMYFUNCTION("""COMPUTED_VALUE"""),"#40")</f>
        <v>#40</v>
      </c>
      <c r="C15" s="63">
        <f ca="1">IFERROR(__xludf.DUMMYFUNCTION("""COMPUTED_VALUE"""),46066.4173611111)</f>
        <v>46066.417361111096</v>
      </c>
      <c r="D15" s="65">
        <f ca="1">IFERROR(__xludf.DUMMYFUNCTION("""COMPUTED_VALUE"""),2139)</f>
        <v>2139</v>
      </c>
      <c r="E15" s="17" t="str">
        <f ca="1">IFERROR(__xludf.DUMMYFUNCTION("""COMPUTED_VALUE"""),"MXN")</f>
        <v>MXN</v>
      </c>
      <c r="F15" s="17" t="str">
        <f ca="1">IFERROR(__xludf.DUMMYFUNCTION("""COMPUTED_VALUE"""),"Gabriela Zacarias Aguirre")</f>
        <v>Gabriela Zacarias Aguirre</v>
      </c>
      <c r="G15" s="17" t="str">
        <f ca="1">IFERROR(__xludf.DUMMYFUNCTION("""COMPUTED_VALUE"""),"REST OPER SHUF         CIUDAD DE MEX MEX")</f>
        <v>REST OPER SHUF         CIUDAD DE MEX MEX</v>
      </c>
      <c r="H15" s="17" t="str">
        <f ca="1">IFERROR(__xludf.DUMMYFUNCTION("""COMPUTED_VALUE"""),"Rest Oper Shuf Ciudad De Mex Mex")</f>
        <v>Rest Oper Shuf Ciudad De Mex Mex</v>
      </c>
      <c r="I15" s="17" t="str">
        <f ca="1">IFERROR(__xludf.DUMMYFUNCTION("""COMPUTED_VALUE"""),"Sales")</f>
        <v>Sales</v>
      </c>
      <c r="J15" s="17"/>
      <c r="K15" s="17" t="str">
        <f ca="1">IFERROR(__xludf.DUMMYFUNCTION("""COMPUTED_VALUE"""),".")</f>
        <v>.</v>
      </c>
      <c r="L15" s="17"/>
      <c r="M15" s="17"/>
      <c r="N15" s="17"/>
      <c r="O15" s="17"/>
    </row>
    <row r="16" spans="1:15" ht="15.75" customHeight="1">
      <c r="A16" s="17" t="str">
        <f ca="1">IFERROR(__xludf.DUMMYFUNCTION("""COMPUTED_VALUE"""),"TRX1649")</f>
        <v>TRX1649</v>
      </c>
      <c r="B16" s="86" t="str">
        <f ca="1">IFERROR(__xludf.DUMMYFUNCTION("""COMPUTED_VALUE"""),"#40")</f>
        <v>#40</v>
      </c>
      <c r="C16" s="63">
        <f ca="1">IFERROR(__xludf.DUMMYFUNCTION("""COMPUTED_VALUE"""),46067.4166666666)</f>
        <v>46067.416666666599</v>
      </c>
      <c r="D16" s="65">
        <f ca="1">IFERROR(__xludf.DUMMYFUNCTION("""COMPUTED_VALUE"""),680.8)</f>
        <v>680.8</v>
      </c>
      <c r="E16" s="17" t="str">
        <f ca="1">IFERROR(__xludf.DUMMYFUNCTION("""COMPUTED_VALUE"""),"MXN")</f>
        <v>MXN</v>
      </c>
      <c r="F16" s="17" t="str">
        <f ca="1">IFERROR(__xludf.DUMMYFUNCTION("""COMPUTED_VALUE"""),"Gabriela Zacarias Aguirre")</f>
        <v>Gabriela Zacarias Aguirre</v>
      </c>
      <c r="G16" s="17" t="str">
        <f ca="1">IFERROR(__xludf.DUMMYFUNCTION("""COMPUTED_VALUE"""),"CLIP MX*REST SAKS REFO MIGUEL HIDALG MEX")</f>
        <v>CLIP MX*REST SAKS REFO MIGUEL HIDALG MEX</v>
      </c>
      <c r="H16" s="17" t="str">
        <f ca="1">IFERROR(__xludf.DUMMYFUNCTION("""COMPUTED_VALUE"""),"Clip Mx Rest Saks Refo Miguel Hidalg Mex")</f>
        <v>Clip Mx Rest Saks Refo Miguel Hidalg Mex</v>
      </c>
      <c r="I16" s="17" t="str">
        <f ca="1">IFERROR(__xludf.DUMMYFUNCTION("""COMPUTED_VALUE"""),"Sales")</f>
        <v>Sales</v>
      </c>
      <c r="J16" s="17"/>
      <c r="K16" s="17" t="str">
        <f ca="1">IFERROR(__xludf.DUMMYFUNCTION("""COMPUTED_VALUE"""),".")</f>
        <v>.</v>
      </c>
      <c r="L16" s="17"/>
      <c r="M16" s="17"/>
      <c r="N16" s="17"/>
      <c r="O16" s="17"/>
    </row>
    <row r="17" spans="1:15" ht="15.75" customHeight="1">
      <c r="A17" s="17" t="str">
        <f ca="1">IFERROR(__xludf.DUMMYFUNCTION("""COMPUTED_VALUE"""),"TRX1806")</f>
        <v>TRX1806</v>
      </c>
      <c r="B17" s="86" t="str">
        <f ca="1">IFERROR(__xludf.DUMMYFUNCTION("""COMPUTED_VALUE"""),"#40")</f>
        <v>#40</v>
      </c>
      <c r="C17" s="63">
        <f ca="1">IFERROR(__xludf.DUMMYFUNCTION("""COMPUTED_VALUE"""),46068.4173611111)</f>
        <v>46068.417361111096</v>
      </c>
      <c r="D17" s="65">
        <f ca="1">IFERROR(__xludf.DUMMYFUNCTION("""COMPUTED_VALUE"""),2508.27)</f>
        <v>2508.27</v>
      </c>
      <c r="E17" s="17" t="str">
        <f ca="1">IFERROR(__xludf.DUMMYFUNCTION("""COMPUTED_VALUE"""),"USD")</f>
        <v>USD</v>
      </c>
      <c r="F17" s="17" t="str">
        <f ca="1">IFERROR(__xludf.DUMMYFUNCTION("""COMPUTED_VALUE"""),"Gabriela Zacarias Aguirre")</f>
        <v>Gabriela Zacarias Aguirre</v>
      </c>
      <c r="G17" s="17" t="str">
        <f ca="1">IFERROR(__xludf.DUMMYFUNCTION("""COMPUTED_VALUE"""),"LinkedIn SN P111195019 LINKEDIN.COM  IRL")</f>
        <v>LinkedIn SN P111195019 LINKEDIN.COM  IRL</v>
      </c>
      <c r="H17" s="17" t="str">
        <f ca="1">IFERROR(__xludf.DUMMYFUNCTION("""COMPUTED_VALUE"""),"Linkedin")</f>
        <v>Linkedin</v>
      </c>
      <c r="I17" s="17"/>
      <c r="J17" s="17"/>
      <c r="K17" s="17" t="str">
        <f ca="1">IFERROR(__xludf.DUMMYFUNCTION("""COMPUTED_VALUE"""),".")</f>
        <v>.</v>
      </c>
      <c r="L17" s="17"/>
      <c r="M17" s="17"/>
      <c r="N17" s="17"/>
      <c r="O17" s="17"/>
    </row>
    <row r="18" spans="1:15" ht="15.75" customHeight="1">
      <c r="A18" s="17" t="str">
        <f ca="1">IFERROR(__xludf.DUMMYFUNCTION("""COMPUTED_VALUE"""),"TRX1487")</f>
        <v>TRX1487</v>
      </c>
      <c r="B18" s="86" t="str">
        <f ca="1">IFERROR(__xludf.DUMMYFUNCTION("""COMPUTED_VALUE"""),"#40")</f>
        <v>#40</v>
      </c>
      <c r="C18" s="63">
        <f ca="1">IFERROR(__xludf.DUMMYFUNCTION("""COMPUTED_VALUE"""),46069.4166666666)</f>
        <v>46069.416666666599</v>
      </c>
      <c r="D18" s="65">
        <f ca="1">IFERROR(__xludf.DUMMYFUNCTION("""COMPUTED_VALUE"""),359.99)</f>
        <v>359.99</v>
      </c>
      <c r="E18" s="17" t="str">
        <f ca="1">IFERROR(__xludf.DUMMYFUNCTION("""COMPUTED_VALUE"""),"USD")</f>
        <v>USD</v>
      </c>
      <c r="F18" s="17" t="str">
        <f ca="1">IFERROR(__xludf.DUMMYFUNCTION("""COMPUTED_VALUE"""),"Gabriela Zacarias Aguirre")</f>
        <v>Gabriela Zacarias Aguirre</v>
      </c>
      <c r="G18" s="17" t="str">
        <f ca="1">IFERROR(__xludf.DUMMYFUNCTION("""COMPUTED_VALUE"""),"OPENAI *CHATGPT SUBSCR SAN FRANCISCO USA")</f>
        <v>OPENAI *CHATGPT SUBSCR SAN FRANCISCO USA</v>
      </c>
      <c r="H18" s="17" t="str">
        <f ca="1">IFERROR(__xludf.DUMMYFUNCTION("""COMPUTED_VALUE"""),"Openai")</f>
        <v>Openai</v>
      </c>
      <c r="I18" s="17"/>
      <c r="J18" s="17"/>
      <c r="K18" s="17" t="str">
        <f ca="1">IFERROR(__xludf.DUMMYFUNCTION("""COMPUTED_VALUE"""),".")</f>
        <v>.</v>
      </c>
      <c r="L18" s="17"/>
      <c r="M18" s="17"/>
      <c r="N18" s="17"/>
      <c r="O18" s="17"/>
    </row>
    <row r="19" spans="1:15" ht="15.75" customHeight="1">
      <c r="A19" s="17" t="str">
        <f ca="1">IFERROR(__xludf.DUMMYFUNCTION("""COMPUTED_VALUE"""),"TRX1182")</f>
        <v>TRX1182</v>
      </c>
      <c r="B19" s="86" t="str">
        <f ca="1">IFERROR(__xludf.DUMMYFUNCTION("""COMPUTED_VALUE"""),"#40")</f>
        <v>#40</v>
      </c>
      <c r="C19" s="63">
        <f ca="1">IFERROR(__xludf.DUMMYFUNCTION("""COMPUTED_VALUE"""),46070.4166666666)</f>
        <v>46070.416666666599</v>
      </c>
      <c r="D19" s="65">
        <f ca="1">IFERROR(__xludf.DUMMYFUNCTION("""COMPUTED_VALUE"""),359.99)</f>
        <v>359.99</v>
      </c>
      <c r="E19" s="17" t="str">
        <f ca="1">IFERROR(__xludf.DUMMYFUNCTION("""COMPUTED_VALUE"""),"USD")</f>
        <v>USD</v>
      </c>
      <c r="F19" s="17" t="str">
        <f ca="1">IFERROR(__xludf.DUMMYFUNCTION("""COMPUTED_VALUE"""),"Gabriela Zacarias Aguirre")</f>
        <v>Gabriela Zacarias Aguirre</v>
      </c>
      <c r="G19" s="17" t="str">
        <f ca="1">IFERROR(__xludf.DUMMYFUNCTION("""COMPUTED_VALUE"""),"OPENAI *CHATGPT SUBSCR SAN FRANCISCO USA")</f>
        <v>OPENAI *CHATGPT SUBSCR SAN FRANCISCO USA</v>
      </c>
      <c r="H19" s="17" t="str">
        <f ca="1">IFERROR(__xludf.DUMMYFUNCTION("""COMPUTED_VALUE"""),"Openai")</f>
        <v>Openai</v>
      </c>
      <c r="I19" s="17"/>
      <c r="J19" s="17"/>
      <c r="K19" s="17" t="str">
        <f ca="1">IFERROR(__xludf.DUMMYFUNCTION("""COMPUTED_VALUE"""),".")</f>
        <v>.</v>
      </c>
      <c r="L19" s="17"/>
      <c r="M19" s="17"/>
      <c r="N19" s="17"/>
      <c r="O19" s="17"/>
    </row>
    <row r="20" spans="1:15" ht="12.5">
      <c r="A20" s="17" t="str">
        <f ca="1">IFERROR(__xludf.DUMMYFUNCTION("""COMPUTED_VALUE"""),"TRX1192")</f>
        <v>TRX1192</v>
      </c>
      <c r="B20" s="86" t="str">
        <f ca="1">IFERROR(__xludf.DUMMYFUNCTION("""COMPUTED_VALUE"""),"#40")</f>
        <v>#40</v>
      </c>
      <c r="C20" s="63">
        <f ca="1">IFERROR(__xludf.DUMMYFUNCTION("""COMPUTED_VALUE"""),46071.4173611111)</f>
        <v>46071.417361111096</v>
      </c>
      <c r="D20" s="65">
        <f ca="1">IFERROR(__xludf.DUMMYFUNCTION("""COMPUTED_VALUE"""),206)</f>
        <v>206</v>
      </c>
      <c r="E20" s="17" t="str">
        <f ca="1">IFERROR(__xludf.DUMMYFUNCTION("""COMPUTED_VALUE"""),"MXN")</f>
        <v>MXN</v>
      </c>
      <c r="F20" s="17" t="str">
        <f ca="1">IFERROR(__xludf.DUMMYFUNCTION("""COMPUTED_VALUE"""),"Gabriela Zacarias Aguirre")</f>
        <v>Gabriela Zacarias Aguirre</v>
      </c>
      <c r="G20" s="17" t="str">
        <f ca="1">IFERROR(__xludf.DUMMYFUNCTION("""COMPUTED_VALUE"""),"MITSPUG*EST HOTEL HYAT MIGUEL HIDALG MEX")</f>
        <v>MITSPUG*EST HOTEL HYAT MIGUEL HIDALG MEX</v>
      </c>
      <c r="H20" s="17" t="str">
        <f ca="1">IFERROR(__xludf.DUMMYFUNCTION("""COMPUTED_VALUE"""),"Mitspug Est Hotel Hyat Miguel Hidalg Mex")</f>
        <v>Mitspug Est Hotel Hyat Miguel Hidalg Mex</v>
      </c>
      <c r="I20" s="17"/>
      <c r="J20" s="17"/>
      <c r="K20" s="17" t="str">
        <f ca="1">IFERROR(__xludf.DUMMYFUNCTION("""COMPUTED_VALUE"""),".")</f>
        <v>.</v>
      </c>
      <c r="L20" s="17"/>
      <c r="M20" s="17"/>
      <c r="N20" s="17"/>
      <c r="O20" s="17"/>
    </row>
    <row r="21" spans="1:15" ht="12.5">
      <c r="A21" s="17" t="str">
        <f ca="1">IFERROR(__xludf.DUMMYFUNCTION("""COMPUTED_VALUE"""),"TRX1807")</f>
        <v>TRX1807</v>
      </c>
      <c r="B21" s="86" t="str">
        <f ca="1">IFERROR(__xludf.DUMMYFUNCTION("""COMPUTED_VALUE"""),"#40")</f>
        <v>#40</v>
      </c>
      <c r="C21" s="63">
        <f ca="1">IFERROR(__xludf.DUMMYFUNCTION("""COMPUTED_VALUE"""),46073.4166666666)</f>
        <v>46073.416666666599</v>
      </c>
      <c r="D21" s="65">
        <f ca="1">IFERROR(__xludf.DUMMYFUNCTION("""COMPUTED_VALUE"""),2987)</f>
        <v>2987</v>
      </c>
      <c r="E21" s="17" t="str">
        <f ca="1">IFERROR(__xludf.DUMMYFUNCTION("""COMPUTED_VALUE"""),"MXN")</f>
        <v>MXN</v>
      </c>
      <c r="F21" s="17" t="str">
        <f ca="1">IFERROR(__xludf.DUMMYFUNCTION("""COMPUTED_VALUE"""),"Gabriela Zacarias Aguirre")</f>
        <v>Gabriela Zacarias Aguirre</v>
      </c>
      <c r="G21" s="17" t="str">
        <f ca="1">IFERROR(__xludf.DUMMYFUNCTION("""COMPUTED_VALUE"""),"VOLARIS MOTO DEB 2     CIUDAD DE MEX MEX")</f>
        <v>VOLARIS MOTO DEB 2     CIUDAD DE MEX MEX</v>
      </c>
      <c r="H21" s="17" t="str">
        <f ca="1">IFERROR(__xludf.DUMMYFUNCTION("""COMPUTED_VALUE"""),"Volaris")</f>
        <v>Volaris</v>
      </c>
      <c r="I21" s="17"/>
      <c r="J21" s="17"/>
      <c r="K21" s="17" t="str">
        <f ca="1">IFERROR(__xludf.DUMMYFUNCTION("""COMPUTED_VALUE"""),".")</f>
        <v>.</v>
      </c>
      <c r="L21" s="17"/>
      <c r="M21" s="17"/>
      <c r="N21" s="17"/>
      <c r="O21" s="17"/>
    </row>
    <row r="22" spans="1:15" ht="12.5">
      <c r="A22" s="17" t="str">
        <f ca="1">IFERROR(__xludf.DUMMYFUNCTION("""COMPUTED_VALUE"""),"TRX1052")</f>
        <v>TRX1052</v>
      </c>
      <c r="B22" s="86" t="str">
        <f ca="1">IFERROR(__xludf.DUMMYFUNCTION("""COMPUTED_VALUE"""),"#40")</f>
        <v>#40</v>
      </c>
      <c r="C22" s="63">
        <f ca="1">IFERROR(__xludf.DUMMYFUNCTION("""COMPUTED_VALUE"""),46073.4166666666)</f>
        <v>46073.416666666599</v>
      </c>
      <c r="D22" s="65">
        <f ca="1">IFERROR(__xludf.DUMMYFUNCTION("""COMPUTED_VALUE"""),13250)</f>
        <v>13250</v>
      </c>
      <c r="E22" s="17" t="str">
        <f ca="1">IFERROR(__xludf.DUMMYFUNCTION("""COMPUTED_VALUE"""),"MXN")</f>
        <v>MXN</v>
      </c>
      <c r="F22" s="17" t="str">
        <f ca="1">IFERROR(__xludf.DUMMYFUNCTION("""COMPUTED_VALUE"""),"Gabriela Zacarias Aguirre")</f>
        <v>Gabriela Zacarias Aguirre</v>
      </c>
      <c r="G22" s="17" t="str">
        <f ca="1">IFERROR(__xludf.DUMMYFUNCTION("""COMPUTED_VALUE"""),"VOLARIS MOTO DEB 2     CIUDAD DE MEX MEX")</f>
        <v>VOLARIS MOTO DEB 2     CIUDAD DE MEX MEX</v>
      </c>
      <c r="H22" s="17" t="str">
        <f ca="1">IFERROR(__xludf.DUMMYFUNCTION("""COMPUTED_VALUE"""),"Volaris")</f>
        <v>Volaris</v>
      </c>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Sept'!$A$12:$C$1700,'Edo Cta Jeeves Sept'!$J$12:$J$1700=$A$2)"),"TRX1916")</f>
        <v>TRX1916</v>
      </c>
      <c r="B12" s="112" t="str">
        <f ca="1">IFERROR(__xludf.DUMMYFUNCTION("""COMPUTED_VALUE"""),"#41")</f>
        <v>#41</v>
      </c>
      <c r="C12" s="112">
        <f ca="1">IFERROR(__xludf.DUMMYFUNCTION("""COMPUTED_VALUE"""),46065.4166666666)</f>
        <v>46065.416666666599</v>
      </c>
      <c r="D12" s="113">
        <f ca="1">IFERROR(__xludf.DUMMYFUNCTION("FILTER('Edo Cta Jeeves Sept'!$G$12:$G$1700,'Edo Cta Jeeves Sept'!$J$12:$J$1700=$A$2)"),1336)</f>
        <v>1336</v>
      </c>
      <c r="E12" s="90" t="str">
        <f ca="1">IFERROR(__xludf.DUMMYFUNCTION("FILTER('Edo Cta Jeeves Sept'!$I$12:$I$1700,'Edo Cta Jeeves Sept'!$J$12:$J$1700=$A$2)"),"MXN")</f>
        <v>MXN</v>
      </c>
      <c r="F12" s="90" t="str">
        <f ca="1">IFERROR(__xludf.DUMMYFUNCTION("FILTER('Edo Cta Jeeves Sept'!$J$12:$J$1700,'Edo Cta Jeeves Sept'!$J$12:$J$1700=$A$2)"),"Jose Arechavala")</f>
        <v>Jose Arechavala</v>
      </c>
      <c r="G12" s="90" t="str">
        <f ca="1">IFERROR(__xludf.DUMMYFUNCTION("FILTER('Edo Cta Jeeves Sept'!$K$12:$L$1700,'Edo Cta Jeeves Sept'!$J$12:$J$1700=$A$2)"),"ESTACION RAQUELITO     CIUDAD DE MEX MEX")</f>
        <v>ESTACION RAQUELITO     CIUDAD DE MEX MEX</v>
      </c>
      <c r="H12" s="90" t="str">
        <f ca="1">IFERROR(__xludf.DUMMYFUNCTION("""COMPUTED_VALUE"""),"Estacion Raquelito Ciudad De Mex Mex")</f>
        <v>Estacion Raquelito Ciudad De Mex Mex</v>
      </c>
      <c r="I12" s="90" t="str">
        <f ca="1">IFERROR(__xludf.DUMMYFUNCTION("IMPORTRANGE(""https://docs.google.com/spreadsheets/d/1pRSdzxDSKOIQ5nTUytV7Y1sYbEzjxXBwBKuOVuHCh-U/edit#gid=1404531132"",""I12:K80"")"),"Transaction cost")</f>
        <v>Transaction cost</v>
      </c>
      <c r="J12" s="90" t="str">
        <f ca="1">IFERROR(__xludf.DUMMYFUNCTION("""COMPUTED_VALUE"""),"Viáticos Valle de Bravo, PO 1954")</f>
        <v>Viáticos Valle de Bravo, PO 1954</v>
      </c>
      <c r="K12" s="90" t="str">
        <f ca="1">IFERROR(__xludf.DUMMYFUNCTION("""COMPUTED_VALUE"""),"No se pudo facturar")</f>
        <v>No se pudo facturar</v>
      </c>
      <c r="L12" s="17"/>
      <c r="M12" s="17"/>
      <c r="N12" s="17"/>
      <c r="O12" s="17"/>
    </row>
    <row r="13" spans="1:15" ht="15.75" customHeight="1">
      <c r="A13" s="111" t="str">
        <f ca="1">IFERROR(__xludf.DUMMYFUNCTION("""COMPUTED_VALUE"""),"TRX1664")</f>
        <v>TRX1664</v>
      </c>
      <c r="B13" s="112" t="str">
        <f ca="1">IFERROR(__xludf.DUMMYFUNCTION("""COMPUTED_VALUE"""),"#41")</f>
        <v>#41</v>
      </c>
      <c r="C13" s="114">
        <f ca="1">IFERROR(__xludf.DUMMYFUNCTION("""COMPUTED_VALUE"""),46065.4166666666)</f>
        <v>46065.416666666599</v>
      </c>
      <c r="D13" s="113">
        <f ca="1">IFERROR(__xludf.DUMMYFUNCTION("""COMPUTED_VALUE"""),1000)</f>
        <v>1000</v>
      </c>
      <c r="E13" s="90" t="str">
        <f ca="1">IFERROR(__xludf.DUMMYFUNCTION("""COMPUTED_VALUE"""),"MXN")</f>
        <v>MXN</v>
      </c>
      <c r="F13" s="90" t="str">
        <f ca="1">IFERROR(__xludf.DUMMYFUNCTION("""COMPUTED_VALUE"""),"Jose Arechavala")</f>
        <v>Jose Arechavala</v>
      </c>
      <c r="G13" s="90" t="str">
        <f ca="1">IFERROR(__xludf.DUMMYFUNCTION("""COMPUTED_VALUE"""),"RECARGA PASE TUTAG     CIUDAD DE MEX MEX")</f>
        <v>RECARGA PASE TUTAG     CIUDAD DE MEX MEX</v>
      </c>
      <c r="H13" s="90" t="str">
        <f ca="1">IFERROR(__xludf.DUMMYFUNCTION("""COMPUTED_VALUE"""),"Recarga Pase Tutag Ciudad De Mex Mex")</f>
        <v>Recarga Pase Tutag Ciudad De Mex Mex</v>
      </c>
      <c r="I13" s="90" t="str">
        <f ca="1">IFERROR(__xludf.DUMMYFUNCTION("""COMPUTED_VALUE"""),"Transaction cost")</f>
        <v>Transaction cost</v>
      </c>
      <c r="J13" s="90" t="str">
        <f ca="1">IFERROR(__xludf.DUMMYFUNCTION("""COMPUTED_VALUE"""),"Viáticos Valle de Bravo, PO 1954")</f>
        <v>Viáticos Valle de Bravo, PO 1954</v>
      </c>
      <c r="K13" s="90" t="str">
        <f ca="1">IFERROR(__xludf.DUMMYFUNCTION("""COMPUTED_VALUE"""),"EEE2B6B7-98BE-400F-B10D-E6F21CC6A9D6")</f>
        <v>EEE2B6B7-98BE-400F-B10D-E6F21CC6A9D6</v>
      </c>
      <c r="L13" s="17"/>
      <c r="M13" s="17"/>
      <c r="N13" s="17"/>
      <c r="O13" s="17"/>
    </row>
    <row r="14" spans="1:15" ht="15.75" customHeight="1">
      <c r="A14" s="120" t="str">
        <f ca="1">IFERROR(__xludf.DUMMYFUNCTION("""COMPUTED_VALUE"""),"TRX1017")</f>
        <v>TRX1017</v>
      </c>
      <c r="B14" s="121" t="str">
        <f ca="1">IFERROR(__xludf.DUMMYFUNCTION("""COMPUTED_VALUE"""),"#41")</f>
        <v>#41</v>
      </c>
      <c r="C14" s="122">
        <f ca="1">IFERROR(__xludf.DUMMYFUNCTION("""COMPUTED_VALUE"""),46067.4166666666)</f>
        <v>46067.416666666599</v>
      </c>
      <c r="D14" s="123">
        <f ca="1">IFERROR(__xludf.DUMMYFUNCTION("""COMPUTED_VALUE"""),300.56)</f>
        <v>300.56</v>
      </c>
      <c r="E14" s="124" t="str">
        <f ca="1">IFERROR(__xludf.DUMMYFUNCTION("""COMPUTED_VALUE"""),"MXN")</f>
        <v>MXN</v>
      </c>
      <c r="F14" s="124" t="str">
        <f ca="1">IFERROR(__xludf.DUMMYFUNCTION("""COMPUTED_VALUE"""),"Jose Arechavala")</f>
        <v>Jose Arechavala</v>
      </c>
      <c r="G14" s="124" t="str">
        <f ca="1">IFERROR(__xludf.DUMMYFUNCTION("""COMPUTED_VALUE"""),"UBER *TRIP HELP.UBER.C CMX           MEX")</f>
        <v>UBER *TRIP HELP.UBER.C CMX           MEX</v>
      </c>
      <c r="H14" s="124" t="str">
        <f ca="1">IFERROR(__xludf.DUMMYFUNCTION("""COMPUTED_VALUE"""),"Uber")</f>
        <v>Uber</v>
      </c>
      <c r="I14" s="124" t="str">
        <f ca="1">IFERROR(__xludf.DUMMYFUNCTION("""COMPUTED_VALUE"""),"Sales")</f>
        <v>Sales</v>
      </c>
      <c r="J14" s="124" t="str">
        <f ca="1">IFERROR(__xludf.DUMMYFUNCTION("""COMPUTED_VALUE"""),"Visita showroom MP DIXY, sin PO")</f>
        <v>Visita showroom MP DIXY, sin PO</v>
      </c>
      <c r="K14" s="124" t="str">
        <f ca="1">IFERROR(__xludf.DUMMYFUNCTION("""COMPUTED_VALUE"""),"TU-0003190")</f>
        <v>TU-0003190</v>
      </c>
      <c r="L14" s="17"/>
      <c r="M14" s="17"/>
      <c r="N14" s="17"/>
      <c r="O14" s="17"/>
    </row>
    <row r="15" spans="1:15" ht="15.75" customHeight="1">
      <c r="A15" s="120" t="str">
        <f ca="1">IFERROR(__xludf.DUMMYFUNCTION("""COMPUTED_VALUE"""),"TRX1948")</f>
        <v>TRX1948</v>
      </c>
      <c r="B15" s="121" t="str">
        <f ca="1">IFERROR(__xludf.DUMMYFUNCTION("""COMPUTED_VALUE"""),"#41")</f>
        <v>#41</v>
      </c>
      <c r="C15" s="122">
        <f ca="1">IFERROR(__xludf.DUMMYFUNCTION("""COMPUTED_VALUE"""),46067.4166666666)</f>
        <v>46067.416666666599</v>
      </c>
      <c r="D15" s="123">
        <f ca="1">IFERROR(__xludf.DUMMYFUNCTION("""COMPUTED_VALUE"""),179.97)</f>
        <v>179.97</v>
      </c>
      <c r="E15" s="124" t="str">
        <f ca="1">IFERROR(__xludf.DUMMYFUNCTION("""COMPUTED_VALUE"""),"MXN")</f>
        <v>MXN</v>
      </c>
      <c r="F15" s="124" t="str">
        <f ca="1">IFERROR(__xludf.DUMMYFUNCTION("""COMPUTED_VALUE"""),"Jose Arechavala")</f>
        <v>Jose Arechavala</v>
      </c>
      <c r="G15" s="124" t="str">
        <f ca="1">IFERROR(__xludf.DUMMYFUNCTION("""COMPUTED_VALUE"""),"DLO*Uber               CDMX          MEX")</f>
        <v>DLO*Uber               CDMX          MEX</v>
      </c>
      <c r="H15" s="124" t="str">
        <f ca="1">IFERROR(__xludf.DUMMYFUNCTION("""COMPUTED_VALUE"""),"Uber")</f>
        <v>Uber</v>
      </c>
      <c r="I15" s="124" t="str">
        <f ca="1">IFERROR(__xludf.DUMMYFUNCTION("""COMPUTED_VALUE"""),"Sales")</f>
        <v>Sales</v>
      </c>
      <c r="J15" s="124" t="str">
        <f ca="1">IFERROR(__xludf.DUMMYFUNCTION("""COMPUTED_VALUE"""),"Visita showroom MP DIXY, sin PO")</f>
        <v>Visita showroom MP DIXY, sin PO</v>
      </c>
      <c r="K15" s="124" t="str">
        <f ca="1">IFERROR(__xludf.DUMMYFUNCTION("""COMPUTED_VALUE"""),"XMWSDT-I-0000193")</f>
        <v>XMWSDT-I-0000193</v>
      </c>
      <c r="L15" s="17"/>
      <c r="M15" s="17"/>
      <c r="N15" s="17"/>
      <c r="O15" s="17"/>
    </row>
    <row r="16" spans="1:15" ht="15.75" customHeight="1">
      <c r="A16" s="124" t="str">
        <f ca="1">IFERROR(__xludf.DUMMYFUNCTION("""COMPUTED_VALUE"""),"TRX1007")</f>
        <v>TRX1007</v>
      </c>
      <c r="B16" s="121" t="str">
        <f ca="1">IFERROR(__xludf.DUMMYFUNCTION("""COMPUTED_VALUE"""),"#41")</f>
        <v>#41</v>
      </c>
      <c r="C16" s="122">
        <f ca="1">IFERROR(__xludf.DUMMYFUNCTION("""COMPUTED_VALUE"""),46071.4166666666)</f>
        <v>46071.416666666599</v>
      </c>
      <c r="D16" s="123">
        <f ca="1">IFERROR(__xludf.DUMMYFUNCTION("""COMPUTED_VALUE"""),139.99)</f>
        <v>139.99</v>
      </c>
      <c r="E16" s="124" t="str">
        <f ca="1">IFERROR(__xludf.DUMMYFUNCTION("""COMPUTED_VALUE"""),"MXN")</f>
        <v>MXN</v>
      </c>
      <c r="F16" s="124" t="str">
        <f ca="1">IFERROR(__xludf.DUMMYFUNCTION("""COMPUTED_VALUE"""),"Jose Arechavala")</f>
        <v>Jose Arechavala</v>
      </c>
      <c r="G16" s="124" t="str">
        <f ca="1">IFERROR(__xludf.DUMMYFUNCTION("""COMPUTED_VALUE"""),"UBER *TRIP HELP.UBER.C CMX           MEX")</f>
        <v>UBER *TRIP HELP.UBER.C CMX           MEX</v>
      </c>
      <c r="H16" s="124" t="str">
        <f ca="1">IFERROR(__xludf.DUMMYFUNCTION("""COMPUTED_VALUE"""),"Uber")</f>
        <v>Uber</v>
      </c>
      <c r="I16" s="124" t="str">
        <f ca="1">IFERROR(__xludf.DUMMYFUNCTION("""COMPUTED_VALUE"""),"Transaction cost")</f>
        <v>Transaction cost</v>
      </c>
      <c r="J16" s="124" t="str">
        <f ca="1">IFERROR(__xludf.DUMMYFUNCTION("""COMPUTED_VALUE"""),"Envío muestras a MP, PO 1954")</f>
        <v>Envío muestras a MP, PO 1954</v>
      </c>
      <c r="K16" s="124" t="str">
        <f ca="1">IFERROR(__xludf.DUMMYFUNCTION("""COMPUTED_VALUE"""),"CJKQMT-I-0000296")</f>
        <v>CJKQMT-I-0000296</v>
      </c>
      <c r="L16" s="17"/>
      <c r="M16" s="17"/>
      <c r="N16" s="17"/>
      <c r="O16" s="17"/>
    </row>
    <row r="17" spans="1:15" ht="15.75" customHeight="1">
      <c r="A17" s="124" t="str">
        <f ca="1">IFERROR(__xludf.DUMMYFUNCTION("""COMPUTED_VALUE"""),"TRX1170")</f>
        <v>TRX1170</v>
      </c>
      <c r="B17" s="121" t="str">
        <f ca="1">IFERROR(__xludf.DUMMYFUNCTION("""COMPUTED_VALUE"""),"#41")</f>
        <v>#41</v>
      </c>
      <c r="C17" s="122">
        <f ca="1">IFERROR(__xludf.DUMMYFUNCTION("""COMPUTED_VALUE"""),46072.4166666666)</f>
        <v>46072.416666666599</v>
      </c>
      <c r="D17" s="123">
        <f ca="1">IFERROR(__xludf.DUMMYFUNCTION("""COMPUTED_VALUE"""),129.95)</f>
        <v>129.94999999999999</v>
      </c>
      <c r="E17" s="124" t="str">
        <f ca="1">IFERROR(__xludf.DUMMYFUNCTION("""COMPUTED_VALUE"""),"MXN")</f>
        <v>MXN</v>
      </c>
      <c r="F17" s="124" t="str">
        <f ca="1">IFERROR(__xludf.DUMMYFUNCTION("""COMPUTED_VALUE"""),"Jose Arechavala")</f>
        <v>Jose Arechavala</v>
      </c>
      <c r="G17" s="124" t="str">
        <f ca="1">IFERROR(__xludf.DUMMYFUNCTION("""COMPUTED_VALUE"""),"UBER * PENDING         CMX           MEX")</f>
        <v>UBER * PENDING         CMX           MEX</v>
      </c>
      <c r="H17" s="124" t="str">
        <f ca="1">IFERROR(__xludf.DUMMYFUNCTION("""COMPUTED_VALUE"""),"Uber")</f>
        <v>Uber</v>
      </c>
      <c r="I17" s="124" t="str">
        <f ca="1">IFERROR(__xludf.DUMMYFUNCTION("""COMPUTED_VALUE"""),"Transaction cost")</f>
        <v>Transaction cost</v>
      </c>
      <c r="J17" s="124" t="str">
        <f ca="1">IFERROR(__xludf.DUMMYFUNCTION("""COMPUTED_VALUE"""),"Envío muestras de MP, PO 1954")</f>
        <v>Envío muestras de MP, PO 1954</v>
      </c>
      <c r="K17" s="124" t="str">
        <f ca="1">IFERROR(__xludf.DUMMYFUNCTION("""COMPUTED_VALUE"""),"JCGNJF-I-0000747")</f>
        <v>JCGNJF-I-0000747</v>
      </c>
      <c r="L17" s="17"/>
      <c r="M17" s="17"/>
      <c r="N17" s="17"/>
      <c r="O17" s="17"/>
    </row>
    <row r="18" spans="1:15" ht="15.75" customHeight="1">
      <c r="A18" s="124" t="str">
        <f ca="1">IFERROR(__xludf.DUMMYFUNCTION("""COMPUTED_VALUE"""),"TRX1561")</f>
        <v>TRX1561</v>
      </c>
      <c r="B18" s="121" t="str">
        <f ca="1">IFERROR(__xludf.DUMMYFUNCTION("""COMPUTED_VALUE"""),"#41")</f>
        <v>#41</v>
      </c>
      <c r="C18" s="122">
        <f ca="1">IFERROR(__xludf.DUMMYFUNCTION("""COMPUTED_VALUE"""),46074.4166666666)</f>
        <v>46074.416666666599</v>
      </c>
      <c r="D18" s="123">
        <f ca="1">IFERROR(__xludf.DUMMYFUNCTION("""COMPUTED_VALUE"""),400)</f>
        <v>400</v>
      </c>
      <c r="E18" s="124" t="str">
        <f ca="1">IFERROR(__xludf.DUMMYFUNCTION("""COMPUTED_VALUE"""),"MXN")</f>
        <v>MXN</v>
      </c>
      <c r="F18" s="124" t="str">
        <f ca="1">IFERROR(__xludf.DUMMYFUNCTION("""COMPUTED_VALUE"""),"Jose Arechavala")</f>
        <v>Jose Arechavala</v>
      </c>
      <c r="G18" s="124" t="str">
        <f ca="1">IFERROR(__xludf.DUMMYFUNCTION("""COMPUTED_VALUE"""),"PAY PAL*SOFIASALUDS SO CIUDAD DE MEX MEX")</f>
        <v>PAY PAL*SOFIASALUDS SO CIUDAD DE MEX MEX</v>
      </c>
      <c r="H18" s="124" t="str">
        <f ca="1">IFERROR(__xludf.DUMMYFUNCTION("""COMPUTED_VALUE"""),"Pay Pal Sofiasaluds So Ciudad De Mex Mex")</f>
        <v>Pay Pal Sofiasaluds So Ciudad De Mex Mex</v>
      </c>
      <c r="I18" s="124" t="str">
        <f ca="1">IFERROR(__xludf.DUMMYFUNCTION("""COMPUTED_VALUE"""),"Transaction cost")</f>
        <v>Transaction cost</v>
      </c>
      <c r="J18" s="124" t="str">
        <f ca="1">IFERROR(__xludf.DUMMYFUNCTION("""COMPUTED_VALUE"""),"Cobro por error, sin PO")</f>
        <v>Cobro por error, sin PO</v>
      </c>
      <c r="K18" s="124" t="str">
        <f ca="1">IFERROR(__xludf.DUMMYFUNCTION("""COMPUTED_VALUE"""),"N/A")</f>
        <v>N/A</v>
      </c>
      <c r="L18" s="17"/>
      <c r="M18" s="17"/>
      <c r="N18" s="17"/>
      <c r="O18" s="17"/>
    </row>
    <row r="19" spans="1:15" ht="15.75" customHeight="1">
      <c r="A19" s="90" t="str">
        <f ca="1">IFERROR(__xludf.DUMMYFUNCTION("""COMPUTED_VALUE"""),"TRX1051")</f>
        <v>TRX1051</v>
      </c>
      <c r="B19" s="112" t="str">
        <f ca="1">IFERROR(__xludf.DUMMYFUNCTION("""COMPUTED_VALUE"""),"#41")</f>
        <v>#41</v>
      </c>
      <c r="C19" s="114">
        <f ca="1">IFERROR(__xludf.DUMMYFUNCTION("""COMPUTED_VALUE"""),46075.4166666666)</f>
        <v>46075.416666666599</v>
      </c>
      <c r="D19" s="113">
        <f ca="1">IFERROR(__xludf.DUMMYFUNCTION("""COMPUTED_VALUE"""),109.95)</f>
        <v>109.95</v>
      </c>
      <c r="E19" s="90" t="str">
        <f ca="1">IFERROR(__xludf.DUMMYFUNCTION("""COMPUTED_VALUE"""),"MXN")</f>
        <v>MXN</v>
      </c>
      <c r="F19" s="90" t="str">
        <f ca="1">IFERROR(__xludf.DUMMYFUNCTION("""COMPUTED_VALUE"""),"Jose Arechavala")</f>
        <v>Jose Arechavala</v>
      </c>
      <c r="G19" s="90" t="str">
        <f ca="1">IFERROR(__xludf.DUMMYFUNCTION("""COMPUTED_VALUE"""),"UBER * PENDING         CMX           MEX")</f>
        <v>UBER * PENDING         CMX           MEX</v>
      </c>
      <c r="H19" s="90" t="str">
        <f ca="1">IFERROR(__xludf.DUMMYFUNCTION("""COMPUTED_VALUE"""),"Uber")</f>
        <v>Uber</v>
      </c>
      <c r="I19" s="90" t="str">
        <f ca="1">IFERROR(__xludf.DUMMYFUNCTION("""COMPUTED_VALUE"""),"Transaction cost")</f>
        <v>Transaction cost</v>
      </c>
      <c r="J19" s="90" t="str">
        <f ca="1">IFERROR(__xludf.DUMMYFUNCTION("""COMPUTED_VALUE"""),"Envío muestras de MP, PO 1954")</f>
        <v>Envío muestras de MP, PO 1954</v>
      </c>
      <c r="K19" s="90" t="str">
        <f ca="1">IFERROR(__xludf.DUMMYFUNCTION("""COMPUTED_VALUE"""),"TER-144207302")</f>
        <v>TER-144207302</v>
      </c>
      <c r="L19" s="17"/>
      <c r="M19" s="17"/>
      <c r="N19" s="17"/>
      <c r="O19" s="17"/>
    </row>
    <row r="20" spans="1:15" ht="12.5">
      <c r="A20" s="90" t="str">
        <f ca="1">IFERROR(__xludf.DUMMYFUNCTION("""COMPUTED_VALUE"""),"TRX1215")</f>
        <v>TRX1215</v>
      </c>
      <c r="B20" s="112" t="str">
        <f ca="1">IFERROR(__xludf.DUMMYFUNCTION("""COMPUTED_VALUE"""),"#41")</f>
        <v>#41</v>
      </c>
      <c r="C20" s="114">
        <f ca="1">IFERROR(__xludf.DUMMYFUNCTION("""COMPUTED_VALUE"""),46079.4173611111)</f>
        <v>46079.417361111096</v>
      </c>
      <c r="D20" s="113">
        <f ca="1">IFERROR(__xludf.DUMMYFUNCTION("""COMPUTED_VALUE"""),1802.67)</f>
        <v>1802.67</v>
      </c>
      <c r="E20" s="90" t="str">
        <f ca="1">IFERROR(__xludf.DUMMYFUNCTION("""COMPUTED_VALUE"""),"MXN")</f>
        <v>MXN</v>
      </c>
      <c r="F20" s="90" t="str">
        <f ca="1">IFERROR(__xludf.DUMMYFUNCTION("""COMPUTED_VALUE"""),"Jose Arechavala")</f>
        <v>Jose Arechavala</v>
      </c>
      <c r="G20" s="90" t="str">
        <f ca="1">IFERROR(__xludf.DUMMYFUNCTION("""COMPUTED_VALUE"""),"SERV VISTA HERMOSA     CIUDAD DE MEX MEX")</f>
        <v>SERV VISTA HERMOSA     CIUDAD DE MEX MEX</v>
      </c>
      <c r="H20" s="90" t="str">
        <f ca="1">IFERROR(__xludf.DUMMYFUNCTION("""COMPUTED_VALUE"""),"Serv Vista Hermosa Ciudad De Mex Mex")</f>
        <v>Serv Vista Hermosa Ciudad De Mex Mex</v>
      </c>
      <c r="I20" s="90" t="str">
        <f ca="1">IFERROR(__xludf.DUMMYFUNCTION("""COMPUTED_VALUE"""),"Transaction cost")</f>
        <v>Transaction cost</v>
      </c>
      <c r="J20" s="90" t="str">
        <f ca="1">IFERROR(__xludf.DUMMYFUNCTION("""COMPUTED_VALUE"""),"Viáticos Valle de Bravo, PO 1954")</f>
        <v>Viáticos Valle de Bravo, PO 1954</v>
      </c>
      <c r="K20" s="90" t="str">
        <f ca="1">IFERROR(__xludf.DUMMYFUNCTION("""COMPUTED_VALUE"""),"65e6c57d-ff69-4b42-8476-b8f9903e4ed3")</f>
        <v>65e6c57d-ff69-4b42-8476-b8f9903e4ed3</v>
      </c>
      <c r="L20" s="17"/>
      <c r="M20" s="17"/>
      <c r="N20" s="17"/>
      <c r="O20" s="17"/>
    </row>
    <row r="21" spans="1:15" ht="12.5">
      <c r="A21" s="124" t="str">
        <f ca="1">IFERROR(__xludf.DUMMYFUNCTION("""COMPUTED_VALUE"""),"TRX1220")</f>
        <v>TRX1220</v>
      </c>
      <c r="B21" s="121" t="str">
        <f ca="1">IFERROR(__xludf.DUMMYFUNCTION("""COMPUTED_VALUE"""),"#41")</f>
        <v>#41</v>
      </c>
      <c r="C21" s="122">
        <f ca="1">IFERROR(__xludf.DUMMYFUNCTION("""COMPUTED_VALUE"""),46080.4166666666)</f>
        <v>46080.416666666599</v>
      </c>
      <c r="D21" s="123">
        <f ca="1">IFERROR(__xludf.DUMMYFUNCTION("""COMPUTED_VALUE"""),81)</f>
        <v>81</v>
      </c>
      <c r="E21" s="124" t="str">
        <f ca="1">IFERROR(__xludf.DUMMYFUNCTION("""COMPUTED_VALUE"""),"MXN")</f>
        <v>MXN</v>
      </c>
      <c r="F21" s="124" t="str">
        <f ca="1">IFERROR(__xludf.DUMMYFUNCTION("""COMPUTED_VALUE"""),"Jose Arechavala")</f>
        <v>Jose Arechavala</v>
      </c>
      <c r="G21" s="124" t="str">
        <f ca="1">IFERROR(__xludf.DUMMYFUNCTION("""COMPUTED_VALUE"""),"UBER *TRIP HELP.UBER.C CMX           MEX")</f>
        <v>UBER *TRIP HELP.UBER.C CMX           MEX</v>
      </c>
      <c r="H21" s="124" t="str">
        <f ca="1">IFERROR(__xludf.DUMMYFUNCTION("""COMPUTED_VALUE"""),"Uber")</f>
        <v>Uber</v>
      </c>
      <c r="I21" s="124" t="str">
        <f ca="1">IFERROR(__xludf.DUMMYFUNCTION("""COMPUTED_VALUE"""),"Transaction cost")</f>
        <v>Transaction cost</v>
      </c>
      <c r="J21" s="124" t="str">
        <f ca="1">IFERROR(__xludf.DUMMYFUNCTION("""COMPUTED_VALUE"""),"Envío muestras de MP, PO 1954")</f>
        <v>Envío muestras de MP, PO 1954</v>
      </c>
      <c r="K21" s="124" t="str">
        <f ca="1">IFERROR(__xludf.DUMMYFUNCTION("""COMPUTED_VALUE"""),"TER-144787111")</f>
        <v>TER-144787111</v>
      </c>
      <c r="L21" s="17"/>
      <c r="M21" s="17"/>
      <c r="N21" s="17"/>
      <c r="O21" s="17"/>
    </row>
    <row r="22" spans="1:15" ht="12.5">
      <c r="A22" s="89" t="str">
        <f ca="1">IFERROR(__xludf.DUMMYFUNCTION("""COMPUTED_VALUE"""),"TRX1274")</f>
        <v>TRX1274</v>
      </c>
      <c r="B22" s="110" t="str">
        <f ca="1">IFERROR(__xludf.DUMMYFUNCTION("""COMPUTED_VALUE"""),"#41")</f>
        <v>#41</v>
      </c>
      <c r="C22" s="118">
        <f ca="1">IFERROR(__xludf.DUMMYFUNCTION("""COMPUTED_VALUE"""),46081.4166666666)</f>
        <v>46081.416666666599</v>
      </c>
      <c r="D22" s="89">
        <f ca="1">IFERROR(__xludf.DUMMYFUNCTION("""COMPUTED_VALUE"""),400)</f>
        <v>400</v>
      </c>
      <c r="E22" s="89" t="str">
        <f ca="1">IFERROR(__xludf.DUMMYFUNCTION("""COMPUTED_VALUE"""),"MXN")</f>
        <v>MXN</v>
      </c>
      <c r="F22" s="89" t="str">
        <f ca="1">IFERROR(__xludf.DUMMYFUNCTION("""COMPUTED_VALUE"""),"Jose Arechavala")</f>
        <v>Jose Arechavala</v>
      </c>
      <c r="G22" s="89" t="str">
        <f ca="1">IFERROR(__xludf.DUMMYFUNCTION("""COMPUTED_VALUE"""),"PAY PAL*SOFIASALUDS SO CIUDAD DE MEX MEX")</f>
        <v>PAY PAL*SOFIASALUDS SO CIUDAD DE MEX MEX</v>
      </c>
      <c r="H22" s="89" t="str">
        <f ca="1">IFERROR(__xludf.DUMMYFUNCTION("""COMPUTED_VALUE"""),"Pay Pal Sofiasaluds So Ciudad De Mex Mex")</f>
        <v>Pay Pal Sofiasaluds So Ciudad De Mex Mex</v>
      </c>
      <c r="I22" s="89" t="str">
        <f ca="1">IFERROR(__xludf.DUMMYFUNCTION("""COMPUTED_VALUE"""),"Transaction cost")</f>
        <v>Transaction cost</v>
      </c>
      <c r="J22" s="89" t="str">
        <f ca="1">IFERROR(__xludf.DUMMYFUNCTION("""COMPUTED_VALUE"""),"Cobro por error, sin PO")</f>
        <v>Cobro por error, sin PO</v>
      </c>
      <c r="K22" s="89" t="str">
        <f ca="1">IFERROR(__xludf.DUMMYFUNCTION("""COMPUTED_VALUE"""),"N/A")</f>
        <v>N/A</v>
      </c>
      <c r="L22" s="17"/>
      <c r="M22" s="17"/>
      <c r="N22" s="17"/>
      <c r="O22" s="17"/>
    </row>
    <row r="23" spans="1:15" ht="12.5">
      <c r="A23" s="89"/>
      <c r="B23" s="109"/>
      <c r="C23" s="109"/>
      <c r="D23" s="89"/>
      <c r="E23" s="89"/>
      <c r="F23" s="89"/>
      <c r="G23" s="89"/>
      <c r="H23" s="89"/>
      <c r="I23" s="89"/>
      <c r="J23" s="89"/>
      <c r="K23" s="89" t="str">
        <f ca="1">IFERROR(__xludf.DUMMYFUNCTION("""COMPUTED_VALUE"""),".")</f>
        <v>.</v>
      </c>
      <c r="L23" s="17"/>
      <c r="M23" s="17"/>
      <c r="N23" s="17"/>
      <c r="O23" s="17"/>
    </row>
    <row r="24" spans="1:15" ht="12.5">
      <c r="A24" s="90"/>
      <c r="B24" s="111"/>
      <c r="C24" s="111"/>
      <c r="D24" s="90"/>
      <c r="E24" s="90"/>
      <c r="F24" s="90"/>
      <c r="G24" s="90"/>
      <c r="H24" s="90"/>
      <c r="I24" s="90"/>
      <c r="J24" s="90"/>
      <c r="K24" s="90" t="str">
        <f ca="1">IFERROR(__xludf.DUMMYFUNCTION("""COMPUTED_VALUE"""),".")</f>
        <v>.</v>
      </c>
      <c r="L24" s="17"/>
      <c r="M24" s="17"/>
      <c r="N24" s="17"/>
      <c r="O24" s="17"/>
    </row>
    <row r="25" spans="1:15" ht="12.5">
      <c r="A25" s="90"/>
      <c r="B25" s="111"/>
      <c r="C25" s="111"/>
      <c r="D25" s="90"/>
      <c r="E25" s="90"/>
      <c r="F25" s="90"/>
      <c r="G25" s="90"/>
      <c r="H25" s="90"/>
      <c r="I25" s="90"/>
      <c r="J25" s="90"/>
      <c r="K25" s="90" t="str">
        <f ca="1">IFERROR(__xludf.DUMMYFUNCTION("""COMPUTED_VALUE"""),".")</f>
        <v>.</v>
      </c>
      <c r="L25" s="17"/>
      <c r="M25" s="17"/>
      <c r="N25" s="17"/>
      <c r="O25" s="17"/>
    </row>
    <row r="26" spans="1:15" ht="12.5">
      <c r="A26" s="90"/>
      <c r="B26" s="111"/>
      <c r="C26" s="111"/>
      <c r="D26" s="90"/>
      <c r="E26" s="90"/>
      <c r="F26" s="90"/>
      <c r="G26" s="90"/>
      <c r="H26" s="90"/>
      <c r="I26" s="90"/>
      <c r="J26" s="90"/>
      <c r="K26" s="90" t="str">
        <f ca="1">IFERROR(__xludf.DUMMYFUNCTION("""COMPUTED_VALUE"""),".")</f>
        <v>.</v>
      </c>
      <c r="L26" s="17"/>
      <c r="M26" s="17"/>
      <c r="N26" s="17"/>
      <c r="O26" s="17"/>
    </row>
    <row r="27" spans="1:15" ht="12.5">
      <c r="A27" s="90"/>
      <c r="B27" s="111"/>
      <c r="C27" s="111"/>
      <c r="D27" s="90"/>
      <c r="E27" s="90"/>
      <c r="F27" s="90"/>
      <c r="G27" s="90"/>
      <c r="H27" s="90"/>
      <c r="I27" s="90"/>
      <c r="J27" s="90"/>
      <c r="K27" s="90" t="str">
        <f ca="1">IFERROR(__xludf.DUMMYFUNCTION("""COMPUTED_VALUE"""),".")</f>
        <v>.</v>
      </c>
      <c r="L27" s="17"/>
      <c r="M27" s="17"/>
      <c r="N27" s="17"/>
      <c r="O27" s="17"/>
    </row>
    <row r="28" spans="1:15" ht="12.5">
      <c r="A28" s="90"/>
      <c r="B28" s="111"/>
      <c r="C28" s="111"/>
      <c r="D28" s="90"/>
      <c r="E28" s="90"/>
      <c r="F28" s="90"/>
      <c r="G28" s="90"/>
      <c r="H28" s="90"/>
      <c r="I28" s="90"/>
      <c r="J28" s="90"/>
      <c r="K28" s="90" t="str">
        <f ca="1">IFERROR(__xludf.DUMMYFUNCTION("""COMPUTED_VALUE"""),".")</f>
        <v>.</v>
      </c>
      <c r="L28" s="17"/>
      <c r="M28" s="17"/>
      <c r="N28" s="17"/>
      <c r="O28" s="17"/>
    </row>
    <row r="29" spans="1:15" ht="12.5">
      <c r="A29" s="90"/>
      <c r="B29" s="111"/>
      <c r="C29" s="111"/>
      <c r="D29" s="90"/>
      <c r="E29" s="90"/>
      <c r="F29" s="90"/>
      <c r="G29" s="90"/>
      <c r="H29" s="90"/>
      <c r="I29" s="90"/>
      <c r="J29" s="90"/>
      <c r="K29" s="90" t="str">
        <f ca="1">IFERROR(__xludf.DUMMYFUNCTION("""COMPUTED_VALUE"""),".")</f>
        <v>.</v>
      </c>
      <c r="L29" s="17"/>
      <c r="M29" s="17"/>
      <c r="N29" s="17"/>
      <c r="O29" s="17"/>
    </row>
    <row r="30" spans="1:15" ht="12.5">
      <c r="A30" s="90"/>
      <c r="B30" s="111"/>
      <c r="C30" s="111"/>
      <c r="D30" s="90"/>
      <c r="E30" s="90"/>
      <c r="F30" s="90"/>
      <c r="G30" s="90"/>
      <c r="H30" s="90"/>
      <c r="I30" s="90"/>
      <c r="J30" s="90"/>
      <c r="K30" s="90" t="str">
        <f ca="1">IFERROR(__xludf.DUMMYFUNCTION("""COMPUTED_VALUE"""),".")</f>
        <v>.</v>
      </c>
      <c r="L30" s="17"/>
      <c r="M30" s="17"/>
      <c r="N30" s="17"/>
      <c r="O30" s="17"/>
    </row>
    <row r="31" spans="1:15" ht="12.5">
      <c r="A31" s="90"/>
      <c r="B31" s="111"/>
      <c r="C31" s="111"/>
      <c r="D31" s="90"/>
      <c r="E31" s="90"/>
      <c r="F31" s="90"/>
      <c r="G31" s="90"/>
      <c r="H31" s="90"/>
      <c r="I31" s="90"/>
      <c r="J31" s="90"/>
      <c r="K31" s="90"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1948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IFERROR(__xludf.DUMMYFUNCTION("IMPORTRANGE(""https://docs.google.com/spreadsheets/d/1NrT9Aoh0DcmBig0WobGNeIDQ9xzfhV2BZ2SvBCJwgYU/edit#gid=1404531132"",""I12:K80"")"),"")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IFERROR(__xludf.DUMMYFUNCTION("""COMPUTED_VALUE"""),"RFQ 438 - envio de ganchos a Toña")</f>
        <v>RFQ 438 - envio de ganchos a Toña</v>
      </c>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00"/>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00"/>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87</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IFERROR(__xludf.DUMMYFUNCTION("IMPORTRANGE(""https://docs.google.com/spreadsheets/d/1IVXzoDtK521BBPu1kRInP1quyZkv9JaGFKnizEnc-As/edit#gid=1404531132"",""I12:K80"")"),"G&amp;A expenses")</f>
        <v>G&amp;A expenses</v>
      </c>
      <c r="J12" s="17" t="str">
        <f ca="1">IFERROR(__xludf.DUMMYFUNCTION("""COMPUTED_VALUE"""),"Llevamos a los Devs que vinieron para el offiste a conocer una obra de construcción")</f>
        <v>Llevamos a los Devs que vinieron para el offiste a conocer una obra de construcción</v>
      </c>
      <c r="K12" s="17" t="str">
        <f ca="1">IFERROR(__xludf.DUMMYFUNCTION("""COMPUTED_VALUE"""),"EE882B4E-120B-55CA-A3CE-A013564FCA94")</f>
        <v>EE882B4E-120B-55CA-A3CE-A013564FCA94</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IFERROR(__xludf.DUMMYFUNCTION("""COMPUTED_VALUE"""),"Llevamos a los Devs que vinieron para el offiste a conocer una obra de construcción")</f>
        <v>Llevamos a los Devs que vinieron para el offiste a conocer una obra de construcción</v>
      </c>
      <c r="K13" s="17" t="str">
        <f ca="1">IFERROR(__xludf.DUMMYFUNCTION("""COMPUTED_VALUE"""),"2ADB53DF-51CA-5080-8E06-89E4A05202EC")</f>
        <v>2ADB53DF-51CA-5080-8E06-89E4A05202EC</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IFERROR(__xludf.DUMMYFUNCTION("""COMPUTED_VALUE"""),"Llevamos a los Devs que vinieron para el offiste a conocer una obra de construcción")</f>
        <v>Llevamos a los Devs que vinieron para el offiste a conocer una obra de construcción</v>
      </c>
      <c r="K14" s="17" t="str">
        <f ca="1">IFERROR(__xludf.DUMMYFUNCTION("""COMPUTED_VALUE"""),"EE882B4E-120B-55CA-A3CE-A013564FCA94")</f>
        <v>EE882B4E-120B-55CA-A3CE-A013564FCA94</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B6D7A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1952</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IFERROR(__xludf.DUMMYFUNCTION("IMPORTRANGE(""https://docs.google.com/spreadsheets/d/1URgiao8ADSBJvuFk4om9D464sbdOP-SWECks_P4YcLw/edit#gid=1404531132"",""I12:K80"")"),"Transaction cost")</f>
        <v>Transaction cost</v>
      </c>
      <c r="J12" s="17" t="str">
        <f ca="1">IFERROR(__xludf.DUMMYFUNCTION("""COMPUTED_VALUE"""),"PO-593 Accesorios para lavabo para FDA. Adquisición de mercancía,")</f>
        <v>PO-593 Accesorios para lavabo para FDA. Adquisición de mercancía,</v>
      </c>
      <c r="K12" s="17" t="str">
        <f ca="1">IFERROR(__xludf.DUMMYFUNCTION("""COMPUTED_VALUE"""),"A - 14972")</f>
        <v>A - 14972</v>
      </c>
      <c r="L12" s="17" t="s">
        <v>2004</v>
      </c>
      <c r="M12" s="17"/>
      <c r="N12" s="17"/>
      <c r="O12" s="17"/>
    </row>
    <row r="13" spans="1:15" ht="15.75" customHeight="1">
      <c r="A13" s="24"/>
      <c r="B13" s="24"/>
      <c r="C13" s="24"/>
      <c r="D13" s="17"/>
      <c r="E13" s="17"/>
      <c r="F13" s="17"/>
      <c r="G13" s="17"/>
      <c r="H13" s="17"/>
      <c r="I13" s="17" t="str">
        <f ca="1">IFERROR(__xludf.DUMMYFUNCTION("""COMPUTED_VALUE"""),"Transaction cost")</f>
        <v>Transaction cost</v>
      </c>
      <c r="J13" s="17" t="str">
        <f ca="1">IFERROR(__xludf.DUMMYFUNCTION("""COMPUTED_VALUE"""),"PO-593 Accesorios para lavabo para FDA. Adquisición de mercancía,")</f>
        <v>PO-593 Accesorios para lavabo para FDA. Adquisición de mercancía,</v>
      </c>
      <c r="K13" s="17" t="str">
        <f ca="1">IFERROR(__xludf.DUMMYFUNCTION("""COMPUTED_VALUE"""),"A ‐ 14987")</f>
        <v>A ‐ 14987</v>
      </c>
      <c r="L13" s="17" t="s">
        <v>2004</v>
      </c>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1950</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IFERROR(__xludf.DUMMYFUNCTION("IMPORTRANGE(""https://docs.google.com/spreadsheets/d/1k3BmuStjWylkJ3EmwXJ7atRrqteIbi2foJpNA8PAQBU/edit#gid=1404531132"",""I12:K80"")"),"Sales")</f>
        <v>Sales</v>
      </c>
      <c r="J12" s="17" t="str">
        <f ca="1">IFERROR(__xludf.DUMMYFUNCTION("""COMPUTED_VALUE"""),"Expo AHR Las Vegas")</f>
        <v>Expo AHR Las Vegas</v>
      </c>
      <c r="K12" s="17"/>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IFERROR(__xludf.DUMMYFUNCTION("""COMPUTED_VALUE"""),"Expo AHR Las Vegas")</f>
        <v>Expo AHR Las Vegas</v>
      </c>
      <c r="K13" s="17"/>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IFERROR(__xludf.DUMMYFUNCTION("""COMPUTED_VALUE"""),"Expo AHR Las Vegas")</f>
        <v>Expo AHR Las Vegas</v>
      </c>
      <c r="K14" s="17"/>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IFERROR(__xludf.DUMMYFUNCTION("""COMPUTED_VALUE"""),"Expo AHR Las Vegas")</f>
        <v>Expo AHR Las Vegas</v>
      </c>
      <c r="K15" s="17"/>
      <c r="L15" s="17"/>
      <c r="M15" s="17"/>
      <c r="N15" s="17"/>
      <c r="O15" s="17"/>
    </row>
    <row r="16" spans="1:15" ht="15.75" customHeight="1">
      <c r="A16" s="17"/>
      <c r="B16" s="24"/>
      <c r="C16" s="24"/>
      <c r="D16" s="17"/>
      <c r="E16" s="17"/>
      <c r="F16" s="17"/>
      <c r="G16" s="17"/>
      <c r="H16" s="17"/>
      <c r="I16" s="17" t="str">
        <f ca="1">IFERROR(__xludf.DUMMYFUNCTION("""COMPUTED_VALUE"""),"Transaction cost")</f>
        <v>Transaction cost</v>
      </c>
      <c r="J16" s="17" t="str">
        <f ca="1">IFERROR(__xludf.DUMMYFUNCTION("""COMPUTED_VALUE"""),"PO 2230 - Visita IMESA")</f>
        <v>PO 2230 - Visita IMESA</v>
      </c>
      <c r="K16" s="17"/>
      <c r="L16" s="17"/>
      <c r="M16" s="17"/>
      <c r="N16" s="17"/>
      <c r="O16" s="17"/>
    </row>
    <row r="17" spans="1:15" ht="15.75" customHeight="1">
      <c r="A17" s="17"/>
      <c r="B17" s="24"/>
      <c r="C17" s="24"/>
      <c r="D17" s="17"/>
      <c r="E17" s="17"/>
      <c r="F17" s="17"/>
      <c r="G17" s="17"/>
      <c r="H17" s="17"/>
      <c r="I17" s="17" t="str">
        <f ca="1">IFERROR(__xludf.DUMMYFUNCTION("""COMPUTED_VALUE"""),"Transaction cost")</f>
        <v>Transaction cost</v>
      </c>
      <c r="J17" s="17" t="str">
        <f ca="1">IFERROR(__xludf.DUMMYFUNCTION("""COMPUTED_VALUE"""),"PO 2230 - Visita IMESA")</f>
        <v>PO 2230 - Visita IMESA</v>
      </c>
      <c r="K17" s="17"/>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IFERROR(__xludf.DUMMYFUNCTION("""COMPUTED_VALUE"""),"Visita posible cliente Wilo QRO")</f>
        <v>Visita posible cliente Wilo QRO</v>
      </c>
      <c r="K18" s="17"/>
      <c r="L18" s="17"/>
      <c r="M18" s="17"/>
      <c r="N18" s="17"/>
      <c r="O18" s="17"/>
    </row>
    <row r="19" spans="1:15" ht="15.75" customHeight="1">
      <c r="A19" s="17"/>
      <c r="B19" s="24"/>
      <c r="C19" s="24"/>
      <c r="D19" s="17"/>
      <c r="E19" s="17"/>
      <c r="F19" s="17"/>
      <c r="G19" s="17"/>
      <c r="H19" s="17"/>
      <c r="I19" s="17" t="str">
        <f ca="1">IFERROR(__xludf.DUMMYFUNCTION("""COMPUTED_VALUE"""),"Transaction cost")</f>
        <v>Transaction cost</v>
      </c>
      <c r="J19" s="17" t="str">
        <f ca="1">IFERROR(__xludf.DUMMYFUNCTION("""COMPUTED_VALUE"""),"PO 2041 - Visita IMESA")</f>
        <v>PO 2041 - Visita IMESA</v>
      </c>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c r="L44" s="17"/>
      <c r="M44" s="17"/>
      <c r="N44" s="17"/>
      <c r="O44" s="17"/>
    </row>
    <row r="45" spans="1:15" ht="12.5">
      <c r="A45" s="17"/>
      <c r="B45" s="24"/>
      <c r="C45" s="24"/>
      <c r="D45" s="17"/>
      <c r="E45" s="17"/>
      <c r="F45" s="17"/>
      <c r="G45" s="17"/>
      <c r="H45" s="17"/>
      <c r="I45" s="17"/>
      <c r="J45" s="17"/>
      <c r="K45" s="17"/>
      <c r="L45" s="17"/>
      <c r="M45" s="17"/>
      <c r="N45" s="17"/>
      <c r="O45" s="17"/>
    </row>
    <row r="46" spans="1:15" ht="12.5">
      <c r="A46" s="17"/>
      <c r="B46" s="24"/>
      <c r="C46" s="24"/>
      <c r="D46" s="17"/>
      <c r="E46" s="17"/>
      <c r="F46" s="17"/>
      <c r="G46" s="17"/>
      <c r="H46" s="17"/>
      <c r="I46" s="17"/>
      <c r="J46" s="17"/>
      <c r="K46" s="17"/>
      <c r="L46" s="17"/>
      <c r="M46" s="17"/>
      <c r="N46" s="17"/>
      <c r="O46" s="17"/>
    </row>
    <row r="47" spans="1:15" ht="12.5">
      <c r="A47" s="17"/>
      <c r="B47" s="24"/>
      <c r="C47" s="24"/>
      <c r="D47" s="17"/>
      <c r="E47" s="17"/>
      <c r="F47" s="17"/>
      <c r="G47" s="17"/>
      <c r="H47" s="17"/>
      <c r="I47" s="17"/>
      <c r="J47" s="17"/>
      <c r="K47" s="17"/>
      <c r="L47" s="17"/>
      <c r="M47" s="17"/>
      <c r="N47" s="17"/>
      <c r="O47" s="17"/>
    </row>
    <row r="48" spans="1:15" ht="12.5">
      <c r="A48" s="17"/>
      <c r="B48" s="24"/>
      <c r="C48" s="24"/>
      <c r="D48" s="17"/>
      <c r="E48" s="17"/>
      <c r="F48" s="17"/>
      <c r="G48" s="17"/>
      <c r="H48" s="17"/>
      <c r="I48" s="17"/>
      <c r="J48" s="17"/>
      <c r="K48" s="17"/>
      <c r="L48" s="17"/>
      <c r="M48" s="17"/>
      <c r="N48" s="17"/>
      <c r="O48" s="17"/>
    </row>
    <row r="49" spans="1:15" ht="12.5">
      <c r="A49" s="17"/>
      <c r="B49" s="24"/>
      <c r="C49" s="24"/>
      <c r="D49" s="17"/>
      <c r="E49" s="17"/>
      <c r="F49" s="17"/>
      <c r="G49" s="17"/>
      <c r="H49" s="17"/>
      <c r="I49" s="17"/>
      <c r="J49" s="17"/>
      <c r="K49" s="17"/>
      <c r="L49" s="17"/>
      <c r="M49" s="17"/>
      <c r="N49" s="17"/>
      <c r="O49" s="17"/>
    </row>
    <row r="50" spans="1:15" ht="12.5">
      <c r="A50" s="17"/>
      <c r="B50" s="24"/>
      <c r="C50" s="24"/>
      <c r="D50" s="17"/>
      <c r="E50" s="17"/>
      <c r="F50" s="17"/>
      <c r="G50" s="17"/>
      <c r="H50" s="17"/>
      <c r="I50" s="17"/>
      <c r="J50" s="17"/>
      <c r="K50" s="17"/>
      <c r="L50" s="17"/>
      <c r="M50" s="17"/>
      <c r="N50" s="17"/>
      <c r="O50" s="17"/>
    </row>
    <row r="51" spans="1:15" ht="12.5">
      <c r="A51" s="17"/>
      <c r="B51" s="24"/>
      <c r="C51" s="24"/>
      <c r="D51" s="17"/>
      <c r="E51" s="17"/>
      <c r="F51" s="17"/>
      <c r="G51" s="17"/>
      <c r="H51" s="17"/>
      <c r="I51" s="17"/>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1954</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Sept'!$A$12:$C$1300,'Edo Cta Jeeves Sept'!$J$12:$J$1300=$A$2)"),"#N/A")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IFERROR(__xludf.DUMMYFUNCTION("IMPORTRANGE(""https://docs.google.com/spreadsheets/d/1A6vMMcEK8BQSXbrKaQOF4yXtu7iv-inXBMANfsOHHrE/edit#gid=1404531132"",""I12:K80"")"),"Tech&amp;Product")</f>
        <v>Tech&amp;Product</v>
      </c>
      <c r="J12" s="17" t="str">
        <f ca="1">IFERROR(__xludf.DUMMYFUNCTION("""COMPUTED_VALUE"""),"Buró de incidencias legales (Cordero)")</f>
        <v>Buró de incidencias legales (Cordero)</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IFERROR(__xludf.DUMMYFUNCTION("""COMPUTED_VALUE"""),"Office expenses")</f>
        <v>Office expenses</v>
      </c>
      <c r="J13" s="17" t="str">
        <f ca="1">IFERROR(__xludf.DUMMYFUNCTION("""COMPUTED_VALUE"""),"Este debería de tener su contracargo porque cambié el método de pago a mi tarjeta personal")</f>
        <v>Este debería de tener su contracargo porque cambié el método de pago a mi tarjeta personal</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IFERROR(__xludf.DUMMYFUNCTION("""COMPUTED_VALUE"""),"Office expenses")</f>
        <v>Office expenses</v>
      </c>
      <c r="J14" s="17" t="str">
        <f ca="1">IFERROR(__xludf.DUMMYFUNCTION("""COMPUTED_VALUE"""),"Transporte junta")</f>
        <v>Transporte junta</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IFERROR(__xludf.DUMMYFUNCTION("""COMPUTED_VALUE"""),"Office expenses")</f>
        <v>Office expenses</v>
      </c>
      <c r="J15" s="17" t="str">
        <f ca="1">IFERROR(__xludf.DUMMYFUNCTION("""COMPUTED_VALUE"""),"Transporte junta")</f>
        <v>Transporte junta</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IFERROR(__xludf.DUMMYFUNCTION("""COMPUTED_VALUE"""),"Office expenses")</f>
        <v>Office expenses</v>
      </c>
      <c r="J16" s="17" t="str">
        <f ca="1">IFERROR(__xludf.DUMMYFUNCTION("""COMPUTED_VALUE"""),"Este debería de tener su contracargo porque cambié el método de pago a mi tarjeta personal")</f>
        <v>Este debería de tener su contracargo porque cambié el método de pago a mi tarjeta personal</v>
      </c>
      <c r="K16" s="17" t="str">
        <f ca="1">IFERROR(__xludf.DUMMYFUNCTION("""COMPUTED_VALUE"""),".")</f>
        <v>.</v>
      </c>
      <c r="L16" s="17"/>
      <c r="M16" s="17"/>
      <c r="N16" s="17"/>
      <c r="O16" s="17"/>
    </row>
    <row r="17" spans="1:15" ht="15.75" customHeight="1">
      <c r="A17" s="17"/>
      <c r="B17" s="24"/>
      <c r="C17" s="24"/>
      <c r="D17" s="17"/>
      <c r="E17" s="17"/>
      <c r="F17" s="17"/>
      <c r="G17" s="17"/>
      <c r="H17" s="17"/>
      <c r="I17" s="17" t="str">
        <f ca="1">IFERROR(__xludf.DUMMYFUNCTION("""COMPUTED_VALUE"""),"Office expenses")</f>
        <v>Office expenses</v>
      </c>
      <c r="J17" s="17" t="str">
        <f ca="1">IFERROR(__xludf.DUMMYFUNCTION("""COMPUTED_VALUE"""),"Este debería de tener su contracargo porque cambié el método de pago a mi tarjeta personal")</f>
        <v>Este debería de tener su contracargo porque cambié el método de pago a mi tarjeta personal</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IFERROR(__xludf.DUMMYFUNCTION("""COMPUTED_VALUE"""),"Office expenses")</f>
        <v>Office expenses</v>
      </c>
      <c r="J18" s="17" t="str">
        <f ca="1">IFERROR(__xludf.DUMMYFUNCTION("""COMPUTED_VALUE"""),"No Aplica")</f>
        <v>No Aplica</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IFERROR(__xludf.DUMMYFUNCTION("""COMPUTED_VALUE"""),"Office expenses")</f>
        <v>Office expenses</v>
      </c>
      <c r="J19" s="17" t="str">
        <f ca="1">IFERROR(__xludf.DUMMYFUNCTION("""COMPUTED_VALUE"""),"Gastos semana Lendable Due Dilligence")</f>
        <v>Gastos semana Lendable Due Dilligence</v>
      </c>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IFERROR(__xludf.DUMMYFUNCTION("""COMPUTED_VALUE"""),"Office expenses")</f>
        <v>Office expenses</v>
      </c>
      <c r="J20" s="17" t="str">
        <f ca="1">IFERROR(__xludf.DUMMYFUNCTION("""COMPUTED_VALUE"""),"Gastos semana Lendable Due Dilligence")</f>
        <v>Gastos semana Lendable Due Dilligence</v>
      </c>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IFERROR(__xludf.DUMMYFUNCTION("""COMPUTED_VALUE"""),"Office expenses")</f>
        <v>Office expenses</v>
      </c>
      <c r="J21" s="17" t="str">
        <f ca="1">IFERROR(__xludf.DUMMYFUNCTION("""COMPUTED_VALUE"""),"Gastos semana Lendable Due Dilligence")</f>
        <v>Gastos semana Lendable Due Dilligence</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IFERROR(__xludf.DUMMYFUNCTION("""COMPUTED_VALUE"""),"Office expenses")</f>
        <v>Office expenses</v>
      </c>
      <c r="J22" s="17" t="str">
        <f ca="1">IFERROR(__xludf.DUMMYFUNCTION("""COMPUTED_VALUE"""),"Gastos semana Lendable Due Dilligence")</f>
        <v>Gastos semana Lendable Due Dilligence</v>
      </c>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IFERROR(__xludf.DUMMYFUNCTION("""COMPUTED_VALUE"""),"Office expenses")</f>
        <v>Office expenses</v>
      </c>
      <c r="J23" s="17" t="str">
        <f ca="1">IFERROR(__xludf.DUMMYFUNCTION("""COMPUTED_VALUE"""),"Gastos semana Lendable Due Dilligence")</f>
        <v>Gastos semana Lendable Due Dilligence</v>
      </c>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IFERROR(__xludf.DUMMYFUNCTION("""COMPUTED_VALUE"""),"Office expenses")</f>
        <v>Office expenses</v>
      </c>
      <c r="J24" s="17" t="str">
        <f ca="1">IFERROR(__xludf.DUMMYFUNCTION("""COMPUTED_VALUE"""),"Gastos semana Lendable Due Dilligence")</f>
        <v>Gastos semana Lendable Due Dilligence</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IFERROR(__xludf.DUMMYFUNCTION("""COMPUTED_VALUE"""),"Office expenses")</f>
        <v>Office expenses</v>
      </c>
      <c r="J25" s="17" t="str">
        <f ca="1">IFERROR(__xludf.DUMMYFUNCTION("""COMPUTED_VALUE"""),"Gastos semana Lendable Due Dilligence")</f>
        <v>Gastos semana Lendable Due Dilligence</v>
      </c>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18.26953125" customWidth="1"/>
    <col min="11" max="11" width="54" customWidth="1"/>
    <col min="12" max="12" width="12.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130</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19" t="s">
        <v>2005</v>
      </c>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25"/>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00" t="str">
        <f ca="1">IFERROR(__xludf.DUMMYFUNCTION("IMPORTRANGE(""https://docs.google.com/spreadsheets/d/1s7OwEoQYeNdqdnSSuMeSGFPP166YyRU7TcFEULXqMPo/edit#gid=1404531132"",""I12:K80"")"),"")</f>
        <v/>
      </c>
      <c r="J12" s="17" t="str">
        <f ca="1">IFERROR(__xludf.DUMMYFUNCTION("""COMPUTED_VALUE"""),"Sales")</f>
        <v>Sales</v>
      </c>
      <c r="K12" s="17" t="str">
        <f ca="1">IFERROR(__xludf.DUMMYFUNCTION("""COMPUTED_VALUE"""),"Uber regreso. Sin RFQ")</f>
        <v>Uber regreso. Sin RFQ</v>
      </c>
      <c r="L12" s="17"/>
      <c r="M12" s="17"/>
      <c r="N12" s="90"/>
      <c r="O12" s="17"/>
    </row>
    <row r="13" spans="1:15" ht="15.75" customHeight="1">
      <c r="A13" s="24"/>
      <c r="B13" s="24"/>
      <c r="C13" s="24"/>
      <c r="D13" s="17"/>
      <c r="E13" s="17"/>
      <c r="F13" s="17"/>
      <c r="G13" s="17"/>
      <c r="H13" s="17"/>
      <c r="I13" s="100"/>
      <c r="J13" s="17" t="str">
        <f ca="1">IFERROR(__xludf.DUMMYFUNCTION("""COMPUTED_VALUE"""),"Sales")</f>
        <v>Sales</v>
      </c>
      <c r="K13" s="17" t="str">
        <f ca="1">IFERROR(__xludf.DUMMYFUNCTION("""COMPUTED_VALUE"""),"Desayuno con la Amiju. Sin RFQ")</f>
        <v>Desayuno con la Amiju. Sin RFQ</v>
      </c>
      <c r="L13" s="17"/>
      <c r="M13" s="17"/>
      <c r="N13" s="65"/>
      <c r="O13" s="17"/>
    </row>
    <row r="14" spans="1:15" ht="15.75" customHeight="1">
      <c r="A14" s="24"/>
      <c r="B14" s="24"/>
      <c r="C14" s="24"/>
      <c r="D14" s="17"/>
      <c r="E14" s="17"/>
      <c r="F14" s="17"/>
      <c r="G14" s="17"/>
      <c r="H14" s="17"/>
      <c r="I14" s="100"/>
      <c r="J14" s="17" t="str">
        <f ca="1">IFERROR(__xludf.DUMMYFUNCTION("""COMPUTED_VALUE"""),"Sales")</f>
        <v>Sales</v>
      </c>
      <c r="K14" s="17" t="str">
        <f ca="1">IFERROR(__xludf.DUMMYFUNCTION("""COMPUTED_VALUE"""),"Uber ida a desayuno. Sin RFQ")</f>
        <v>Uber ida a desayuno. Sin RFQ</v>
      </c>
      <c r="L14" s="17"/>
      <c r="M14" s="17"/>
      <c r="N14" s="17"/>
      <c r="O14" s="17"/>
    </row>
    <row r="15" spans="1:15" ht="15.75" customHeight="1">
      <c r="A15" s="24"/>
      <c r="B15" s="24"/>
      <c r="C15" s="24"/>
      <c r="D15" s="17"/>
      <c r="E15" s="17"/>
      <c r="F15" s="17"/>
      <c r="G15" s="17"/>
      <c r="H15" s="17"/>
      <c r="I15" s="126"/>
      <c r="J15" s="17" t="str">
        <f ca="1">IFERROR(__xludf.DUMMYFUNCTION("""COMPUTED_VALUE"""),"Sales")</f>
        <v>Sales</v>
      </c>
      <c r="K15" s="17" t="str">
        <f ca="1">IFERROR(__xludf.DUMMYFUNCTION("""COMPUTED_VALUE"""),"Uber café con IGAS. SIN RFQ")</f>
        <v>Uber café con IGAS. SIN RFQ</v>
      </c>
      <c r="L15" s="17"/>
      <c r="M15" s="17"/>
      <c r="N15" s="17"/>
      <c r="O15" s="17"/>
    </row>
    <row r="16" spans="1:15" ht="15.75" customHeight="1">
      <c r="A16" s="17"/>
      <c r="B16" s="24"/>
      <c r="C16" s="24"/>
      <c r="D16" s="17"/>
      <c r="E16" s="17"/>
      <c r="F16" s="17"/>
      <c r="G16" s="17"/>
      <c r="H16" s="17"/>
      <c r="I16" s="100"/>
      <c r="J16" s="17" t="str">
        <f ca="1">IFERROR(__xludf.DUMMYFUNCTION("""COMPUTED_VALUE"""),"Sales")</f>
        <v>Sales</v>
      </c>
      <c r="K16" s="17" t="str">
        <f ca="1">IFERROR(__xludf.DUMMYFUNCTION("""COMPUTED_VALUE"""),"RFQ 4401 Viaje a Tijuana")</f>
        <v>RFQ 4401 Viaje a Tijuana</v>
      </c>
      <c r="L16" s="17"/>
      <c r="M16" s="17"/>
      <c r="N16" s="17"/>
      <c r="O16" s="17"/>
    </row>
    <row r="17" spans="1:15" ht="15.75" customHeight="1">
      <c r="A17" s="17"/>
      <c r="B17" s="24"/>
      <c r="C17" s="24"/>
      <c r="D17" s="17"/>
      <c r="E17" s="17"/>
      <c r="F17" s="17"/>
      <c r="G17" s="17"/>
      <c r="H17" s="17"/>
      <c r="I17" s="100"/>
      <c r="J17" s="17" t="str">
        <f ca="1">IFERROR(__xludf.DUMMYFUNCTION("""COMPUTED_VALUE"""),"G&amp;A expenses")</f>
        <v>G&amp;A expenses</v>
      </c>
      <c r="K17" s="17" t="str">
        <f ca="1">IFERROR(__xludf.DUMMYFUNCTION("""COMPUTED_VALUE"""),"RFQ 4401 Viaje a Tijuana")</f>
        <v>RFQ 4401 Viaje a Tijuana</v>
      </c>
      <c r="L17" s="17"/>
      <c r="M17" s="17"/>
      <c r="N17" s="17"/>
      <c r="O17" s="17"/>
    </row>
    <row r="18" spans="1:15" ht="15.75" customHeight="1">
      <c r="A18" s="17"/>
      <c r="B18" s="24"/>
      <c r="C18" s="24"/>
      <c r="D18" s="17"/>
      <c r="E18" s="17"/>
      <c r="F18" s="17"/>
      <c r="G18" s="17"/>
      <c r="H18" s="17"/>
      <c r="I18" s="100"/>
      <c r="J18" s="17" t="str">
        <f ca="1">IFERROR(__xludf.DUMMYFUNCTION("""COMPUTED_VALUE"""),"Sales")</f>
        <v>Sales</v>
      </c>
      <c r="K18" s="17" t="str">
        <f ca="1">IFERROR(__xludf.DUMMYFUNCTION("""COMPUTED_VALUE"""),"RFQ 4401 Viaje a Tijuana")</f>
        <v>RFQ 4401 Viaje a Tijuana</v>
      </c>
      <c r="L18" s="17"/>
      <c r="M18" s="17"/>
      <c r="N18" s="17"/>
      <c r="O18" s="17"/>
    </row>
    <row r="19" spans="1:15" ht="15.75" customHeight="1">
      <c r="A19" s="17"/>
      <c r="B19" s="24"/>
      <c r="C19" s="24"/>
      <c r="D19" s="17"/>
      <c r="E19" s="17"/>
      <c r="F19" s="17"/>
      <c r="G19" s="17"/>
      <c r="H19" s="17"/>
      <c r="I19" s="100"/>
      <c r="J19" s="17" t="str">
        <f ca="1">IFERROR(__xludf.DUMMYFUNCTION("""COMPUTED_VALUE"""),"Sales")</f>
        <v>Sales</v>
      </c>
      <c r="K19" s="17" t="str">
        <f ca="1">IFERROR(__xludf.DUMMYFUNCTION("""COMPUTED_VALUE"""),"RFQ 4401 Viaje a Tijuana")</f>
        <v>RFQ 4401 Viaje a Tijuana</v>
      </c>
      <c r="L19" s="17"/>
      <c r="M19" s="17"/>
      <c r="N19" s="17"/>
      <c r="O19" s="17"/>
    </row>
    <row r="20" spans="1:15" ht="12.5">
      <c r="A20" s="17"/>
      <c r="B20" s="24"/>
      <c r="C20" s="24"/>
      <c r="D20" s="17"/>
      <c r="E20" s="17"/>
      <c r="F20" s="17"/>
      <c r="G20" s="17"/>
      <c r="H20" s="17"/>
      <c r="I20" s="100"/>
      <c r="J20" s="17" t="str">
        <f ca="1">IFERROR(__xludf.DUMMYFUNCTION("""COMPUTED_VALUE"""),"Sales")</f>
        <v>Sales</v>
      </c>
      <c r="K20" s="17" t="str">
        <f ca="1">IFERROR(__xludf.DUMMYFUNCTION("""COMPUTED_VALUE"""),"RFQ 4401 Viaje a Tijuana")</f>
        <v>RFQ 4401 Viaje a Tijuana</v>
      </c>
      <c r="L20" s="17"/>
      <c r="M20" s="17"/>
      <c r="N20" s="17"/>
      <c r="O20" s="17"/>
    </row>
    <row r="21" spans="1:15" ht="12.5">
      <c r="A21" s="17"/>
      <c r="B21" s="24"/>
      <c r="C21" s="24"/>
      <c r="D21" s="17"/>
      <c r="E21" s="17"/>
      <c r="F21" s="17"/>
      <c r="G21" s="17"/>
      <c r="H21" s="17"/>
      <c r="I21" s="100"/>
      <c r="J21" s="17" t="str">
        <f ca="1">IFERROR(__xludf.DUMMYFUNCTION("""COMPUTED_VALUE"""),"Sales")</f>
        <v>Sales</v>
      </c>
      <c r="K21" s="17" t="str">
        <f ca="1">IFERROR(__xludf.DUMMYFUNCTION("""COMPUTED_VALUE"""),"RFQ 4401 Viaje a Tijuana")</f>
        <v>RFQ 4401 Viaje a Tijuana</v>
      </c>
      <c r="L21" s="17"/>
      <c r="M21" s="17"/>
      <c r="N21" s="17"/>
      <c r="O21" s="17"/>
    </row>
    <row r="22" spans="1:15" ht="12.5">
      <c r="A22" s="17"/>
      <c r="B22" s="24"/>
      <c r="C22" s="24"/>
      <c r="D22" s="17"/>
      <c r="E22" s="17"/>
      <c r="F22" s="17"/>
      <c r="G22" s="17"/>
      <c r="H22" s="17"/>
      <c r="I22" s="100"/>
      <c r="J22" s="17" t="str">
        <f ca="1">IFERROR(__xludf.DUMMYFUNCTION("""COMPUTED_VALUE"""),"Sales")</f>
        <v>Sales</v>
      </c>
      <c r="K22" s="17" t="str">
        <f ca="1">IFERROR(__xludf.DUMMYFUNCTION("""COMPUTED_VALUE"""),"RFQ 4401 Viaje a Tijuana")</f>
        <v>RFQ 4401 Viaje a Tijuana</v>
      </c>
      <c r="L22" s="17"/>
      <c r="M22" s="17"/>
      <c r="N22" s="17"/>
      <c r="O22" s="17"/>
    </row>
    <row r="23" spans="1:15" ht="12.5">
      <c r="A23" s="17"/>
      <c r="B23" s="24"/>
      <c r="C23" s="24"/>
      <c r="D23" s="17"/>
      <c r="E23" s="17"/>
      <c r="F23" s="17"/>
      <c r="G23" s="17"/>
      <c r="H23" s="17"/>
      <c r="I23" s="100"/>
      <c r="J23" s="17" t="str">
        <f ca="1">IFERROR(__xludf.DUMMYFUNCTION("""COMPUTED_VALUE"""),"Sales")</f>
        <v>Sales</v>
      </c>
      <c r="K23" s="17" t="str">
        <f ca="1">IFERROR(__xludf.DUMMYFUNCTION("""COMPUTED_VALUE"""),"RFQ 4401 Viaje a Tijuana")</f>
        <v>RFQ 4401 Viaje a Tijuana</v>
      </c>
      <c r="L23" s="17"/>
      <c r="M23" s="17"/>
      <c r="N23" s="17"/>
      <c r="O23" s="17"/>
    </row>
    <row r="24" spans="1:15" ht="12.5">
      <c r="A24" s="17"/>
      <c r="B24" s="24"/>
      <c r="C24" s="24"/>
      <c r="D24" s="17"/>
      <c r="E24" s="17"/>
      <c r="F24" s="17"/>
      <c r="G24" s="17"/>
      <c r="H24" s="17"/>
      <c r="I24" s="100"/>
      <c r="J24" s="17" t="str">
        <f ca="1">IFERROR(__xludf.DUMMYFUNCTION("""COMPUTED_VALUE"""),"Sales")</f>
        <v>Sales</v>
      </c>
      <c r="K24" s="17" t="str">
        <f ca="1">IFERROR(__xludf.DUMMYFUNCTION("""COMPUTED_VALUE"""),"RFQ 4401 Viaje a Tijuana")</f>
        <v>RFQ 4401 Viaje a Tijuana</v>
      </c>
      <c r="L24" s="17"/>
      <c r="M24" s="17"/>
      <c r="N24" s="17"/>
      <c r="O24" s="17"/>
    </row>
    <row r="25" spans="1:15" ht="12.5">
      <c r="A25" s="17"/>
      <c r="B25" s="24"/>
      <c r="C25" s="24"/>
      <c r="D25" s="17"/>
      <c r="E25" s="17"/>
      <c r="F25" s="17"/>
      <c r="G25" s="17"/>
      <c r="H25" s="17"/>
      <c r="I25" s="100"/>
      <c r="J25" s="17" t="str">
        <f ca="1">IFERROR(__xludf.DUMMYFUNCTION("""COMPUTED_VALUE"""),"Sales")</f>
        <v>Sales</v>
      </c>
      <c r="K25" s="17" t="str">
        <f ca="1">IFERROR(__xludf.DUMMYFUNCTION("""COMPUTED_VALUE"""),"RFQ 4401 (Pero este es de Gerry)")</f>
        <v>RFQ 4401 (Pero este es de Gerry)</v>
      </c>
      <c r="L25" s="17"/>
      <c r="M25" s="17"/>
      <c r="N25" s="17"/>
      <c r="O25" s="17"/>
    </row>
    <row r="26" spans="1:15" ht="12.5">
      <c r="A26" s="17"/>
      <c r="B26" s="24"/>
      <c r="C26" s="24"/>
      <c r="D26" s="17"/>
      <c r="E26" s="17"/>
      <c r="F26" s="17"/>
      <c r="G26" s="17"/>
      <c r="H26" s="17"/>
      <c r="I26" s="100"/>
      <c r="J26" s="17" t="str">
        <f ca="1">IFERROR(__xludf.DUMMYFUNCTION("""COMPUTED_VALUE"""),"Sales")</f>
        <v>Sales</v>
      </c>
      <c r="K26" s="17" t="str">
        <f ca="1">IFERROR(__xludf.DUMMYFUNCTION("""COMPUTED_VALUE"""),"RFQ 4401 Viaje a Tijuana")</f>
        <v>RFQ 4401 Viaje a Tijuana</v>
      </c>
      <c r="L26" s="17"/>
      <c r="M26" s="17"/>
      <c r="N26" s="17"/>
      <c r="O26" s="17"/>
    </row>
    <row r="27" spans="1:15" ht="12.5">
      <c r="A27" s="17"/>
      <c r="B27" s="24"/>
      <c r="C27" s="24"/>
      <c r="D27" s="17"/>
      <c r="E27" s="17"/>
      <c r="F27" s="17"/>
      <c r="G27" s="17"/>
      <c r="H27" s="17"/>
      <c r="I27" s="100"/>
      <c r="J27" s="17" t="str">
        <f ca="1">IFERROR(__xludf.DUMMYFUNCTION("""COMPUTED_VALUE"""),"G&amp;A expenses")</f>
        <v>G&amp;A expenses</v>
      </c>
      <c r="K27" s="17" t="str">
        <f ca="1">IFERROR(__xludf.DUMMYFUNCTION("""COMPUTED_VALUE"""),"Figma ")</f>
        <v xml:space="preserve">Figma </v>
      </c>
      <c r="L27" s="17"/>
      <c r="M27" s="17"/>
      <c r="N27" s="17"/>
      <c r="O27" s="17"/>
    </row>
    <row r="28" spans="1:15" ht="12.5">
      <c r="A28" s="17"/>
      <c r="B28" s="24"/>
      <c r="C28" s="24"/>
      <c r="D28" s="17"/>
      <c r="E28" s="17"/>
      <c r="F28" s="17"/>
      <c r="G28" s="17"/>
      <c r="H28" s="17"/>
      <c r="I28" s="100"/>
      <c r="J28" s="17" t="str">
        <f ca="1">IFERROR(__xludf.DUMMYFUNCTION("""COMPUTED_VALUE"""),"Sales")</f>
        <v>Sales</v>
      </c>
      <c r="K28" s="17" t="str">
        <f ca="1">IFERROR(__xludf.DUMMYFUNCTION("""COMPUTED_VALUE"""),"RFQ 4401 Viaje a Tijuana")</f>
        <v>RFQ 4401 Viaje a Tijuana</v>
      </c>
      <c r="L28" s="17"/>
      <c r="M28" s="17"/>
      <c r="N28" s="17"/>
      <c r="O28" s="17"/>
    </row>
    <row r="29" spans="1:15" ht="12.5">
      <c r="A29" s="17"/>
      <c r="B29" s="24"/>
      <c r="C29" s="24"/>
      <c r="D29" s="17"/>
      <c r="E29" s="17"/>
      <c r="F29" s="17"/>
      <c r="G29" s="17"/>
      <c r="H29" s="17"/>
      <c r="I29" s="17"/>
      <c r="J29" s="17" t="str">
        <f ca="1">IFERROR(__xludf.DUMMYFUNCTION("""COMPUTED_VALUE"""),"Sales")</f>
        <v>Sales</v>
      </c>
      <c r="K29" s="17" t="str">
        <f ca="1">IFERROR(__xludf.DUMMYFUNCTION("""COMPUTED_VALUE"""),"café Iecos")</f>
        <v>café Iecos</v>
      </c>
      <c r="L29" s="17"/>
      <c r="M29" s="17"/>
      <c r="N29" s="17"/>
      <c r="O29" s="17"/>
    </row>
    <row r="30" spans="1:15" ht="12.5">
      <c r="A30" s="17"/>
      <c r="B30" s="24"/>
      <c r="C30" s="24"/>
      <c r="D30" s="17"/>
      <c r="E30" s="17"/>
      <c r="F30" s="17"/>
      <c r="G30" s="17"/>
      <c r="H30" s="17"/>
      <c r="I30" s="100"/>
      <c r="J30" s="17" t="str">
        <f ca="1">IFERROR(__xludf.DUMMYFUNCTION("""COMPUTED_VALUE"""),"G&amp;A expenses")</f>
        <v>G&amp;A expenses</v>
      </c>
      <c r="K30" s="17" t="str">
        <f ca="1">IFERROR(__xludf.DUMMYFUNCTION("""COMPUTED_VALUE"""),"IECOS VISITA")</f>
        <v>IECOS VISITA</v>
      </c>
      <c r="L30" s="17"/>
      <c r="M30" s="17"/>
      <c r="N30" s="17"/>
      <c r="O30" s="17"/>
    </row>
    <row r="31" spans="1:15" ht="12.5">
      <c r="A31" s="17"/>
      <c r="B31" s="24"/>
      <c r="C31" s="24"/>
      <c r="D31" s="17"/>
      <c r="E31" s="17"/>
      <c r="F31" s="17"/>
      <c r="G31" s="17"/>
      <c r="H31" s="17"/>
      <c r="I31" s="100"/>
      <c r="J31" s="17" t="str">
        <f ca="1">IFERROR(__xludf.DUMMYFUNCTION("""COMPUTED_VALUE"""),"Sales")</f>
        <v>Sales</v>
      </c>
      <c r="K31" s="17" t="str">
        <f ca="1">IFERROR(__xludf.DUMMYFUNCTION("""COMPUTED_VALUE"""),"Visita Gallineros Zarazua 4662")</f>
        <v>Visita Gallineros Zarazua 4662</v>
      </c>
      <c r="L31" s="17"/>
      <c r="M31" s="17"/>
      <c r="N31" s="17"/>
      <c r="O31" s="17"/>
    </row>
    <row r="32" spans="1:15" ht="12.5">
      <c r="A32" s="17"/>
      <c r="B32" s="24"/>
      <c r="C32" s="24"/>
      <c r="D32" s="17"/>
      <c r="E32" s="17"/>
      <c r="F32" s="17"/>
      <c r="G32" s="17"/>
      <c r="H32" s="17"/>
      <c r="I32" s="100"/>
      <c r="J32" s="17" t="str">
        <f ca="1">IFERROR(__xludf.DUMMYFUNCTION("""COMPUTED_VALUE"""),"Sales")</f>
        <v>Sales</v>
      </c>
      <c r="K32" s="17" t="str">
        <f ca="1">IFERROR(__xludf.DUMMYFUNCTION("""COMPUTED_VALUE"""),"Visita Gallineros Zarazua 4662")</f>
        <v>Visita Gallineros Zarazua 4662</v>
      </c>
      <c r="L32" s="17"/>
      <c r="M32" s="17"/>
      <c r="N32" s="17"/>
      <c r="O32" s="17"/>
    </row>
    <row r="33" spans="1:15" ht="12.5">
      <c r="A33" s="17"/>
      <c r="B33" s="24"/>
      <c r="C33" s="24"/>
      <c r="D33" s="17"/>
      <c r="E33" s="17"/>
      <c r="F33" s="17"/>
      <c r="G33" s="17"/>
      <c r="H33" s="17"/>
      <c r="I33" s="100"/>
      <c r="J33" s="17" t="str">
        <f ca="1">IFERROR(__xludf.DUMMYFUNCTION("""COMPUTED_VALUE"""),"Sales")</f>
        <v>Sales</v>
      </c>
      <c r="K33" s="17" t="str">
        <f ca="1">IFERROR(__xludf.DUMMYFUNCTION("""COMPUTED_VALUE"""),"Visita Gallineros Zarazua 4662")</f>
        <v>Visita Gallineros Zarazua 4662</v>
      </c>
      <c r="L33" s="17"/>
      <c r="M33" s="17"/>
      <c r="N33" s="17"/>
      <c r="O33" s="17"/>
    </row>
    <row r="34" spans="1:15" ht="12.5">
      <c r="A34" s="17"/>
      <c r="B34" s="24"/>
      <c r="C34" s="24"/>
      <c r="D34" s="17"/>
      <c r="E34" s="17"/>
      <c r="F34" s="17"/>
      <c r="G34" s="17"/>
      <c r="H34" s="17"/>
      <c r="I34" s="17"/>
      <c r="J34" s="17" t="str">
        <f ca="1">IFERROR(__xludf.DUMMYFUNCTION("""COMPUTED_VALUE"""),"G&amp;A expenses")</f>
        <v>G&amp;A expenses</v>
      </c>
      <c r="K34" s="17" t="str">
        <f ca="1">IFERROR(__xludf.DUMMYFUNCTION("""COMPUTED_VALUE"""),"Regreso Tlaxcala RFQ 820")</f>
        <v>Regreso Tlaxcala RFQ 820</v>
      </c>
      <c r="L34" s="17"/>
      <c r="M34" s="17"/>
      <c r="N34" s="17"/>
      <c r="O34" s="17"/>
    </row>
    <row r="35" spans="1:15" ht="12.5">
      <c r="A35" s="17"/>
      <c r="B35" s="24"/>
      <c r="C35" s="24"/>
      <c r="D35" s="17"/>
      <c r="E35" s="17"/>
      <c r="F35" s="17"/>
      <c r="G35" s="17"/>
      <c r="H35" s="17"/>
      <c r="I35" s="100"/>
      <c r="J35" s="17" t="str">
        <f ca="1">IFERROR(__xludf.DUMMYFUNCTION("""COMPUTED_VALUE"""),"G&amp;A expenses")</f>
        <v>G&amp;A expenses</v>
      </c>
      <c r="K35" s="17" t="str">
        <f ca="1">IFERROR(__xludf.DUMMYFUNCTION("""COMPUTED_VALUE"""),"Gas de coche rentado")</f>
        <v>Gas de coche rentado</v>
      </c>
      <c r="L35" s="17"/>
      <c r="M35" s="17"/>
      <c r="N35" s="17"/>
      <c r="O35" s="17"/>
    </row>
    <row r="36" spans="1:15" ht="12.5">
      <c r="A36" s="17"/>
      <c r="B36" s="24"/>
      <c r="C36" s="24"/>
      <c r="D36" s="17"/>
      <c r="E36" s="17"/>
      <c r="F36" s="17"/>
      <c r="G36" s="17"/>
      <c r="H36" s="17"/>
      <c r="I36" s="100"/>
      <c r="J36" s="17" t="str">
        <f ca="1">IFERROR(__xludf.DUMMYFUNCTION("""COMPUTED_VALUE"""),"G&amp;A expenses")</f>
        <v>G&amp;A expenses</v>
      </c>
      <c r="K36" s="17" t="str">
        <f ca="1">IFERROR(__xludf.DUMMYFUNCTION("""COMPUTED_VALUE"""),"RFQ 820 RF")</f>
        <v>RFQ 820 RF</v>
      </c>
      <c r="L36" s="17"/>
      <c r="M36" s="17"/>
      <c r="N36" s="17"/>
      <c r="O36" s="17"/>
    </row>
    <row r="37" spans="1:15" ht="12.5">
      <c r="A37" s="17"/>
      <c r="B37" s="24"/>
      <c r="C37" s="24"/>
      <c r="D37" s="17"/>
      <c r="E37" s="17"/>
      <c r="F37" s="17"/>
      <c r="G37" s="17"/>
      <c r="H37" s="17"/>
      <c r="I37" s="100"/>
      <c r="J37" s="17" t="str">
        <f ca="1">IFERROR(__xludf.DUMMYFUNCTION("""COMPUTED_VALUE"""),"Sales")</f>
        <v>Sales</v>
      </c>
      <c r="K37" s="17" t="str">
        <f ca="1">IFERROR(__xludf.DUMMYFUNCTION("""COMPUTED_VALUE"""),"RFQ 820 RF")</f>
        <v>RFQ 820 RF</v>
      </c>
      <c r="L37" s="17"/>
      <c r="M37" s="17"/>
      <c r="N37" s="17"/>
      <c r="O37" s="17"/>
    </row>
    <row r="38" spans="1:15" ht="12.5">
      <c r="A38" s="17"/>
      <c r="B38" s="24"/>
      <c r="C38" s="24"/>
      <c r="D38" s="17"/>
      <c r="E38" s="17"/>
      <c r="F38" s="17"/>
      <c r="G38" s="17"/>
      <c r="H38" s="17"/>
      <c r="I38" s="100"/>
      <c r="J38" s="17" t="str">
        <f ca="1">IFERROR(__xludf.DUMMYFUNCTION("""COMPUTED_VALUE"""),"G&amp;A expenses")</f>
        <v>G&amp;A expenses</v>
      </c>
      <c r="K38" s="17" t="str">
        <f ca="1">IFERROR(__xludf.DUMMYFUNCTION("""COMPUTED_VALUE"""),"RFQ 820 RF")</f>
        <v>RFQ 820 RF</v>
      </c>
      <c r="L38" s="17"/>
      <c r="M38" s="17"/>
      <c r="N38" s="17"/>
      <c r="O38" s="17"/>
    </row>
    <row r="39" spans="1:15" ht="12.5">
      <c r="A39" s="17"/>
      <c r="B39" s="24"/>
      <c r="C39" s="24"/>
      <c r="D39" s="17"/>
      <c r="E39" s="17"/>
      <c r="F39" s="17"/>
      <c r="G39" s="17"/>
      <c r="H39" s="17"/>
      <c r="I39" s="100"/>
      <c r="J39" s="17" t="str">
        <f ca="1">IFERROR(__xludf.DUMMYFUNCTION("""COMPUTED_VALUE"""),"G&amp;A expenses")</f>
        <v>G&amp;A expenses</v>
      </c>
      <c r="K39" s="17" t="str">
        <f ca="1">IFERROR(__xludf.DUMMYFUNCTION("""COMPUTED_VALUE"""),"RFQ 820 RF")</f>
        <v>RFQ 820 RF</v>
      </c>
      <c r="L39" s="17"/>
      <c r="M39" s="17"/>
      <c r="N39" s="17"/>
      <c r="O39" s="17"/>
    </row>
    <row r="40" spans="1:15" ht="12.5">
      <c r="A40" s="17"/>
      <c r="B40" s="24"/>
      <c r="C40" s="24"/>
      <c r="D40" s="17"/>
      <c r="E40" s="17"/>
      <c r="F40" s="17"/>
      <c r="G40" s="17"/>
      <c r="H40" s="17"/>
      <c r="I40" s="100"/>
      <c r="J40" s="17" t="str">
        <f ca="1">IFERROR(__xludf.DUMMYFUNCTION("""COMPUTED_VALUE"""),"Sales")</f>
        <v>Sales</v>
      </c>
      <c r="K40" s="17" t="str">
        <f ca="1">IFERROR(__xludf.DUMMYFUNCTION("""COMPUTED_VALUE"""),"Aeromexico 4606")</f>
        <v>Aeromexico 4606</v>
      </c>
      <c r="L40" s="17"/>
      <c r="M40" s="17"/>
      <c r="N40" s="17"/>
      <c r="O40" s="17"/>
    </row>
    <row r="41" spans="1:15" ht="12.5">
      <c r="A41" s="17"/>
      <c r="B41" s="24"/>
      <c r="C41" s="24"/>
      <c r="D41" s="17"/>
      <c r="E41" s="17"/>
      <c r="F41" s="17"/>
      <c r="G41" s="17"/>
      <c r="H41" s="17"/>
      <c r="I41" s="100"/>
      <c r="J41" s="17" t="str">
        <f ca="1">IFERROR(__xludf.DUMMYFUNCTION("""COMPUTED_VALUE"""),"Sales")</f>
        <v>Sales</v>
      </c>
      <c r="K41" s="17" t="str">
        <f ca="1">IFERROR(__xludf.DUMMYFUNCTION("""COMPUTED_VALUE"""),"Aeromexico 4606")</f>
        <v>Aeromexico 4606</v>
      </c>
      <c r="L41" s="17"/>
      <c r="M41" s="17"/>
      <c r="N41" s="17"/>
      <c r="O41" s="17"/>
    </row>
    <row r="42" spans="1:15" ht="12.5">
      <c r="A42" s="17"/>
      <c r="B42" s="24"/>
      <c r="C42" s="24"/>
      <c r="D42" s="17"/>
      <c r="E42" s="17"/>
      <c r="F42" s="17"/>
      <c r="G42" s="17"/>
      <c r="H42" s="17"/>
      <c r="I42" s="17"/>
      <c r="J42" s="17" t="str">
        <f ca="1">IFERROR(__xludf.DUMMYFUNCTION("""COMPUTED_VALUE"""),"Sales")</f>
        <v>Sales</v>
      </c>
      <c r="K42" s="17" t="str">
        <f ca="1">IFERROR(__xludf.DUMMYFUNCTION("""COMPUTED_VALUE"""),"Aeromexico 4606")</f>
        <v>Aeromexico 4606</v>
      </c>
      <c r="L42" s="17"/>
      <c r="M42" s="17"/>
      <c r="N42" s="17"/>
      <c r="O42" s="17"/>
    </row>
    <row r="43" spans="1:15" ht="12.5">
      <c r="A43" s="17"/>
      <c r="B43" s="24"/>
      <c r="C43" s="24"/>
      <c r="D43" s="17"/>
      <c r="E43" s="17"/>
      <c r="F43" s="17"/>
      <c r="G43" s="17"/>
      <c r="H43" s="17"/>
      <c r="I43" s="17"/>
      <c r="J43" s="17" t="str">
        <f ca="1">IFERROR(__xludf.DUMMYFUNCTION("""COMPUTED_VALUE"""),"Office expenses")</f>
        <v>Office expenses</v>
      </c>
      <c r="K43" s="17" t="str">
        <f ca="1">IFERROR(__xludf.DUMMYFUNCTION("""COMPUTED_VALUE"""),"Aeromexico 4606")</f>
        <v>Aeromexico 4606</v>
      </c>
      <c r="L43" s="17"/>
      <c r="M43" s="17"/>
      <c r="N43" s="17"/>
      <c r="O43" s="17"/>
    </row>
    <row r="44" spans="1:15" ht="12.5">
      <c r="A44" s="17"/>
      <c r="B44" s="24"/>
      <c r="C44" s="24"/>
      <c r="D44" s="17"/>
      <c r="E44" s="17"/>
      <c r="F44" s="17"/>
      <c r="G44" s="17"/>
      <c r="H44" s="17"/>
      <c r="I44" s="17"/>
      <c r="J44" s="17" t="str">
        <f ca="1">IFERROR(__xludf.DUMMYFUNCTION("""COMPUTED_VALUE"""),"G&amp;A expenses")</f>
        <v>G&amp;A expenses</v>
      </c>
      <c r="K44" s="17" t="str">
        <f ca="1">IFERROR(__xludf.DUMMYFUNCTION("""COMPUTED_VALUE"""),"Fervi")</f>
        <v>Fervi</v>
      </c>
      <c r="L44" s="17"/>
      <c r="M44" s="17"/>
      <c r="N44" s="17"/>
      <c r="O44" s="17"/>
    </row>
    <row r="45" spans="1:15" ht="12.5">
      <c r="A45" s="17"/>
      <c r="B45" s="24"/>
      <c r="C45" s="24"/>
      <c r="D45" s="17"/>
      <c r="E45" s="17"/>
      <c r="F45" s="17"/>
      <c r="G45" s="17"/>
      <c r="H45" s="17"/>
      <c r="I45" s="17"/>
      <c r="J45" s="17" t="str">
        <f ca="1">IFERROR(__xludf.DUMMYFUNCTION("""COMPUTED_VALUE"""),"G&amp;A expenses")</f>
        <v>G&amp;A expenses</v>
      </c>
      <c r="K45" s="17" t="str">
        <f ca="1">IFERROR(__xludf.DUMMYFUNCTION("""COMPUTED_VALUE"""),"Fevi")</f>
        <v>Fevi</v>
      </c>
      <c r="L45" s="17"/>
      <c r="M45" s="17"/>
      <c r="N45" s="17"/>
      <c r="O45" s="17"/>
    </row>
    <row r="46" spans="1:15" ht="12.5">
      <c r="A46" s="17"/>
      <c r="B46" s="24"/>
      <c r="C46" s="24"/>
      <c r="D46" s="17"/>
      <c r="E46" s="17"/>
      <c r="F46" s="17"/>
      <c r="G46" s="17"/>
      <c r="H46" s="17"/>
      <c r="I46" s="17"/>
      <c r="J46" s="17" t="str">
        <f ca="1">IFERROR(__xludf.DUMMYFUNCTION("""COMPUTED_VALUE"""),"G&amp;A expenses")</f>
        <v>G&amp;A expenses</v>
      </c>
      <c r="K46" s="17" t="str">
        <f ca="1">IFERROR(__xludf.DUMMYFUNCTION("""COMPUTED_VALUE"""),"Desayuno Ferranico")</f>
        <v>Desayuno Ferranico</v>
      </c>
      <c r="L46" s="17"/>
      <c r="M46" s="17"/>
      <c r="N46" s="17"/>
      <c r="O46" s="17"/>
    </row>
    <row r="47" spans="1:15" ht="12.5">
      <c r="A47" s="17"/>
      <c r="B47" s="24"/>
      <c r="C47" s="24"/>
      <c r="D47" s="17"/>
      <c r="E47" s="17"/>
      <c r="F47" s="17"/>
      <c r="G47" s="17"/>
      <c r="H47" s="17"/>
      <c r="I47" s="17"/>
      <c r="J47" s="17" t="str">
        <f ca="1">IFERROR(__xludf.DUMMYFUNCTION("""COMPUTED_VALUE"""),"G&amp;A expenses")</f>
        <v>G&amp;A expenses</v>
      </c>
      <c r="K47" s="17" t="str">
        <f ca="1">IFERROR(__xludf.DUMMYFUNCTION("""COMPUTED_VALUE"""),"Desayuno Ferranico")</f>
        <v>Desayuno Ferranico</v>
      </c>
      <c r="L47" s="17"/>
      <c r="M47" s="17"/>
      <c r="N47" s="17"/>
      <c r="O47" s="17"/>
    </row>
    <row r="48" spans="1:15" ht="12.5">
      <c r="A48" s="17"/>
      <c r="B48" s="24"/>
      <c r="C48" s="24"/>
      <c r="D48" s="17"/>
      <c r="E48" s="17"/>
      <c r="F48" s="17"/>
      <c r="G48" s="17"/>
      <c r="H48" s="17"/>
      <c r="I48" s="17"/>
      <c r="J48" s="17" t="str">
        <f ca="1">IFERROR(__xludf.DUMMYFUNCTION("""COMPUTED_VALUE"""),"G&amp;A expenses")</f>
        <v>G&amp;A expenses</v>
      </c>
      <c r="K48" s="17" t="str">
        <f ca="1">IFERROR(__xludf.DUMMYFUNCTION("""COMPUTED_VALUE"""),"Fervi")</f>
        <v>Fervi</v>
      </c>
      <c r="L48" s="17"/>
      <c r="M48" s="17"/>
      <c r="N48" s="17"/>
      <c r="O48" s="17"/>
    </row>
    <row r="49" spans="1:15" ht="12.5">
      <c r="A49" s="17"/>
      <c r="B49" s="24"/>
      <c r="C49" s="24"/>
      <c r="D49" s="17"/>
      <c r="E49" s="17"/>
      <c r="F49" s="17"/>
      <c r="G49" s="17"/>
      <c r="H49" s="17"/>
      <c r="I49" s="17"/>
      <c r="J49" s="17" t="str">
        <f ca="1">IFERROR(__xludf.DUMMYFUNCTION("""COMPUTED_VALUE"""),"G&amp;A expenses")</f>
        <v>G&amp;A expenses</v>
      </c>
      <c r="K49" s="17" t="str">
        <f ca="1">IFERROR(__xludf.DUMMYFUNCTION("""COMPUTED_VALUE"""),"Fervi")</f>
        <v>Fervi</v>
      </c>
      <c r="L49" s="17"/>
      <c r="M49" s="17"/>
      <c r="N49" s="17"/>
      <c r="O49" s="17"/>
    </row>
    <row r="50" spans="1:15" ht="12.5">
      <c r="A50" s="17"/>
      <c r="B50" s="24"/>
      <c r="C50" s="24"/>
      <c r="D50" s="17"/>
      <c r="E50" s="17"/>
      <c r="F50" s="17"/>
      <c r="G50" s="17"/>
      <c r="H50" s="17"/>
      <c r="I50" s="17"/>
      <c r="J50" s="17" t="str">
        <f ca="1">IFERROR(__xludf.DUMMYFUNCTION("""COMPUTED_VALUE"""),"G&amp;A expenses")</f>
        <v>G&amp;A expenses</v>
      </c>
      <c r="K50" s="17" t="str">
        <f ca="1">IFERROR(__xludf.DUMMYFUNCTION("""COMPUTED_VALUE"""),"Fervi")</f>
        <v>Fervi</v>
      </c>
      <c r="L50" s="17"/>
      <c r="M50" s="17"/>
      <c r="N50" s="17"/>
      <c r="O50" s="17"/>
    </row>
    <row r="51" spans="1:15" ht="12.5">
      <c r="A51" s="17"/>
      <c r="B51" s="24"/>
      <c r="C51" s="24"/>
      <c r="D51" s="17"/>
      <c r="E51" s="17"/>
      <c r="F51" s="17"/>
      <c r="G51" s="17"/>
      <c r="H51" s="17"/>
      <c r="I51" s="17"/>
      <c r="J51" s="17" t="str">
        <f ca="1">IFERROR(__xludf.DUMMYFUNCTION("""COMPUTED_VALUE"""),"G&amp;A expenses")</f>
        <v>G&amp;A expenses</v>
      </c>
      <c r="K51" s="17" t="str">
        <f ca="1">IFERROR(__xludf.DUMMYFUNCTION("""COMPUTED_VALUE"""),"Fervi")</f>
        <v>Fervi</v>
      </c>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61.3632812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1956</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IFERROR(__xludf.DUMMYFUNCTION("IMPORTRANGE(""https://docs.google.com/spreadsheets/d/1co6Q87GMrPiaFHyDZLYHPVjXV1AsYMGioTlQGG0aBM0/edit#gid=1404531132"",""I12:K80"")"),"Sales")</f>
        <v>Sales</v>
      </c>
      <c r="J12" s="17" t="str">
        <f ca="1">IFERROR(__xludf.DUMMYFUNCTION("""COMPUTED_VALUE"""),"Email Marketing")</f>
        <v>Email Marketing</v>
      </c>
      <c r="K12" s="17" t="str">
        <f ca="1">IFERROR(__xludf.DUMMYFUNCTION("""COMPUTED_VALUE"""),"Factura de clientes_40925_20240902_153532.pdf")</f>
        <v>Factura de clientes_40925_20240902_153532.pdf</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IFERROR(__xludf.DUMMYFUNCTION("""COMPUTED_VALUE"""),"Hilos y cola Evento QRO")</f>
        <v>Hilos y cola Evento QRO</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IFERROR(__xludf.DUMMYFUNCTION("""COMPUTED_VALUE"""),"Etiquetas blancas para cajas")</f>
        <v>Etiquetas blancas para cajas</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IFERROR(__xludf.DUMMYFUNCTION("""COMPUTED_VALUE"""),"DIseño")</f>
        <v>DIseño</v>
      </c>
      <c r="K15" s="17" t="str">
        <f ca="1">IFERROR(__xludf.DUMMYFUNCTION("""COMPUTED_VALUE"""),"F 41077")</f>
        <v>F 41077</v>
      </c>
      <c r="L15" s="17"/>
      <c r="M15" s="17"/>
      <c r="N15" s="17"/>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IFERROR(__xludf.DUMMYFUNCTION("""COMPUTED_VALUE"""),"Envio impresión a Colony")</f>
        <v>Envio impresión a Colony</v>
      </c>
      <c r="K16" s="17" t="str">
        <f ca="1">IFERROR(__xludf.DUMMYFUNCTION("""COMPUTED_VALUE"""),"FSJ8774")</f>
        <v>FSJ8774</v>
      </c>
      <c r="L16" s="17"/>
      <c r="M16" s="17"/>
      <c r="N16" s="17"/>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IFERROR(__xludf.DUMMYFUNCTION("""COMPUTED_VALUE"""),"Envío impresión a Colony")</f>
        <v>Envío impresión a Colony</v>
      </c>
      <c r="K17" s="17" t="str">
        <f ca="1">IFERROR(__xludf.DUMMYFUNCTION("""COMPUTED_VALUE"""),"D0F807F4-0003")</f>
        <v>D0F807F4-0003</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IFERROR(__xludf.DUMMYFUNCTION("""COMPUTED_VALUE"""),"Wifi Evento The food tech")</f>
        <v>Wifi Evento The food tech</v>
      </c>
      <c r="K18" s="17" t="str">
        <f ca="1">IFERROR(__xludf.DUMMYFUNCTION("""COMPUTED_VALUE"""),"3B33CDE2-5ABB-4560-A5D1-FB3C6AC6CF64")</f>
        <v>3B33CDE2-5ABB-4560-A5D1-FB3C6AC6CF64</v>
      </c>
      <c r="L18" s="17"/>
      <c r="M18" s="17"/>
      <c r="N18" s="17"/>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IFERROR(__xludf.DUMMYFUNCTION("""COMPUTED_VALUE"""),"Renta lectoras")</f>
        <v>Renta lectoras</v>
      </c>
      <c r="K19" s="17"/>
      <c r="L19" s="17"/>
      <c r="M19" s="17"/>
      <c r="N19" s="17"/>
      <c r="O19" s="17"/>
    </row>
    <row r="20" spans="1:15" ht="12.5">
      <c r="A20" s="17"/>
      <c r="B20" s="24"/>
      <c r="C20" s="24"/>
      <c r="D20" s="17"/>
      <c r="E20" s="17"/>
      <c r="F20" s="17"/>
      <c r="G20" s="17"/>
      <c r="H20" s="17"/>
      <c r="I20" s="17" t="str">
        <f ca="1">IFERROR(__xludf.DUMMYFUNCTION("""COMPUTED_VALUE"""),"Sales")</f>
        <v>Sales</v>
      </c>
      <c r="J20" s="17" t="str">
        <f ca="1">IFERROR(__xludf.DUMMYFUNCTION("""COMPUTED_VALUE"""),"Plataforma IA Diseño")</f>
        <v>Plataforma IA Diseño</v>
      </c>
      <c r="K20" s="17" t="str">
        <f ca="1">IFERROR(__xludf.DUMMYFUNCTION("""COMPUTED_VALUE"""),"-2116-1358-8581")</f>
        <v>-2116-1358-8581</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IFERROR(__xludf.DUMMYFUNCTION("""COMPUTED_VALUE"""),"Almuerzo the food tech evento")</f>
        <v>Almuerzo the food tech evento</v>
      </c>
      <c r="K21" s="17" t="str">
        <f ca="1">IFERROR(__xludf.DUMMYFUNCTION("""COMPUTED_VALUE"""),"FM-17363")</f>
        <v>FM-17363</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IFERROR(__xludf.DUMMYFUNCTION("""COMPUTED_VALUE"""),"post")</f>
        <v>post</v>
      </c>
      <c r="K22" s="17" t="str">
        <f ca="1">IFERROR(__xludf.DUMMYFUNCTION("""COMPUTED_VALUE"""),"FSJ14805")</f>
        <v>FSJ14805</v>
      </c>
      <c r="L22" s="17"/>
      <c r="M22" s="17"/>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IFERROR(__xludf.DUMMYFUNCTION("""COMPUTED_VALUE"""),"Entrega Folios Erick Cival")</f>
        <v>Entrega Folios Erick Cival</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IFERROR(__xludf.DUMMYFUNCTION("""COMPUTED_VALUE"""),"Sales")</f>
        <v>Sales</v>
      </c>
      <c r="J25" s="17" t="str">
        <f ca="1">IFERROR(__xludf.DUMMYFUNCTION("""COMPUTED_VALUE"""),"Platafomra webinars")</f>
        <v>Platafomra webinars</v>
      </c>
      <c r="K25" s="17" t="str">
        <f ca="1">IFERROR(__xludf.DUMMYFUNCTION("""COMPUTED_VALUE"""),"2364-6486")</f>
        <v>2364-6486</v>
      </c>
      <c r="L25" s="17"/>
      <c r="M25" s="17"/>
      <c r="N25" s="17"/>
      <c r="O25" s="17"/>
    </row>
    <row r="26" spans="1:15" ht="12.5">
      <c r="A26" s="17"/>
      <c r="B26" s="24"/>
      <c r="C26" s="24"/>
      <c r="D26" s="17"/>
      <c r="E26" s="17"/>
      <c r="F26" s="17"/>
      <c r="G26" s="17"/>
      <c r="H26" s="17"/>
      <c r="I26" s="17" t="str">
        <f ca="1">IFERROR(__xludf.DUMMYFUNCTION("""COMPUTED_VALUE"""),"Sales")</f>
        <v>Sales</v>
      </c>
      <c r="J26" s="17" t="str">
        <f ca="1">IFERROR(__xludf.DUMMYFUNCTION("""COMPUTED_VALUE"""),"Plataforma diseño grafico")</f>
        <v>Plataforma diseño grafico</v>
      </c>
      <c r="K26" s="17" t="str">
        <f ca="1">IFERROR(__xludf.DUMMYFUNCTION("""COMPUTED_VALUE"""),"Invoice-B21E6187-0008.pdf")</f>
        <v>Invoice-B21E6187-0008.pdf</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IFERROR(__xludf.DUMMYFUNCTION("""COMPUTED_VALUE"""),"Evento the food tech")</f>
        <v>Evento the food tech</v>
      </c>
      <c r="K27" s="17" t="str">
        <f ca="1">IFERROR(__xludf.DUMMYFUNCTION("""COMPUTED_VALUE"""),"Aisladoras evento The food tech")</f>
        <v>Aisladoras evento The food tech</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IFERROR(__xludf.DUMMYFUNCTION("""COMPUTED_VALUE"""),"Evento the food tech")</f>
        <v>Evento the food tech</v>
      </c>
      <c r="K28" s="17" t="str">
        <f ca="1">IFERROR(__xludf.DUMMYFUNCTION("""COMPUTED_VALUE"""),"Cintas evento The food tech")</f>
        <v>Cintas evento The food tech</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IFERROR(__xludf.DUMMYFUNCTION("""COMPUTED_VALUE"""),"Merch evento chamarras")</f>
        <v>Merch evento chamarras</v>
      </c>
      <c r="K29" s="17" t="str">
        <f ca="1">IFERROR(__xludf.DUMMYFUNCTION("""COMPUTED_VALUE"""),"4CBB28F6-8216-11EF-A886-1B153636DEE7")</f>
        <v>4CBB28F6-8216-11EF-A886-1B153636DEE7</v>
      </c>
      <c r="L29" s="17"/>
      <c r="M29" s="17"/>
      <c r="N29" s="17"/>
      <c r="O29" s="17"/>
    </row>
    <row r="30" spans="1:15" ht="12.5">
      <c r="A30" s="17"/>
      <c r="B30" s="24"/>
      <c r="C30" s="24"/>
      <c r="D30" s="17"/>
      <c r="E30" s="17"/>
      <c r="F30" s="17"/>
      <c r="G30" s="17"/>
      <c r="H30" s="17"/>
      <c r="I30" s="17" t="str">
        <f ca="1">IFERROR(__xludf.DUMMYFUNCTION("""COMPUTED_VALUE"""),"Sales")</f>
        <v>Sales</v>
      </c>
      <c r="J30" s="17" t="str">
        <f ca="1">IFERROR(__xludf.DUMMYFUNCTION("""COMPUTED_VALUE"""),"Merch evento chamarras")</f>
        <v>Merch evento chamarras</v>
      </c>
      <c r="K30" s="17" t="str">
        <f ca="1">IFERROR(__xludf.DUMMYFUNCTION("""COMPUTED_VALUE"""),"58A6EAA0-8216-11EF-B7A5-F18AE760A715")</f>
        <v>58A6EAA0-8216-11EF-B7A5-F18AE760A715</v>
      </c>
      <c r="L30" s="17"/>
      <c r="M30" s="17"/>
      <c r="N30" s="17"/>
      <c r="O30" s="17"/>
    </row>
    <row r="31" spans="1:15" ht="12.5">
      <c r="A31" s="17"/>
      <c r="B31" s="24"/>
      <c r="C31" s="24"/>
      <c r="D31" s="17"/>
      <c r="E31" s="17"/>
      <c r="F31" s="17"/>
      <c r="G31" s="17"/>
      <c r="H31" s="17"/>
      <c r="I31" s="17" t="str">
        <f ca="1">IFERROR(__xludf.DUMMYFUNCTION("""COMPUTED_VALUE"""),"Sales")</f>
        <v>Sales</v>
      </c>
      <c r="J31" s="17" t="str">
        <f ca="1">IFERROR(__xludf.DUMMYFUNCTION("""COMPUTED_VALUE"""),"Merch evento chamarras")</f>
        <v>Merch evento chamarras</v>
      </c>
      <c r="K31" s="17" t="str">
        <f ca="1">IFERROR(__xludf.DUMMYFUNCTION("""COMPUTED_VALUE"""),"Tarjetas blancas para Tazas Corporativas")</f>
        <v>Tarjetas blancas para Tazas Corporativas</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IFERROR(__xludf.DUMMYFUNCTION("""COMPUTED_VALUE"""),"Programa diseño")</f>
        <v>Programa diseño</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IFERROR(__xludf.DUMMYFUNCTION("""COMPUTED_VALUE"""),"Sales")</f>
        <v>Sales</v>
      </c>
      <c r="J33" s="17" t="str">
        <f ca="1">IFERROR(__xludf.DUMMYFUNCTION("""COMPUTED_VALUE"""),"Transporte flyers a Colony")</f>
        <v>Transporte flyers a Colony</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t="str">
        <f ca="1">IFERROR(__xludf.DUMMYFUNCTION("""COMPUTED_VALUE"""),"Diseño")</f>
        <v>Diseño</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IFERROR(__xludf.DUMMYFUNCTION("""COMPUTED_VALUE"""),"Parking evento MIT")</f>
        <v>Parking evento MIT</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IFERROR(__xludf.DUMMYFUNCTION("""COMPUTED_VALUE"""),"Parking evento MIT")</f>
        <v>Parking evento MIT</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IFERROR(__xludf.DUMMYFUNCTION("""COMPUTED_VALUE"""),"Linea wsp PRima")</f>
        <v>Linea wsp PRima</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IFERROR(__xludf.DUMMYFUNCTION("""COMPUTED_VALUE"""),"Posteos")</f>
        <v>Posteos</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IFERROR(__xludf.DUMMYFUNCTION("""COMPUTED_VALUE"""),"Diseño")</f>
        <v>Diseño</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IFERROR(__xludf.DUMMYFUNCTION("""COMPUTED_VALUE"""),"Webinars")</f>
        <v>Webinars</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IFERROR(__xludf.DUMMYFUNCTION("""COMPUTED_VALUE"""),"Diseño")</f>
        <v>Diseño</v>
      </c>
      <c r="K42" s="17" t="str">
        <f ca="1">IFERROR(__xludf.DUMMYFUNCTION("""COMPUTED_VALUE"""),"-")</f>
        <v>-</v>
      </c>
      <c r="L42" s="17"/>
      <c r="M42" s="17"/>
      <c r="N42" s="17"/>
      <c r="O42" s="17"/>
    </row>
    <row r="43" spans="1:15" ht="12.5">
      <c r="A43" s="17"/>
      <c r="B43" s="24"/>
      <c r="C43" s="24"/>
      <c r="D43" s="17"/>
      <c r="E43" s="17"/>
      <c r="F43" s="17"/>
      <c r="G43" s="17"/>
      <c r="H43" s="17"/>
      <c r="I43" s="17"/>
      <c r="J43" s="17"/>
      <c r="K43" s="17"/>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3C47D"/>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27" customWidth="1"/>
    <col min="8" max="8" width="49.7265625"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00" t="str">
        <f ca="1">IFERROR(__xludf.DUMMYFUNCTION("IMPORTRANGE(""https://docs.google.com/spreadsheets/d/1Z-iDx1wLS7HVLTGXuyrnULW428EIkfSm4XX3XSctllw/edit#gid=1404531132"",""I12:K80"")"),"Sales")</f>
        <v>Sales</v>
      </c>
      <c r="J12" s="17" t="str">
        <f ca="1">IFERROR(__xludf.DUMMYFUNCTION("""COMPUTED_VALUE"""),"Uber a MP")</f>
        <v>Uber a MP</v>
      </c>
      <c r="K12" s="17" t="str">
        <f ca="1">IFERROR(__xludf.DUMMYFUNCTION("""COMPUTED_VALUE"""),"NA")</f>
        <v>NA</v>
      </c>
      <c r="L12" s="17"/>
      <c r="M12" s="17"/>
      <c r="N12" s="17" t="e">
        <f ca="1">D12+D13+D23+D24+D25</f>
        <v>#VALUE!</v>
      </c>
      <c r="O12" s="17"/>
    </row>
    <row r="13" spans="1:15" ht="15.75" customHeight="1">
      <c r="A13" s="24"/>
      <c r="B13" s="24"/>
      <c r="C13" s="24"/>
      <c r="D13" s="17"/>
      <c r="E13" s="17"/>
      <c r="F13" s="17"/>
      <c r="G13" s="17"/>
      <c r="H13" s="17"/>
      <c r="I13" s="100" t="str">
        <f ca="1">IFERROR(__xludf.DUMMYFUNCTION("""COMPUTED_VALUE"""),"Sales")</f>
        <v>Sales</v>
      </c>
      <c r="J13" s="17" t="str">
        <f ca="1">IFERROR(__xludf.DUMMYFUNCTION("""COMPUTED_VALUE"""),"Cafe en feria")</f>
        <v>Cafe en feria</v>
      </c>
      <c r="K13" s="17" t="str">
        <f ca="1">IFERROR(__xludf.DUMMYFUNCTION("""COMPUTED_VALUE"""),"NA")</f>
        <v>NA</v>
      </c>
      <c r="L13" s="17"/>
      <c r="M13" s="17"/>
      <c r="N13" s="65">
        <v>4269</v>
      </c>
      <c r="O13" s="17"/>
    </row>
    <row r="14" spans="1:15" ht="15.75" customHeight="1">
      <c r="A14" s="24"/>
      <c r="B14" s="24"/>
      <c r="C14" s="24"/>
      <c r="D14" s="17"/>
      <c r="E14" s="17"/>
      <c r="F14" s="17"/>
      <c r="G14" s="17"/>
      <c r="H14" s="17"/>
      <c r="I14" s="127" t="str">
        <f ca="1">IFERROR(__xludf.DUMMYFUNCTION("""COMPUTED_VALUE"""),"Sales")</f>
        <v>Sales</v>
      </c>
      <c r="J14" s="17" t="str">
        <f ca="1">IFERROR(__xludf.DUMMYFUNCTION("""COMPUTED_VALUE"""),"Desayuno MP Rev Share")</f>
        <v>Desayuno MP Rev Share</v>
      </c>
      <c r="K14" s="17" t="str">
        <f ca="1">IFERROR(__xludf.DUMMYFUNCTION("""COMPUTED_VALUE"""),"NA")</f>
        <v>NA</v>
      </c>
      <c r="L14" s="17"/>
      <c r="M14" s="17"/>
      <c r="N14" s="17">
        <f>D14+D15+D16+D17+D18+D19+D20+D21+D22</f>
        <v>0</v>
      </c>
      <c r="O14" s="17"/>
    </row>
    <row r="15" spans="1:15" ht="15.75" customHeight="1">
      <c r="A15" s="24"/>
      <c r="B15" s="24"/>
      <c r="C15" s="24"/>
      <c r="D15" s="17"/>
      <c r="E15" s="17"/>
      <c r="F15" s="17"/>
      <c r="G15" s="17"/>
      <c r="H15" s="17"/>
      <c r="I15" s="127" t="str">
        <f ca="1">IFERROR(__xludf.DUMMYFUNCTION("""COMPUTED_VALUE"""),"Sales")</f>
        <v>Sales</v>
      </c>
      <c r="J15" s="17" t="str">
        <f ca="1">IFERROR(__xludf.DUMMYFUNCTION("""COMPUTED_VALUE"""),"Uber a MP")</f>
        <v>Uber a MP</v>
      </c>
      <c r="K15" s="17" t="str">
        <f ca="1">IFERROR(__xludf.DUMMYFUNCTION("""COMPUTED_VALUE"""),"NA")</f>
        <v>NA</v>
      </c>
      <c r="L15" s="17"/>
      <c r="M15" s="17"/>
      <c r="N15" s="17"/>
      <c r="O15" s="17"/>
    </row>
    <row r="16" spans="1:15" ht="15.75" customHeight="1">
      <c r="A16" s="17"/>
      <c r="B16" s="24"/>
      <c r="C16" s="24"/>
      <c r="D16" s="17"/>
      <c r="E16" s="17"/>
      <c r="F16" s="17"/>
      <c r="G16" s="17"/>
      <c r="H16" s="17"/>
      <c r="I16" s="127" t="str">
        <f ca="1">IFERROR(__xludf.DUMMYFUNCTION("""COMPUTED_VALUE"""),"Sales")</f>
        <v>Sales</v>
      </c>
      <c r="J16" s="17" t="str">
        <f ca="1">IFERROR(__xludf.DUMMYFUNCTION("""COMPUTED_VALUE"""),"Almuerzo Rev Share")</f>
        <v>Almuerzo Rev Share</v>
      </c>
      <c r="K16" s="17" t="str">
        <f ca="1">IFERROR(__xludf.DUMMYFUNCTION("""COMPUTED_VALUE"""),"NA")</f>
        <v>NA</v>
      </c>
      <c r="L16" s="17"/>
      <c r="M16" s="17"/>
      <c r="N16" s="17"/>
      <c r="O16" s="17"/>
    </row>
    <row r="17" spans="1:15" ht="15.75" customHeight="1">
      <c r="A17" s="17"/>
      <c r="B17" s="24"/>
      <c r="C17" s="24"/>
      <c r="D17" s="17"/>
      <c r="E17" s="17"/>
      <c r="F17" s="17"/>
      <c r="G17" s="17"/>
      <c r="H17" s="17"/>
      <c r="I17" s="127" t="str">
        <f ca="1">IFERROR(__xludf.DUMMYFUNCTION("""COMPUTED_VALUE"""),"Sales")</f>
        <v>Sales</v>
      </c>
      <c r="J17" s="17" t="str">
        <f ca="1">IFERROR(__xludf.DUMMYFUNCTION("""COMPUTED_VALUE"""),"Uber a MP")</f>
        <v>Uber a MP</v>
      </c>
      <c r="K17" s="17" t="str">
        <f ca="1">IFERROR(__xludf.DUMMYFUNCTION("""COMPUTED_VALUE"""),"NA")</f>
        <v>NA</v>
      </c>
      <c r="L17" s="17"/>
      <c r="M17" s="17"/>
      <c r="N17" s="17"/>
      <c r="O17" s="17"/>
    </row>
    <row r="18" spans="1:15" ht="15.75" customHeight="1">
      <c r="A18" s="17"/>
      <c r="B18" s="24"/>
      <c r="C18" s="24"/>
      <c r="D18" s="17"/>
      <c r="E18" s="17"/>
      <c r="F18" s="17"/>
      <c r="G18" s="17"/>
      <c r="H18" s="17"/>
      <c r="I18" s="127" t="str">
        <f ca="1">IFERROR(__xludf.DUMMYFUNCTION("""COMPUTED_VALUE"""),"Sales")</f>
        <v>Sales</v>
      </c>
      <c r="J18" s="17" t="str">
        <f ca="1">IFERROR(__xludf.DUMMYFUNCTION("""COMPUTED_VALUE"""),"Uber a MP")</f>
        <v>Uber a MP</v>
      </c>
      <c r="K18" s="17" t="str">
        <f ca="1">IFERROR(__xludf.DUMMYFUNCTION("""COMPUTED_VALUE"""),"NA")</f>
        <v>NA</v>
      </c>
      <c r="L18" s="17"/>
      <c r="M18" s="17"/>
      <c r="N18" s="17"/>
      <c r="O18" s="17"/>
    </row>
    <row r="19" spans="1:15" ht="15.75" customHeight="1">
      <c r="A19" s="17"/>
      <c r="B19" s="24"/>
      <c r="C19" s="24"/>
      <c r="D19" s="17"/>
      <c r="E19" s="17"/>
      <c r="F19" s="17"/>
      <c r="G19" s="17"/>
      <c r="H19" s="17"/>
      <c r="I19" s="127" t="str">
        <f ca="1">IFERROR(__xludf.DUMMYFUNCTION("""COMPUTED_VALUE"""),"Sales")</f>
        <v>Sales</v>
      </c>
      <c r="J19" s="17" t="str">
        <f ca="1">IFERROR(__xludf.DUMMYFUNCTION("""COMPUTED_VALUE"""),"Almuerzo Rev Share")</f>
        <v>Almuerzo Rev Share</v>
      </c>
      <c r="K19" s="17" t="str">
        <f ca="1">IFERROR(__xludf.DUMMYFUNCTION("""COMPUTED_VALUE"""),"NA")</f>
        <v>NA</v>
      </c>
      <c r="L19" s="17"/>
      <c r="M19" s="17"/>
      <c r="N19" s="17"/>
      <c r="O19" s="17"/>
    </row>
    <row r="20" spans="1:15" ht="12.5">
      <c r="A20" s="17"/>
      <c r="B20" s="24"/>
      <c r="C20" s="24"/>
      <c r="D20" s="17"/>
      <c r="E20" s="17"/>
      <c r="F20" s="17"/>
      <c r="G20" s="17"/>
      <c r="H20" s="17"/>
      <c r="I20" s="127"/>
      <c r="J20" s="17"/>
      <c r="K20" s="17" t="str">
        <f ca="1">IFERROR(__xludf.DUMMYFUNCTION("""COMPUTED_VALUE"""),".")</f>
        <v>.</v>
      </c>
      <c r="L20" s="17"/>
      <c r="M20" s="17"/>
      <c r="N20" s="17"/>
      <c r="O20" s="17"/>
    </row>
    <row r="21" spans="1:15" ht="12.5">
      <c r="A21" s="17"/>
      <c r="B21" s="24"/>
      <c r="C21" s="24"/>
      <c r="D21" s="17"/>
      <c r="E21" s="17"/>
      <c r="F21" s="17"/>
      <c r="G21" s="17"/>
      <c r="H21" s="17"/>
      <c r="I21" s="127"/>
      <c r="J21" s="17"/>
      <c r="K21" s="17" t="str">
        <f ca="1">IFERROR(__xludf.DUMMYFUNCTION("""COMPUTED_VALUE"""),".")</f>
        <v>.</v>
      </c>
      <c r="L21" s="17"/>
      <c r="M21" s="17"/>
      <c r="N21" s="17"/>
      <c r="O21" s="17"/>
    </row>
    <row r="22" spans="1:15" ht="12.5">
      <c r="A22" s="17"/>
      <c r="B22" s="24"/>
      <c r="C22" s="24"/>
      <c r="D22" s="17"/>
      <c r="E22" s="17"/>
      <c r="F22" s="17"/>
      <c r="G22" s="17"/>
      <c r="H22" s="17"/>
      <c r="I22" s="127"/>
      <c r="J22" s="17"/>
      <c r="K22" s="17" t="str">
        <f ca="1">IFERROR(__xludf.DUMMYFUNCTION("""COMPUTED_VALUE"""),".")</f>
        <v>.</v>
      </c>
      <c r="L22" s="17"/>
      <c r="M22" s="17"/>
      <c r="N22" s="17"/>
      <c r="O22" s="17"/>
    </row>
    <row r="23" spans="1:15" ht="12.5">
      <c r="A23" s="17"/>
      <c r="B23" s="24"/>
      <c r="C23" s="24"/>
      <c r="D23" s="17"/>
      <c r="E23" s="17"/>
      <c r="F23" s="17"/>
      <c r="G23" s="17"/>
      <c r="H23" s="17"/>
      <c r="I23" s="100"/>
      <c r="J23" s="17"/>
      <c r="K23" s="17" t="str">
        <f ca="1">IFERROR(__xludf.DUMMYFUNCTION("""COMPUTED_VALUE"""),".")</f>
        <v>.</v>
      </c>
      <c r="L23" s="17"/>
      <c r="M23" s="17"/>
      <c r="N23" s="17"/>
      <c r="O23" s="17"/>
    </row>
    <row r="24" spans="1:15" ht="12.5">
      <c r="A24" s="17"/>
      <c r="B24" s="24"/>
      <c r="C24" s="24"/>
      <c r="D24" s="17"/>
      <c r="E24" s="17"/>
      <c r="F24" s="17"/>
      <c r="G24" s="17"/>
      <c r="H24" s="17"/>
      <c r="I24" s="100"/>
      <c r="J24" s="17"/>
      <c r="K24" s="17" t="str">
        <f ca="1">IFERROR(__xludf.DUMMYFUNCTION("""COMPUTED_VALUE"""),".")</f>
        <v>.</v>
      </c>
      <c r="L24" s="17"/>
      <c r="M24" s="17"/>
      <c r="N24" s="17"/>
      <c r="O24" s="17"/>
    </row>
    <row r="25" spans="1:15" ht="12.5">
      <c r="A25" s="17"/>
      <c r="B25" s="24"/>
      <c r="C25" s="24"/>
      <c r="D25" s="17"/>
      <c r="E25" s="17"/>
      <c r="F25" s="17"/>
      <c r="G25" s="17"/>
      <c r="H25" s="17"/>
      <c r="I25" s="100"/>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7" width="4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78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Sept'!$J$12:$J$1700=$A$2)"),"TRX1467")</f>
        <v>TRX1467</v>
      </c>
      <c r="B12" s="86" t="str">
        <f ca="1">IFERROR(__xludf.DUMMYFUNCTION("""COMPUTED_VALUE"""),"#42")</f>
        <v>#42</v>
      </c>
      <c r="C12" s="86">
        <f ca="1">IFERROR(__xludf.DUMMYFUNCTION("""COMPUTED_VALUE"""),46064.4173611111)</f>
        <v>46064.417361111096</v>
      </c>
      <c r="D12" s="65">
        <f ca="1">IFERROR(__xludf.DUMMYFUNCTION("FILTER('Edo Cta Jeeves Sept'!$G$12:$G$1700,'Edo Cta Jeeves Sept'!$J$12:$J$1700=$A$2)"),64.3)</f>
        <v>64.3</v>
      </c>
      <c r="E12" s="17" t="str">
        <f ca="1">IFERROR(__xludf.DUMMYFUNCTION("FILTER('Edo Cta Jeeves Sept'!$I$12:$I$1700,'Edo Cta Jeeves Sept'!$J$12:$J$1700=$A$2)"),"MXN")</f>
        <v>MXN</v>
      </c>
      <c r="F12" s="17" t="str">
        <f ca="1">IFERROR(__xludf.DUMMYFUNCTION("FILTER('Edo Cta Jeeves Sept'!$J$12:$J$1700,'Edo Cta Jeeves Sept'!$J$12:$J$1700=$A$2)"),"Rodrigo Perea")</f>
        <v>Rodrigo Perea</v>
      </c>
      <c r="G12" s="17" t="str">
        <f ca="1">IFERROR(__xludf.DUMMYFUNCTION("FILTER('Edo Cta Jeeves Sept'!$K$12:$L$1700,'Edo Cta Jeeves Sept'!$J$12:$J$1700=$A$2)"),"REA AUTOPISTA GPE      CADEREYTA JIM MEX")</f>
        <v>REA AUTOPISTA GPE      CADEREYTA JIM MEX</v>
      </c>
      <c r="H12" s="17" t="str">
        <f ca="1">IFERROR(__xludf.DUMMYFUNCTION("""COMPUTED_VALUE"""),"Rea Autopista Gpe Cadereyta Jim Mex")</f>
        <v>Rea Autopista Gpe Cadereyta Jim Mex</v>
      </c>
      <c r="I12" s="17" t="str">
        <f ca="1">IFERROR(__xludf.DUMMYFUNCTION("IMPORTRANGE(""https://docs.google.com/spreadsheets/d/1ImHppyRutaGFNuNhYOuCdnOd_h1EJ5vGgmhS4PES33I/edit#gid=1404531132"",""I12:K80"")"),"Sales")</f>
        <v>Sales</v>
      </c>
      <c r="J12" s="17" t="str">
        <f ca="1">IFERROR(__xludf.DUMMYFUNCTION("""COMPUTED_VALUE"""),"PO 1406_Comida con MP")</f>
        <v>PO 1406_Comida con MP</v>
      </c>
      <c r="K12" s="17" t="str">
        <f ca="1">IFERROR(__xludf.DUMMYFUNCTION("""COMPUTED_VALUE"""),"N/A_Ticket")</f>
        <v>N/A_Ticket</v>
      </c>
      <c r="L12" s="17"/>
      <c r="M12" s="17"/>
      <c r="N12" s="17"/>
      <c r="O12" s="17"/>
    </row>
    <row r="13" spans="1:15" ht="15.75" customHeight="1">
      <c r="A13" s="24" t="str">
        <f ca="1">IFERROR(__xludf.DUMMYFUNCTION("""COMPUTED_VALUE"""),"TRX1207")</f>
        <v>TRX1207</v>
      </c>
      <c r="B13" s="86" t="str">
        <f ca="1">IFERROR(__xludf.DUMMYFUNCTION("""COMPUTED_VALUE"""),"#42")</f>
        <v>#42</v>
      </c>
      <c r="C13" s="63">
        <f ca="1">IFERROR(__xludf.DUMMYFUNCTION("""COMPUTED_VALUE"""),46064.4173611111)</f>
        <v>46064.417361111096</v>
      </c>
      <c r="D13" s="65">
        <f ca="1">IFERROR(__xludf.DUMMYFUNCTION("""COMPUTED_VALUE"""),671)</f>
        <v>671</v>
      </c>
      <c r="E13" s="17" t="str">
        <f ca="1">IFERROR(__xludf.DUMMYFUNCTION("""COMPUTED_VALUE"""),"MXN")</f>
        <v>MXN</v>
      </c>
      <c r="F13" s="17" t="str">
        <f ca="1">IFERROR(__xludf.DUMMYFUNCTION("""COMPUTED_VALUE"""),"Rodrigo Perea")</f>
        <v>Rodrigo Perea</v>
      </c>
      <c r="G13" s="17" t="str">
        <f ca="1">IFERROR(__xludf.DUMMYFUNCTION("""COMPUTED_VALUE"""),"REST MAISON KAYSER     CANCUN QROO   MEX")</f>
        <v>REST MAISON KAYSER     CANCUN QROO   MEX</v>
      </c>
      <c r="H13" s="17" t="str">
        <f ca="1">IFERROR(__xludf.DUMMYFUNCTION("""COMPUTED_VALUE"""),"Maison Eric Kayser")</f>
        <v>Maison Eric Kayser</v>
      </c>
      <c r="I13" s="17" t="str">
        <f ca="1">IFERROR(__xludf.DUMMYFUNCTION("""COMPUTED_VALUE"""),"Sales")</f>
        <v>Sales</v>
      </c>
      <c r="J13" s="17" t="str">
        <f ca="1">IFERROR(__xludf.DUMMYFUNCTION("""COMPUTED_VALUE"""),"PO 1888_Gasolina")</f>
        <v>PO 1888_Gasolina</v>
      </c>
      <c r="K13" s="17" t="str">
        <f ca="1">IFERROR(__xludf.DUMMYFUNCTION("""COMPUTED_VALUE"""),"aae801bc-ea5a-45e0-97f3-3afbeab7fe78")</f>
        <v>aae801bc-ea5a-45e0-97f3-3afbeab7fe78</v>
      </c>
      <c r="L13" s="17"/>
      <c r="M13" s="17"/>
      <c r="N13" s="17"/>
      <c r="O13" s="17"/>
    </row>
    <row r="14" spans="1:15" ht="15.75" customHeight="1">
      <c r="A14" s="24" t="str">
        <f ca="1">IFERROR(__xludf.DUMMYFUNCTION("""COMPUTED_VALUE"""),"TRX1997")</f>
        <v>TRX1997</v>
      </c>
      <c r="B14" s="86" t="str">
        <f ca="1">IFERROR(__xludf.DUMMYFUNCTION("""COMPUTED_VALUE"""),"#42")</f>
        <v>#42</v>
      </c>
      <c r="C14" s="63">
        <f ca="1">IFERROR(__xludf.DUMMYFUNCTION("""COMPUTED_VALUE"""),46064.4173611111)</f>
        <v>46064.417361111096</v>
      </c>
      <c r="D14" s="65">
        <f ca="1">IFERROR(__xludf.DUMMYFUNCTION("""COMPUTED_VALUE"""),109.5)</f>
        <v>109.5</v>
      </c>
      <c r="E14" s="17" t="str">
        <f ca="1">IFERROR(__xludf.DUMMYFUNCTION("""COMPUTED_VALUE"""),"MXN")</f>
        <v>MXN</v>
      </c>
      <c r="F14" s="17" t="str">
        <f ca="1">IFERROR(__xludf.DUMMYFUNCTION("""COMPUTED_VALUE"""),"Rodrigo Perea")</f>
        <v>Rodrigo Perea</v>
      </c>
      <c r="G14" s="17" t="str">
        <f ca="1">IFERROR(__xludf.DUMMYFUNCTION("""COMPUTED_VALUE"""),"7 ELEVEN PALMA GORDA   GUADALUPE NL  MEX")</f>
        <v>7 ELEVEN PALMA GORDA   GUADALUPE NL  MEX</v>
      </c>
      <c r="H14" s="17" t="str">
        <f ca="1">IFERROR(__xludf.DUMMYFUNCTION("""COMPUTED_VALUE"""),"7 Eleven")</f>
        <v>7 Eleven</v>
      </c>
      <c r="I14" s="17" t="str">
        <f ca="1">IFERROR(__xludf.DUMMYFUNCTION("""COMPUTED_VALUE"""),"Sales")</f>
        <v>Sales</v>
      </c>
      <c r="J14" s="17" t="str">
        <f ca="1">IFERROR(__xludf.DUMMYFUNCTION("""COMPUTED_VALUE"""),"PO 1406_Vuelo Mty")</f>
        <v>PO 1406_Vuelo Mty</v>
      </c>
      <c r="K14" s="17" t="str">
        <f ca="1">IFERROR(__xludf.DUMMYFUNCTION("""COMPUTED_VALUE"""),"c7dde6a5-c3c5-4e96-b533-ec5258e98287")</f>
        <v>c7dde6a5-c3c5-4e96-b533-ec5258e98287</v>
      </c>
      <c r="L14" s="17"/>
      <c r="M14" s="17"/>
      <c r="N14" s="17"/>
      <c r="O14" s="17"/>
    </row>
    <row r="15" spans="1:15" ht="15.75" customHeight="1">
      <c r="A15" s="24" t="str">
        <f ca="1">IFERROR(__xludf.DUMMYFUNCTION("""COMPUTED_VALUE"""),"TRX1335")</f>
        <v>TRX1335</v>
      </c>
      <c r="B15" s="86" t="str">
        <f ca="1">IFERROR(__xludf.DUMMYFUNCTION("""COMPUTED_VALUE"""),"#42")</f>
        <v>#42</v>
      </c>
      <c r="C15" s="63">
        <f ca="1">IFERROR(__xludf.DUMMYFUNCTION("""COMPUTED_VALUE"""),46065.4166666666)</f>
        <v>46065.416666666599</v>
      </c>
      <c r="D15" s="65">
        <f ca="1">IFERROR(__xludf.DUMMYFUNCTION("""COMPUTED_VALUE"""),69)</f>
        <v>69</v>
      </c>
      <c r="E15" s="17" t="str">
        <f ca="1">IFERROR(__xludf.DUMMYFUNCTION("""COMPUTED_VALUE"""),"MXN")</f>
        <v>MXN</v>
      </c>
      <c r="F15" s="17" t="str">
        <f ca="1">IFERROR(__xludf.DUMMYFUNCTION("""COMPUTED_VALUE"""),"Rodrigo Perea")</f>
        <v>Rodrigo Perea</v>
      </c>
      <c r="G15" s="17" t="str">
        <f ca="1">IFERROR(__xludf.DUMMYFUNCTION("""COMPUTED_VALUE"""),"VTA A BORDO VAEROBUS   CIUDAD DE MEX MEX")</f>
        <v>VTA A BORDO VAEROBUS   CIUDAD DE MEX MEX</v>
      </c>
      <c r="H15" s="17" t="str">
        <f ca="1">IFERROR(__xludf.DUMMYFUNCTION("""COMPUTED_VALUE"""),"Vta A Bordo Vaerobus Ciudad De Mex Mex")</f>
        <v>Vta A Bordo Vaerobus Ciudad De Mex Mex</v>
      </c>
      <c r="I15" s="17" t="str">
        <f ca="1">IFERROR(__xludf.DUMMYFUNCTION("""COMPUTED_VALUE"""),"Sales")</f>
        <v>Sales</v>
      </c>
      <c r="J15" s="17" t="str">
        <f ca="1">IFERROR(__xludf.DUMMYFUNCTION("""COMPUTED_VALUE"""),"PO 1406_Hospedaje Mty")</f>
        <v>PO 1406_Hospedaje Mty</v>
      </c>
      <c r="K15" s="17" t="str">
        <f ca="1">IFERROR(__xludf.DUMMYFUNCTION("""COMPUTED_VALUE"""),"4FF3827A-C67D-4A45-B051-9B9D2C519AF6")</f>
        <v>4FF3827A-C67D-4A45-B051-9B9D2C519AF6</v>
      </c>
      <c r="L15" s="17"/>
      <c r="M15" s="17"/>
      <c r="N15" s="17"/>
      <c r="O15" s="17"/>
    </row>
    <row r="16" spans="1:15" ht="15.75" customHeight="1">
      <c r="A16" s="17" t="str">
        <f ca="1">IFERROR(__xludf.DUMMYFUNCTION("""COMPUTED_VALUE"""),"TRX1151")</f>
        <v>TRX1151</v>
      </c>
      <c r="B16" s="86" t="str">
        <f ca="1">IFERROR(__xludf.DUMMYFUNCTION("""COMPUTED_VALUE"""),"#42")</f>
        <v>#42</v>
      </c>
      <c r="C16" s="63">
        <f ca="1">IFERROR(__xludf.DUMMYFUNCTION("""COMPUTED_VALUE"""),46065.4173611111)</f>
        <v>46065.417361111096</v>
      </c>
      <c r="D16" s="65">
        <f ca="1">IFERROR(__xludf.DUMMYFUNCTION("""COMPUTED_VALUE"""),80.6)</f>
        <v>80.599999999999994</v>
      </c>
      <c r="E16" s="17" t="str">
        <f ca="1">IFERROR(__xludf.DUMMYFUNCTION("""COMPUTED_VALUE"""),"MXN")</f>
        <v>MXN</v>
      </c>
      <c r="F16" s="17" t="str">
        <f ca="1">IFERROR(__xludf.DUMMYFUNCTION("""COMPUTED_VALUE"""),"Rodrigo Perea")</f>
        <v>Rodrigo Perea</v>
      </c>
      <c r="G16" s="17" t="str">
        <f ca="1">IFERROR(__xludf.DUMMYFUNCTION("""COMPUTED_VALUE"""),"RED ESTATAL DE AUTOPIS APODACA NL    MEX")</f>
        <v>RED ESTATAL DE AUTOPIS APODACA NL    MEX</v>
      </c>
      <c r="H16" s="17" t="str">
        <f ca="1">IFERROR(__xludf.DUMMYFUNCTION("""COMPUTED_VALUE"""),"Red Estatal De Autopis Apodaca Nl Mex")</f>
        <v>Red Estatal De Autopis Apodaca Nl Mex</v>
      </c>
      <c r="I16" s="17" t="str">
        <f ca="1">IFERROR(__xludf.DUMMYFUNCTION("""COMPUTED_VALUE"""),"Sales")</f>
        <v>Sales</v>
      </c>
      <c r="J16" s="17" t="str">
        <f ca="1">IFERROR(__xludf.DUMMYFUNCTION("""COMPUTED_VALUE"""),"PO 1406_Agua vuelo")</f>
        <v>PO 1406_Agua vuelo</v>
      </c>
      <c r="K16" s="17" t="str">
        <f ca="1">IFERROR(__xludf.DUMMYFUNCTION("""COMPUTED_VALUE"""),"A18FE38F-0D50-402F-955F-9B9D2C51B9AA")</f>
        <v>A18FE38F-0D50-402F-955F-9B9D2C51B9AA</v>
      </c>
      <c r="L16" s="17"/>
      <c r="M16" s="17"/>
      <c r="N16" s="17"/>
      <c r="O16" s="17"/>
    </row>
    <row r="17" spans="1:15" ht="15.75" customHeight="1">
      <c r="A17" s="17" t="str">
        <f ca="1">IFERROR(__xludf.DUMMYFUNCTION("""COMPUTED_VALUE"""),"TRX1970")</f>
        <v>TRX1970</v>
      </c>
      <c r="B17" s="86" t="str">
        <f ca="1">IFERROR(__xludf.DUMMYFUNCTION("""COMPUTED_VALUE"""),"#42")</f>
        <v>#42</v>
      </c>
      <c r="C17" s="63">
        <f ca="1">IFERROR(__xludf.DUMMYFUNCTION("""COMPUTED_VALUE"""),46065.4173611111)</f>
        <v>46065.417361111096</v>
      </c>
      <c r="D17" s="65">
        <f ca="1">IFERROR(__xludf.DUMMYFUNCTION("""COMPUTED_VALUE"""),646)</f>
        <v>646</v>
      </c>
      <c r="E17" s="17" t="str">
        <f ca="1">IFERROR(__xludf.DUMMYFUNCTION("""COMPUTED_VALUE"""),"MXN")</f>
        <v>MXN</v>
      </c>
      <c r="F17" s="17" t="str">
        <f ca="1">IFERROR(__xludf.DUMMYFUNCTION("""COMPUTED_VALUE"""),"Rodrigo Perea")</f>
        <v>Rodrigo Perea</v>
      </c>
      <c r="G17" s="17" t="str">
        <f ca="1">IFERROR(__xludf.DUMMYFUNCTION("""COMPUTED_VALUE"""),"AICM TI 1              CIUDAD DE MEX MEX")</f>
        <v>AICM TI 1              CIUDAD DE MEX MEX</v>
      </c>
      <c r="H17" s="17" t="str">
        <f ca="1">IFERROR(__xludf.DUMMYFUNCTION("""COMPUTED_VALUE"""),"Aicm Ti 1 Ciudad De Mex Mex")</f>
        <v>Aicm Ti 1 Ciudad De Mex Mex</v>
      </c>
      <c r="I17" s="17" t="str">
        <f ca="1">IFERROR(__xludf.DUMMYFUNCTION("""COMPUTED_VALUE"""),"Sales")</f>
        <v>Sales</v>
      </c>
      <c r="J17" s="17" t="str">
        <f ca="1">IFERROR(__xludf.DUMMYFUNCTION("""COMPUTED_VALUE"""),"PO 1406_Comida aeropuerto")</f>
        <v>PO 1406_Comida aeropuerto</v>
      </c>
      <c r="K17" s="17" t="str">
        <f ca="1">IFERROR(__xludf.DUMMYFUNCTION("""COMPUTED_VALUE"""),"EB0467F7-4314-4891-9688-BE1F1CD18DAC")</f>
        <v>EB0467F7-4314-4891-9688-BE1F1CD18DAC</v>
      </c>
      <c r="L17" s="17"/>
      <c r="M17" s="17"/>
      <c r="N17" s="17"/>
      <c r="O17" s="17"/>
    </row>
    <row r="18" spans="1:15" ht="15.75" customHeight="1">
      <c r="A18" s="17" t="str">
        <f ca="1">IFERROR(__xludf.DUMMYFUNCTION("""COMPUTED_VALUE"""),"TRX1027")</f>
        <v>TRX1027</v>
      </c>
      <c r="B18" s="86" t="str">
        <f ca="1">IFERROR(__xludf.DUMMYFUNCTION("""COMPUTED_VALUE"""),"#42")</f>
        <v>#42</v>
      </c>
      <c r="C18" s="63">
        <f ca="1">IFERROR(__xludf.DUMMYFUNCTION("""COMPUTED_VALUE"""),46065.4173611111)</f>
        <v>46065.417361111096</v>
      </c>
      <c r="D18" s="65">
        <f ca="1">IFERROR(__xludf.DUMMYFUNCTION("""COMPUTED_VALUE"""),95)</f>
        <v>95</v>
      </c>
      <c r="E18" s="17" t="str">
        <f ca="1">IFERROR(__xludf.DUMMYFUNCTION("""COMPUTED_VALUE"""),"MXN")</f>
        <v>MXN</v>
      </c>
      <c r="F18" s="17" t="str">
        <f ca="1">IFERROR(__xludf.DUMMYFUNCTION("""COMPUTED_VALUE"""),"Rodrigo Perea")</f>
        <v>Rodrigo Perea</v>
      </c>
      <c r="G18" s="17" t="str">
        <f ca="1">IFERROR(__xludf.DUMMYFUNCTION("""COMPUTED_VALUE"""),"REST MAISON KAYSER     CANCUN QROO   MEX")</f>
        <v>REST MAISON KAYSER     CANCUN QROO   MEX</v>
      </c>
      <c r="H18" s="17" t="str">
        <f ca="1">IFERROR(__xludf.DUMMYFUNCTION("""COMPUTED_VALUE"""),"Maison Eric Kayser")</f>
        <v>Maison Eric Kayser</v>
      </c>
      <c r="I18" s="17" t="str">
        <f ca="1">IFERROR(__xludf.DUMMYFUNCTION("""COMPUTED_VALUE"""),"Sales")</f>
        <v>Sales</v>
      </c>
      <c r="J18" s="17" t="str">
        <f ca="1">IFERROR(__xludf.DUMMYFUNCTION("""COMPUTED_VALUE"""),"PO 1406_Renta auto Mty")</f>
        <v>PO 1406_Renta auto Mty</v>
      </c>
      <c r="K18" s="17" t="str">
        <f ca="1">IFERROR(__xludf.DUMMYFUNCTION("""COMPUTED_VALUE"""),"36ca4c65-2824-4e0c-b2bd-4f42960964f9")</f>
        <v>36ca4c65-2824-4e0c-b2bd-4f42960964f9</v>
      </c>
      <c r="L18" s="17"/>
      <c r="M18" s="17"/>
      <c r="N18" s="17"/>
      <c r="O18" s="17"/>
    </row>
    <row r="19" spans="1:15" ht="15.75" customHeight="1">
      <c r="A19" s="17" t="str">
        <f ca="1">IFERROR(__xludf.DUMMYFUNCTION("""COMPUTED_VALUE"""),"TRX1591")</f>
        <v>TRX1591</v>
      </c>
      <c r="B19" s="86" t="str">
        <f ca="1">IFERROR(__xludf.DUMMYFUNCTION("""COMPUTED_VALUE"""),"#42")</f>
        <v>#42</v>
      </c>
      <c r="C19" s="63">
        <f ca="1">IFERROR(__xludf.DUMMYFUNCTION("""COMPUTED_VALUE"""),46065.4173611111)</f>
        <v>46065.417361111096</v>
      </c>
      <c r="D19" s="65">
        <f ca="1">IFERROR(__xludf.DUMMYFUNCTION("""COMPUTED_VALUE"""),337.7)</f>
        <v>337.7</v>
      </c>
      <c r="E19" s="17" t="str">
        <f ca="1">IFERROR(__xludf.DUMMYFUNCTION("""COMPUTED_VALUE"""),"MXN")</f>
        <v>MXN</v>
      </c>
      <c r="F19" s="17" t="str">
        <f ca="1">IFERROR(__xludf.DUMMYFUNCTION("""COMPUTED_VALUE"""),"Rodrigo Perea")</f>
        <v>Rodrigo Perea</v>
      </c>
      <c r="G19" s="17" t="str">
        <f ca="1">IFERROR(__xludf.DUMMYFUNCTION("""COMPUTED_VALUE"""),"REST EL PAPALOTE       APODACA NL    MEX")</f>
        <v>REST EL PAPALOTE       APODACA NL    MEX</v>
      </c>
      <c r="H19" s="17" t="str">
        <f ca="1">IFERROR(__xludf.DUMMYFUNCTION("""COMPUTED_VALUE"""),"Rest El Papalote Apodaca Nl Mex")</f>
        <v>Rest El Papalote Apodaca Nl Mex</v>
      </c>
      <c r="I19" s="17" t="str">
        <f ca="1">IFERROR(__xludf.DUMMYFUNCTION("""COMPUTED_VALUE"""),"Sales")</f>
        <v>Sales</v>
      </c>
      <c r="J19" s="17" t="str">
        <f ca="1">IFERROR(__xludf.DUMMYFUNCTION("""COMPUTED_VALUE"""),"PO 1406_Snacks obra Mty")</f>
        <v>PO 1406_Snacks obra Mty</v>
      </c>
      <c r="K19" s="17" t="str">
        <f ca="1">IFERROR(__xludf.DUMMYFUNCTION("""COMPUTED_VALUE"""),"8c671ccb-8db7-4d4e-87f1-3f310329b687")</f>
        <v>8c671ccb-8db7-4d4e-87f1-3f310329b687</v>
      </c>
      <c r="L19" s="17"/>
      <c r="M19" s="17"/>
      <c r="N19" s="17"/>
      <c r="O19" s="17"/>
    </row>
    <row r="20" spans="1:15" ht="12.5">
      <c r="A20" s="17" t="str">
        <f ca="1">IFERROR(__xludf.DUMMYFUNCTION("""COMPUTED_VALUE"""),"TRX1001")</f>
        <v>TRX1001</v>
      </c>
      <c r="B20" s="86" t="str">
        <f ca="1">IFERROR(__xludf.DUMMYFUNCTION("""COMPUTED_VALUE"""),"#42")</f>
        <v>#42</v>
      </c>
      <c r="C20" s="63">
        <f ca="1">IFERROR(__xludf.DUMMYFUNCTION("""COMPUTED_VALUE"""),46066.4166666666)</f>
        <v>46066.416666666599</v>
      </c>
      <c r="D20" s="65">
        <f ca="1">IFERROR(__xludf.DUMMYFUNCTION("""COMPUTED_VALUE"""),70)</f>
        <v>70</v>
      </c>
      <c r="E20" s="17" t="str">
        <f ca="1">IFERROR(__xludf.DUMMYFUNCTION("""COMPUTED_VALUE"""),"MXN")</f>
        <v>MXN</v>
      </c>
      <c r="F20" s="17" t="str">
        <f ca="1">IFERROR(__xludf.DUMMYFUNCTION("""COMPUTED_VALUE"""),"Rodrigo Perea")</f>
        <v>Rodrigo Perea</v>
      </c>
      <c r="G20" s="17" t="str">
        <f ca="1">IFERROR(__xludf.DUMMYFUNCTION("""COMPUTED_VALUE"""),"UBER * PENDING         CMX           MEX")</f>
        <v>UBER * PENDING         CMX           MEX</v>
      </c>
      <c r="H20" s="17" t="str">
        <f ca="1">IFERROR(__xludf.DUMMYFUNCTION("""COMPUTED_VALUE"""),"Uber")</f>
        <v>Uber</v>
      </c>
      <c r="I20" s="17" t="str">
        <f ca="1">IFERROR(__xludf.DUMMYFUNCTION("""COMPUTED_VALUE"""),"Sales")</f>
        <v>Sales</v>
      </c>
      <c r="J20" s="17" t="str">
        <f ca="1">IFERROR(__xludf.DUMMYFUNCTION("""COMPUTED_VALUE"""),"PO 1406_Comida Mty")</f>
        <v>PO 1406_Comida Mty</v>
      </c>
      <c r="K20" s="17" t="str">
        <f ca="1">IFERROR(__xludf.DUMMYFUNCTION("""COMPUTED_VALUE"""),"N/A_Ticket")</f>
        <v>N/A_Ticket</v>
      </c>
      <c r="L20" s="17"/>
      <c r="M20" s="17"/>
      <c r="N20" s="17"/>
      <c r="O20" s="17"/>
    </row>
    <row r="21" spans="1:15" ht="12.5">
      <c r="A21" s="17" t="str">
        <f ca="1">IFERROR(__xludf.DUMMYFUNCTION("""COMPUTED_VALUE"""),"TRX1055")</f>
        <v>TRX1055</v>
      </c>
      <c r="B21" s="86" t="str">
        <f ca="1">IFERROR(__xludf.DUMMYFUNCTION("""COMPUTED_VALUE"""),"#42")</f>
        <v>#42</v>
      </c>
      <c r="C21" s="63">
        <f ca="1">IFERROR(__xludf.DUMMYFUNCTION("""COMPUTED_VALUE"""),46067.4173611111)</f>
        <v>46067.417361111096</v>
      </c>
      <c r="D21" s="65">
        <f ca="1">IFERROR(__xludf.DUMMYFUNCTION("""COMPUTED_VALUE"""),477.25)</f>
        <v>477.25</v>
      </c>
      <c r="E21" s="17" t="str">
        <f ca="1">IFERROR(__xludf.DUMMYFUNCTION("""COMPUTED_VALUE"""),"MXN")</f>
        <v>MXN</v>
      </c>
      <c r="F21" s="17" t="str">
        <f ca="1">IFERROR(__xludf.DUMMYFUNCTION("""COMPUTED_VALUE"""),"Rodrigo Perea")</f>
        <v>Rodrigo Perea</v>
      </c>
      <c r="G21" s="17" t="str">
        <f ca="1">IFERROR(__xludf.DUMMYFUNCTION("""COMPUTED_VALUE"""),"COM RAP MANOLITO PEDRE CIUDAD DE MEX MEX")</f>
        <v>COM RAP MANOLITO PEDRE CIUDAD DE MEX MEX</v>
      </c>
      <c r="H21" s="17" t="str">
        <f ca="1">IFERROR(__xludf.DUMMYFUNCTION("""COMPUTED_VALUE"""),"Com Rap Manolito Pedre Ciudad De Mex Mex")</f>
        <v>Com Rap Manolito Pedre Ciudad De Mex Mex</v>
      </c>
      <c r="I21" s="17" t="str">
        <f ca="1">IFERROR(__xludf.DUMMYFUNCTION("""COMPUTED_VALUE"""),"Sales")</f>
        <v>Sales</v>
      </c>
      <c r="J21" s="17" t="str">
        <f ca="1">IFERROR(__xludf.DUMMYFUNCTION("""COMPUTED_VALUE"""),"PO 1406_Desayuno hotel Mty")</f>
        <v>PO 1406_Desayuno hotel Mty</v>
      </c>
      <c r="K21" s="17" t="str">
        <f ca="1">IFERROR(__xludf.DUMMYFUNCTION("""COMPUTED_VALUE"""),"N/A_Ticket")</f>
        <v>N/A_Ticket</v>
      </c>
      <c r="L21" s="17"/>
      <c r="M21" s="17"/>
      <c r="N21" s="17"/>
      <c r="O21" s="17"/>
    </row>
    <row r="22" spans="1:15" ht="12.5">
      <c r="A22" s="17" t="str">
        <f ca="1">IFERROR(__xludf.DUMMYFUNCTION("""COMPUTED_VALUE"""),"TRX1231")</f>
        <v>TRX1231</v>
      </c>
      <c r="B22" s="86" t="str">
        <f ca="1">IFERROR(__xludf.DUMMYFUNCTION("""COMPUTED_VALUE"""),"#42")</f>
        <v>#42</v>
      </c>
      <c r="C22" s="63">
        <f ca="1">IFERROR(__xludf.DUMMYFUNCTION("""COMPUTED_VALUE"""),46069.4166666666)</f>
        <v>46069.416666666599</v>
      </c>
      <c r="D22" s="65">
        <f ca="1">IFERROR(__xludf.DUMMYFUNCTION("""COMPUTED_VALUE"""),184.99)</f>
        <v>184.99</v>
      </c>
      <c r="E22" s="17" t="str">
        <f ca="1">IFERROR(__xludf.DUMMYFUNCTION("""COMPUTED_VALUE"""),"MXN")</f>
        <v>MXN</v>
      </c>
      <c r="F22" s="17" t="str">
        <f ca="1">IFERROR(__xludf.DUMMYFUNCTION("""COMPUTED_VALUE"""),"Rodrigo Perea")</f>
        <v>Rodrigo Perea</v>
      </c>
      <c r="G22" s="17" t="str">
        <f ca="1">IFERROR(__xludf.DUMMYFUNCTION("""COMPUTED_VALUE"""),"Microsoft*Microsoft 36 CMX           MEX")</f>
        <v>Microsoft*Microsoft 36 CMX           MEX</v>
      </c>
      <c r="H22" s="17" t="str">
        <f ca="1">IFERROR(__xludf.DUMMYFUNCTION("""COMPUTED_VALUE"""),"Microsoft")</f>
        <v>Microsoft</v>
      </c>
      <c r="I22" s="17" t="str">
        <f ca="1">IFERROR(__xludf.DUMMYFUNCTION("""COMPUTED_VALUE"""),"Sales")</f>
        <v>Sales</v>
      </c>
      <c r="J22" s="17" t="str">
        <f ca="1">IFERROR(__xludf.DUMMYFUNCTION("""COMPUTED_VALUE"""),"PO 1406_Café Mty")</f>
        <v>PO 1406_Café Mty</v>
      </c>
      <c r="K22" s="17" t="str">
        <f ca="1">IFERROR(__xludf.DUMMYFUNCTION("""COMPUTED_VALUE"""),"6f22ba90-163f-4f19-8d4f-eee934e8fe5a")</f>
        <v>6f22ba90-163f-4f19-8d4f-eee934e8fe5a</v>
      </c>
      <c r="L22" s="17"/>
      <c r="M22" s="17"/>
      <c r="N22" s="17"/>
      <c r="O22" s="17"/>
    </row>
    <row r="23" spans="1:15" ht="12.5">
      <c r="A23" s="17" t="str">
        <f ca="1">IFERROR(__xludf.DUMMYFUNCTION("""COMPUTED_VALUE"""),"TRX1114")</f>
        <v>TRX1114</v>
      </c>
      <c r="B23" s="86" t="str">
        <f ca="1">IFERROR(__xludf.DUMMYFUNCTION("""COMPUTED_VALUE"""),"#42")</f>
        <v>#42</v>
      </c>
      <c r="C23" s="63">
        <f ca="1">IFERROR(__xludf.DUMMYFUNCTION("""COMPUTED_VALUE"""),46073.4166666666)</f>
        <v>46073.416666666599</v>
      </c>
      <c r="D23" s="65">
        <f ca="1">IFERROR(__xludf.DUMMYFUNCTION("""COMPUTED_VALUE"""),50)</f>
        <v>50</v>
      </c>
      <c r="E23" s="17" t="str">
        <f ca="1">IFERROR(__xludf.DUMMYFUNCTION("""COMPUTED_VALUE"""),"MXN")</f>
        <v>MXN</v>
      </c>
      <c r="F23" s="17" t="str">
        <f ca="1">IFERROR(__xludf.DUMMYFUNCTION("""COMPUTED_VALUE"""),"Rodrigo Perea")</f>
        <v>Rodrigo Perea</v>
      </c>
      <c r="G23" s="17" t="str">
        <f ca="1">IFERROR(__xludf.DUMMYFUNCTION("""COMPUTED_VALUE"""),"MYT018 2202 HUD MXP    CIUDAD DE MEX MEX")</f>
        <v>MYT018 2202 HUD MXP    CIUDAD DE MEX MEX</v>
      </c>
      <c r="H23" s="17" t="str">
        <f ca="1">IFERROR(__xludf.DUMMYFUNCTION("""COMPUTED_VALUE"""),"Myt018 2202 Hud Mxp Ciudad De Mex Mex")</f>
        <v>Myt018 2202 Hud Mxp Ciudad De Mex Mex</v>
      </c>
      <c r="I23" s="17" t="str">
        <f ca="1">IFERROR(__xludf.DUMMYFUNCTION("""COMPUTED_VALUE"""),"Sales")</f>
        <v>Sales</v>
      </c>
      <c r="J23" s="17" t="str">
        <f ca="1">IFERROR(__xludf.DUMMYFUNCTION("""COMPUTED_VALUE"""),"PO 1406_Cambio Vuelo Mty")</f>
        <v>PO 1406_Cambio Vuelo Mty</v>
      </c>
      <c r="K23" s="17" t="str">
        <f ca="1">IFERROR(__xludf.DUMMYFUNCTION("""COMPUTED_VALUE"""),"8775a906-b88f-425d-becf-569fb1db35c3")</f>
        <v>8775a906-b88f-425d-becf-569fb1db35c3</v>
      </c>
      <c r="L23" s="17"/>
      <c r="M23" s="17"/>
      <c r="N23" s="17"/>
      <c r="O23" s="17"/>
    </row>
    <row r="24" spans="1:15" ht="12.5">
      <c r="A24" s="17" t="str">
        <f ca="1">IFERROR(__xludf.DUMMYFUNCTION("""COMPUTED_VALUE"""),"TRX1873")</f>
        <v>TRX1873</v>
      </c>
      <c r="B24" s="86" t="str">
        <f ca="1">IFERROR(__xludf.DUMMYFUNCTION("""COMPUTED_VALUE"""),"#42")</f>
        <v>#42</v>
      </c>
      <c r="C24" s="63">
        <f ca="1">IFERROR(__xludf.DUMMYFUNCTION("""COMPUTED_VALUE"""),46073.4166666666)</f>
        <v>46073.416666666599</v>
      </c>
      <c r="D24" s="65">
        <f ca="1">IFERROR(__xludf.DUMMYFUNCTION("""COMPUTED_VALUE"""),143.34)</f>
        <v>143.34</v>
      </c>
      <c r="E24" s="17" t="str">
        <f ca="1">IFERROR(__xludf.DUMMYFUNCTION("""COMPUTED_VALUE"""),"MXN")</f>
        <v>MXN</v>
      </c>
      <c r="F24" s="17" t="str">
        <f ca="1">IFERROR(__xludf.DUMMYFUNCTION("""COMPUTED_VALUE"""),"Rodrigo Perea")</f>
        <v>Rodrigo Perea</v>
      </c>
      <c r="G24" s="17" t="str">
        <f ca="1">IFERROR(__xludf.DUMMYFUNCTION("""COMPUTED_VALUE"""),"UBER * PENDING         CMX           MEX")</f>
        <v>UBER * PENDING         CMX           MEX</v>
      </c>
      <c r="H24" s="17" t="str">
        <f ca="1">IFERROR(__xludf.DUMMYFUNCTION("""COMPUTED_VALUE"""),"Uber")</f>
        <v>Uber</v>
      </c>
      <c r="I24" s="17" t="str">
        <f ca="1">IFERROR(__xludf.DUMMYFUNCTION("""COMPUTED_VALUE"""),"Sales")</f>
        <v>Sales</v>
      </c>
      <c r="J24" s="17" t="str">
        <f ca="1">IFERROR(__xludf.DUMMYFUNCTION("""COMPUTED_VALUE"""),"PO 1406_Peajes Mty")</f>
        <v>PO 1406_Peajes Mty</v>
      </c>
      <c r="K24" s="17" t="str">
        <f ca="1">IFERROR(__xludf.DUMMYFUNCTION("""COMPUTED_VALUE"""),"4aeaf6b5-bcda-4bb2-aea7-608f18f02957")</f>
        <v>4aeaf6b5-bcda-4bb2-aea7-608f18f02957</v>
      </c>
      <c r="L24" s="17"/>
      <c r="M24" s="17"/>
      <c r="N24" s="17"/>
      <c r="O24" s="17"/>
    </row>
    <row r="25" spans="1:15" ht="12.5">
      <c r="A25" s="17" t="str">
        <f ca="1">IFERROR(__xludf.DUMMYFUNCTION("""COMPUTED_VALUE"""),"TRX1123")</f>
        <v>TRX1123</v>
      </c>
      <c r="B25" s="86" t="str">
        <f ca="1">IFERROR(__xludf.DUMMYFUNCTION("""COMPUTED_VALUE"""),"#42")</f>
        <v>#42</v>
      </c>
      <c r="C25" s="63">
        <f ca="1">IFERROR(__xludf.DUMMYFUNCTION("""COMPUTED_VALUE"""),46073.4173611111)</f>
        <v>46073.417361111096</v>
      </c>
      <c r="D25" s="65">
        <f ca="1">IFERROR(__xludf.DUMMYFUNCTION("""COMPUTED_VALUE"""),1648.93)</f>
        <v>1648.93</v>
      </c>
      <c r="E25" s="17" t="str">
        <f ca="1">IFERROR(__xludf.DUMMYFUNCTION("""COMPUTED_VALUE"""),"MXN")</f>
        <v>MXN</v>
      </c>
      <c r="F25" s="17" t="str">
        <f ca="1">IFERROR(__xludf.DUMMYFUNCTION("""COMPUTED_VALUE"""),"Rodrigo Perea")</f>
        <v>Rodrigo Perea</v>
      </c>
      <c r="G25" s="17" t="str">
        <f ca="1">IFERROR(__xludf.DUMMYFUNCTION("""COMPUTED_VALUE"""),"SMARTPY*HOTCITYCEVER   BLVD AVILA CA MEX")</f>
        <v>SMARTPY*HOTCITYCEVER   BLVD AVILA CA MEX</v>
      </c>
      <c r="H25" s="17" t="str">
        <f ca="1">IFERROR(__xludf.DUMMYFUNCTION("""COMPUTED_VALUE"""),"Smartpy Hotcitycever Blvd Avila Ca Mex")</f>
        <v>Smartpy Hotcitycever Blvd Avila Ca Mex</v>
      </c>
      <c r="I25" s="17" t="str">
        <f ca="1">IFERROR(__xludf.DUMMYFUNCTION("""COMPUTED_VALUE"""),"Sales")</f>
        <v>Sales</v>
      </c>
      <c r="J25" s="17" t="str">
        <f ca="1">IFERROR(__xludf.DUMMYFUNCTION("""COMPUTED_VALUE"""),"PO 1406_Comida Mty")</f>
        <v>PO 1406_Comida Mty</v>
      </c>
      <c r="K25" s="17" t="str">
        <f ca="1">IFERROR(__xludf.DUMMYFUNCTION("""COMPUTED_VALUE"""),"0F7F778F-E221-4D62-9AD7-20CA0AF9F688")</f>
        <v>0F7F778F-E221-4D62-9AD7-20CA0AF9F688</v>
      </c>
      <c r="L25" s="17"/>
      <c r="M25" s="17"/>
      <c r="N25" s="17"/>
      <c r="O25" s="17"/>
    </row>
    <row r="26" spans="1:15" ht="12.5">
      <c r="A26" s="17" t="str">
        <f ca="1">IFERROR(__xludf.DUMMYFUNCTION("""COMPUTED_VALUE"""),"TRX1084")</f>
        <v>TRX1084</v>
      </c>
      <c r="B26" s="86" t="str">
        <f ca="1">IFERROR(__xludf.DUMMYFUNCTION("""COMPUTED_VALUE"""),"#42")</f>
        <v>#42</v>
      </c>
      <c r="C26" s="63">
        <f ca="1">IFERROR(__xludf.DUMMYFUNCTION("""COMPUTED_VALUE"""),46073.4173611111)</f>
        <v>46073.417361111096</v>
      </c>
      <c r="D26" s="65">
        <f ca="1">IFERROR(__xludf.DUMMYFUNCTION("""COMPUTED_VALUE"""),378.35)</f>
        <v>378.35</v>
      </c>
      <c r="E26" s="17" t="str">
        <f ca="1">IFERROR(__xludf.DUMMYFUNCTION("""COMPUTED_VALUE"""),"MXN")</f>
        <v>MXN</v>
      </c>
      <c r="F26" s="17" t="str">
        <f ca="1">IFERROR(__xludf.DUMMYFUNCTION("""COMPUTED_VALUE"""),"Rodrigo Perea")</f>
        <v>Rodrigo Perea</v>
      </c>
      <c r="G26" s="17" t="str">
        <f ca="1">IFERROR(__xludf.DUMMYFUNCTION("""COMPUTED_VALUE"""),"REST NUTRIBIONICOS     VERACRUZ VER  MEX")</f>
        <v>REST NUTRIBIONICOS     VERACRUZ VER  MEX</v>
      </c>
      <c r="H26" s="17" t="str">
        <f ca="1">IFERROR(__xludf.DUMMYFUNCTION("""COMPUTED_VALUE"""),"Rest Nutribionicos Veracruz Ver Mex")</f>
        <v>Rest Nutribionicos Veracruz Ver Mex</v>
      </c>
      <c r="I26" s="17" t="str">
        <f ca="1">IFERROR(__xludf.DUMMYFUNCTION("""COMPUTED_VALUE"""),"Sales")</f>
        <v>Sales</v>
      </c>
      <c r="J26" s="17" t="str">
        <f ca="1">IFERROR(__xludf.DUMMYFUNCTION("""COMPUTED_VALUE"""),"PO 1406_Renta auto Mty")</f>
        <v>PO 1406_Renta auto Mty</v>
      </c>
      <c r="K26" s="17" t="str">
        <f ca="1">IFERROR(__xludf.DUMMYFUNCTION("""COMPUTED_VALUE"""),"36ca4c65-2824-4e0c-b2bd-4f42960964f9")</f>
        <v>36ca4c65-2824-4e0c-b2bd-4f42960964f9</v>
      </c>
      <c r="L26" s="17"/>
      <c r="M26" s="17"/>
      <c r="N26" s="17"/>
      <c r="O26" s="17"/>
    </row>
    <row r="27" spans="1:15" ht="12.5">
      <c r="A27" s="17" t="str">
        <f ca="1">IFERROR(__xludf.DUMMYFUNCTION("""COMPUTED_VALUE"""),"TRX1063")</f>
        <v>TRX1063</v>
      </c>
      <c r="B27" s="86" t="str">
        <f ca="1">IFERROR(__xludf.DUMMYFUNCTION("""COMPUTED_VALUE"""),"#42")</f>
        <v>#42</v>
      </c>
      <c r="C27" s="63">
        <f ca="1">IFERROR(__xludf.DUMMYFUNCTION("""COMPUTED_VALUE"""),46074.4166666666)</f>
        <v>46074.416666666599</v>
      </c>
      <c r="D27" s="65">
        <f ca="1">IFERROR(__xludf.DUMMYFUNCTION("""COMPUTED_VALUE"""),317)</f>
        <v>317</v>
      </c>
      <c r="E27" s="17" t="str">
        <f ca="1">IFERROR(__xludf.DUMMYFUNCTION("""COMPUTED_VALUE"""),"MXN")</f>
        <v>MXN</v>
      </c>
      <c r="F27" s="17" t="str">
        <f ca="1">IFERROR(__xludf.DUMMYFUNCTION("""COMPUTED_VALUE"""),"Rodrigo Perea")</f>
        <v>Rodrigo Perea</v>
      </c>
      <c r="G27" s="17" t="str">
        <f ca="1">IFERROR(__xludf.DUMMYFUNCTION("""COMPUTED_VALUE"""),"REST QUINIENTOS DEL BO VERACRUZ VER  MEX")</f>
        <v>REST QUINIENTOS DEL BO VERACRUZ VER  MEX</v>
      </c>
      <c r="H27" s="17" t="str">
        <f ca="1">IFERROR(__xludf.DUMMYFUNCTION("""COMPUTED_VALUE"""),"Rest Quinientos Del Bo Veracruz Ver Mex")</f>
        <v>Rest Quinientos Del Bo Veracruz Ver Mex</v>
      </c>
      <c r="I27" s="17" t="str">
        <f ca="1">IFERROR(__xludf.DUMMYFUNCTION("""COMPUTED_VALUE"""),"Sales")</f>
        <v>Sales</v>
      </c>
      <c r="J27" s="17" t="str">
        <f ca="1">IFERROR(__xludf.DUMMYFUNCTION("""COMPUTED_VALUE"""),"PO 1406_Agua aeropuerto")</f>
        <v>PO 1406_Agua aeropuerto</v>
      </c>
      <c r="K27" s="17" t="str">
        <f ca="1">IFERROR(__xludf.DUMMYFUNCTION("""COMPUTED_VALUE"""),"7CF00AF5-856E-4A22-B5AC-5CA553DF957E")</f>
        <v>7CF00AF5-856E-4A22-B5AC-5CA553DF957E</v>
      </c>
      <c r="L27" s="17"/>
      <c r="M27" s="17"/>
      <c r="N27" s="17"/>
      <c r="O27" s="17"/>
    </row>
    <row r="28" spans="1:15" ht="12.5">
      <c r="A28" s="17" t="str">
        <f ca="1">IFERROR(__xludf.DUMMYFUNCTION("""COMPUTED_VALUE"""),"TRX1364")</f>
        <v>TRX1364</v>
      </c>
      <c r="B28" s="86" t="str">
        <f ca="1">IFERROR(__xludf.DUMMYFUNCTION("""COMPUTED_VALUE"""),"#42")</f>
        <v>#42</v>
      </c>
      <c r="C28" s="63">
        <f ca="1">IFERROR(__xludf.DUMMYFUNCTION("""COMPUTED_VALUE"""),46074.4166666666)</f>
        <v>46074.416666666599</v>
      </c>
      <c r="D28" s="65">
        <f ca="1">IFERROR(__xludf.DUMMYFUNCTION("""COMPUTED_VALUE"""),246.4)</f>
        <v>246.4</v>
      </c>
      <c r="E28" s="17" t="str">
        <f ca="1">IFERROR(__xludf.DUMMYFUNCTION("""COMPUTED_VALUE"""),"MXN")</f>
        <v>MXN</v>
      </c>
      <c r="F28" s="17" t="str">
        <f ca="1">IFERROR(__xludf.DUMMYFUNCTION("""COMPUTED_VALUE"""),"Rodrigo Perea")</f>
        <v>Rodrigo Perea</v>
      </c>
      <c r="G28" s="17" t="str">
        <f ca="1">IFERROR(__xludf.DUMMYFUNCTION("""COMPUTED_VALUE"""),"REST NUTRIBIONICOS     BOCA DEL RIO  MEX")</f>
        <v>REST NUTRIBIONICOS     BOCA DEL RIO  MEX</v>
      </c>
      <c r="H28" s="17" t="str">
        <f ca="1">IFERROR(__xludf.DUMMYFUNCTION("""COMPUTED_VALUE"""),"Rest Nutribionicos Boca Del Rio Mex")</f>
        <v>Rest Nutribionicos Boca Del Rio Mex</v>
      </c>
      <c r="I28" s="17" t="str">
        <f ca="1">IFERROR(__xludf.DUMMYFUNCTION("""COMPUTED_VALUE"""),"Sales")</f>
        <v>Sales</v>
      </c>
      <c r="J28" s="17" t="str">
        <f ca="1">IFERROR(__xludf.DUMMYFUNCTION("""COMPUTED_VALUE"""),"PO 1406_Estacionamiento aeropuerto")</f>
        <v>PO 1406_Estacionamiento aeropuerto</v>
      </c>
      <c r="K28" s="17" t="str">
        <f ca="1">IFERROR(__xludf.DUMMYFUNCTION("""COMPUTED_VALUE"""),"ACFE3FD8-5B87-463D-B409-78C32684AB16")</f>
        <v>ACFE3FD8-5B87-463D-B409-78C32684AB16</v>
      </c>
      <c r="L28" s="17"/>
      <c r="M28" s="17"/>
      <c r="N28" s="17"/>
      <c r="O28" s="17"/>
    </row>
    <row r="29" spans="1:15" ht="12.5">
      <c r="A29" s="17" t="str">
        <f ca="1">IFERROR(__xludf.DUMMYFUNCTION("""COMPUTED_VALUE"""),"TRX1122")</f>
        <v>TRX1122</v>
      </c>
      <c r="B29" s="86" t="str">
        <f ca="1">IFERROR(__xludf.DUMMYFUNCTION("""COMPUTED_VALUE"""),"#42")</f>
        <v>#42</v>
      </c>
      <c r="C29" s="63">
        <f ca="1">IFERROR(__xludf.DUMMYFUNCTION("""COMPUTED_VALUE"""),46074.4166666666)</f>
        <v>46074.416666666599</v>
      </c>
      <c r="D29" s="65">
        <f ca="1">IFERROR(__xludf.DUMMYFUNCTION("""COMPUTED_VALUE"""),253.81)</f>
        <v>253.81</v>
      </c>
      <c r="E29" s="17" t="str">
        <f ca="1">IFERROR(__xludf.DUMMYFUNCTION("""COMPUTED_VALUE"""),"MXN")</f>
        <v>MXN</v>
      </c>
      <c r="F29" s="17" t="str">
        <f ca="1">IFERROR(__xludf.DUMMYFUNCTION("""COMPUTED_VALUE"""),"Rodrigo Perea")</f>
        <v>Rodrigo Perea</v>
      </c>
      <c r="G29" s="17" t="str">
        <f ca="1">IFERROR(__xludf.DUMMYFUNCTION("""COMPUTED_VALUE"""),"DLO*Uber               CDMX          MEX")</f>
        <v>DLO*Uber               CDMX          MEX</v>
      </c>
      <c r="H29" s="17" t="str">
        <f ca="1">IFERROR(__xludf.DUMMYFUNCTION("""COMPUTED_VALUE"""),"Uber")</f>
        <v>Uber</v>
      </c>
      <c r="I29" s="17" t="str">
        <f ca="1">IFERROR(__xludf.DUMMYFUNCTION("""COMPUTED_VALUE"""),"Sales")</f>
        <v>Sales</v>
      </c>
      <c r="J29" s="17" t="str">
        <f ca="1">IFERROR(__xludf.DUMMYFUNCTION("""COMPUTED_VALUE"""),"Cuota mes uber")</f>
        <v>Cuota mes uber</v>
      </c>
      <c r="K29" s="17" t="str">
        <f ca="1">IFERROR(__xludf.DUMMYFUNCTION("""COMPUTED_VALUE"""),"N/A")</f>
        <v>N/A</v>
      </c>
      <c r="L29" s="17"/>
      <c r="M29" s="17"/>
      <c r="N29" s="17"/>
      <c r="O29" s="17"/>
    </row>
    <row r="30" spans="1:15" ht="12.5">
      <c r="A30" s="17" t="str">
        <f ca="1">IFERROR(__xludf.DUMMYFUNCTION("""COMPUTED_VALUE"""),"TRX1190")</f>
        <v>TRX1190</v>
      </c>
      <c r="B30" s="86" t="str">
        <f ca="1">IFERROR(__xludf.DUMMYFUNCTION("""COMPUTED_VALUE"""),"#42")</f>
        <v>#42</v>
      </c>
      <c r="C30" s="63">
        <f ca="1">IFERROR(__xludf.DUMMYFUNCTION("""COMPUTED_VALUE"""),46074.4166666666)</f>
        <v>46074.416666666599</v>
      </c>
      <c r="D30" s="65">
        <f ca="1">IFERROR(__xludf.DUMMYFUNCTION("""COMPUTED_VALUE"""),51)</f>
        <v>51</v>
      </c>
      <c r="E30" s="17" t="str">
        <f ca="1">IFERROR(__xludf.DUMMYFUNCTION("""COMPUTED_VALUE"""),"MXN")</f>
        <v>MXN</v>
      </c>
      <c r="F30" s="17" t="str">
        <f ca="1">IFERROR(__xludf.DUMMYFUNCTION("""COMPUTED_VALUE"""),"Rodrigo Perea")</f>
        <v>Rodrigo Perea</v>
      </c>
      <c r="G30" s="17" t="str">
        <f ca="1">IFERROR(__xludf.DUMMYFUNCTION("""COMPUTED_VALUE"""),"ASUR C CONV SHOP 4     VERACRUZ VER  MEX")</f>
        <v>ASUR C CONV SHOP 4     VERACRUZ VER  MEX</v>
      </c>
      <c r="H30" s="17" t="str">
        <f ca="1">IFERROR(__xludf.DUMMYFUNCTION("""COMPUTED_VALUE"""),"Asur C Conv Shop 4 Veracruz Ver Mex")</f>
        <v>Asur C Conv Shop 4 Veracruz Ver Mex</v>
      </c>
      <c r="I30" s="17" t="str">
        <f ca="1">IFERROR(__xludf.DUMMYFUNCTION("""COMPUTED_VALUE"""),"Sales")</f>
        <v>Sales</v>
      </c>
      <c r="J30" s="17" t="str">
        <f ca="1">IFERROR(__xludf.DUMMYFUNCTION("""COMPUTED_VALUE"""),"PO 1406_Agua vuelo")</f>
        <v>PO 1406_Agua vuelo</v>
      </c>
      <c r="K30" s="17" t="str">
        <f ca="1">IFERROR(__xludf.DUMMYFUNCTION("""COMPUTED_VALUE"""),"N/A_Ticket")</f>
        <v>N/A_Ticket</v>
      </c>
      <c r="L30" s="17"/>
      <c r="M30" s="17"/>
      <c r="N30" s="17"/>
      <c r="O30" s="17"/>
    </row>
    <row r="31" spans="1:15" ht="12.5">
      <c r="A31" s="17" t="str">
        <f ca="1">IFERROR(__xludf.DUMMYFUNCTION("""COMPUTED_VALUE"""),"TRX1028")</f>
        <v>TRX1028</v>
      </c>
      <c r="B31" s="86" t="str">
        <f ca="1">IFERROR(__xludf.DUMMYFUNCTION("""COMPUTED_VALUE"""),"#42")</f>
        <v>#42</v>
      </c>
      <c r="C31" s="63">
        <f ca="1">IFERROR(__xludf.DUMMYFUNCTION("""COMPUTED_VALUE"""),46074.4173611111)</f>
        <v>46074.417361111096</v>
      </c>
      <c r="D31" s="65">
        <f ca="1">IFERROR(__xludf.DUMMYFUNCTION("""COMPUTED_VALUE"""),1076.9)</f>
        <v>1076.9000000000001</v>
      </c>
      <c r="E31" s="17" t="str">
        <f ca="1">IFERROR(__xludf.DUMMYFUNCTION("""COMPUTED_VALUE"""),"MXN")</f>
        <v>MXN</v>
      </c>
      <c r="F31" s="17" t="str">
        <f ca="1">IFERROR(__xludf.DUMMYFUNCTION("""COMPUTED_VALUE"""),"Rodrigo Perea")</f>
        <v>Rodrigo Perea</v>
      </c>
      <c r="G31" s="17" t="str">
        <f ca="1">IFERROR(__xludf.DUMMYFUNCTION("""COMPUTED_VALUE"""),"REST EL LECHERO        VERACRUZ VER  MEX")</f>
        <v>REST EL LECHERO        VERACRUZ VER  MEX</v>
      </c>
      <c r="H31" s="17" t="str">
        <f ca="1">IFERROR(__xludf.DUMMYFUNCTION("""COMPUTED_VALUE"""),"Rest El Lechero Veracruz Ver Mex")</f>
        <v>Rest El Lechero Veracruz Ver Mex</v>
      </c>
      <c r="I31" s="17" t="str">
        <f ca="1">IFERROR(__xludf.DUMMYFUNCTION("""COMPUTED_VALUE"""),"Sales")</f>
        <v>Sales</v>
      </c>
      <c r="J31" s="17" t="str">
        <f ca="1">IFERROR(__xludf.DUMMYFUNCTION("""COMPUTED_VALUE"""),"Mes office")</f>
        <v>Mes office</v>
      </c>
      <c r="K31" s="17" t="str">
        <f ca="1">IFERROR(__xludf.DUMMYFUNCTION("""COMPUTED_VALUE"""),"N/A")</f>
        <v>N/A</v>
      </c>
      <c r="L31" s="17"/>
      <c r="M31" s="17"/>
      <c r="N31" s="17"/>
      <c r="O31" s="17"/>
    </row>
    <row r="32" spans="1:15" ht="12.5">
      <c r="A32" s="17" t="str">
        <f ca="1">IFERROR(__xludf.DUMMYFUNCTION("""COMPUTED_VALUE"""),"TRX1032")</f>
        <v>TRX1032</v>
      </c>
      <c r="B32" s="86" t="str">
        <f ca="1">IFERROR(__xludf.DUMMYFUNCTION("""COMPUTED_VALUE"""),"#42")</f>
        <v>#42</v>
      </c>
      <c r="C32" s="63">
        <f ca="1">IFERROR(__xludf.DUMMYFUNCTION("""COMPUTED_VALUE"""),46074.4173611111)</f>
        <v>46074.417361111096</v>
      </c>
      <c r="D32" s="65">
        <f ca="1">IFERROR(__xludf.DUMMYFUNCTION("""COMPUTED_VALUE"""),35)</f>
        <v>35</v>
      </c>
      <c r="E32" s="17" t="str">
        <f ca="1">IFERROR(__xludf.DUMMYFUNCTION("""COMPUTED_VALUE"""),"MXN")</f>
        <v>MXN</v>
      </c>
      <c r="F32" s="17" t="str">
        <f ca="1">IFERROR(__xludf.DUMMYFUNCTION("""COMPUTED_VALUE"""),"Rodrigo Perea")</f>
        <v>Rodrigo Perea</v>
      </c>
      <c r="G32" s="17" t="str">
        <f ca="1">IFERROR(__xludf.DUMMYFUNCTION("""COMPUTED_VALUE"""),"OXXO 20 DE NOVIEMBRE V VERACRUZ VER  MEX")</f>
        <v>OXXO 20 DE NOVIEMBRE V VERACRUZ VER  MEX</v>
      </c>
      <c r="H32" s="17" t="str">
        <f ca="1">IFERROR(__xludf.DUMMYFUNCTION("""COMPUTED_VALUE"""),"Oxxo")</f>
        <v>Oxxo</v>
      </c>
      <c r="I32" s="17" t="str">
        <f ca="1">IFERROR(__xludf.DUMMYFUNCTION("""COMPUTED_VALUE"""),"Sales")</f>
        <v>Sales</v>
      </c>
      <c r="J32" s="17" t="str">
        <f ca="1">IFERROR(__xludf.DUMMYFUNCTION("""COMPUTED_VALUE"""),"PO 1406_Vuelo Mty")</f>
        <v>PO 1406_Vuelo Mty</v>
      </c>
      <c r="K32" s="17" t="str">
        <f ca="1">IFERROR(__xludf.DUMMYFUNCTION("""COMPUTED_VALUE"""),"b2c693c1-f125-4fcc-839c-2913c5eb986a")</f>
        <v>b2c693c1-f125-4fcc-839c-2913c5eb986a</v>
      </c>
      <c r="L32" s="17"/>
      <c r="M32" s="17"/>
      <c r="N32" s="17"/>
      <c r="O32" s="17"/>
    </row>
    <row r="33" spans="1:15" ht="12.5">
      <c r="A33" s="17" t="str">
        <f ca="1">IFERROR(__xludf.DUMMYFUNCTION("""COMPUTED_VALUE"""),"TRX1236")</f>
        <v>TRX1236</v>
      </c>
      <c r="B33" s="86" t="str">
        <f ca="1">IFERROR(__xludf.DUMMYFUNCTION("""COMPUTED_VALUE"""),"#42")</f>
        <v>#42</v>
      </c>
      <c r="C33" s="63">
        <f ca="1">IFERROR(__xludf.DUMMYFUNCTION("""COMPUTED_VALUE"""),46080.4173611111)</f>
        <v>46080.417361111096</v>
      </c>
      <c r="D33" s="65">
        <f ca="1">IFERROR(__xludf.DUMMYFUNCTION("""COMPUTED_VALUE"""),842.17)</f>
        <v>842.17</v>
      </c>
      <c r="E33" s="17" t="str">
        <f ca="1">IFERROR(__xludf.DUMMYFUNCTION("""COMPUTED_VALUE"""),"MXN")</f>
        <v>MXN</v>
      </c>
      <c r="F33" s="17" t="str">
        <f ca="1">IFERROR(__xludf.DUMMYFUNCTION("""COMPUTED_VALUE"""),"Rodrigo Perea")</f>
        <v>Rodrigo Perea</v>
      </c>
      <c r="G33" s="17" t="str">
        <f ca="1">IFERROR(__xludf.DUMMYFUNCTION("""COMPUTED_VALUE"""),"GAS ARENAS             CIUDAD DE MEX MEX")</f>
        <v>GAS ARENAS             CIUDAD DE MEX MEX</v>
      </c>
      <c r="H33" s="17" t="str">
        <f ca="1">IFERROR(__xludf.DUMMYFUNCTION("""COMPUTED_VALUE"""),"Gas Arenas Ciudad De Mex Mex")</f>
        <v>Gas Arenas Ciudad De Mex Mex</v>
      </c>
      <c r="I33" s="17" t="str">
        <f ca="1">IFERROR(__xludf.DUMMYFUNCTION("""COMPUTED_VALUE"""),"Sales")</f>
        <v>Sales</v>
      </c>
      <c r="J33" s="17" t="str">
        <f ca="1">IFERROR(__xludf.DUMMYFUNCTION("""COMPUTED_VALUE"""),"PO 1406_Hospedaje Mty")</f>
        <v>PO 1406_Hospedaje Mty</v>
      </c>
      <c r="K33" s="17" t="str">
        <f ca="1">IFERROR(__xludf.DUMMYFUNCTION("""COMPUTED_VALUE"""),"BEDE37F2-0A33-473B-9B0C-9B9D2C51C4E5")</f>
        <v>BEDE37F2-0A33-473B-9B0C-9B9D2C51C4E5</v>
      </c>
      <c r="L33" s="17"/>
      <c r="M33" s="17"/>
      <c r="N33" s="17"/>
      <c r="O33" s="17"/>
    </row>
    <row r="34" spans="1:15" ht="12.5">
      <c r="A34" s="17" t="str">
        <f ca="1">IFERROR(__xludf.DUMMYFUNCTION("""COMPUTED_VALUE"""),"TRX1262")</f>
        <v>TRX1262</v>
      </c>
      <c r="B34" s="86" t="str">
        <f ca="1">IFERROR(__xludf.DUMMYFUNCTION("""COMPUTED_VALUE"""),"#42")</f>
        <v>#42</v>
      </c>
      <c r="C34" s="63">
        <f ca="1">IFERROR(__xludf.DUMMYFUNCTION("""COMPUTED_VALUE"""),46081.4166666666)</f>
        <v>46081.416666666599</v>
      </c>
      <c r="D34" s="17">
        <f ca="1">IFERROR(__xludf.DUMMYFUNCTION("""COMPUTED_VALUE"""),1000)</f>
        <v>1000</v>
      </c>
      <c r="E34" s="17" t="str">
        <f ca="1">IFERROR(__xludf.DUMMYFUNCTION("""COMPUTED_VALUE"""),"MXN")</f>
        <v>MXN</v>
      </c>
      <c r="F34" s="17" t="str">
        <f ca="1">IFERROR(__xludf.DUMMYFUNCTION("""COMPUTED_VALUE"""),"Rodrigo Perea")</f>
        <v>Rodrigo Perea</v>
      </c>
      <c r="G34" s="17" t="str">
        <f ca="1">IFERROR(__xludf.DUMMYFUNCTION("""COMPUTED_VALUE"""),"RECARGA PASE TUTAG     CIUDAD DE MEX MEX")</f>
        <v>RECARGA PASE TUTAG     CIUDAD DE MEX MEX</v>
      </c>
      <c r="H34" s="17" t="str">
        <f ca="1">IFERROR(__xludf.DUMMYFUNCTION("""COMPUTED_VALUE"""),"Recarga Pase Tutag Ciudad De Mex Mex")</f>
        <v>Recarga Pase Tutag Ciudad De Mex Mex</v>
      </c>
      <c r="I34" s="17" t="str">
        <f ca="1">IFERROR(__xludf.DUMMYFUNCTION("""COMPUTED_VALUE"""),"Sales")</f>
        <v>Sales</v>
      </c>
      <c r="J34" s="17" t="str">
        <f ca="1">IFERROR(__xludf.DUMMYFUNCTION("""COMPUTED_VALUE"""),"PO 1406_Desayuno aeropuerto Mty")</f>
        <v>PO 1406_Desayuno aeropuerto Mty</v>
      </c>
      <c r="K34" s="17" t="str">
        <f ca="1">IFERROR(__xludf.DUMMYFUNCTION("""COMPUTED_VALUE"""),"E0DFD8C6-91A5-4625-9714-1B0FB73BA6BD")</f>
        <v>E0DFD8C6-91A5-4625-9714-1B0FB73BA6BD</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IFERROR(__xludf.DUMMYFUNCTION("""COMPUTED_VALUE"""),"PO 1406_Renta auto Mty***")</f>
        <v>PO 1406_Renta auto Mty***</v>
      </c>
      <c r="K35" s="17" t="str">
        <f ca="1">IFERROR(__xludf.DUMMYFUNCTION("""COMPUTED_VALUE"""),"d211df34-6a36-4a94-9c06-e6b719df5c8f")</f>
        <v>d211df34-6a36-4a94-9c06-e6b719df5c8f</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IFERROR(__xludf.DUMMYFUNCTION("""COMPUTED_VALUE"""),"PO 1406_Café Mty")</f>
        <v>PO 1406_Café Mty</v>
      </c>
      <c r="K36" s="17" t="str">
        <f ca="1">IFERROR(__xludf.DUMMYFUNCTION("""COMPUTED_VALUE"""),"5ad777c4-9676-4f9a-ad97-80e89d531c46")</f>
        <v>5ad777c4-9676-4f9a-ad97-80e89d531c46</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IFERROR(__xludf.DUMMYFUNCTION("""COMPUTED_VALUE"""),"PO 1406_Comida Mty")</f>
        <v>PO 1406_Comida Mty</v>
      </c>
      <c r="K37" s="17" t="str">
        <f ca="1">IFERROR(__xludf.DUMMYFUNCTION("""COMPUTED_VALUE"""),"293f1b25-6a69-4992-9c86-98f39c474541")</f>
        <v>293f1b25-6a69-4992-9c86-98f39c474541</v>
      </c>
      <c r="L37" s="17"/>
      <c r="M37" s="17"/>
      <c r="N37" s="17"/>
      <c r="O37" s="17"/>
    </row>
    <row r="38" spans="1:15" ht="12.5">
      <c r="A38" s="17"/>
      <c r="B38" s="24"/>
      <c r="C38" s="24"/>
      <c r="D38" s="17"/>
      <c r="E38" s="17"/>
      <c r="F38" s="17"/>
      <c r="G38" s="17"/>
      <c r="H38" s="17"/>
      <c r="I38" s="17" t="str">
        <f ca="1">IFERROR(__xludf.DUMMYFUNCTION("""COMPUTED_VALUE"""),"Sales")</f>
        <v>Sales</v>
      </c>
      <c r="J38" s="17" t="str">
        <f ca="1">IFERROR(__xludf.DUMMYFUNCTION("""COMPUTED_VALUE"""),"PO 1406_Comida Mty")</f>
        <v>PO 1406_Comida Mty</v>
      </c>
      <c r="K38" s="17" t="str">
        <f ca="1">IFERROR(__xludf.DUMMYFUNCTION("""COMPUTED_VALUE"""),"1E753115-7F73-441D-BF7C-DDF0AE82AA93")</f>
        <v>1E753115-7F73-441D-BF7C-DDF0AE82AA93</v>
      </c>
      <c r="L38" s="17"/>
      <c r="M38" s="17"/>
      <c r="N38" s="17"/>
      <c r="O38" s="17"/>
    </row>
    <row r="39" spans="1:15" ht="12.5">
      <c r="A39" s="17"/>
      <c r="B39" s="24"/>
      <c r="C39" s="24"/>
      <c r="D39" s="17"/>
      <c r="E39" s="17"/>
      <c r="F39" s="17"/>
      <c r="G39" s="17"/>
      <c r="H39" s="17"/>
      <c r="I39" s="17" t="str">
        <f ca="1">IFERROR(__xludf.DUMMYFUNCTION("""COMPUTED_VALUE"""),"Sales")</f>
        <v>Sales</v>
      </c>
      <c r="J39" s="17" t="str">
        <f ca="1">IFERROR(__xludf.DUMMYFUNCTION("""COMPUTED_VALUE"""),"PO 1406_Desayuno hotel Mty")</f>
        <v>PO 1406_Desayuno hotel Mty</v>
      </c>
      <c r="K39" s="17" t="str">
        <f ca="1">IFERROR(__xludf.DUMMYFUNCTION("""COMPUTED_VALUE"""),"N/A_Ticket")</f>
        <v>N/A_Ticket</v>
      </c>
      <c r="L39" s="17"/>
      <c r="M39" s="17"/>
      <c r="N39" s="17"/>
      <c r="O39" s="17"/>
    </row>
    <row r="40" spans="1:15" ht="12.5">
      <c r="A40" s="17"/>
      <c r="B40" s="24"/>
      <c r="C40" s="24"/>
      <c r="D40" s="17"/>
      <c r="E40" s="17"/>
      <c r="F40" s="17"/>
      <c r="G40" s="17"/>
      <c r="H40" s="17"/>
      <c r="I40" s="17" t="str">
        <f ca="1">IFERROR(__xludf.DUMMYFUNCTION("""COMPUTED_VALUE"""),"Sales")</f>
        <v>Sales</v>
      </c>
      <c r="J40" s="17" t="str">
        <f ca="1">IFERROR(__xludf.DUMMYFUNCTION("""COMPUTED_VALUE"""),"PO 1406_Comida Mty")</f>
        <v>PO 1406_Comida Mty</v>
      </c>
      <c r="K40" s="17" t="str">
        <f ca="1">IFERROR(__xludf.DUMMYFUNCTION("""COMPUTED_VALUE"""),"91f669ae-7354-4dee-9ad2-24ff8c2f5569")</f>
        <v>91f669ae-7354-4dee-9ad2-24ff8c2f5569</v>
      </c>
      <c r="L40" s="17"/>
      <c r="M40" s="17"/>
      <c r="N40" s="17"/>
      <c r="O40" s="17"/>
    </row>
    <row r="41" spans="1:15" ht="12.5">
      <c r="A41" s="17"/>
      <c r="B41" s="24"/>
      <c r="C41" s="24"/>
      <c r="D41" s="17"/>
      <c r="E41" s="17"/>
      <c r="F41" s="17"/>
      <c r="G41" s="17"/>
      <c r="H41" s="17"/>
      <c r="I41" s="17" t="str">
        <f ca="1">IFERROR(__xludf.DUMMYFUNCTION("""COMPUTED_VALUE"""),"Sales")</f>
        <v>Sales</v>
      </c>
      <c r="J41" s="17" t="str">
        <f ca="1">IFERROR(__xludf.DUMMYFUNCTION("""COMPUTED_VALUE"""),"PO 1406_Peajes Mty")</f>
        <v>PO 1406_Peajes Mty</v>
      </c>
      <c r="K41" s="17" t="str">
        <f ca="1">IFERROR(__xludf.DUMMYFUNCTION("""COMPUTED_VALUE"""),"e679dd0b-d119-4ea9-948b-28644524cd63")</f>
        <v>e679dd0b-d119-4ea9-948b-28644524cd63</v>
      </c>
      <c r="L41" s="17"/>
      <c r="M41" s="17"/>
      <c r="N41" s="17"/>
      <c r="O41" s="17"/>
    </row>
    <row r="42" spans="1:15" ht="12.5">
      <c r="A42" s="17"/>
      <c r="B42" s="24"/>
      <c r="C42" s="24"/>
      <c r="D42" s="17"/>
      <c r="E42" s="17"/>
      <c r="F42" s="17"/>
      <c r="G42" s="17"/>
      <c r="H42" s="17"/>
      <c r="I42" s="17" t="str">
        <f ca="1">IFERROR(__xludf.DUMMYFUNCTION("""COMPUTED_VALUE"""),"Sales")</f>
        <v>Sales</v>
      </c>
      <c r="J42" s="17" t="str">
        <f ca="1">IFERROR(__xludf.DUMMYFUNCTION("""COMPUTED_VALUE"""),"PO 1406_Gasolina auto Mty")</f>
        <v>PO 1406_Gasolina auto Mty</v>
      </c>
      <c r="K42" s="17" t="str">
        <f ca="1">IFERROR(__xludf.DUMMYFUNCTION("""COMPUTED_VALUE"""),"62bfddca-6179-4238-8fa7-f2e7f0c9aadd")</f>
        <v>62bfddca-6179-4238-8fa7-f2e7f0c9aadd</v>
      </c>
      <c r="L42" s="17"/>
      <c r="M42" s="17"/>
      <c r="N42" s="17"/>
      <c r="O42" s="17"/>
    </row>
    <row r="43" spans="1:15" ht="12.5">
      <c r="A43" s="17"/>
      <c r="B43" s="24"/>
      <c r="C43" s="24"/>
      <c r="D43" s="17"/>
      <c r="E43" s="17"/>
      <c r="F43" s="17"/>
      <c r="G43" s="17"/>
      <c r="H43" s="17"/>
      <c r="I43" s="17" t="str">
        <f ca="1">IFERROR(__xludf.DUMMYFUNCTION("""COMPUTED_VALUE"""),"Sales")</f>
        <v>Sales</v>
      </c>
      <c r="J43" s="17" t="str">
        <f ca="1">IFERROR(__xludf.DUMMYFUNCTION("""COMPUTED_VALUE"""),"PO 1406_Agua aeropuerto Mty")</f>
        <v>PO 1406_Agua aeropuerto Mty</v>
      </c>
      <c r="K43" s="17" t="str">
        <f ca="1">IFERROR(__xludf.DUMMYFUNCTION("""COMPUTED_VALUE"""),"N/A_Ticket")</f>
        <v>N/A_Ticket</v>
      </c>
      <c r="L43" s="17"/>
      <c r="M43" s="17"/>
      <c r="N43" s="17"/>
      <c r="O43" s="17"/>
    </row>
    <row r="44" spans="1:15" ht="12.5">
      <c r="A44" s="17"/>
      <c r="B44" s="24"/>
      <c r="C44" s="24"/>
      <c r="D44" s="17"/>
      <c r="E44" s="17"/>
      <c r="F44" s="17"/>
      <c r="G44" s="17"/>
      <c r="H44" s="17"/>
      <c r="I44" s="17" t="str">
        <f ca="1">IFERROR(__xludf.DUMMYFUNCTION("""COMPUTED_VALUE"""),"Sales")</f>
        <v>Sales</v>
      </c>
      <c r="J44" s="17" t="str">
        <f ca="1">IFERROR(__xludf.DUMMYFUNCTION("""COMPUTED_VALUE"""),"PO 1406_Comida aeropuerto Mty")</f>
        <v>PO 1406_Comida aeropuerto Mty</v>
      </c>
      <c r="K44" s="17" t="str">
        <f ca="1">IFERROR(__xludf.DUMMYFUNCTION("""COMPUTED_VALUE"""),"83837237-E3A0-48A9-A3C6-833D59544137")</f>
        <v>83837237-E3A0-48A9-A3C6-833D59544137</v>
      </c>
      <c r="L44" s="17"/>
      <c r="M44" s="17"/>
      <c r="N44" s="17"/>
      <c r="O44" s="17"/>
    </row>
    <row r="45" spans="1:15" ht="12.5">
      <c r="A45" s="17"/>
      <c r="B45" s="24"/>
      <c r="C45" s="24"/>
      <c r="D45" s="17"/>
      <c r="E45" s="17"/>
      <c r="F45" s="17"/>
      <c r="G45" s="17"/>
      <c r="H45" s="17"/>
      <c r="I45" s="17" t="str">
        <f ca="1">IFERROR(__xludf.DUMMYFUNCTION("""COMPUTED_VALUE"""),"Sales")</f>
        <v>Sales</v>
      </c>
      <c r="J45" s="17" t="str">
        <f ca="1">IFERROR(__xludf.DUMMYFUNCTION("""COMPUTED_VALUE"""),"PO 1406_Estacionamiento aeropuerto")</f>
        <v>PO 1406_Estacionamiento aeropuerto</v>
      </c>
      <c r="K45" s="17" t="str">
        <f ca="1">IFERROR(__xludf.DUMMYFUNCTION("""COMPUTED_VALUE"""),"E38EC02A-DF09-406F-877C-057A6F142FF6")</f>
        <v>E38EC02A-DF09-406F-877C-057A6F142FF6</v>
      </c>
      <c r="L45" s="17"/>
      <c r="M45" s="17"/>
      <c r="N45" s="17"/>
      <c r="O45" s="17"/>
    </row>
    <row r="46" spans="1:15" ht="12.5">
      <c r="A46" s="17"/>
      <c r="B46" s="24"/>
      <c r="C46" s="24"/>
      <c r="D46" s="17"/>
      <c r="E46" s="17"/>
      <c r="F46" s="17"/>
      <c r="G46" s="17"/>
      <c r="H46" s="17"/>
      <c r="I46" s="17" t="str">
        <f ca="1">IFERROR(__xludf.DUMMYFUNCTION("""COMPUTED_VALUE"""),"Sales")</f>
        <v>Sales</v>
      </c>
      <c r="J46" s="17" t="str">
        <f ca="1">IFERROR(__xludf.DUMMYFUNCTION("""COMPUTED_VALUE"""),"PO 1406_Desayuno hotel Mty***")</f>
        <v>PO 1406_Desayuno hotel Mty***</v>
      </c>
      <c r="K46" s="17" t="str">
        <f ca="1">IFERROR(__xludf.DUMMYFUNCTION("""COMPUTED_VALUE"""),"N/A_Ticket")</f>
        <v>N/A_Ticket</v>
      </c>
      <c r="L46" s="17"/>
      <c r="M46" s="17"/>
      <c r="N46" s="17"/>
      <c r="O46" s="17"/>
    </row>
    <row r="47" spans="1:15" ht="12.5">
      <c r="A47" s="17"/>
      <c r="B47" s="24"/>
      <c r="C47" s="24"/>
      <c r="D47" s="17"/>
      <c r="E47" s="17"/>
      <c r="F47" s="17"/>
      <c r="G47" s="17"/>
      <c r="H47" s="17"/>
      <c r="I47" s="17" t="str">
        <f ca="1">IFERROR(__xludf.DUMMYFUNCTION("""COMPUTED_VALUE"""),"Sales")</f>
        <v>Sales</v>
      </c>
      <c r="J47" s="17" t="str">
        <f ca="1">IFERROR(__xludf.DUMMYFUNCTION("""COMPUTED_VALUE"""),"PO 1406_Gasolina auto Mty***")</f>
        <v>PO 1406_Gasolina auto Mty***</v>
      </c>
      <c r="K47" s="17" t="str">
        <f ca="1">IFERROR(__xludf.DUMMYFUNCTION("""COMPUTED_VALUE"""),"62bfddca-6179-4238-8fa7-f2e7f0c9aadd")</f>
        <v>62bfddca-6179-4238-8fa7-f2e7f0c9aadd</v>
      </c>
      <c r="L47" s="17"/>
      <c r="M47" s="17"/>
      <c r="N47" s="17"/>
      <c r="O47" s="17"/>
    </row>
    <row r="48" spans="1:15" ht="12.5">
      <c r="A48" s="17"/>
      <c r="B48" s="24"/>
      <c r="C48" s="24"/>
      <c r="D48" s="17"/>
      <c r="E48" s="17"/>
      <c r="F48" s="17"/>
      <c r="G48" s="17"/>
      <c r="H48" s="17"/>
      <c r="I48" s="17" t="str">
        <f ca="1">IFERROR(__xludf.DUMMYFUNCTION("""COMPUTED_VALUE"""),"Sales")</f>
        <v>Sales</v>
      </c>
      <c r="J48" s="17" t="str">
        <f ca="1">IFERROR(__xludf.DUMMYFUNCTION("""COMPUTED_VALUE"""),"PO 1406_Comida aeropuerto Mty***")</f>
        <v>PO 1406_Comida aeropuerto Mty***</v>
      </c>
      <c r="K48" s="17" t="str">
        <f ca="1">IFERROR(__xludf.DUMMYFUNCTION("""COMPUTED_VALUE"""),"83837237-E3A0-48A9-A3C6-833D59544137")</f>
        <v>83837237-E3A0-48A9-A3C6-833D59544137</v>
      </c>
      <c r="L48" s="17"/>
      <c r="M48" s="17"/>
      <c r="N48" s="17"/>
      <c r="O48" s="17"/>
    </row>
    <row r="49" spans="1:15" ht="12.5">
      <c r="A49" s="17"/>
      <c r="B49" s="24"/>
      <c r="C49" s="24"/>
      <c r="D49" s="17"/>
      <c r="E49" s="17"/>
      <c r="F49" s="17"/>
      <c r="G49" s="17"/>
      <c r="H49" s="17"/>
      <c r="I49" s="17" t="str">
        <f ca="1">IFERROR(__xludf.DUMMYFUNCTION("""COMPUTED_VALUE"""),"Sales")</f>
        <v>Sales</v>
      </c>
      <c r="J49" s="17" t="str">
        <f ca="1">IFERROR(__xludf.DUMMYFUNCTION("""COMPUTED_VALUE"""),"PO 1406_Renta auto Mty")</f>
        <v>PO 1406_Renta auto Mty</v>
      </c>
      <c r="K49" s="17" t="str">
        <f ca="1">IFERROR(__xludf.DUMMYFUNCTION("""COMPUTED_VALUE"""),"d211df34-6a36-4a94-9c06-e6b719df5c8f")</f>
        <v>d211df34-6a36-4a94-9c06-e6b719df5c8f</v>
      </c>
      <c r="L49" s="17"/>
      <c r="M49" s="17"/>
      <c r="N49" s="17"/>
      <c r="O49" s="17"/>
    </row>
    <row r="50" spans="1:15" ht="12.5">
      <c r="A50" s="17"/>
      <c r="B50" s="24"/>
      <c r="C50" s="24"/>
      <c r="D50" s="17"/>
      <c r="E50" s="17"/>
      <c r="F50" s="17"/>
      <c r="G50" s="17"/>
      <c r="H50" s="17"/>
      <c r="I50" s="17" t="str">
        <f ca="1">IFERROR(__xludf.DUMMYFUNCTION("""COMPUTED_VALUE"""),"Sales")</f>
        <v>Sales</v>
      </c>
      <c r="J50" s="17" t="str">
        <f ca="1">IFERROR(__xludf.DUMMYFUNCTION("""COMPUTED_VALUE"""),"PO 1406_Estacionamiento aeropuerto***")</f>
        <v>PO 1406_Estacionamiento aeropuerto***</v>
      </c>
      <c r="K50" s="17" t="str">
        <f ca="1">IFERROR(__xludf.DUMMYFUNCTION("""COMPUTED_VALUE"""),"E38EC02A-DF09-406F-877C-057A6F142FF6")</f>
        <v>E38EC02A-DF09-406F-877C-057A6F142FF6</v>
      </c>
      <c r="L50" s="17"/>
      <c r="M50" s="17"/>
      <c r="N50" s="17"/>
      <c r="O50" s="17"/>
    </row>
    <row r="51" spans="1:15" ht="12.5">
      <c r="A51" s="17"/>
      <c r="B51" s="24"/>
      <c r="C51" s="24"/>
      <c r="D51" s="17"/>
      <c r="E51" s="17"/>
      <c r="F51" s="17"/>
      <c r="G51" s="17"/>
      <c r="H51" s="17"/>
      <c r="I51" s="17" t="str">
        <f ca="1">IFERROR(__xludf.DUMMYFUNCTION("""COMPUTED_VALUE"""),"Sales")</f>
        <v>Sales</v>
      </c>
      <c r="J51" s="17" t="str">
        <f ca="1">IFERROR(__xludf.DUMMYFUNCTION("""COMPUTED_VALUE"""),"PO 1406_Agua aeropuerto Mty***")</f>
        <v>PO 1406_Agua aeropuerto Mty***</v>
      </c>
      <c r="K51" s="17" t="str">
        <f ca="1">IFERROR(__xludf.DUMMYFUNCTION("""COMPUTED_VALUE"""),"N/A_Ticket")</f>
        <v>N/A_Ticket</v>
      </c>
      <c r="L51" s="17"/>
      <c r="M51" s="17"/>
      <c r="N51" s="17"/>
      <c r="O51" s="17"/>
    </row>
    <row r="52" spans="1:15" ht="12.5">
      <c r="A52" s="17"/>
      <c r="B52" s="24"/>
      <c r="C52" s="24"/>
      <c r="D52" s="17"/>
      <c r="E52" s="17"/>
      <c r="F52" s="17"/>
      <c r="G52" s="17"/>
      <c r="H52" s="17"/>
      <c r="I52" s="17" t="str">
        <f ca="1">IFERROR(__xludf.DUMMYFUNCTION("""COMPUTED_VALUE"""),"Sales")</f>
        <v>Sales</v>
      </c>
      <c r="J52" s="17" t="str">
        <f ca="1">IFERROR(__xludf.DUMMYFUNCTION("""COMPUTED_VALUE"""),"PO 1406_Comida Mty")</f>
        <v>PO 1406_Comida Mty</v>
      </c>
      <c r="K52" s="17" t="str">
        <f ca="1">IFERROR(__xludf.DUMMYFUNCTION("""COMPUTED_VALUE"""),"91f669ae-7354-4dee-9ad2-24ff8c2f5569")</f>
        <v>91f669ae-7354-4dee-9ad2-24ff8c2f5569</v>
      </c>
      <c r="L52" s="17"/>
      <c r="M52" s="17"/>
      <c r="N52" s="17"/>
      <c r="O52" s="17"/>
    </row>
    <row r="53" spans="1:15" ht="12.5">
      <c r="A53" s="17"/>
      <c r="B53" s="24"/>
      <c r="C53" s="24"/>
      <c r="D53" s="17"/>
      <c r="E53" s="17"/>
      <c r="F53" s="17"/>
      <c r="G53" s="17"/>
      <c r="H53" s="17"/>
      <c r="I53" s="17" t="str">
        <f ca="1">IFERROR(__xludf.DUMMYFUNCTION("""COMPUTED_VALUE"""),"Sales")</f>
        <v>Sales</v>
      </c>
      <c r="J53" s="17" t="str">
        <f ca="1">IFERROR(__xludf.DUMMYFUNCTION("""COMPUTED_VALUE"""),"PO 1406_Peajes Mty***")</f>
        <v>PO 1406_Peajes Mty***</v>
      </c>
      <c r="K53" s="17" t="str">
        <f ca="1">IFERROR(__xludf.DUMMYFUNCTION("""COMPUTED_VALUE"""),"e679dd0b-d119-4ea9-948b-28644524cd63")</f>
        <v>e679dd0b-d119-4ea9-948b-28644524cd63</v>
      </c>
      <c r="L53" s="17"/>
      <c r="M53" s="17"/>
      <c r="N53" s="17"/>
      <c r="O53" s="17"/>
    </row>
    <row r="54" spans="1:15" ht="12.5">
      <c r="A54" s="17"/>
      <c r="B54" s="24"/>
      <c r="C54" s="24"/>
      <c r="D54" s="17"/>
      <c r="E54" s="17"/>
      <c r="F54" s="17"/>
      <c r="G54" s="17"/>
      <c r="H54" s="17"/>
      <c r="I54" s="17"/>
      <c r="J54" s="17" t="str">
        <f ca="1">IFERROR(__xludf.DUMMYFUNCTION("""COMPUTED_VALUE"""),"PO 1406_Agua vuelo")</f>
        <v>PO 1406_Agua vuelo</v>
      </c>
      <c r="K54" s="17" t="str">
        <f ca="1">IFERROR(__xludf.DUMMYFUNCTION("""COMPUTED_VALUE"""),"N/A_Ticket")</f>
        <v>N/A_Ticket</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1959</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IFERROR(__xludf.DUMMYFUNCTION("IMPORTRANGE(""https://docs.google.com/spreadsheets/d/1yBEceqOEZO1RLYA1E9gtL9cVnhHc3AJbX0UJZ1kRMCs/edit#gid=1404531132"",""I12:K80"")"),"")</f>
        <v/>
      </c>
      <c r="J12" s="107"/>
      <c r="K12" s="17" t="str">
        <f ca="1">IFERROR(__xludf.DUMMYFUNCTION("""COMPUTED_VALUE"""),".")</f>
        <v>.</v>
      </c>
      <c r="L12" s="17"/>
      <c r="M12" s="17"/>
      <c r="N12" s="17"/>
      <c r="O12" s="17"/>
    </row>
    <row r="13" spans="1:15" ht="15.75" customHeight="1">
      <c r="A13" s="24"/>
      <c r="B13" s="24"/>
      <c r="C13" s="24"/>
      <c r="D13" s="17"/>
      <c r="E13" s="17"/>
      <c r="F13" s="17"/>
      <c r="G13" s="17"/>
      <c r="H13" s="17"/>
      <c r="I13" s="17"/>
      <c r="J13" s="10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0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82.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98</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128">
        <f ca="1">D12+D13</f>
        <v>1570.01</v>
      </c>
      <c r="O11" s="88"/>
    </row>
    <row r="12" spans="1:15" ht="15.75" customHeight="1">
      <c r="A12" s="111" t="str">
        <f ca="1">IFERROR(__xludf.DUMMYFUNCTION("FILTER('Edo Cta Jeeves Sept'!$A$12:$C$1700,'Edo Cta Jeeves Sept'!$J$12:$J$1700=$A$2)"),"TRX1489")</f>
        <v>TRX1489</v>
      </c>
      <c r="B12" s="112" t="str">
        <f ca="1">IFERROR(__xludf.DUMMYFUNCTION("""COMPUTED_VALUE"""),"#44")</f>
        <v>#44</v>
      </c>
      <c r="C12" s="112">
        <f ca="1">IFERROR(__xludf.DUMMYFUNCTION("""COMPUTED_VALUE"""),46066.4166666666)</f>
        <v>46066.416666666599</v>
      </c>
      <c r="D12" s="113">
        <f ca="1">IFERROR(__xludf.DUMMYFUNCTION("FILTER('Edo Cta Jeeves Sept'!$G$12:$G$1300,'Edo Cta Jeeves Sept'!$J$12:$J$1300=$A$2)"),1570.01)</f>
        <v>1570.01</v>
      </c>
      <c r="E12" s="90" t="str">
        <f ca="1">IFERROR(__xludf.DUMMYFUNCTION("FILTER('Edo Cta Jeeves Sept'!$I$12:$I$1300,'Edo Cta Jeeves Sept'!$J$12:$J$1300=$A$2)"),"MXN")</f>
        <v>MXN</v>
      </c>
      <c r="F12" s="90" t="str">
        <f ca="1">IFERROR(__xludf.DUMMYFUNCTION("FILTER('Edo Cta Jeeves Sept'!$J$12:$J$1300,'Edo Cta Jeeves Sept'!$J$12:$J$1300=$A$2)"),"JP Hammerstein")</f>
        <v>JP Hammerstein</v>
      </c>
      <c r="G12" s="90" t="str">
        <f ca="1">IFERROR(__xludf.DUMMYFUNCTION("FILTER('Edo Cta Jeeves Sept'!$K$12:$L$1300,'Edo Cta Jeeves Sept'!$J$12:$J$1300=$A$2)"),"SERV LAS AMERICAS II   SAN ANDRES CH MEX")</f>
        <v>SERV LAS AMERICAS II   SAN ANDRES CH MEX</v>
      </c>
      <c r="H12" s="90" t="str">
        <f ca="1">IFERROR(__xludf.DUMMYFUNCTION("""COMPUTED_VALUE"""),"Serv Las Americas Ii San Andres Ch Mex")</f>
        <v>Serv Las Americas Ii San Andres Ch Mex</v>
      </c>
      <c r="I12" s="90" t="str">
        <f ca="1">IFERROR(__xludf.DUMMYFUNCTION("IMPORTRANGE(""https://docs.google.com/spreadsheets/d/1teXRm872G6CnIBYcoXHPXMds54yEqJWqeZKGZyRjA8Q/edit#gid=1404531132"",""I12:K80"")"),"G&amp;A expenses")</f>
        <v>G&amp;A expenses</v>
      </c>
      <c r="J12" s="90" t="str">
        <f ca="1">IFERROR(__xludf.DUMMYFUNCTION("""COMPUTED_VALUE"""),"PO:  N/A
Visita a Colony House Reforma para All Hands")</f>
        <v>PO:  N/A
Visita a Colony House Reforma para All Hands</v>
      </c>
      <c r="K12" s="90" t="str">
        <f ca="1">IFERROR(__xludf.DUMMYFUNCTION("""COMPUTED_VALUE"""),"12EE7F3D-F1D0-444A-A686-DC4C25CADF92")</f>
        <v>12EE7F3D-F1D0-444A-A686-DC4C25CADF92</v>
      </c>
      <c r="L12" s="17"/>
      <c r="M12" s="17"/>
      <c r="N12" s="17">
        <f ca="1">N11/2</f>
        <v>785.005</v>
      </c>
      <c r="O12" s="17"/>
    </row>
    <row r="13" spans="1:15" ht="15.75" customHeight="1">
      <c r="A13" s="111"/>
      <c r="B13" s="111"/>
      <c r="C13" s="111"/>
      <c r="D13" s="90"/>
      <c r="E13" s="90"/>
      <c r="F13" s="90"/>
      <c r="G13" s="90"/>
      <c r="H13" s="90"/>
      <c r="I13" s="90"/>
      <c r="J13" s="90"/>
      <c r="K13" s="90" t="str">
        <f ca="1">IFERROR(__xludf.DUMMYFUNCTION("""COMPUTED_VALUE"""),".")</f>
        <v>.</v>
      </c>
      <c r="L13" s="17"/>
      <c r="M13" s="17"/>
      <c r="N13" s="17"/>
      <c r="O13" s="17"/>
    </row>
    <row r="14" spans="1:15" ht="15.75" customHeight="1">
      <c r="A14" s="111"/>
      <c r="B14" s="111"/>
      <c r="C14" s="111"/>
      <c r="D14" s="90"/>
      <c r="E14" s="90"/>
      <c r="F14" s="90"/>
      <c r="G14" s="90"/>
      <c r="H14" s="90"/>
      <c r="I14" s="90"/>
      <c r="J14" s="90"/>
      <c r="K14" s="90" t="str">
        <f ca="1">IFERROR(__xludf.DUMMYFUNCTION("""COMPUTED_VALUE"""),".")</f>
        <v>.</v>
      </c>
      <c r="L14" s="17"/>
      <c r="M14" s="17"/>
      <c r="N14" s="17">
        <f>D14+D15</f>
        <v>0</v>
      </c>
      <c r="O14" s="17"/>
    </row>
    <row r="15" spans="1:15" ht="15.75" customHeight="1">
      <c r="A15" s="111"/>
      <c r="B15" s="111"/>
      <c r="C15" s="111"/>
      <c r="D15" s="90"/>
      <c r="E15" s="90"/>
      <c r="F15" s="90"/>
      <c r="G15" s="90"/>
      <c r="H15" s="90"/>
      <c r="I15" s="90"/>
      <c r="J15" s="90"/>
      <c r="K15" s="90" t="str">
        <f ca="1">IFERROR(__xludf.DUMMYFUNCTION("""COMPUTED_VALUE"""),".")</f>
        <v>.</v>
      </c>
      <c r="L15" s="17"/>
      <c r="M15" s="17"/>
      <c r="N15" s="17">
        <f>N14/3</f>
        <v>0</v>
      </c>
      <c r="O15" s="17"/>
    </row>
    <row r="16" spans="1:15" ht="15.75" customHeight="1">
      <c r="A16" s="90"/>
      <c r="B16" s="111"/>
      <c r="C16" s="111"/>
      <c r="D16" s="90"/>
      <c r="E16" s="90"/>
      <c r="F16" s="90"/>
      <c r="G16" s="90"/>
      <c r="H16" s="90"/>
      <c r="I16" s="90"/>
      <c r="J16" s="90"/>
      <c r="K16" s="90" t="str">
        <f ca="1">IFERROR(__xludf.DUMMYFUNCTION("""COMPUTED_VALUE"""),".")</f>
        <v>.</v>
      </c>
      <c r="L16" s="17"/>
      <c r="M16" s="17"/>
      <c r="N16" s="17"/>
      <c r="O16" s="17"/>
    </row>
    <row r="17" spans="1:15" ht="15.75" customHeight="1">
      <c r="A17" s="90"/>
      <c r="B17" s="111"/>
      <c r="C17" s="111"/>
      <c r="D17" s="90"/>
      <c r="E17" s="90"/>
      <c r="F17" s="90"/>
      <c r="G17" s="90"/>
      <c r="H17" s="90"/>
      <c r="I17" s="90"/>
      <c r="J17" s="90"/>
      <c r="K17" s="90" t="str">
        <f ca="1">IFERROR(__xludf.DUMMYFUNCTION("""COMPUTED_VALUE"""),".")</f>
        <v>.</v>
      </c>
      <c r="L17" s="17"/>
      <c r="M17" s="17"/>
      <c r="N17" s="17"/>
      <c r="O17" s="17"/>
    </row>
    <row r="18" spans="1:15" ht="15.75" customHeight="1">
      <c r="A18" s="90"/>
      <c r="B18" s="111"/>
      <c r="C18" s="111"/>
      <c r="D18" s="90"/>
      <c r="E18" s="90"/>
      <c r="F18" s="90"/>
      <c r="G18" s="90"/>
      <c r="H18" s="90"/>
      <c r="I18" s="90"/>
      <c r="J18" s="90"/>
      <c r="K18" s="90" t="str">
        <f ca="1">IFERROR(__xludf.DUMMYFUNCTION("""COMPUTED_VALUE"""),".")</f>
        <v>.</v>
      </c>
      <c r="L18" s="17"/>
      <c r="M18" s="17"/>
      <c r="N18" s="17">
        <f>2296.45-2295</f>
        <v>1.4499999999998181</v>
      </c>
      <c r="O18" s="17"/>
    </row>
    <row r="19" spans="1:15" ht="15.75" customHeight="1">
      <c r="A19" s="90"/>
      <c r="B19" s="111"/>
      <c r="C19" s="111"/>
      <c r="D19" s="90"/>
      <c r="E19" s="90"/>
      <c r="F19" s="90"/>
      <c r="G19" s="90"/>
      <c r="H19" s="90"/>
      <c r="I19" s="90"/>
      <c r="J19" s="90"/>
      <c r="K19" s="90" t="str">
        <f ca="1">IFERROR(__xludf.DUMMYFUNCTION("""COMPUTED_VALUE"""),".")</f>
        <v>.</v>
      </c>
      <c r="L19" s="17"/>
      <c r="M19" s="17"/>
      <c r="N19" s="17"/>
      <c r="O19" s="17"/>
    </row>
    <row r="20" spans="1:15" ht="12.5">
      <c r="A20" s="90"/>
      <c r="B20" s="111"/>
      <c r="C20" s="111"/>
      <c r="D20" s="90"/>
      <c r="E20" s="90"/>
      <c r="F20" s="90"/>
      <c r="G20" s="90"/>
      <c r="H20" s="90"/>
      <c r="I20" s="90"/>
      <c r="J20" s="90"/>
      <c r="K20" s="90" t="str">
        <f ca="1">IFERROR(__xludf.DUMMYFUNCTION("""COMPUTED_VALUE"""),".")</f>
        <v>.</v>
      </c>
      <c r="L20" s="17"/>
      <c r="M20" s="17"/>
      <c r="N20" s="17"/>
      <c r="O20" s="17"/>
    </row>
    <row r="21" spans="1:15" ht="12.5">
      <c r="A21" s="90"/>
      <c r="B21" s="111"/>
      <c r="C21" s="111"/>
      <c r="D21" s="90"/>
      <c r="E21" s="90"/>
      <c r="F21" s="90"/>
      <c r="G21" s="90"/>
      <c r="H21" s="90"/>
      <c r="I21" s="90"/>
      <c r="J21" s="90"/>
      <c r="K21" s="90" t="str">
        <f ca="1">IFERROR(__xludf.DUMMYFUNCTION("""COMPUTED_VALUE"""),".")</f>
        <v>.</v>
      </c>
      <c r="L21" s="17"/>
      <c r="M21" s="17"/>
      <c r="N21" s="17"/>
      <c r="O21" s="17"/>
    </row>
    <row r="22" spans="1:15" ht="12.5">
      <c r="A22" s="90"/>
      <c r="B22" s="111"/>
      <c r="C22" s="111"/>
      <c r="D22" s="90"/>
      <c r="E22" s="90"/>
      <c r="F22" s="90"/>
      <c r="G22" s="90"/>
      <c r="H22" s="90"/>
      <c r="I22" s="90"/>
      <c r="J22" s="90"/>
      <c r="K22" s="90" t="str">
        <f ca="1">IFERROR(__xludf.DUMMYFUNCTION("""COMPUTED_VALUE"""),".")</f>
        <v>.</v>
      </c>
      <c r="L22" s="17"/>
      <c r="M22" s="17"/>
      <c r="N22" s="17"/>
      <c r="O22" s="17"/>
    </row>
    <row r="23" spans="1:15" ht="12.5">
      <c r="A23" s="90"/>
      <c r="B23" s="111"/>
      <c r="C23" s="111"/>
      <c r="D23" s="90"/>
      <c r="E23" s="90"/>
      <c r="F23" s="90"/>
      <c r="G23" s="90"/>
      <c r="H23" s="90"/>
      <c r="I23" s="90"/>
      <c r="J23" s="90"/>
      <c r="K23" s="90" t="str">
        <f ca="1">IFERROR(__xludf.DUMMYFUNCTION("""COMPUTED_VALUE"""),".")</f>
        <v>.</v>
      </c>
      <c r="L23" s="17"/>
      <c r="M23" s="17"/>
      <c r="N23" s="17"/>
      <c r="O23" s="17"/>
    </row>
    <row r="24" spans="1:15" ht="12.5">
      <c r="A24" s="90"/>
      <c r="B24" s="111"/>
      <c r="C24" s="111"/>
      <c r="D24" s="90"/>
      <c r="E24" s="90"/>
      <c r="F24" s="90"/>
      <c r="G24" s="90"/>
      <c r="H24" s="90"/>
      <c r="I24" s="90"/>
      <c r="J24" s="90"/>
      <c r="K24" s="90"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107</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IFERROR(__xludf.DUMMYFUNCTION("IMPORTRANGE(""https://docs.google.com/spreadsheets/d/1EvlVvTCOYeGHDT0HiFxRv6tKsBASRbKnuXkCXkwA0SA/edit#gid=1404531132"",""I12:K80"")"),"Sales")</f>
        <v>Sales</v>
      </c>
      <c r="J12" s="17" t="str">
        <f ca="1">IFERROR(__xludf.DUMMYFUNCTION("""COMPUTED_VALUE"""),"Recarga Tag")</f>
        <v>Recarga Tag</v>
      </c>
      <c r="K12" s="17" t="str">
        <f ca="1">IFERROR(__xludf.DUMMYFUNCTION("""COMPUTED_VALUE"""),"BB0E52FB-2F81-11F0-8D9F-00155D014009")</f>
        <v>BB0E52FB-2F81-11F0-8D9F-00155D014009</v>
      </c>
      <c r="L12" s="17"/>
      <c r="M12" s="17"/>
      <c r="N12" s="17" t="e">
        <f ca="1">D12+D24+D27+D28</f>
        <v>#VALUE!</v>
      </c>
      <c r="O12" s="129"/>
    </row>
    <row r="13" spans="1:15" ht="15.75" customHeight="1">
      <c r="A13" s="24"/>
      <c r="B13" s="24"/>
      <c r="C13" s="24"/>
      <c r="D13" s="17"/>
      <c r="E13" s="17"/>
      <c r="F13" s="17"/>
      <c r="G13" s="17"/>
      <c r="H13" s="17"/>
      <c r="I13" s="17" t="str">
        <f ca="1">IFERROR(__xludf.DUMMYFUNCTION("""COMPUTED_VALUE"""),"Sales")</f>
        <v>Sales</v>
      </c>
      <c r="J13" s="17" t="str">
        <f ca="1">IFERROR(__xludf.DUMMYFUNCTION("""COMPUTED_VALUE"""),"PO1417 Transporte Lavosier")</f>
        <v>PO1417 Transporte Lavosier</v>
      </c>
      <c r="K13" s="17" t="str">
        <f ca="1">IFERROR(__xludf.DUMMYFUNCTION("""COMPUTED_VALUE"""),"No me deja facturar")</f>
        <v>No me deja facturar</v>
      </c>
      <c r="L13" s="17"/>
      <c r="M13" s="17"/>
      <c r="N13" s="17">
        <f>D13+D14+D16+D17+D18+D19+D20+D21+D22+D23</f>
        <v>0</v>
      </c>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IFERROR(__xludf.DUMMYFUNCTION("""COMPUTED_VALUE"""),"PO 1417 transporte Lavosier - Nokia")</f>
        <v>PO 1417 transporte Lavosier - Nokia</v>
      </c>
      <c r="K14" s="17" t="str">
        <f ca="1">IFERROR(__xludf.DUMMYFUNCTION("""COMPUTED_VALUE"""),"C15E750B-7740-587F-ADA5-2C431CD8F74B")</f>
        <v>C15E750B-7740-587F-ADA5-2C431CD8F74B</v>
      </c>
      <c r="L14" s="17"/>
      <c r="M14" s="17"/>
      <c r="N14" s="17">
        <f>D15+D30</f>
        <v>0</v>
      </c>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IFERROR(__xludf.DUMMYFUNCTION("""COMPUTED_VALUE"""),"PO 3089 Alimentos Jorge y Erick")</f>
        <v>PO 3089 Alimentos Jorge y Erick</v>
      </c>
      <c r="K15" s="17" t="str">
        <f ca="1">IFERROR(__xludf.DUMMYFUNCTION("""COMPUTED_VALUE"""),"F5587632-6FC2-4406-A37E-B6C2C0C8BDB7")</f>
        <v>F5587632-6FC2-4406-A37E-B6C2C0C8BDB7</v>
      </c>
      <c r="L15" s="17"/>
      <c r="M15" s="17"/>
      <c r="N15" s="17">
        <f>D25+D26</f>
        <v>0</v>
      </c>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IFERROR(__xludf.DUMMYFUNCTION("""COMPUTED_VALUE"""),"PO 3089 Nokia")</f>
        <v>PO 3089 Nokia</v>
      </c>
      <c r="K16" s="17" t="str">
        <f ca="1">IFERROR(__xludf.DUMMYFUNCTION("""COMPUTED_VALUE"""),"38D120D5-D21C-5423-A557-879F1053E34C")</f>
        <v>38D120D5-D21C-5423-A557-879F1053E34C</v>
      </c>
      <c r="L16" s="17"/>
      <c r="M16" s="17"/>
      <c r="N16" s="17">
        <f>D29+D31+D33+D34+D35+D36+D37+D38+D39+D40</f>
        <v>0</v>
      </c>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IFERROR(__xludf.DUMMYFUNCTION("""COMPUTED_VALUE"""),"PO 1445 Transporte Nokia")</f>
        <v>PO 1445 Transporte Nokia</v>
      </c>
      <c r="K17" s="17" t="str">
        <f ca="1">IFERROR(__xludf.DUMMYFUNCTION("""COMPUTED_VALUE"""),"Failed")</f>
        <v>Failed</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IFERROR(__xludf.DUMMYFUNCTION("""COMPUTED_VALUE"""),"PO 1445 Transporte Nokia")</f>
        <v>PO 1445 Transporte Nokia</v>
      </c>
      <c r="K18" s="17" t="str">
        <f ca="1">IFERROR(__xludf.DUMMYFUNCTION("""COMPUTED_VALUE"""),"C9CC5C93-1E58-52C2-848E-D7FA3EADD2AE")</f>
        <v>C9CC5C93-1E58-52C2-848E-D7FA3EADD2AE</v>
      </c>
      <c r="L18" s="17"/>
      <c r="M18" s="17"/>
      <c r="N18" s="17" t="e">
        <f ca="1">SUM(N12:N16)</f>
        <v>#VALUE!</v>
      </c>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IFERROR(__xludf.DUMMYFUNCTION("""COMPUTED_VALUE"""),"PO 1062 Transporte Galicia")</f>
        <v>PO 1062 Transporte Galicia</v>
      </c>
      <c r="K19" s="17" t="str">
        <f ca="1">IFERROR(__xludf.DUMMYFUNCTION("""COMPUTED_VALUE"""),"Failed")</f>
        <v>Failed</v>
      </c>
      <c r="L19" s="17"/>
      <c r="M19" s="17"/>
      <c r="N19" s="17"/>
      <c r="O19" s="17"/>
    </row>
    <row r="20" spans="1:15" ht="12.5">
      <c r="A20" s="17"/>
      <c r="B20" s="24"/>
      <c r="C20" s="24"/>
      <c r="D20" s="17"/>
      <c r="E20" s="17"/>
      <c r="F20" s="17"/>
      <c r="G20" s="17"/>
      <c r="H20" s="17"/>
      <c r="I20" s="17" t="str">
        <f ca="1">IFERROR(__xludf.DUMMYFUNCTION("""COMPUTED_VALUE"""),"Sales")</f>
        <v>Sales</v>
      </c>
      <c r="J20" s="17" t="str">
        <f ca="1">IFERROR(__xludf.DUMMYFUNCTION("""COMPUTED_VALUE"""),"PO 915 Transporte Piñon")</f>
        <v>PO 915 Transporte Piñon</v>
      </c>
      <c r="K20" s="17" t="str">
        <f ca="1">IFERROR(__xludf.DUMMYFUNCTION("""COMPUTED_VALUE"""),"8CFE2BE9-FF37-54CF-A588-AD58892092E9")</f>
        <v>8CFE2BE9-FF37-54CF-A588-AD58892092E9</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IFERROR(__xludf.DUMMYFUNCTION("""COMPUTED_VALUE"""),"PO 915 Transporte Piñon")</f>
        <v>PO 915 Transporte Piñon</v>
      </c>
      <c r="K21" s="17" t="str">
        <f ca="1">IFERROR(__xludf.DUMMYFUNCTION("""COMPUTED_VALUE"""),"325A19FF-56CD-506C-AEF2-EC26CE8016CC")</f>
        <v>325A19FF-56CD-506C-AEF2-EC26CE8016CC</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IFERROR(__xludf.DUMMYFUNCTION("""COMPUTED_VALUE"""),"Error Se pidio reembolso")</f>
        <v>Error Se pidio reembolso</v>
      </c>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c r="L35" s="17"/>
      <c r="M35" s="17"/>
      <c r="N35" s="17"/>
      <c r="O35" s="17"/>
    </row>
    <row r="36" spans="1:15" ht="12.5">
      <c r="A36" s="17"/>
      <c r="B36" s="24"/>
      <c r="C36" s="24"/>
      <c r="D36" s="17"/>
      <c r="E36" s="17"/>
      <c r="F36" s="17"/>
      <c r="G36" s="17"/>
      <c r="H36" s="17"/>
      <c r="I36" s="17"/>
      <c r="J36" s="17"/>
      <c r="K36" s="17"/>
      <c r="L36" s="17"/>
      <c r="M36" s="17"/>
      <c r="N36" s="17"/>
      <c r="O36" s="17"/>
    </row>
    <row r="37" spans="1:15" ht="12.5">
      <c r="A37" s="17"/>
      <c r="B37" s="24"/>
      <c r="C37" s="24"/>
      <c r="D37" s="17"/>
      <c r="E37" s="17"/>
      <c r="F37" s="17"/>
      <c r="G37" s="17"/>
      <c r="H37" s="17"/>
      <c r="I37" s="17"/>
      <c r="J37" s="17"/>
      <c r="K37" s="17"/>
      <c r="L37" s="17"/>
      <c r="M37" s="17"/>
      <c r="N37" s="17"/>
      <c r="O37" s="17"/>
    </row>
    <row r="38" spans="1:15" ht="12.5">
      <c r="A38" s="17"/>
      <c r="B38" s="24"/>
      <c r="C38" s="24"/>
      <c r="D38" s="17"/>
      <c r="E38" s="17"/>
      <c r="F38" s="17"/>
      <c r="G38" s="17"/>
      <c r="H38" s="17"/>
      <c r="I38" s="17"/>
      <c r="J38" s="17"/>
      <c r="K38" s="17"/>
      <c r="L38" s="17"/>
      <c r="M38" s="17"/>
      <c r="N38" s="17"/>
      <c r="O38" s="17"/>
    </row>
    <row r="39" spans="1:15" ht="12.5">
      <c r="A39" s="17"/>
      <c r="B39" s="24"/>
      <c r="C39" s="24"/>
      <c r="D39" s="17"/>
      <c r="E39" s="17"/>
      <c r="F39" s="17"/>
      <c r="G39" s="17"/>
      <c r="H39" s="17"/>
      <c r="I39" s="17"/>
      <c r="J39" s="17"/>
      <c r="K39" s="17"/>
      <c r="L39" s="17"/>
      <c r="M39" s="17"/>
      <c r="N39" s="17"/>
      <c r="O39" s="17"/>
    </row>
    <row r="40" spans="1:15" ht="12.5">
      <c r="A40" s="17"/>
      <c r="B40" s="24"/>
      <c r="C40" s="24"/>
      <c r="D40" s="17"/>
      <c r="E40" s="17"/>
      <c r="F40" s="17"/>
      <c r="G40" s="17"/>
      <c r="H40" s="17"/>
      <c r="I40" s="17"/>
      <c r="J40" s="17"/>
      <c r="K40" s="17"/>
      <c r="L40" s="17"/>
      <c r="M40" s="17"/>
      <c r="N40" s="17"/>
      <c r="O40" s="17"/>
    </row>
    <row r="41" spans="1:15" ht="12.5">
      <c r="A41" s="17"/>
      <c r="B41" s="24"/>
      <c r="C41" s="24"/>
      <c r="D41" s="17"/>
      <c r="E41" s="17"/>
      <c r="F41" s="17"/>
      <c r="G41" s="17"/>
      <c r="H41" s="17"/>
      <c r="I41" s="17"/>
      <c r="J41" s="17"/>
      <c r="K41" s="17"/>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1960</v>
      </c>
      <c r="B2" s="139"/>
      <c r="C2" s="139"/>
      <c r="D2" s="68"/>
      <c r="E2" s="141" t="s">
        <v>63</v>
      </c>
      <c r="F2" s="139"/>
      <c r="G2" s="69" t="s">
        <v>1975</v>
      </c>
      <c r="H2" s="17"/>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IFERROR(__xludf.DUMMYFUNCTION("IMPORTRANGE(""https://docs.google.com/spreadsheets/d/1AoTulmAHdhNBp0HO7Y72oAenUZBLIBObdIo9mJEwcAc/edit#gid=1404531132"",""I12:K80"")"),"Sales")</f>
        <v>Sales</v>
      </c>
      <c r="J12" s="17" t="str">
        <f ca="1">IFERROR(__xludf.DUMMYFUNCTION("""COMPUTED_VALUE"""),"Marketing platform")</f>
        <v>Marketing platform</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IFERROR(__xludf.DUMMYFUNCTION("""COMPUTED_VALUE"""),"KP SDR &amp; CA recruiting and sales on LI ")</f>
        <v xml:space="preserve">KP SDR &amp; CA recruiting and sales on LI </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IFERROR(__xludf.DUMMYFUNCTION("""COMPUTED_VALUE"""),"Aldahir sales navigator")</f>
        <v>Aldahir sales navigator</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IFERROR(__xludf.DUMMYFUNCTION("""COMPUTED_VALUE"""),"Recruiting")</f>
        <v>Recruiting</v>
      </c>
      <c r="J15" s="17"/>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IFERROR(__xludf.DUMMYFUNCTION("""COMPUTED_VALUE"""),"Sales")</f>
        <v>Sales</v>
      </c>
      <c r="J16" s="17"/>
      <c r="K16" s="17" t="str">
        <f ca="1">IFERROR(__xludf.DUMMYFUNCTION("""COMPUTED_VALUE"""),".")</f>
        <v>.</v>
      </c>
      <c r="L16" s="17"/>
      <c r="M16" s="17"/>
      <c r="N16" s="17"/>
      <c r="O16" s="17"/>
    </row>
    <row r="17" spans="1:15" ht="15.75" customHeight="1">
      <c r="A17" s="17"/>
      <c r="B17" s="24"/>
      <c r="C17" s="24"/>
      <c r="D17" s="17"/>
      <c r="E17" s="17"/>
      <c r="F17" s="17"/>
      <c r="G17" s="17"/>
      <c r="H17" s="17"/>
      <c r="I17" s="17" t="str">
        <f ca="1">IFERROR(__xludf.DUMMYFUNCTION("""COMPUTED_VALUE"""),"Recruiting")</f>
        <v>Recruiting</v>
      </c>
      <c r="J17" s="17"/>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IFERROR(__xludf.DUMMYFUNCTION("""COMPUTED_VALUE"""),"Sales")</f>
        <v>Sales</v>
      </c>
      <c r="J18" s="17"/>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IFERROR(__xludf.DUMMYFUNCTION("""COMPUTED_VALUE"""),"Sales")</f>
        <v>Sales</v>
      </c>
      <c r="J19" s="17"/>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IFERROR(__xludf.DUMMYFUNCTION("""COMPUTED_VALUE"""),"Sales")</f>
        <v>Sales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IFERROR(__xludf.DUMMYFUNCTION("""COMPUTED_VALUE"""),"Sales")</f>
        <v>Sales</v>
      </c>
      <c r="J21" s="17"/>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IFERROR(__xludf.DUMMYFUNCTION("""COMPUTED_VALUE"""),"Sales")</f>
        <v>Sales</v>
      </c>
      <c r="J22" s="17"/>
      <c r="K22" s="17" t="str">
        <f ca="1">IFERROR(__xludf.DUMMYFUNCTION("""COMPUTED_VALUE"""),".")</f>
        <v>.</v>
      </c>
      <c r="L22" s="17"/>
      <c r="M22" s="17">
        <f ca="1">SUM(D12:D21)-6847.92</f>
        <v>-6847.92</v>
      </c>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IFERROR(__xludf.DUMMYFUNCTION("""COMPUTED_VALUE"""),"Sales")</f>
        <v>Sales</v>
      </c>
      <c r="J25" s="17"/>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IFERROR(__xludf.DUMMYFUNCTION("""COMPUTED_VALUE"""),"Sales")</f>
        <v>Sales</v>
      </c>
      <c r="J26" s="17"/>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IFERROR(__xludf.DUMMYFUNCTION("""COMPUTED_VALUE"""),"Sales")</f>
        <v>Sales</v>
      </c>
      <c r="J27" s="17"/>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IFERROR(__xludf.DUMMYFUNCTION("""COMPUTED_VALUE"""),"Sales")</f>
        <v>Sales</v>
      </c>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117</v>
      </c>
      <c r="B2" s="139"/>
      <c r="C2" s="139"/>
      <c r="D2" s="68"/>
      <c r="E2" s="141" t="s">
        <v>63</v>
      </c>
      <c r="F2" s="139"/>
      <c r="G2" s="69" t="s">
        <v>1975</v>
      </c>
      <c r="H2" s="21" t="s">
        <v>1991</v>
      </c>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Sept'!$A$12:$C$1700,'Edo Cta Jeeves Sept'!$J$12:$J$1700=$A$2)"),"#N/A")</f>
        <v>#N/A</v>
      </c>
      <c r="B12" s="112"/>
      <c r="C12" s="112"/>
      <c r="D12" s="90" t="str">
        <f ca="1">IFERROR(__xludf.DUMMYFUNCTION("FILTER('Edo Cta Jeeves Sept'!$G$12:$G$1003,'Edo Cta Jeeves Sept'!$J$12:$J$1003=$A$2)"),"#N/A")</f>
        <v>#N/A</v>
      </c>
      <c r="E12" s="90" t="str">
        <f ca="1">IFERROR(__xludf.DUMMYFUNCTION("FILTER('Edo Cta Jeeves Sept'!$I$12:$I$1003,'Edo Cta Jeeves Sept'!$J$12:$J$1003=$A$2)"),"#N/A")</f>
        <v>#N/A</v>
      </c>
      <c r="F12" s="90" t="str">
        <f ca="1">IFERROR(__xludf.DUMMYFUNCTION("FILTER('Edo Cta Jeeves Sept'!$J$12:$J$1003,'Edo Cta Jeeves Sept'!$J$12:$J$1003=$A$2)"),"#N/A")</f>
        <v>#N/A</v>
      </c>
      <c r="G12" s="90" t="str">
        <f ca="1">IFERROR(__xludf.DUMMYFUNCTION("FILTER('Edo Cta Jeeves Sept'!$K$12:$L$1003,'Edo Cta Jeeves Sept'!$J$12:$J$1003=$A$2)"),"#N/A")</f>
        <v>#N/A</v>
      </c>
      <c r="H12" s="90"/>
      <c r="I12" s="90" t="str">
        <f ca="1">IFERROR(__xludf.DUMMYFUNCTION("IMPORTRANGE(""https://docs.google.com/spreadsheets/d/1geWeSYSM5sCIAGq5PberaHjsTYBDsS2iJ1Hq9oX_daY/edit#gid=1404531132"",""I12:K80"")"),"Transaction cost")</f>
        <v>Transaction cost</v>
      </c>
      <c r="J12" s="90" t="str">
        <f ca="1">IFERROR(__xludf.DUMMYFUNCTION("""COMPUTED_VALUE"""),"PO 1825")</f>
        <v>PO 1825</v>
      </c>
      <c r="K12" s="90" t="str">
        <f ca="1">IFERROR(__xludf.DUMMYFUNCTION("""COMPUTED_VALUE"""),"TER-132383082")</f>
        <v>TER-132383082</v>
      </c>
      <c r="L12" s="17"/>
      <c r="M12" s="17"/>
      <c r="N12" s="17"/>
      <c r="O12" s="17"/>
    </row>
    <row r="13" spans="1:15" ht="15.75" customHeight="1">
      <c r="A13" s="111"/>
      <c r="B13" s="111"/>
      <c r="C13" s="111"/>
      <c r="D13" s="90"/>
      <c r="E13" s="90"/>
      <c r="F13" s="90"/>
      <c r="G13" s="90"/>
      <c r="H13" s="90"/>
      <c r="I13" s="90"/>
      <c r="J13" s="90"/>
      <c r="K13" s="90"/>
      <c r="L13" s="17"/>
      <c r="M13" s="17"/>
      <c r="N13" s="17"/>
      <c r="O13" s="17"/>
    </row>
    <row r="14" spans="1:15" ht="15.75" customHeight="1">
      <c r="A14" s="111"/>
      <c r="B14" s="111"/>
      <c r="C14" s="111"/>
      <c r="D14" s="90"/>
      <c r="E14" s="90"/>
      <c r="F14" s="90"/>
      <c r="G14" s="90"/>
      <c r="H14" s="90"/>
      <c r="I14" s="90"/>
      <c r="J14" s="90"/>
      <c r="K14" s="90"/>
      <c r="L14" s="17"/>
      <c r="M14" s="17"/>
      <c r="N14" s="17"/>
      <c r="O14" s="17"/>
    </row>
    <row r="15" spans="1:15" ht="15.75" customHeight="1">
      <c r="A15" s="111"/>
      <c r="B15" s="111"/>
      <c r="C15" s="111"/>
      <c r="D15" s="90"/>
      <c r="E15" s="90"/>
      <c r="F15" s="90"/>
      <c r="G15" s="100"/>
      <c r="H15" s="100"/>
      <c r="I15" s="100"/>
      <c r="J15" s="100"/>
      <c r="K15" s="90"/>
      <c r="L15" s="17"/>
      <c r="M15" s="17"/>
      <c r="N15" s="17"/>
      <c r="O15" s="17"/>
    </row>
    <row r="16" spans="1:15" ht="15.75" customHeight="1">
      <c r="A16" s="90"/>
      <c r="B16" s="111"/>
      <c r="C16" s="111"/>
      <c r="D16" s="90"/>
      <c r="E16" s="90"/>
      <c r="F16" s="90"/>
      <c r="G16" s="90"/>
      <c r="H16" s="90"/>
      <c r="I16" s="90"/>
      <c r="J16" s="90"/>
      <c r="K16" s="90"/>
      <c r="L16" s="17"/>
      <c r="M16" s="17"/>
      <c r="N16" s="17"/>
      <c r="O16" s="17"/>
    </row>
    <row r="17" spans="1:15" ht="15.75" customHeight="1">
      <c r="A17" s="90"/>
      <c r="B17" s="111"/>
      <c r="C17" s="111"/>
      <c r="D17" s="90"/>
      <c r="E17" s="90"/>
      <c r="F17" s="90"/>
      <c r="G17" s="90"/>
      <c r="H17" s="90"/>
      <c r="I17" s="90"/>
      <c r="J17" s="90"/>
      <c r="K17" s="90"/>
      <c r="L17" s="17"/>
      <c r="M17" s="17"/>
      <c r="N17" s="17"/>
      <c r="O17" s="17"/>
    </row>
    <row r="18" spans="1:15" ht="15.75" customHeight="1">
      <c r="A18" s="90"/>
      <c r="B18" s="111"/>
      <c r="C18" s="111"/>
      <c r="D18" s="90"/>
      <c r="E18" s="90"/>
      <c r="F18" s="90"/>
      <c r="G18" s="90"/>
      <c r="H18" s="90"/>
      <c r="I18" s="90"/>
      <c r="J18" s="90"/>
      <c r="K18" s="90"/>
      <c r="L18" s="17"/>
      <c r="M18" s="17"/>
      <c r="N18" s="17"/>
      <c r="O18" s="17"/>
    </row>
    <row r="19" spans="1:15" ht="15.75" customHeight="1">
      <c r="A19" s="90"/>
      <c r="B19" s="111"/>
      <c r="C19" s="111"/>
      <c r="D19" s="90"/>
      <c r="E19" s="90"/>
      <c r="F19" s="90"/>
      <c r="G19" s="90"/>
      <c r="H19" s="90"/>
      <c r="I19" s="90"/>
      <c r="J19" s="90"/>
      <c r="K19" s="90"/>
      <c r="L19" s="17"/>
      <c r="M19" s="17"/>
      <c r="N19" s="17"/>
      <c r="O19" s="17"/>
    </row>
    <row r="20" spans="1:15" ht="12.5">
      <c r="A20" s="90"/>
      <c r="B20" s="111"/>
      <c r="C20" s="111"/>
      <c r="D20" s="90"/>
      <c r="E20" s="90"/>
      <c r="F20" s="90"/>
      <c r="G20" s="90"/>
      <c r="H20" s="90"/>
      <c r="I20" s="90"/>
      <c r="J20" s="90"/>
      <c r="K20" s="90"/>
      <c r="L20" s="17"/>
      <c r="M20" s="17"/>
      <c r="N20" s="17"/>
      <c r="O20" s="17"/>
    </row>
    <row r="21" spans="1:15" ht="12.5">
      <c r="A21" s="90"/>
      <c r="B21" s="111"/>
      <c r="C21" s="111"/>
      <c r="D21" s="90"/>
      <c r="E21" s="90"/>
      <c r="F21" s="90"/>
      <c r="G21" s="90"/>
      <c r="H21" s="90"/>
      <c r="I21" s="90"/>
      <c r="J21" s="90"/>
      <c r="K21" s="90"/>
      <c r="L21" s="17"/>
      <c r="M21" s="17"/>
      <c r="N21" s="17"/>
      <c r="O21" s="17"/>
    </row>
    <row r="22" spans="1:15" ht="12.5">
      <c r="A22" s="90"/>
      <c r="B22" s="111"/>
      <c r="C22" s="111"/>
      <c r="D22" s="90"/>
      <c r="E22" s="90"/>
      <c r="F22" s="90"/>
      <c r="G22" s="90"/>
      <c r="H22" s="90"/>
      <c r="I22" s="90"/>
      <c r="J22" s="90"/>
      <c r="K22" s="90"/>
      <c r="L22" s="17"/>
      <c r="M22" s="17"/>
      <c r="N22" s="17"/>
      <c r="O22" s="17"/>
    </row>
    <row r="23" spans="1:15" ht="12.5">
      <c r="A23" s="90"/>
      <c r="B23" s="111"/>
      <c r="C23" s="111"/>
      <c r="D23" s="90"/>
      <c r="E23" s="90"/>
      <c r="F23" s="90"/>
      <c r="G23" s="90"/>
      <c r="H23" s="90"/>
      <c r="I23" s="90"/>
      <c r="J23" s="90"/>
      <c r="K23" s="90"/>
      <c r="L23" s="17"/>
      <c r="M23" s="17"/>
      <c r="N23" s="17"/>
      <c r="O23" s="17"/>
    </row>
    <row r="24" spans="1:15" ht="12.5">
      <c r="A24" s="90"/>
      <c r="B24" s="111"/>
      <c r="C24" s="111"/>
      <c r="D24" s="90"/>
      <c r="E24" s="90"/>
      <c r="F24" s="90"/>
      <c r="G24" s="90"/>
      <c r="H24" s="90"/>
      <c r="I24" s="90"/>
      <c r="J24" s="90"/>
      <c r="K24" s="90"/>
      <c r="L24" s="17"/>
      <c r="M24" s="17"/>
      <c r="N24" s="17"/>
      <c r="O24" s="17"/>
    </row>
    <row r="25" spans="1:15" ht="12.5">
      <c r="A25" s="90"/>
      <c r="B25" s="111"/>
      <c r="C25" s="111"/>
      <c r="D25" s="90"/>
      <c r="E25" s="90"/>
      <c r="F25" s="90"/>
      <c r="G25" s="90"/>
      <c r="H25" s="90"/>
      <c r="I25" s="90"/>
      <c r="J25" s="90"/>
      <c r="K25" s="90"/>
      <c r="L25" s="17"/>
      <c r="M25" s="17"/>
      <c r="N25" s="17"/>
      <c r="O25" s="17"/>
    </row>
    <row r="26" spans="1:15" ht="12.5">
      <c r="A26" s="90"/>
      <c r="B26" s="111"/>
      <c r="C26" s="111"/>
      <c r="D26" s="90"/>
      <c r="E26" s="90"/>
      <c r="F26" s="90"/>
      <c r="G26" s="90"/>
      <c r="H26" s="90"/>
      <c r="I26" s="90"/>
      <c r="J26" s="90"/>
      <c r="K26" s="90"/>
      <c r="L26" s="17"/>
      <c r="M26" s="17"/>
      <c r="N26" s="17"/>
      <c r="O26" s="17"/>
    </row>
    <row r="27" spans="1:15" ht="12.5">
      <c r="A27" s="90"/>
      <c r="B27" s="111"/>
      <c r="C27" s="111"/>
      <c r="D27" s="90"/>
      <c r="E27" s="90"/>
      <c r="F27" s="90"/>
      <c r="G27" s="90"/>
      <c r="H27" s="90"/>
      <c r="I27" s="90"/>
      <c r="J27" s="90"/>
      <c r="K27" s="90"/>
      <c r="L27" s="17"/>
      <c r="M27" s="17"/>
      <c r="N27" s="17"/>
      <c r="O27" s="17"/>
    </row>
    <row r="28" spans="1:15" ht="12.5">
      <c r="A28" s="90"/>
      <c r="B28" s="111"/>
      <c r="C28" s="111"/>
      <c r="D28" s="90"/>
      <c r="E28" s="90"/>
      <c r="F28" s="90"/>
      <c r="G28" s="90"/>
      <c r="H28" s="90"/>
      <c r="I28" s="90"/>
      <c r="J28" s="90"/>
      <c r="K28" s="90"/>
      <c r="L28" s="17"/>
      <c r="M28" s="17"/>
      <c r="N28" s="17"/>
      <c r="O28" s="17"/>
    </row>
    <row r="29" spans="1:15" ht="12.5">
      <c r="A29" s="90"/>
      <c r="B29" s="111"/>
      <c r="C29" s="111"/>
      <c r="D29" s="90"/>
      <c r="E29" s="90"/>
      <c r="F29" s="90"/>
      <c r="G29" s="90"/>
      <c r="H29" s="90"/>
      <c r="I29" s="90"/>
      <c r="J29" s="90"/>
      <c r="K29" s="90"/>
      <c r="L29" s="17"/>
      <c r="M29" s="17"/>
      <c r="N29" s="17"/>
      <c r="O29" s="17"/>
    </row>
    <row r="30" spans="1:15" ht="12.5">
      <c r="A30" s="90"/>
      <c r="B30" s="111"/>
      <c r="C30" s="111"/>
      <c r="D30" s="90"/>
      <c r="E30" s="90"/>
      <c r="F30" s="90"/>
      <c r="G30" s="90"/>
      <c r="H30" s="90"/>
      <c r="I30" s="90"/>
      <c r="J30" s="90"/>
      <c r="K30" s="90"/>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2" location="'Edo Cta Jeeves Sept'!A1" display="Inicio" xr:uid="{00000000-0004-0000-32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11.726562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124</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Sept'!$A$12:$C$1700,'Edo Cta Jeeves Sept'!$J$12:$J$1700=$A$2)"),"TRX1398")</f>
        <v>TRX1398</v>
      </c>
      <c r="B12" s="112" t="str">
        <f ca="1">IFERROR(__xludf.DUMMYFUNCTION("""COMPUTED_VALUE"""),"#49")</f>
        <v>#49</v>
      </c>
      <c r="C12" s="112">
        <f ca="1">IFERROR(__xludf.DUMMYFUNCTION("""COMPUTED_VALUE"""),46059.4173611111)</f>
        <v>46059.417361111096</v>
      </c>
      <c r="D12" s="113">
        <f ca="1">IFERROR(__xludf.DUMMYFUNCTION("FILTER('Edo Cta Jeeves Sept'!$G$12:$G$1700,'Edo Cta Jeeves Sept'!$J$12:$J$1700=$A$2)"),287)</f>
        <v>287</v>
      </c>
      <c r="E12" s="90" t="str">
        <f ca="1">IFERROR(__xludf.DUMMYFUNCTION("FILTER('Edo Cta Jeeves Sept'!$I$12:$I$1700,'Edo Cta Jeeves Sept'!$J$12:$J$1700=$A$2)"),"MXN")</f>
        <v>MXN</v>
      </c>
      <c r="F12" s="90" t="str">
        <f ca="1">IFERROR(__xludf.DUMMYFUNCTION("FILTER('Edo Cta Jeeves Sept'!$J$12:$J$1700,'Edo Cta Jeeves Sept'!$J$12:$J$1700=$A$2)"),"Jahaziel Galan")</f>
        <v>Jahaziel Galan</v>
      </c>
      <c r="G12" s="90" t="str">
        <f ca="1">IFERROR(__xludf.DUMMYFUNCTION("FILTER('Edo Cta Jeeves Sept'!$K$12:$L$1700,'Edo Cta Jeeves Sept'!$J$12:$J$1700=$A$2)"),"POLLOS ANAHUAC         SN NICOLAS DE MEX")</f>
        <v>POLLOS ANAHUAC         SN NICOLAS DE MEX</v>
      </c>
      <c r="H12" s="90" t="str">
        <f ca="1">IFERROR(__xludf.DUMMYFUNCTION("""COMPUTED_VALUE"""),"Pollos Anahuac Sn Nicolas De Mex")</f>
        <v>Pollos Anahuac Sn Nicolas De Mex</v>
      </c>
      <c r="I12" s="90" t="str">
        <f ca="1">IFERROR(__xludf.DUMMYFUNCTION("IMPORTRANGE(""https://docs.google.com/spreadsheets/d/1569AAB94bMysApcY4yrW10gLO3VQfF_Sz8LItmn-5xA/edit#gid=1404531132"",""I12:K80"")"),"Transaction cost")</f>
        <v>Transaction cost</v>
      </c>
      <c r="J12" s="90" t="str">
        <f ca="1">IFERROR(__xludf.DUMMYFUNCTION("""COMPUTED_VALUE"""),"Comida Expo Manufactura")</f>
        <v>Comida Expo Manufactura</v>
      </c>
      <c r="K12" s="90" t="str">
        <f ca="1">IFERROR(__xludf.DUMMYFUNCTION("""COMPUTED_VALUE"""),"bbe00efa-a380-4310-a835-6caf7278701b")</f>
        <v>bbe00efa-a380-4310-a835-6caf7278701b</v>
      </c>
      <c r="L12" s="90"/>
      <c r="M12" s="90"/>
      <c r="N12" s="17"/>
      <c r="O12" s="17">
        <f ca="1">D12/4</f>
        <v>71.75</v>
      </c>
    </row>
    <row r="13" spans="1:15" ht="15.75" customHeight="1">
      <c r="A13" s="111" t="str">
        <f ca="1">IFERROR(__xludf.DUMMYFUNCTION("""COMPUTED_VALUE"""),"TRX1605")</f>
        <v>TRX1605</v>
      </c>
      <c r="B13" s="112" t="str">
        <f ca="1">IFERROR(__xludf.DUMMYFUNCTION("""COMPUTED_VALUE"""),"#49")</f>
        <v>#49</v>
      </c>
      <c r="C13" s="114">
        <f ca="1">IFERROR(__xludf.DUMMYFUNCTION("""COMPUTED_VALUE"""),46061.4173611111)</f>
        <v>46061.417361111096</v>
      </c>
      <c r="D13" s="113">
        <f ca="1">IFERROR(__xludf.DUMMYFUNCTION("""COMPUTED_VALUE"""),1004.27)</f>
        <v>1004.27</v>
      </c>
      <c r="E13" s="90" t="str">
        <f ca="1">IFERROR(__xludf.DUMMYFUNCTION("""COMPUTED_VALUE"""),"MXN")</f>
        <v>MXN</v>
      </c>
      <c r="F13" s="90" t="str">
        <f ca="1">IFERROR(__xludf.DUMMYFUNCTION("""COMPUTED_VALUE"""),"Jahaziel Galan")</f>
        <v>Jahaziel Galan</v>
      </c>
      <c r="G13" s="90" t="str">
        <f ca="1">IFERROR(__xludf.DUMMYFUNCTION("""COMPUTED_VALUE"""),"OXXO GASTALAVERNA MTD  GUADALUPE NL  MEX")</f>
        <v>OXXO GASTALAVERNA MTD  GUADALUPE NL  MEX</v>
      </c>
      <c r="H13" s="90" t="str">
        <f ca="1">IFERROR(__xludf.DUMMYFUNCTION("""COMPUTED_VALUE"""),"Oxxo")</f>
        <v>Oxxo</v>
      </c>
      <c r="I13" s="90" t="str">
        <f ca="1">IFERROR(__xludf.DUMMYFUNCTION("""COMPUTED_VALUE"""),"Transaction cost")</f>
        <v>Transaction cost</v>
      </c>
      <c r="J13" s="90" t="str">
        <f ca="1">IFERROR(__xludf.DUMMYFUNCTION("""COMPUTED_VALUE"""),"Gasolina visitas a MP PO 1242")</f>
        <v>Gasolina visitas a MP PO 1242</v>
      </c>
      <c r="K13" s="90" t="str">
        <f ca="1">IFERROR(__xludf.DUMMYFUNCTION("""COMPUTED_VALUE"""),"3dd4b12c-bed5-4f60-b120-8a8a71c298f1")</f>
        <v>3dd4b12c-bed5-4f60-b120-8a8a71c298f1</v>
      </c>
      <c r="L13" s="90"/>
      <c r="M13" s="90"/>
      <c r="N13" s="17"/>
      <c r="O13" s="17">
        <f ca="1">D13/3</f>
        <v>334.75666666666666</v>
      </c>
    </row>
    <row r="14" spans="1:15" ht="15.75" customHeight="1">
      <c r="A14" s="111" t="str">
        <f ca="1">IFERROR(__xludf.DUMMYFUNCTION("""COMPUTED_VALUE"""),"TRX1300")</f>
        <v>TRX1300</v>
      </c>
      <c r="B14" s="112" t="str">
        <f ca="1">IFERROR(__xludf.DUMMYFUNCTION("""COMPUTED_VALUE"""),"#49")</f>
        <v>#49</v>
      </c>
      <c r="C14" s="114">
        <f ca="1">IFERROR(__xludf.DUMMYFUNCTION("""COMPUTED_VALUE"""),46065.4166666666)</f>
        <v>46065.416666666599</v>
      </c>
      <c r="D14" s="113">
        <f ca="1">IFERROR(__xludf.DUMMYFUNCTION("""COMPUTED_VALUE"""),110)</f>
        <v>110</v>
      </c>
      <c r="E14" s="90" t="str">
        <f ca="1">IFERROR(__xludf.DUMMYFUNCTION("""COMPUTED_VALUE"""),"MXN")</f>
        <v>MXN</v>
      </c>
      <c r="F14" s="90" t="str">
        <f ca="1">IFERROR(__xludf.DUMMYFUNCTION("""COMPUTED_VALUE"""),"Jahaziel Galan")</f>
        <v>Jahaziel Galan</v>
      </c>
      <c r="G14" s="90" t="str">
        <f ca="1">IFERROR(__xludf.DUMMYFUNCTION("""COMPUTED_VALUE"""),"SORIANA624 DIEGODIAZB  SAN NICOLAS D MEX")</f>
        <v>SORIANA624 DIEGODIAZB  SAN NICOLAS D MEX</v>
      </c>
      <c r="H14" s="90" t="str">
        <f ca="1">IFERROR(__xludf.DUMMYFUNCTION("""COMPUTED_VALUE"""),"Soriana624 Diegodiazb San Nicolas D Mex")</f>
        <v>Soriana624 Diegodiazb San Nicolas D Mex</v>
      </c>
      <c r="I14" s="90" t="str">
        <f ca="1">IFERROR(__xludf.DUMMYFUNCTION("""COMPUTED_VALUE"""),"Transaction cost")</f>
        <v>Transaction cost</v>
      </c>
      <c r="J14" s="90" t="str">
        <f ca="1">IFERROR(__xludf.DUMMYFUNCTION("""COMPUTED_VALUE"""),"Comida Jorge Ramirez - Jahaziel visita a MP PO 1242")</f>
        <v>Comida Jorge Ramirez - Jahaziel visita a MP PO 1242</v>
      </c>
      <c r="K14" s="90" t="str">
        <f ca="1">IFERROR(__xludf.DUMMYFUNCTION("""COMPUTED_VALUE"""),"a80ce969-ef74-4fe6-a148-f08e7474c13f")</f>
        <v>a80ce969-ef74-4fe6-a148-f08e7474c13f</v>
      </c>
      <c r="L14" s="90"/>
      <c r="M14" s="90"/>
      <c r="N14" s="17"/>
      <c r="O14" s="17"/>
    </row>
    <row r="15" spans="1:15" ht="15.75" customHeight="1">
      <c r="A15" s="98" t="str">
        <f ca="1">IFERROR(__xludf.DUMMYFUNCTION("""COMPUTED_VALUE"""),"TRX1431")</f>
        <v>TRX1431</v>
      </c>
      <c r="B15" s="99" t="str">
        <f ca="1">IFERROR(__xludf.DUMMYFUNCTION("""COMPUTED_VALUE"""),"#49")</f>
        <v>#49</v>
      </c>
      <c r="C15" s="130">
        <f ca="1">IFERROR(__xludf.DUMMYFUNCTION("""COMPUTED_VALUE"""),46065.4173611111)</f>
        <v>46065.417361111096</v>
      </c>
      <c r="D15" s="131">
        <f ca="1">IFERROR(__xludf.DUMMYFUNCTION("""COMPUTED_VALUE"""),378)</f>
        <v>378</v>
      </c>
      <c r="E15" s="100" t="str">
        <f ca="1">IFERROR(__xludf.DUMMYFUNCTION("""COMPUTED_VALUE"""),"MXN")</f>
        <v>MXN</v>
      </c>
      <c r="F15" s="100" t="str">
        <f ca="1">IFERROR(__xludf.DUMMYFUNCTION("""COMPUTED_VALUE"""),"Jahaziel Galan")</f>
        <v>Jahaziel Galan</v>
      </c>
      <c r="G15" s="100" t="str">
        <f ca="1">IFERROR(__xludf.DUMMYFUNCTION("""COMPUTED_VALUE"""),"I LIKE PIZZA BOSQUES A GRAL ESCOBEDO MEX")</f>
        <v>I LIKE PIZZA BOSQUES A GRAL ESCOBEDO MEX</v>
      </c>
      <c r="H15" s="100" t="str">
        <f ca="1">IFERROR(__xludf.DUMMYFUNCTION("""COMPUTED_VALUE"""),"I Like Pizza Bosques A Gral Escobedo Mex")</f>
        <v>I Like Pizza Bosques A Gral Escobedo Mex</v>
      </c>
      <c r="I15" s="100" t="str">
        <f ca="1">IFERROR(__xludf.DUMMYFUNCTION("""COMPUTED_VALUE"""),"Transaction cost")</f>
        <v>Transaction cost</v>
      </c>
      <c r="J15" s="100" t="str">
        <f ca="1">IFERROR(__xludf.DUMMYFUNCTION("""COMPUTED_VALUE"""),"Comida Jorge Ramirez - Jahaziel visita a MP PO 1242")</f>
        <v>Comida Jorge Ramirez - Jahaziel visita a MP PO 1242</v>
      </c>
      <c r="K15" s="100" t="str">
        <f ca="1">IFERROR(__xludf.DUMMYFUNCTION("""COMPUTED_VALUE"""),"899BDAA6-C400-4565-AFFF-E6D7EA5E904C")</f>
        <v>899BDAA6-C400-4565-AFFF-E6D7EA5E904C</v>
      </c>
      <c r="L15" s="90"/>
      <c r="M15" s="90"/>
      <c r="N15" s="17"/>
      <c r="O15" s="17"/>
    </row>
    <row r="16" spans="1:15" ht="15.75" customHeight="1">
      <c r="A16" s="100" t="str">
        <f ca="1">IFERROR(__xludf.DUMMYFUNCTION("""COMPUTED_VALUE"""),"TRX1594")</f>
        <v>TRX1594</v>
      </c>
      <c r="B16" s="99" t="str">
        <f ca="1">IFERROR(__xludf.DUMMYFUNCTION("""COMPUTED_VALUE"""),"#49")</f>
        <v>#49</v>
      </c>
      <c r="C16" s="130">
        <f ca="1">IFERROR(__xludf.DUMMYFUNCTION("""COMPUTED_VALUE"""),46066.4173611111)</f>
        <v>46066.417361111096</v>
      </c>
      <c r="D16" s="131">
        <f ca="1">IFERROR(__xludf.DUMMYFUNCTION("""COMPUTED_VALUE"""),2055)</f>
        <v>2055</v>
      </c>
      <c r="E16" s="100" t="str">
        <f ca="1">IFERROR(__xludf.DUMMYFUNCTION("""COMPUTED_VALUE"""),"MXN")</f>
        <v>MXN</v>
      </c>
      <c r="F16" s="100" t="str">
        <f ca="1">IFERROR(__xludf.DUMMYFUNCTION("""COMPUTED_VALUE"""),"Jahaziel Galan")</f>
        <v>Jahaziel Galan</v>
      </c>
      <c r="G16" s="100" t="str">
        <f ca="1">IFERROR(__xludf.DUMMYFUNCTION("""COMPUTED_VALUE"""),"REST PAPALOTE LV       MONTERREY NL  MEX")</f>
        <v>REST PAPALOTE LV       MONTERREY NL  MEX</v>
      </c>
      <c r="H16" s="100" t="str">
        <f ca="1">IFERROR(__xludf.DUMMYFUNCTION("""COMPUTED_VALUE"""),"Rest Papalote Lv Monterrey Nl Mex")</f>
        <v>Rest Papalote Lv Monterrey Nl Mex</v>
      </c>
      <c r="I16" s="100" t="str">
        <f ca="1">IFERROR(__xludf.DUMMYFUNCTION("""COMPUTED_VALUE"""),"Transaction cost")</f>
        <v>Transaction cost</v>
      </c>
      <c r="J16" s="100" t="str">
        <f ca="1">IFERROR(__xludf.DUMMYFUNCTION("""COMPUTED_VALUE"""),"Comida consultor GR Tooling PO 1242")</f>
        <v>Comida consultor GR Tooling PO 1242</v>
      </c>
      <c r="K16" s="100" t="str">
        <f ca="1">IFERROR(__xludf.DUMMYFUNCTION("""COMPUTED_VALUE"""),"50399173-A5FE-4BCA-814A-712F01255234")</f>
        <v>50399173-A5FE-4BCA-814A-712F01255234</v>
      </c>
      <c r="L16" s="90"/>
      <c r="M16" s="90"/>
      <c r="N16" s="17"/>
      <c r="O16" s="17"/>
    </row>
    <row r="17" spans="1:15" ht="15.75" customHeight="1">
      <c r="A17" s="100" t="str">
        <f ca="1">IFERROR(__xludf.DUMMYFUNCTION("""COMPUTED_VALUE"""),"TRX1409")</f>
        <v>TRX1409</v>
      </c>
      <c r="B17" s="99" t="str">
        <f ca="1">IFERROR(__xludf.DUMMYFUNCTION("""COMPUTED_VALUE"""),"#49")</f>
        <v>#49</v>
      </c>
      <c r="C17" s="130">
        <f ca="1">IFERROR(__xludf.DUMMYFUNCTION("""COMPUTED_VALUE"""),46068.4166666666)</f>
        <v>46068.416666666599</v>
      </c>
      <c r="D17" s="131">
        <f ca="1">IFERROR(__xludf.DUMMYFUNCTION("""COMPUTED_VALUE"""),189)</f>
        <v>189</v>
      </c>
      <c r="E17" s="100" t="str">
        <f ca="1">IFERROR(__xludf.DUMMYFUNCTION("""COMPUTED_VALUE"""),"MXN")</f>
        <v>MXN</v>
      </c>
      <c r="F17" s="100" t="str">
        <f ca="1">IFERROR(__xludf.DUMMYFUNCTION("""COMPUTED_VALUE"""),"Jahaziel Galan")</f>
        <v>Jahaziel Galan</v>
      </c>
      <c r="G17" s="100" t="str">
        <f ca="1">IFERROR(__xludf.DUMMYFUNCTION("""COMPUTED_VALUE"""),"MERCADOPAGO *ANDREACA  Guadalupe     MEX")</f>
        <v>MERCADOPAGO *ANDREACA  Guadalupe     MEX</v>
      </c>
      <c r="H17" s="100" t="str">
        <f ca="1">IFERROR(__xludf.DUMMYFUNCTION("""COMPUTED_VALUE"""),"Mercadopago")</f>
        <v>Mercadopago</v>
      </c>
      <c r="I17" s="100" t="str">
        <f ca="1">IFERROR(__xludf.DUMMYFUNCTION("""COMPUTED_VALUE"""),"Transaction cost")</f>
        <v>Transaction cost</v>
      </c>
      <c r="J17" s="100" t="str">
        <f ca="1">IFERROR(__xludf.DUMMYFUNCTION("""COMPUTED_VALUE"""),"Comida visita a MP embarque PO 1242")</f>
        <v>Comida visita a MP embarque PO 1242</v>
      </c>
      <c r="K17" s="100"/>
      <c r="L17" s="90"/>
      <c r="M17" s="90"/>
      <c r="N17" s="17"/>
      <c r="O17" s="17"/>
    </row>
    <row r="18" spans="1:15" ht="15.75" customHeight="1">
      <c r="A18" s="100" t="str">
        <f ca="1">IFERROR(__xludf.DUMMYFUNCTION("""COMPUTED_VALUE"""),"TRX1556")</f>
        <v>TRX1556</v>
      </c>
      <c r="B18" s="99" t="str">
        <f ca="1">IFERROR(__xludf.DUMMYFUNCTION("""COMPUTED_VALUE"""),"#49")</f>
        <v>#49</v>
      </c>
      <c r="C18" s="130">
        <f ca="1">IFERROR(__xludf.DUMMYFUNCTION("""COMPUTED_VALUE"""),46069.4166666666)</f>
        <v>46069.416666666599</v>
      </c>
      <c r="D18" s="131">
        <f ca="1">IFERROR(__xludf.DUMMYFUNCTION("""COMPUTED_VALUE"""),1060.24)</f>
        <v>1060.24</v>
      </c>
      <c r="E18" s="100" t="str">
        <f ca="1">IFERROR(__xludf.DUMMYFUNCTION("""COMPUTED_VALUE"""),"MXN")</f>
        <v>MXN</v>
      </c>
      <c r="F18" s="100" t="str">
        <f ca="1">IFERROR(__xludf.DUMMYFUNCTION("""COMPUTED_VALUE"""),"Jahaziel Galan")</f>
        <v>Jahaziel Galan</v>
      </c>
      <c r="G18" s="100" t="str">
        <f ca="1">IFERROR(__xludf.DUMMYFUNCTION("""COMPUTED_VALUE"""),"ORSAN DEL NORTE EST 36 MONTERREY NL  MEX")</f>
        <v>ORSAN DEL NORTE EST 36 MONTERREY NL  MEX</v>
      </c>
      <c r="H18" s="100" t="str">
        <f ca="1">IFERROR(__xludf.DUMMYFUNCTION("""COMPUTED_VALUE"""),"Orsan Del Norte Est 36 Monterrey Nl Mex")</f>
        <v>Orsan Del Norte Est 36 Monterrey Nl Mex</v>
      </c>
      <c r="I18" s="100" t="str">
        <f ca="1">IFERROR(__xludf.DUMMYFUNCTION("""COMPUTED_VALUE"""),"Transaction cost")</f>
        <v>Transaction cost</v>
      </c>
      <c r="J18" s="100" t="str">
        <f ca="1">IFERROR(__xludf.DUMMYFUNCTION("""COMPUTED_VALUE"""),"Gasolina visitas a MP PO 1242")</f>
        <v>Gasolina visitas a MP PO 1242</v>
      </c>
      <c r="K18" s="100" t="str">
        <f ca="1">IFERROR(__xludf.DUMMYFUNCTION("""COMPUTED_VALUE"""),"F516011E-77ED-465D-9809-D11825ED21C7")</f>
        <v>F516011E-77ED-465D-9809-D11825ED21C7</v>
      </c>
      <c r="L18" s="90"/>
      <c r="M18" s="90"/>
      <c r="N18" s="17"/>
      <c r="O18" s="17"/>
    </row>
    <row r="19" spans="1:15" ht="15.75" customHeight="1">
      <c r="A19" s="90" t="str">
        <f ca="1">IFERROR(__xludf.DUMMYFUNCTION("""COMPUTED_VALUE"""),"TRX1030")</f>
        <v>TRX1030</v>
      </c>
      <c r="B19" s="112" t="str">
        <f ca="1">IFERROR(__xludf.DUMMYFUNCTION("""COMPUTED_VALUE"""),"#49")</f>
        <v>#49</v>
      </c>
      <c r="C19" s="114">
        <f ca="1">IFERROR(__xludf.DUMMYFUNCTION("""COMPUTED_VALUE"""),46074.4173611111)</f>
        <v>46074.417361111096</v>
      </c>
      <c r="D19" s="113">
        <f ca="1">IFERROR(__xludf.DUMMYFUNCTION("""COMPUTED_VALUE"""),329)</f>
        <v>329</v>
      </c>
      <c r="E19" s="90" t="str">
        <f ca="1">IFERROR(__xludf.DUMMYFUNCTION("""COMPUTED_VALUE"""),"MXN")</f>
        <v>MXN</v>
      </c>
      <c r="F19" s="90" t="str">
        <f ca="1">IFERROR(__xludf.DUMMYFUNCTION("""COMPUTED_VALUE"""),"Jahaziel Galan")</f>
        <v>Jahaziel Galan</v>
      </c>
      <c r="G19" s="90" t="str">
        <f ca="1">IFERROR(__xludf.DUMMYFUNCTION("""COMPUTED_VALUE"""),"POLLO LOCO ADN         CIENEGA DE FL MEX")</f>
        <v>POLLO LOCO ADN         CIENEGA DE FL MEX</v>
      </c>
      <c r="H19" s="90" t="str">
        <f ca="1">IFERROR(__xludf.DUMMYFUNCTION("""COMPUTED_VALUE"""),"Pollo Loco Adn Cienega De Fl Mex")</f>
        <v>Pollo Loco Adn Cienega De Fl Mex</v>
      </c>
      <c r="I19" s="90" t="str">
        <f ca="1">IFERROR(__xludf.DUMMYFUNCTION("""COMPUTED_VALUE"""),"Transaction cost")</f>
        <v>Transaction cost</v>
      </c>
      <c r="J19" s="90" t="str">
        <f ca="1">IFERROR(__xludf.DUMMYFUNCTION("""COMPUTED_VALUE"""),"Comida visita a MP embarque PO 1242")</f>
        <v>Comida visita a MP embarque PO 1242</v>
      </c>
      <c r="K19" s="90"/>
      <c r="L19" s="90"/>
      <c r="M19" s="90"/>
      <c r="N19" s="17"/>
      <c r="O19" s="17"/>
    </row>
    <row r="20" spans="1:15" ht="12.5">
      <c r="A20" s="90" t="str">
        <f ca="1">IFERROR(__xludf.DUMMYFUNCTION("""COMPUTED_VALUE"""),"TRX1101")</f>
        <v>TRX1101</v>
      </c>
      <c r="B20" s="112" t="str">
        <f ca="1">IFERROR(__xludf.DUMMYFUNCTION("""COMPUTED_VALUE"""),"#49")</f>
        <v>#49</v>
      </c>
      <c r="C20" s="114">
        <f ca="1">IFERROR(__xludf.DUMMYFUNCTION("""COMPUTED_VALUE"""),46076.4166666666)</f>
        <v>46076.416666666599</v>
      </c>
      <c r="D20" s="113">
        <f ca="1">IFERROR(__xludf.DUMMYFUNCTION("""COMPUTED_VALUE"""),1033.01)</f>
        <v>1033.01</v>
      </c>
      <c r="E20" s="90" t="str">
        <f ca="1">IFERROR(__xludf.DUMMYFUNCTION("""COMPUTED_VALUE"""),"MXN")</f>
        <v>MXN</v>
      </c>
      <c r="F20" s="90" t="str">
        <f ca="1">IFERROR(__xludf.DUMMYFUNCTION("""COMPUTED_VALUE"""),"Jahaziel Galan")</f>
        <v>Jahaziel Galan</v>
      </c>
      <c r="G20" s="90" t="str">
        <f ca="1">IFERROR(__xludf.DUMMYFUNCTION("""COMPUTED_VALUE"""),"OXXO GASTALAVERNA MTD  GUADALUPE NL  MEX")</f>
        <v>OXXO GASTALAVERNA MTD  GUADALUPE NL  MEX</v>
      </c>
      <c r="H20" s="90" t="str">
        <f ca="1">IFERROR(__xludf.DUMMYFUNCTION("""COMPUTED_VALUE"""),"Oxxo")</f>
        <v>Oxxo</v>
      </c>
      <c r="I20" s="90" t="str">
        <f ca="1">IFERROR(__xludf.DUMMYFUNCTION("""COMPUTED_VALUE"""),"Transaction cost")</f>
        <v>Transaction cost</v>
      </c>
      <c r="J20" s="90" t="str">
        <f ca="1">IFERROR(__xludf.DUMMYFUNCTION("""COMPUTED_VALUE"""),"Gasolina visitas a MP PO 1242")</f>
        <v>Gasolina visitas a MP PO 1242</v>
      </c>
      <c r="K20" s="90" t="str">
        <f ca="1">IFERROR(__xludf.DUMMYFUNCTION("""COMPUTED_VALUE"""),"b3518e0a-b171-4608-88ce-a0f8ef3374ce")</f>
        <v>b3518e0a-b171-4608-88ce-a0f8ef3374ce</v>
      </c>
      <c r="L20" s="90"/>
      <c r="M20" s="90"/>
      <c r="N20" s="17"/>
      <c r="O20" s="17"/>
    </row>
    <row r="21" spans="1:15" ht="12.5">
      <c r="A21" s="17" t="str">
        <f ca="1">IFERROR(__xludf.DUMMYFUNCTION("""COMPUTED_VALUE"""),"TRX1259")</f>
        <v>TRX1259</v>
      </c>
      <c r="B21" s="86" t="str">
        <f ca="1">IFERROR(__xludf.DUMMYFUNCTION("""COMPUTED_VALUE"""),"#49")</f>
        <v>#49</v>
      </c>
      <c r="C21" s="63">
        <f ca="1">IFERROR(__xludf.DUMMYFUNCTION("""COMPUTED_VALUE"""),46081.4166666666)</f>
        <v>46081.416666666599</v>
      </c>
      <c r="D21" s="65">
        <f ca="1">IFERROR(__xludf.DUMMYFUNCTION("""COMPUTED_VALUE"""),174)</f>
        <v>174</v>
      </c>
      <c r="E21" s="17" t="str">
        <f ca="1">IFERROR(__xludf.DUMMYFUNCTION("""COMPUTED_VALUE"""),"MXN")</f>
        <v>MXN</v>
      </c>
      <c r="F21" s="17" t="str">
        <f ca="1">IFERROR(__xludf.DUMMYFUNCTION("""COMPUTED_VALUE"""),"Jahaziel Galan")</f>
        <v>Jahaziel Galan</v>
      </c>
      <c r="G21" s="17" t="str">
        <f ca="1">IFERROR(__xludf.DUMMYFUNCTION("""COMPUTED_VALUE"""),"MERCADOPAGO *ANDREACA  Guadalupe     MEX")</f>
        <v>MERCADOPAGO *ANDREACA  Guadalupe     MEX</v>
      </c>
      <c r="H21" s="17" t="str">
        <f ca="1">IFERROR(__xludf.DUMMYFUNCTION("""COMPUTED_VALUE"""),"Mercadopago")</f>
        <v>Mercadopago</v>
      </c>
      <c r="I21" s="17" t="str">
        <f ca="1">IFERROR(__xludf.DUMMYFUNCTION("""COMPUTED_VALUE"""),"Transaction cost")</f>
        <v>Transaction cost</v>
      </c>
      <c r="J21" s="17" t="str">
        <f ca="1">IFERROR(__xludf.DUMMYFUNCTION("""COMPUTED_VALUE"""),"Comida visita a MP embarque PO 1242")</f>
        <v>Comida visita a MP embarque PO 1242</v>
      </c>
      <c r="K21" s="17"/>
      <c r="L21" s="17"/>
      <c r="M21" s="17"/>
      <c r="N21" s="17"/>
      <c r="O21" s="17"/>
    </row>
    <row r="22" spans="1:15" ht="12.5">
      <c r="A22" s="17"/>
      <c r="B22" s="24"/>
      <c r="C22" s="24"/>
      <c r="D22" s="17"/>
      <c r="E22" s="17"/>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17"/>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17"/>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17"/>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17"/>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t="str">
        <f ca="1">IFERROR(__xludf.DUMMYFUNCTION("""COMPUTED_VALUE"""),"Transaction cost")</f>
        <v>Transaction cost</v>
      </c>
      <c r="J52" s="17"/>
      <c r="K52" s="17"/>
      <c r="L52" s="17"/>
      <c r="M52" s="17"/>
      <c r="N52" s="17"/>
      <c r="O52" s="17"/>
    </row>
    <row r="53" spans="1:15" ht="12.5">
      <c r="A53" s="17"/>
      <c r="B53" s="24"/>
      <c r="C53" s="24"/>
      <c r="D53" s="17"/>
      <c r="E53" s="17"/>
      <c r="F53" s="17"/>
      <c r="G53" s="17"/>
      <c r="H53" s="17"/>
      <c r="I53" s="17" t="str">
        <f ca="1">IFERROR(__xludf.DUMMYFUNCTION("""COMPUTED_VALUE"""),"Transaction cost")</f>
        <v>Transaction cost</v>
      </c>
      <c r="J53" s="17"/>
      <c r="K53" s="17"/>
      <c r="L53" s="17"/>
      <c r="M53" s="17"/>
      <c r="N53" s="17"/>
      <c r="O53" s="17"/>
    </row>
    <row r="54" spans="1:15" ht="12.5">
      <c r="A54" s="17"/>
      <c r="B54" s="24"/>
      <c r="C54" s="24"/>
      <c r="D54" s="17"/>
      <c r="E54" s="17"/>
      <c r="F54" s="17"/>
      <c r="G54" s="17"/>
      <c r="H54" s="17"/>
      <c r="I54" s="17" t="str">
        <f ca="1">IFERROR(__xludf.DUMMYFUNCTION("""COMPUTED_VALUE"""),"Transaction cost")</f>
        <v>Transaction cost</v>
      </c>
      <c r="J54" s="17"/>
      <c r="K54" s="17"/>
      <c r="L54" s="17"/>
      <c r="M54" s="17"/>
      <c r="N54" s="17"/>
      <c r="O54" s="17"/>
    </row>
    <row r="55" spans="1:15" ht="12.5">
      <c r="A55" s="17"/>
      <c r="B55" s="24"/>
      <c r="C55" s="24"/>
      <c r="D55" s="17"/>
      <c r="E55" s="17"/>
      <c r="F55" s="17"/>
      <c r="G55" s="17"/>
      <c r="H55" s="17"/>
      <c r="I55" s="17" t="str">
        <f ca="1">IFERROR(__xludf.DUMMYFUNCTION("""COMPUTED_VALUE"""),"Transaction cost")</f>
        <v>Transaction cost</v>
      </c>
      <c r="J55" s="17"/>
      <c r="K55" s="17"/>
      <c r="L55" s="17"/>
      <c r="M55" s="17"/>
      <c r="N55" s="17"/>
      <c r="O55" s="17"/>
    </row>
    <row r="56" spans="1:15" ht="12.5">
      <c r="A56" s="17"/>
      <c r="B56" s="24"/>
      <c r="C56" s="24"/>
      <c r="D56" s="17"/>
      <c r="E56" s="17"/>
      <c r="F56" s="17"/>
      <c r="G56" s="17"/>
      <c r="H56" s="17"/>
      <c r="I56" s="17" t="str">
        <f ca="1">IFERROR(__xludf.DUMMYFUNCTION("""COMPUTED_VALUE"""),"Transaction cost")</f>
        <v>Transaction cost</v>
      </c>
      <c r="J56" s="17"/>
      <c r="K56" s="17"/>
      <c r="L56" s="17"/>
      <c r="M56" s="17"/>
      <c r="N56" s="17"/>
      <c r="O56" s="17"/>
    </row>
    <row r="57" spans="1:15" ht="12.5">
      <c r="A57" s="17"/>
      <c r="B57" s="24"/>
      <c r="C57" s="24"/>
      <c r="D57" s="17"/>
      <c r="E57" s="17"/>
      <c r="F57" s="17"/>
      <c r="G57" s="17"/>
      <c r="H57" s="17"/>
      <c r="I57" s="17" t="str">
        <f ca="1">IFERROR(__xludf.DUMMYFUNCTION("""COMPUTED_VALUE"""),"Transaction cost")</f>
        <v>Transaction cost</v>
      </c>
      <c r="J57" s="17"/>
      <c r="K57" s="17"/>
      <c r="L57" s="17"/>
      <c r="M57" s="17"/>
      <c r="N57" s="17"/>
      <c r="O57" s="17"/>
    </row>
    <row r="58" spans="1:15" ht="12.5">
      <c r="A58" s="17"/>
      <c r="B58" s="24"/>
      <c r="C58" s="24"/>
      <c r="D58" s="17"/>
      <c r="E58" s="17"/>
      <c r="F58" s="17"/>
      <c r="G58" s="17"/>
      <c r="H58" s="17"/>
      <c r="I58" s="17" t="str">
        <f ca="1">IFERROR(__xludf.DUMMYFUNCTION("""COMPUTED_VALUE"""),"Transaction cost")</f>
        <v>Transaction cost</v>
      </c>
      <c r="J58" s="17"/>
      <c r="K58" s="17"/>
      <c r="L58" s="17"/>
      <c r="M58" s="17"/>
      <c r="N58" s="17"/>
      <c r="O58" s="17"/>
    </row>
    <row r="59" spans="1:15" ht="12.5">
      <c r="A59" s="17"/>
      <c r="B59" s="24"/>
      <c r="C59" s="24"/>
      <c r="D59" s="17"/>
      <c r="E59" s="17"/>
      <c r="F59" s="17"/>
      <c r="G59" s="17"/>
      <c r="H59" s="17"/>
      <c r="I59" s="17" t="str">
        <f ca="1">IFERROR(__xludf.DUMMYFUNCTION("""COMPUTED_VALUE"""),"Transaction cost")</f>
        <v>Transaction cost</v>
      </c>
      <c r="J59" s="17"/>
      <c r="K59" s="17"/>
      <c r="L59" s="17"/>
      <c r="M59" s="17"/>
      <c r="N59" s="17"/>
      <c r="O59" s="17"/>
    </row>
    <row r="60" spans="1:15" ht="12.5">
      <c r="A60" s="17"/>
      <c r="B60" s="24"/>
      <c r="C60" s="24"/>
      <c r="D60" s="17"/>
      <c r="E60" s="17"/>
      <c r="F60" s="17"/>
      <c r="G60" s="17"/>
      <c r="H60" s="17"/>
      <c r="I60" s="17" t="str">
        <f ca="1">IFERROR(__xludf.DUMMYFUNCTION("""COMPUTED_VALUE"""),"Transaction cost")</f>
        <v>Transaction cost</v>
      </c>
      <c r="J60" s="17"/>
      <c r="K60" s="17"/>
      <c r="L60" s="17"/>
      <c r="M60" s="17"/>
      <c r="N60" s="17"/>
      <c r="O60" s="17"/>
    </row>
    <row r="61" spans="1:15" ht="12.5">
      <c r="A61" s="17"/>
      <c r="B61" s="24"/>
      <c r="C61" s="24"/>
      <c r="D61" s="17"/>
      <c r="E61" s="17"/>
      <c r="F61" s="17"/>
      <c r="G61" s="17"/>
      <c r="H61" s="17"/>
      <c r="I61" s="17" t="str">
        <f ca="1">IFERROR(__xludf.DUMMYFUNCTION("""COMPUTED_VALUE"""),"Transaction cost")</f>
        <v>Transaction cost</v>
      </c>
      <c r="J61" s="17"/>
      <c r="K61" s="17"/>
      <c r="L61" s="17"/>
      <c r="M61" s="17"/>
      <c r="N61" s="17"/>
      <c r="O61" s="17"/>
    </row>
    <row r="62" spans="1:15" ht="12.5">
      <c r="A62" s="17"/>
      <c r="B62" s="24"/>
      <c r="C62" s="24"/>
      <c r="D62" s="17"/>
      <c r="E62" s="17"/>
      <c r="F62" s="17"/>
      <c r="G62" s="17"/>
      <c r="H62" s="17"/>
      <c r="I62" s="17" t="str">
        <f ca="1">IFERROR(__xludf.DUMMYFUNCTION("""COMPUTED_VALUE"""),"Transaction cost")</f>
        <v>Transaction cost</v>
      </c>
      <c r="J62" s="17"/>
      <c r="K62" s="17"/>
      <c r="L62" s="17"/>
      <c r="M62" s="17"/>
      <c r="N62" s="17"/>
      <c r="O62" s="17"/>
    </row>
    <row r="63" spans="1:15" ht="12.5">
      <c r="A63" s="17"/>
      <c r="B63" s="24"/>
      <c r="C63" s="24"/>
      <c r="D63" s="17"/>
      <c r="E63" s="17"/>
      <c r="F63" s="17"/>
      <c r="G63" s="17"/>
      <c r="H63" s="17"/>
      <c r="I63" s="17" t="str">
        <f ca="1">IFERROR(__xludf.DUMMYFUNCTION("""COMPUTED_VALUE"""),"Transaction cost")</f>
        <v>Transaction cost</v>
      </c>
      <c r="J63" s="17"/>
      <c r="K63" s="17"/>
      <c r="L63" s="17"/>
      <c r="M63" s="17"/>
      <c r="N63" s="17"/>
      <c r="O63" s="17"/>
    </row>
    <row r="64" spans="1:15" ht="12.5">
      <c r="A64" s="17"/>
      <c r="B64" s="24"/>
      <c r="C64" s="24"/>
      <c r="D64" s="17"/>
      <c r="E64" s="17"/>
      <c r="F64" s="17"/>
      <c r="G64" s="17"/>
      <c r="H64" s="17"/>
      <c r="I64" s="17" t="str">
        <f ca="1">IFERROR(__xludf.DUMMYFUNCTION("""COMPUTED_VALUE"""),"Transaction cost")</f>
        <v>Transaction cost</v>
      </c>
      <c r="J64" s="17"/>
      <c r="K64" s="17"/>
      <c r="L64" s="17"/>
      <c r="M64" s="17"/>
      <c r="N64" s="17"/>
      <c r="O64" s="17"/>
    </row>
    <row r="65" spans="1:15" ht="12.5">
      <c r="A65" s="17"/>
      <c r="B65" s="24"/>
      <c r="C65" s="24"/>
      <c r="D65" s="17"/>
      <c r="E65" s="17"/>
      <c r="F65" s="17"/>
      <c r="G65" s="17"/>
      <c r="H65" s="17"/>
      <c r="I65" s="17" t="str">
        <f ca="1">IFERROR(__xludf.DUMMYFUNCTION("""COMPUTED_VALUE"""),"Transaction cost")</f>
        <v>Transaction cost</v>
      </c>
      <c r="J65" s="17"/>
      <c r="K65" s="17"/>
      <c r="L65" s="17"/>
      <c r="M65" s="17"/>
      <c r="N65" s="17"/>
      <c r="O65" s="17"/>
    </row>
    <row r="66" spans="1:15" ht="12.5">
      <c r="A66" s="17"/>
      <c r="B66" s="24"/>
      <c r="C66" s="24"/>
      <c r="D66" s="17"/>
      <c r="E66" s="17"/>
      <c r="F66" s="17"/>
      <c r="G66" s="17"/>
      <c r="H66" s="17"/>
      <c r="I66" s="17" t="str">
        <f ca="1">IFERROR(__xludf.DUMMYFUNCTION("""COMPUTED_VALUE"""),"Transaction cost")</f>
        <v>Transaction cost</v>
      </c>
      <c r="J66" s="17"/>
      <c r="K66" s="17"/>
      <c r="L66" s="17"/>
      <c r="M66" s="17"/>
      <c r="N66" s="17"/>
      <c r="O66" s="17"/>
    </row>
    <row r="67" spans="1:15" ht="12.5">
      <c r="A67" s="17"/>
      <c r="B67" s="24"/>
      <c r="C67" s="24"/>
      <c r="D67" s="17"/>
      <c r="E67" s="17"/>
      <c r="F67" s="17"/>
      <c r="G67" s="17"/>
      <c r="H67" s="17"/>
      <c r="I67" s="17" t="str">
        <f ca="1">IFERROR(__xludf.DUMMYFUNCTION("""COMPUTED_VALUE"""),"Transaction cost")</f>
        <v>Transaction cost</v>
      </c>
      <c r="J67" s="17"/>
      <c r="K67" s="17"/>
      <c r="L67" s="17"/>
      <c r="M67" s="17"/>
      <c r="N67" s="17"/>
      <c r="O67" s="17"/>
    </row>
    <row r="68" spans="1:15" ht="12.5">
      <c r="A68" s="17"/>
      <c r="B68" s="24"/>
      <c r="C68" s="24"/>
      <c r="D68" s="17"/>
      <c r="E68" s="17"/>
      <c r="F68" s="17"/>
      <c r="G68" s="17"/>
      <c r="H68" s="17"/>
      <c r="I68" s="17" t="str">
        <f ca="1">IFERROR(__xludf.DUMMYFUNCTION("""COMPUTED_VALUE"""),"Transaction cost")</f>
        <v>Transaction cost</v>
      </c>
      <c r="J68" s="17"/>
      <c r="K68" s="17"/>
      <c r="L68" s="17"/>
      <c r="M68" s="17"/>
      <c r="N68" s="17"/>
      <c r="O68" s="17"/>
    </row>
    <row r="69" spans="1:15" ht="12.5">
      <c r="A69" s="17"/>
      <c r="B69" s="24"/>
      <c r="C69" s="24"/>
      <c r="D69" s="17"/>
      <c r="E69" s="17"/>
      <c r="F69" s="17"/>
      <c r="G69" s="17"/>
      <c r="H69" s="17"/>
      <c r="I69" s="17" t="str">
        <f ca="1">IFERROR(__xludf.DUMMYFUNCTION("""COMPUTED_VALUE"""),"Transaction cost")</f>
        <v>Transaction cost</v>
      </c>
      <c r="J69" s="17"/>
      <c r="K69" s="17"/>
      <c r="L69" s="17"/>
      <c r="M69" s="17"/>
      <c r="N69" s="17"/>
      <c r="O69" s="17"/>
    </row>
    <row r="70" spans="1:15" ht="12.5">
      <c r="A70" s="17"/>
      <c r="B70" s="24"/>
      <c r="C70" s="24"/>
      <c r="D70" s="17"/>
      <c r="E70" s="17"/>
      <c r="F70" s="17"/>
      <c r="G70" s="17"/>
      <c r="H70" s="17"/>
      <c r="I70" s="17" t="str">
        <f ca="1">IFERROR(__xludf.DUMMYFUNCTION("""COMPUTED_VALUE"""),"Transaction cost")</f>
        <v>Transaction cost</v>
      </c>
      <c r="J70" s="17"/>
      <c r="K70" s="17"/>
      <c r="L70" s="17"/>
      <c r="M70" s="17"/>
      <c r="N70" s="17"/>
      <c r="O70" s="17"/>
    </row>
    <row r="71" spans="1:15" ht="12.5">
      <c r="A71" s="17"/>
      <c r="B71" s="24"/>
      <c r="C71" s="24"/>
      <c r="D71" s="17"/>
      <c r="E71" s="17"/>
      <c r="F71" s="17"/>
      <c r="G71" s="17"/>
      <c r="H71" s="17"/>
      <c r="I71" s="17" t="str">
        <f ca="1">IFERROR(__xludf.DUMMYFUNCTION("""COMPUTED_VALUE"""),"Transaction cost")</f>
        <v>Transaction cost</v>
      </c>
      <c r="J71" s="17"/>
      <c r="K71" s="17"/>
      <c r="L71" s="17"/>
      <c r="M71" s="17"/>
      <c r="N71" s="17"/>
      <c r="O71" s="17"/>
    </row>
    <row r="72" spans="1:15" ht="12.5">
      <c r="A72" s="17"/>
      <c r="B72" s="24"/>
      <c r="C72" s="24"/>
      <c r="D72" s="17"/>
      <c r="E72" s="17"/>
      <c r="F72" s="17"/>
      <c r="G72" s="17"/>
      <c r="H72" s="17"/>
      <c r="I72" s="17" t="str">
        <f ca="1">IFERROR(__xludf.DUMMYFUNCTION("""COMPUTED_VALUE"""),"Transaction cost")</f>
        <v>Transaction cost</v>
      </c>
      <c r="J72" s="17"/>
      <c r="K72" s="17"/>
      <c r="L72" s="17"/>
      <c r="M72" s="17"/>
      <c r="N72" s="17"/>
      <c r="O72" s="17"/>
    </row>
    <row r="73" spans="1:15" ht="12.5">
      <c r="A73" s="17"/>
      <c r="B73" s="24"/>
      <c r="C73" s="24"/>
      <c r="D73" s="17"/>
      <c r="E73" s="17"/>
      <c r="F73" s="17"/>
      <c r="G73" s="17"/>
      <c r="H73" s="17"/>
      <c r="I73" s="17" t="str">
        <f ca="1">IFERROR(__xludf.DUMMYFUNCTION("""COMPUTED_VALUE"""),"Transaction cost")</f>
        <v>Transaction cost</v>
      </c>
      <c r="J73" s="17"/>
      <c r="K73" s="17"/>
      <c r="L73" s="17"/>
      <c r="M73" s="17"/>
      <c r="N73" s="17"/>
      <c r="O73" s="17"/>
    </row>
    <row r="74" spans="1:15" ht="12.5">
      <c r="A74" s="17"/>
      <c r="B74" s="24"/>
      <c r="C74" s="24"/>
      <c r="D74" s="17"/>
      <c r="E74" s="17"/>
      <c r="F74" s="17"/>
      <c r="G74" s="17"/>
      <c r="H74" s="17"/>
      <c r="I74" s="17" t="str">
        <f ca="1">IFERROR(__xludf.DUMMYFUNCTION("""COMPUTED_VALUE"""),"Transaction cost")</f>
        <v>Transaction cost</v>
      </c>
      <c r="J74" s="17"/>
      <c r="K74" s="17"/>
      <c r="L74" s="17"/>
      <c r="M74" s="17"/>
      <c r="N74" s="17"/>
      <c r="O74" s="17"/>
    </row>
    <row r="75" spans="1:15" ht="12.5">
      <c r="A75" s="17"/>
      <c r="B75" s="24"/>
      <c r="C75" s="24"/>
      <c r="D75" s="17"/>
      <c r="E75" s="17"/>
      <c r="F75" s="17"/>
      <c r="G75" s="17"/>
      <c r="H75" s="17"/>
      <c r="I75" s="17" t="str">
        <f ca="1">IFERROR(__xludf.DUMMYFUNCTION("""COMPUTED_VALUE"""),"Transaction cost")</f>
        <v>Transaction cost</v>
      </c>
      <c r="J75" s="17"/>
      <c r="K75" s="17"/>
      <c r="L75" s="17"/>
      <c r="M75" s="17"/>
      <c r="N75" s="17"/>
      <c r="O75" s="17"/>
    </row>
    <row r="76" spans="1:15" ht="12.5">
      <c r="A76" s="17"/>
      <c r="B76" s="24"/>
      <c r="C76" s="24"/>
      <c r="D76" s="17"/>
      <c r="E76" s="17"/>
      <c r="F76" s="17"/>
      <c r="G76" s="17"/>
      <c r="H76" s="17"/>
      <c r="I76" s="17" t="str">
        <f ca="1">IFERROR(__xludf.DUMMYFUNCTION("""COMPUTED_VALUE"""),"Transaction cost")</f>
        <v>Transaction cost</v>
      </c>
      <c r="J76" s="17"/>
      <c r="K76" s="17"/>
      <c r="L76" s="17"/>
      <c r="M76" s="17"/>
      <c r="N76" s="17"/>
      <c r="O76" s="17"/>
    </row>
    <row r="77" spans="1:15" ht="12.5">
      <c r="A77" s="17"/>
      <c r="B77" s="24"/>
      <c r="C77" s="24"/>
      <c r="D77" s="17"/>
      <c r="E77" s="17"/>
      <c r="F77" s="17"/>
      <c r="G77" s="17"/>
      <c r="H77" s="17"/>
      <c r="I77" s="17" t="str">
        <f ca="1">IFERROR(__xludf.DUMMYFUNCTION("""COMPUTED_VALUE"""),"Transaction cost")</f>
        <v>Transaction cost</v>
      </c>
      <c r="J77" s="17"/>
      <c r="K77" s="17"/>
      <c r="L77" s="17"/>
      <c r="M77" s="17"/>
      <c r="N77" s="17"/>
      <c r="O77" s="17"/>
    </row>
    <row r="78" spans="1:15" ht="12.5">
      <c r="A78" s="17"/>
      <c r="B78" s="24"/>
      <c r="C78" s="24"/>
      <c r="D78" s="17"/>
      <c r="E78" s="17"/>
      <c r="F78" s="17"/>
      <c r="G78" s="17"/>
      <c r="H78" s="17"/>
      <c r="I78" s="17" t="str">
        <f ca="1">IFERROR(__xludf.DUMMYFUNCTION("""COMPUTED_VALUE"""),"Transaction cost")</f>
        <v>Transaction cost</v>
      </c>
      <c r="J78" s="17"/>
      <c r="K78" s="17"/>
      <c r="L78" s="17"/>
      <c r="M78" s="17"/>
      <c r="N78" s="17"/>
      <c r="O78" s="17"/>
    </row>
    <row r="79" spans="1:15" ht="12.5">
      <c r="A79" s="17"/>
      <c r="B79" s="24"/>
      <c r="C79" s="24"/>
      <c r="D79" s="17"/>
      <c r="E79" s="17"/>
      <c r="F79" s="17"/>
      <c r="G79" s="17"/>
      <c r="H79" s="17"/>
      <c r="I79" s="17" t="str">
        <f ca="1">IFERROR(__xludf.DUMMYFUNCTION("""COMPUTED_VALUE"""),"Transaction cost")</f>
        <v>Transaction cost</v>
      </c>
      <c r="J79" s="17"/>
      <c r="K79" s="17"/>
      <c r="L79" s="17"/>
      <c r="M79" s="17"/>
      <c r="N79" s="17"/>
      <c r="O79" s="17"/>
    </row>
    <row r="80" spans="1:15" ht="12.5">
      <c r="A80" s="17"/>
      <c r="B80" s="24"/>
      <c r="C80" s="24"/>
      <c r="D80" s="17"/>
      <c r="E80" s="17"/>
      <c r="F80" s="17"/>
      <c r="G80" s="17"/>
      <c r="H80" s="17"/>
      <c r="I80" s="17" t="str">
        <f ca="1">IFERROR(__xludf.DUMMYFUNCTION("""COMPUTED_VALUE"""),"Transaction cost")</f>
        <v>Transaction cost</v>
      </c>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3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253</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19" t="s">
        <v>2006</v>
      </c>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Sept'!$J$12:$J$1700=$A$2)"),"TRX1267")</f>
        <v>TRX1267</v>
      </c>
      <c r="B12" s="86" t="str">
        <f ca="1">IFERROR(__xludf.DUMMYFUNCTION("""COMPUTED_VALUE"""),"#52")</f>
        <v>#52</v>
      </c>
      <c r="C12" s="86">
        <f ca="1">IFERROR(__xludf.DUMMYFUNCTION("""COMPUTED_VALUE"""),46057.4166666666)</f>
        <v>46057.416666666599</v>
      </c>
      <c r="D12" s="65">
        <f ca="1">IFERROR(__xludf.DUMMYFUNCTION("FILTER('Edo Cta Jeeves Sept'!$G$12:$G$1700,'Edo Cta Jeeves Sept'!$J$12:$J$1700=$A$2)"),1051.87)</f>
        <v>1051.8699999999999</v>
      </c>
      <c r="E12" s="17" t="str">
        <f ca="1">IFERROR(__xludf.DUMMYFUNCTION("FILTER('Edo Cta Jeeves Sept'!$I$12:$I$1700,'Edo Cta Jeeves Sept'!$J$12:$J$1700=$A$2)"),"USD")</f>
        <v>USD</v>
      </c>
      <c r="F12" s="17" t="str">
        <f ca="1">IFERROR(__xludf.DUMMYFUNCTION("FILTER('Edo Cta Jeeves Sept'!$J$12:$J$1700,'Edo Cta Jeeves Sept'!$J$12:$J$1700=$A$2)"),"Tommaso Rivetti Vinea")</f>
        <v>Tommaso Rivetti Vinea</v>
      </c>
      <c r="G12" s="17" t="str">
        <f ca="1">IFERROR(__xludf.DUMMYFUNCTION("FILTER('Edo Cta Jeeves Sept'!$K$12:$L$1700,'Edo Cta Jeeves Sept'!$J$12:$J$1700=$A$2)"),"TST* ADAIR DOWNTOWN    HOUSTON       USA")</f>
        <v>TST* ADAIR DOWNTOWN    HOUSTON       USA</v>
      </c>
      <c r="H12" s="17" t="str">
        <f ca="1">IFERROR(__xludf.DUMMYFUNCTION("""COMPUTED_VALUE"""),"Adair Downtown Houston USA")</f>
        <v>Adair Downtown Houston USA</v>
      </c>
      <c r="I12" s="17" t="str">
        <f ca="1">IFERROR(__xludf.DUMMYFUNCTION("IMPORTRANGE(""https://docs.google.com/spreadsheets/d/1erhSbLHAryMKv0mb1JqC4SZMwg6jc2fI6k8I-s6b0Tg/edit#gid=1404531132"",""I12:K80"")"),"Capex")</f>
        <v>Capex</v>
      </c>
      <c r="J12" s="17" t="str">
        <f ca="1">IFERROR(__xludf.DUMMYFUNCTION("""COMPUTED_VALUE"""),"Comida TRV - PO1966")</f>
        <v>Comida TRV - PO1966</v>
      </c>
      <c r="K12" s="17" t="str">
        <f ca="1">IFERROR(__xludf.DUMMYFUNCTION("""COMPUTED_VALUE"""),"N/A")</f>
        <v>N/A</v>
      </c>
      <c r="L12" s="17"/>
      <c r="M12" s="17"/>
      <c r="N12" s="17"/>
      <c r="O12" s="17"/>
    </row>
    <row r="13" spans="1:15" ht="15.75" customHeight="1">
      <c r="A13" s="24" t="str">
        <f ca="1">IFERROR(__xludf.DUMMYFUNCTION("""COMPUTED_VALUE"""),"TRX1266")</f>
        <v>TRX1266</v>
      </c>
      <c r="B13" s="86" t="str">
        <f ca="1">IFERROR(__xludf.DUMMYFUNCTION("""COMPUTED_VALUE"""),"#52")</f>
        <v>#52</v>
      </c>
      <c r="C13" s="63">
        <f ca="1">IFERROR(__xludf.DUMMYFUNCTION("""COMPUTED_VALUE"""),46057.4166666666)</f>
        <v>46057.416666666599</v>
      </c>
      <c r="D13" s="65">
        <f ca="1">IFERROR(__xludf.DUMMYFUNCTION("""COMPUTED_VALUE"""),520.04)</f>
        <v>520.04</v>
      </c>
      <c r="E13" s="17" t="str">
        <f ca="1">IFERROR(__xludf.DUMMYFUNCTION("""COMPUTED_VALUE"""),"USD")</f>
        <v>USD</v>
      </c>
      <c r="F13" s="17" t="str">
        <f ca="1">IFERROR(__xludf.DUMMYFUNCTION("""COMPUTED_VALUE"""),"Tommaso Rivetti Vinea")</f>
        <v>Tommaso Rivetti Vinea</v>
      </c>
      <c r="G13" s="17" t="str">
        <f ca="1">IFERROR(__xludf.DUMMYFUNCTION("""COMPUTED_VALUE"""),"UBER   * EATS PENDING  SAN FRANCISCO USA")</f>
        <v>UBER   * EATS PENDING  SAN FRANCISCO USA</v>
      </c>
      <c r="H13" s="17" t="str">
        <f ca="1">IFERROR(__xludf.DUMMYFUNCTION("""COMPUTED_VALUE"""),"Uber Eats")</f>
        <v>Uber Eats</v>
      </c>
      <c r="I13" s="17" t="str">
        <f ca="1">IFERROR(__xludf.DUMMYFUNCTION("""COMPUTED_VALUE"""),"Capex")</f>
        <v>Capex</v>
      </c>
      <c r="J13" s="17" t="str">
        <f ca="1">IFERROR(__xludf.DUMMYFUNCTION("""COMPUTED_VALUE"""),"Uber TRV - PO1966")</f>
        <v>Uber TRV - PO1966</v>
      </c>
      <c r="K13" s="17" t="str">
        <f ca="1">IFERROR(__xludf.DUMMYFUNCTION("""COMPUTED_VALUE"""),"N/A")</f>
        <v>N/A</v>
      </c>
      <c r="L13" s="17"/>
      <c r="M13" s="17"/>
      <c r="N13" s="17"/>
      <c r="O13" s="17"/>
    </row>
    <row r="14" spans="1:15" ht="15.75" customHeight="1">
      <c r="A14" s="24" t="str">
        <f ca="1">IFERROR(__xludf.DUMMYFUNCTION("""COMPUTED_VALUE"""),"TRX1186")</f>
        <v>TRX1186</v>
      </c>
      <c r="B14" s="86" t="str">
        <f ca="1">IFERROR(__xludf.DUMMYFUNCTION("""COMPUTED_VALUE"""),"#52")</f>
        <v>#52</v>
      </c>
      <c r="C14" s="63">
        <f ca="1">IFERROR(__xludf.DUMMYFUNCTION("""COMPUTED_VALUE"""),46058.4180555555)</f>
        <v>46058.418055555499</v>
      </c>
      <c r="D14" s="65">
        <f ca="1">IFERROR(__xludf.DUMMYFUNCTION("""COMPUTED_VALUE"""),307.95)</f>
        <v>307.95</v>
      </c>
      <c r="E14" s="17" t="str">
        <f ca="1">IFERROR(__xludf.DUMMYFUNCTION("""COMPUTED_VALUE"""),"USD")</f>
        <v>USD</v>
      </c>
      <c r="F14" s="17" t="str">
        <f ca="1">IFERROR(__xludf.DUMMYFUNCTION("""COMPUTED_VALUE"""),"Tommaso Rivetti Vinea")</f>
        <v>Tommaso Rivetti Vinea</v>
      </c>
      <c r="G14" s="17" t="str">
        <f ca="1">IFERROR(__xludf.DUMMYFUNCTION("""COMPUTED_VALUE"""),"UBER   * PENDING       SAN FRANCISCO USA")</f>
        <v>UBER   * PENDING       SAN FRANCISCO USA</v>
      </c>
      <c r="H14" s="17" t="str">
        <f ca="1">IFERROR(__xludf.DUMMYFUNCTION("""COMPUTED_VALUE"""),"Uber")</f>
        <v>Uber</v>
      </c>
      <c r="I14" s="17" t="str">
        <f ca="1">IFERROR(__xludf.DUMMYFUNCTION("""COMPUTED_VALUE"""),"Capex")</f>
        <v>Capex</v>
      </c>
      <c r="J14" s="17" t="str">
        <f ca="1">IFERROR(__xludf.DUMMYFUNCTION("""COMPUTED_VALUE"""),"Uber TRV - PO1966")</f>
        <v>Uber TRV - PO1966</v>
      </c>
      <c r="K14" s="17" t="str">
        <f ca="1">IFERROR(__xludf.DUMMYFUNCTION("""COMPUTED_VALUE"""),"N/A")</f>
        <v>N/A</v>
      </c>
      <c r="L14" s="17"/>
      <c r="M14" s="17"/>
      <c r="N14" s="17"/>
      <c r="O14" s="17"/>
    </row>
    <row r="15" spans="1:15" ht="15.75" customHeight="1">
      <c r="A15" s="24" t="str">
        <f ca="1">IFERROR(__xludf.DUMMYFUNCTION("""COMPUTED_VALUE"""),"TRX1733")</f>
        <v>TRX1733</v>
      </c>
      <c r="B15" s="86" t="str">
        <f ca="1">IFERROR(__xludf.DUMMYFUNCTION("""COMPUTED_VALUE"""),"#52")</f>
        <v>#52</v>
      </c>
      <c r="C15" s="63">
        <f ca="1">IFERROR(__xludf.DUMMYFUNCTION("""COMPUTED_VALUE"""),46059.4173611111)</f>
        <v>46059.417361111096</v>
      </c>
      <c r="D15" s="65">
        <f ca="1">IFERROR(__xludf.DUMMYFUNCTION("""COMPUTED_VALUE"""),54.47)</f>
        <v>54.47</v>
      </c>
      <c r="E15" s="17" t="str">
        <f ca="1">IFERROR(__xludf.DUMMYFUNCTION("""COMPUTED_VALUE"""),"USD")</f>
        <v>USD</v>
      </c>
      <c r="F15" s="17" t="str">
        <f ca="1">IFERROR(__xludf.DUMMYFUNCTION("""COMPUTED_VALUE"""),"Tommaso Rivetti Vinea")</f>
        <v>Tommaso Rivetti Vinea</v>
      </c>
      <c r="G15" s="17" t="str">
        <f ca="1">IFERROR(__xludf.DUMMYFUNCTION("""COMPUTED_VALUE"""),"UBER   *TRIP           SAN FRANCISCO USA")</f>
        <v>UBER   *TRIP           SAN FRANCISCO USA</v>
      </c>
      <c r="H15" s="17" t="str">
        <f ca="1">IFERROR(__xludf.DUMMYFUNCTION("""COMPUTED_VALUE"""),"Uber")</f>
        <v>Uber</v>
      </c>
      <c r="I15" s="17" t="str">
        <f ca="1">IFERROR(__xludf.DUMMYFUNCTION("""COMPUTED_VALUE"""),"Capex")</f>
        <v>Capex</v>
      </c>
      <c r="J15" s="17" t="str">
        <f ca="1">IFERROR(__xludf.DUMMYFUNCTION("""COMPUTED_VALUE"""),"Uber TRV - PO1966")</f>
        <v>Uber TRV - PO1966</v>
      </c>
      <c r="K15" s="17" t="str">
        <f ca="1">IFERROR(__xludf.DUMMYFUNCTION("""COMPUTED_VALUE"""),"N/A")</f>
        <v>N/A</v>
      </c>
      <c r="L15" s="17"/>
      <c r="M15" s="17"/>
      <c r="N15" s="17"/>
      <c r="O15" s="17"/>
    </row>
    <row r="16" spans="1:15" ht="15.75" customHeight="1">
      <c r="A16" s="17" t="str">
        <f ca="1">IFERROR(__xludf.DUMMYFUNCTION("""COMPUTED_VALUE"""),"TRX1110")</f>
        <v>TRX1110</v>
      </c>
      <c r="B16" s="86" t="str">
        <f ca="1">IFERROR(__xludf.DUMMYFUNCTION("""COMPUTED_VALUE"""),"#52")</f>
        <v>#52</v>
      </c>
      <c r="C16" s="63">
        <f ca="1">IFERROR(__xludf.DUMMYFUNCTION("""COMPUTED_VALUE"""),46059.4173611111)</f>
        <v>46059.417361111096</v>
      </c>
      <c r="D16" s="65">
        <f ca="1">IFERROR(__xludf.DUMMYFUNCTION("""COMPUTED_VALUE"""),398.38)</f>
        <v>398.38</v>
      </c>
      <c r="E16" s="17" t="str">
        <f ca="1">IFERROR(__xludf.DUMMYFUNCTION("""COMPUTED_VALUE"""),"USD")</f>
        <v>USD</v>
      </c>
      <c r="F16" s="17" t="str">
        <f ca="1">IFERROR(__xludf.DUMMYFUNCTION("""COMPUTED_VALUE"""),"Tommaso Rivetti Vinea")</f>
        <v>Tommaso Rivetti Vinea</v>
      </c>
      <c r="G16" s="17" t="str">
        <f ca="1">IFERROR(__xludf.DUMMYFUNCTION("""COMPUTED_VALUE"""),"UBER   * PENDING       SAN FRANCISCO USA")</f>
        <v>UBER   * PENDING       SAN FRANCISCO USA</v>
      </c>
      <c r="H16" s="17" t="str">
        <f ca="1">IFERROR(__xludf.DUMMYFUNCTION("""COMPUTED_VALUE"""),"Uber")</f>
        <v>Uber</v>
      </c>
      <c r="I16" s="17" t="str">
        <f ca="1">IFERROR(__xludf.DUMMYFUNCTION("""COMPUTED_VALUE"""),"Capex")</f>
        <v>Capex</v>
      </c>
      <c r="J16" s="17" t="str">
        <f ca="1">IFERROR(__xludf.DUMMYFUNCTION("""COMPUTED_VALUE"""),"Uber TRV - PO1966")</f>
        <v>Uber TRV - PO1966</v>
      </c>
      <c r="K16" s="17" t="str">
        <f ca="1">IFERROR(__xludf.DUMMYFUNCTION("""COMPUTED_VALUE"""),"N/A")</f>
        <v>N/A</v>
      </c>
      <c r="L16" s="17"/>
      <c r="M16" s="17"/>
      <c r="N16" s="17"/>
      <c r="O16" s="17"/>
    </row>
    <row r="17" spans="1:15" ht="15.75" customHeight="1">
      <c r="A17" s="17" t="str">
        <f ca="1">IFERROR(__xludf.DUMMYFUNCTION("""COMPUTED_VALUE"""),"TRX1804")</f>
        <v>TRX1804</v>
      </c>
      <c r="B17" s="86" t="str">
        <f ca="1">IFERROR(__xludf.DUMMYFUNCTION("""COMPUTED_VALUE"""),"#52")</f>
        <v>#52</v>
      </c>
      <c r="C17" s="63">
        <f ca="1">IFERROR(__xludf.DUMMYFUNCTION("""COMPUTED_VALUE"""),46059.4173611111)</f>
        <v>46059.417361111096</v>
      </c>
      <c r="D17" s="65">
        <f ca="1">IFERROR(__xludf.DUMMYFUNCTION("""COMPUTED_VALUE"""),402.19)</f>
        <v>402.19</v>
      </c>
      <c r="E17" s="17" t="str">
        <f ca="1">IFERROR(__xludf.DUMMYFUNCTION("""COMPUTED_VALUE"""),"USD")</f>
        <v>USD</v>
      </c>
      <c r="F17" s="17" t="str">
        <f ca="1">IFERROR(__xludf.DUMMYFUNCTION("""COMPUTED_VALUE"""),"Tommaso Rivetti Vinea")</f>
        <v>Tommaso Rivetti Vinea</v>
      </c>
      <c r="G17" s="17" t="str">
        <f ca="1">IFERROR(__xludf.DUMMYFUNCTION("""COMPUTED_VALUE"""),"SQ *MONKEY NEST COFFEE Austin        USA")</f>
        <v>SQ *MONKEY NEST COFFEE Austin        USA</v>
      </c>
      <c r="H17" s="17" t="str">
        <f ca="1">IFERROR(__xludf.DUMMYFUNCTION("""COMPUTED_VALUE"""),"Monkey Nest Coffee Austin USA")</f>
        <v>Monkey Nest Coffee Austin USA</v>
      </c>
      <c r="I17" s="17" t="str">
        <f ca="1">IFERROR(__xludf.DUMMYFUNCTION("""COMPUTED_VALUE"""),"Capex")</f>
        <v>Capex</v>
      </c>
      <c r="J17" s="17" t="str">
        <f ca="1">IFERROR(__xludf.DUMMYFUNCTION("""COMPUTED_VALUE"""),"Comida TRV - PO1966")</f>
        <v>Comida TRV - PO1966</v>
      </c>
      <c r="K17" s="17" t="str">
        <f ca="1">IFERROR(__xludf.DUMMYFUNCTION("""COMPUTED_VALUE"""),"N/A")</f>
        <v>N/A</v>
      </c>
      <c r="L17" s="17"/>
      <c r="M17" s="17"/>
      <c r="N17" s="17"/>
      <c r="O17" s="17"/>
    </row>
    <row r="18" spans="1:15" ht="15.75" customHeight="1">
      <c r="A18" s="17" t="str">
        <f ca="1">IFERROR(__xludf.DUMMYFUNCTION("""COMPUTED_VALUE"""),"TRX1071")</f>
        <v>TRX1071</v>
      </c>
      <c r="B18" s="86" t="str">
        <f ca="1">IFERROR(__xludf.DUMMYFUNCTION("""COMPUTED_VALUE"""),"#52")</f>
        <v>#52</v>
      </c>
      <c r="C18" s="63">
        <f ca="1">IFERROR(__xludf.DUMMYFUNCTION("""COMPUTED_VALUE"""),46059.4173611111)</f>
        <v>46059.417361111096</v>
      </c>
      <c r="D18" s="65">
        <f ca="1">IFERROR(__xludf.DUMMYFUNCTION("""COMPUTED_VALUE"""),462.48)</f>
        <v>462.48</v>
      </c>
      <c r="E18" s="17" t="str">
        <f ca="1">IFERROR(__xludf.DUMMYFUNCTION("""COMPUTED_VALUE"""),"USD")</f>
        <v>USD</v>
      </c>
      <c r="F18" s="17" t="str">
        <f ca="1">IFERROR(__xludf.DUMMYFUNCTION("""COMPUTED_VALUE"""),"Tommaso Rivetti Vinea")</f>
        <v>Tommaso Rivetti Vinea</v>
      </c>
      <c r="G18" s="17" t="str">
        <f ca="1">IFERROR(__xludf.DUMMYFUNCTION("""COMPUTED_VALUE"""),"UBER   *JASONSDELI     SAN FRANCISCO USA")</f>
        <v>UBER   *JASONSDELI     SAN FRANCISCO USA</v>
      </c>
      <c r="H18" s="17" t="str">
        <f ca="1">IFERROR(__xludf.DUMMYFUNCTION("""COMPUTED_VALUE"""),"Uber")</f>
        <v>Uber</v>
      </c>
      <c r="I18" s="17" t="str">
        <f ca="1">IFERROR(__xludf.DUMMYFUNCTION("""COMPUTED_VALUE"""),"Capex")</f>
        <v>Capex</v>
      </c>
      <c r="J18" s="17" t="str">
        <f ca="1">IFERROR(__xludf.DUMMYFUNCTION("""COMPUTED_VALUE"""),"Uber TRV - PO1966")</f>
        <v>Uber TRV - PO1966</v>
      </c>
      <c r="K18" s="17" t="str">
        <f ca="1">IFERROR(__xludf.DUMMYFUNCTION("""COMPUTED_VALUE"""),"N/A")</f>
        <v>N/A</v>
      </c>
      <c r="L18" s="17"/>
      <c r="M18" s="17"/>
      <c r="N18" s="17"/>
      <c r="O18" s="17"/>
    </row>
    <row r="19" spans="1:15" ht="15.75" customHeight="1">
      <c r="A19" s="17" t="str">
        <f ca="1">IFERROR(__xludf.DUMMYFUNCTION("""COMPUTED_VALUE"""),"TRX1058")</f>
        <v>TRX1058</v>
      </c>
      <c r="B19" s="86" t="str">
        <f ca="1">IFERROR(__xludf.DUMMYFUNCTION("""COMPUTED_VALUE"""),"#52")</f>
        <v>#52</v>
      </c>
      <c r="C19" s="63">
        <f ca="1">IFERROR(__xludf.DUMMYFUNCTION("""COMPUTED_VALUE"""),46059.4173611111)</f>
        <v>46059.417361111096</v>
      </c>
      <c r="D19" s="65">
        <f ca="1">IFERROR(__xludf.DUMMYFUNCTION("""COMPUTED_VALUE"""),235.32)</f>
        <v>235.32</v>
      </c>
      <c r="E19" s="17" t="str">
        <f ca="1">IFERROR(__xludf.DUMMYFUNCTION("""COMPUTED_VALUE"""),"USD")</f>
        <v>USD</v>
      </c>
      <c r="F19" s="17" t="str">
        <f ca="1">IFERROR(__xludf.DUMMYFUNCTION("""COMPUTED_VALUE"""),"Tommaso Rivetti Vinea")</f>
        <v>Tommaso Rivetti Vinea</v>
      </c>
      <c r="G19" s="17" t="str">
        <f ca="1">IFERROR(__xludf.DUMMYFUNCTION("""COMPUTED_VALUE"""),"UBER   *TRIP           SAN FRANCISCO USA")</f>
        <v>UBER   *TRIP           SAN FRANCISCO USA</v>
      </c>
      <c r="H19" s="17" t="str">
        <f ca="1">IFERROR(__xludf.DUMMYFUNCTION("""COMPUTED_VALUE"""),"Uber")</f>
        <v>Uber</v>
      </c>
      <c r="I19" s="17" t="str">
        <f ca="1">IFERROR(__xludf.DUMMYFUNCTION("""COMPUTED_VALUE"""),"Capex")</f>
        <v>Capex</v>
      </c>
      <c r="J19" s="17" t="str">
        <f ca="1">IFERROR(__xludf.DUMMYFUNCTION("""COMPUTED_VALUE"""),"Uber TRV - PO1966")</f>
        <v>Uber TRV - PO1966</v>
      </c>
      <c r="K19" s="17" t="str">
        <f ca="1">IFERROR(__xludf.DUMMYFUNCTION("""COMPUTED_VALUE"""),"N/A")</f>
        <v>N/A</v>
      </c>
      <c r="L19" s="17"/>
      <c r="M19" s="17"/>
      <c r="N19" s="17"/>
      <c r="O19" s="17"/>
    </row>
    <row r="20" spans="1:15" ht="12.5">
      <c r="A20" s="17" t="str">
        <f ca="1">IFERROR(__xludf.DUMMYFUNCTION("""COMPUTED_VALUE"""),"TRX1252")</f>
        <v>TRX1252</v>
      </c>
      <c r="B20" s="86" t="str">
        <f ca="1">IFERROR(__xludf.DUMMYFUNCTION("""COMPUTED_VALUE"""),"#52")</f>
        <v>#52</v>
      </c>
      <c r="C20" s="63">
        <f ca="1">IFERROR(__xludf.DUMMYFUNCTION("""COMPUTED_VALUE"""),46059.4173611111)</f>
        <v>46059.417361111096</v>
      </c>
      <c r="D20" s="65">
        <f ca="1">IFERROR(__xludf.DUMMYFUNCTION("""COMPUTED_VALUE"""),592.63)</f>
        <v>592.63</v>
      </c>
      <c r="E20" s="17" t="str">
        <f ca="1">IFERROR(__xludf.DUMMYFUNCTION("""COMPUTED_VALUE"""),"USD")</f>
        <v>USD</v>
      </c>
      <c r="F20" s="17" t="str">
        <f ca="1">IFERROR(__xludf.DUMMYFUNCTION("""COMPUTED_VALUE"""),"Tommaso Rivetti Vinea")</f>
        <v>Tommaso Rivetti Vinea</v>
      </c>
      <c r="G20" s="17" t="str">
        <f ca="1">IFERROR(__xludf.DUMMYFUNCTION("""COMPUTED_VALUE"""),"UBER   * EATS PENDING  SAN FRANCISCO USA")</f>
        <v>UBER   * EATS PENDING  SAN FRANCISCO USA</v>
      </c>
      <c r="H20" s="17" t="str">
        <f ca="1">IFERROR(__xludf.DUMMYFUNCTION("""COMPUTED_VALUE"""),"Uber Eats")</f>
        <v>Uber Eats</v>
      </c>
      <c r="I20" s="17" t="str">
        <f ca="1">IFERROR(__xludf.DUMMYFUNCTION("""COMPUTED_VALUE"""),"Capex")</f>
        <v>Capex</v>
      </c>
      <c r="J20" s="17" t="str">
        <f ca="1">IFERROR(__xludf.DUMMYFUNCTION("""COMPUTED_VALUE"""),"Uber TRV - PO1966")</f>
        <v>Uber TRV - PO1966</v>
      </c>
      <c r="K20" s="17" t="str">
        <f ca="1">IFERROR(__xludf.DUMMYFUNCTION("""COMPUTED_VALUE"""),"N/A")</f>
        <v>N/A</v>
      </c>
      <c r="L20" s="17"/>
      <c r="M20" s="17"/>
      <c r="N20" s="17"/>
      <c r="O20" s="17"/>
    </row>
    <row r="21" spans="1:15" ht="12.5">
      <c r="A21" s="17" t="str">
        <f ca="1">IFERROR(__xludf.DUMMYFUNCTION("""COMPUTED_VALUE"""),"TRX1724")</f>
        <v>TRX1724</v>
      </c>
      <c r="B21" s="86" t="str">
        <f ca="1">IFERROR(__xludf.DUMMYFUNCTION("""COMPUTED_VALUE"""),"#52")</f>
        <v>#52</v>
      </c>
      <c r="C21" s="63">
        <f ca="1">IFERROR(__xludf.DUMMYFUNCTION("""COMPUTED_VALUE"""),46060.4173611111)</f>
        <v>46060.417361111096</v>
      </c>
      <c r="D21" s="65">
        <f ca="1">IFERROR(__xludf.DUMMYFUNCTION("""COMPUTED_VALUE"""),381.73)</f>
        <v>381.73</v>
      </c>
      <c r="E21" s="17" t="str">
        <f ca="1">IFERROR(__xludf.DUMMYFUNCTION("""COMPUTED_VALUE"""),"USD")</f>
        <v>USD</v>
      </c>
      <c r="F21" s="17" t="str">
        <f ca="1">IFERROR(__xludf.DUMMYFUNCTION("""COMPUTED_VALUE"""),"Tommaso Rivetti Vinea")</f>
        <v>Tommaso Rivetti Vinea</v>
      </c>
      <c r="G21" s="17" t="str">
        <f ca="1">IFERROR(__xludf.DUMMYFUNCTION("""COMPUTED_VALUE"""),"UBER   * EATS PENDING  SAN FRANCISCO USA")</f>
        <v>UBER   * EATS PENDING  SAN FRANCISCO USA</v>
      </c>
      <c r="H21" s="17" t="str">
        <f ca="1">IFERROR(__xludf.DUMMYFUNCTION("""COMPUTED_VALUE"""),"Uber Eats")</f>
        <v>Uber Eats</v>
      </c>
      <c r="I21" s="17" t="str">
        <f ca="1">IFERROR(__xludf.DUMMYFUNCTION("""COMPUTED_VALUE"""),"Capex")</f>
        <v>Capex</v>
      </c>
      <c r="J21" s="17" t="str">
        <f ca="1">IFERROR(__xludf.DUMMYFUNCTION("""COMPUTED_VALUE"""),"Uber TRV - PO1966")</f>
        <v>Uber TRV - PO1966</v>
      </c>
      <c r="K21" s="17" t="str">
        <f ca="1">IFERROR(__xludf.DUMMYFUNCTION("""COMPUTED_VALUE"""),"N/A")</f>
        <v>N/A</v>
      </c>
      <c r="L21" s="17"/>
      <c r="M21" s="17"/>
      <c r="N21" s="17"/>
      <c r="O21" s="17"/>
    </row>
    <row r="22" spans="1:15" ht="12.5">
      <c r="A22" s="17" t="str">
        <f ca="1">IFERROR(__xludf.DUMMYFUNCTION("""COMPUTED_VALUE"""),"TRX1074")</f>
        <v>TRX1074</v>
      </c>
      <c r="B22" s="86" t="str">
        <f ca="1">IFERROR(__xludf.DUMMYFUNCTION("""COMPUTED_VALUE"""),"#52")</f>
        <v>#52</v>
      </c>
      <c r="C22" s="63">
        <f ca="1">IFERROR(__xludf.DUMMYFUNCTION("""COMPUTED_VALUE"""),46061.4166666666)</f>
        <v>46061.416666666599</v>
      </c>
      <c r="D22" s="65">
        <f ca="1">IFERROR(__xludf.DUMMYFUNCTION("""COMPUTED_VALUE"""),369.95)</f>
        <v>369.95</v>
      </c>
      <c r="E22" s="17" t="str">
        <f ca="1">IFERROR(__xludf.DUMMYFUNCTION("""COMPUTED_VALUE"""),"MXN")</f>
        <v>MXN</v>
      </c>
      <c r="F22" s="17" t="str">
        <f ca="1">IFERROR(__xludf.DUMMYFUNCTION("""COMPUTED_VALUE"""),"Tommaso Rivetti Vinea")</f>
        <v>Tommaso Rivetti Vinea</v>
      </c>
      <c r="G22" s="17" t="str">
        <f ca="1">IFERROR(__xludf.DUMMYFUNCTION("""COMPUTED_VALUE"""),"UBER * PENDING         CMX           MEX")</f>
        <v>UBER * PENDING         CMX           MEX</v>
      </c>
      <c r="H22" s="17" t="str">
        <f ca="1">IFERROR(__xludf.DUMMYFUNCTION("""COMPUTED_VALUE"""),"Uber")</f>
        <v>Uber</v>
      </c>
      <c r="I22" s="17" t="str">
        <f ca="1">IFERROR(__xludf.DUMMYFUNCTION("""COMPUTED_VALUE"""),"Capex")</f>
        <v>Capex</v>
      </c>
      <c r="J22" s="17" t="str">
        <f ca="1">IFERROR(__xludf.DUMMYFUNCTION("""COMPUTED_VALUE"""),"Uber TRV - PO1966")</f>
        <v>Uber TRV - PO1966</v>
      </c>
      <c r="K22" s="17"/>
      <c r="L22" s="17"/>
      <c r="M22" s="17"/>
      <c r="N22" s="17"/>
      <c r="O22" s="17"/>
    </row>
    <row r="23" spans="1:15" ht="12.5">
      <c r="A23" s="17" t="str">
        <f ca="1">IFERROR(__xludf.DUMMYFUNCTION("""COMPUTED_VALUE"""),"TRX1425")</f>
        <v>TRX1425</v>
      </c>
      <c r="B23" s="86" t="str">
        <f ca="1">IFERROR(__xludf.DUMMYFUNCTION("""COMPUTED_VALUE"""),"#52")</f>
        <v>#52</v>
      </c>
      <c r="C23" s="63">
        <f ca="1">IFERROR(__xludf.DUMMYFUNCTION("""COMPUTED_VALUE"""),46061.4166666666)</f>
        <v>46061.416666666599</v>
      </c>
      <c r="D23" s="65">
        <f ca="1">IFERROR(__xludf.DUMMYFUNCTION("""COMPUTED_VALUE"""),10)</f>
        <v>10</v>
      </c>
      <c r="E23" s="17" t="str">
        <f ca="1">IFERROR(__xludf.DUMMYFUNCTION("""COMPUTED_VALUE"""),"MXN")</f>
        <v>MXN</v>
      </c>
      <c r="F23" s="17" t="str">
        <f ca="1">IFERROR(__xludf.DUMMYFUNCTION("""COMPUTED_VALUE"""),"Tommaso Rivetti Vinea")</f>
        <v>Tommaso Rivetti Vinea</v>
      </c>
      <c r="G23" s="17" t="str">
        <f ca="1">IFERROR(__xludf.DUMMYFUNCTION("""COMPUTED_VALUE"""),"UBER *TRIP HELP.UBER.C CMX           MEX")</f>
        <v>UBER *TRIP HELP.UBER.C CMX           MEX</v>
      </c>
      <c r="H23" s="17" t="str">
        <f ca="1">IFERROR(__xludf.DUMMYFUNCTION("""COMPUTED_VALUE"""),"Uber")</f>
        <v>Uber</v>
      </c>
      <c r="I23" s="17" t="str">
        <f ca="1">IFERROR(__xludf.DUMMYFUNCTION("""COMPUTED_VALUE"""),"Capex")</f>
        <v>Capex</v>
      </c>
      <c r="J23" s="17" t="str">
        <f ca="1">IFERROR(__xludf.DUMMYFUNCTION("""COMPUTED_VALUE"""),"Uber TRV - PO1966")</f>
        <v>Uber TRV - PO1966</v>
      </c>
      <c r="K23" s="17"/>
      <c r="L23" s="17"/>
      <c r="M23" s="17"/>
      <c r="N23" s="17"/>
      <c r="O23" s="17"/>
    </row>
    <row r="24" spans="1:15" ht="12.5">
      <c r="A24" s="17" t="str">
        <f ca="1">IFERROR(__xludf.DUMMYFUNCTION("""COMPUTED_VALUE"""),"TRX1097")</f>
        <v>TRX1097</v>
      </c>
      <c r="B24" s="86" t="str">
        <f ca="1">IFERROR(__xludf.DUMMYFUNCTION("""COMPUTED_VALUE"""),"#52")</f>
        <v>#52</v>
      </c>
      <c r="C24" s="63">
        <f ca="1">IFERROR(__xludf.DUMMYFUNCTION("""COMPUTED_VALUE"""),46061.4173611111)</f>
        <v>46061.417361111096</v>
      </c>
      <c r="D24" s="65">
        <f ca="1">IFERROR(__xludf.DUMMYFUNCTION("""COMPUTED_VALUE"""),72.47)</f>
        <v>72.47</v>
      </c>
      <c r="E24" s="17" t="str">
        <f ca="1">IFERROR(__xludf.DUMMYFUNCTION("""COMPUTED_VALUE"""),"USD")</f>
        <v>USD</v>
      </c>
      <c r="F24" s="17" t="str">
        <f ca="1">IFERROR(__xludf.DUMMYFUNCTION("""COMPUTED_VALUE"""),"Tommaso Rivetti Vinea")</f>
        <v>Tommaso Rivetti Vinea</v>
      </c>
      <c r="G24" s="17" t="str">
        <f ca="1">IFERROR(__xludf.DUMMYFUNCTION("""COMPUTED_VALUE"""),"UBER   *TRIP           SAN FRANCISCO USA")</f>
        <v>UBER   *TRIP           SAN FRANCISCO USA</v>
      </c>
      <c r="H24" s="17" t="str">
        <f ca="1">IFERROR(__xludf.DUMMYFUNCTION("""COMPUTED_VALUE"""),"Uber")</f>
        <v>Uber</v>
      </c>
      <c r="I24" s="17" t="str">
        <f ca="1">IFERROR(__xludf.DUMMYFUNCTION("""COMPUTED_VALUE"""),"Capex")</f>
        <v>Capex</v>
      </c>
      <c r="J24" s="17" t="str">
        <f ca="1">IFERROR(__xludf.DUMMYFUNCTION("""COMPUTED_VALUE"""),"Uber TRV - PO1966")</f>
        <v>Uber TRV - PO1966</v>
      </c>
      <c r="K24" s="17" t="str">
        <f ca="1">IFERROR(__xludf.DUMMYFUNCTION("""COMPUTED_VALUE"""),"N/A")</f>
        <v>N/A</v>
      </c>
      <c r="L24" s="17"/>
      <c r="M24" s="17"/>
      <c r="N24" s="17"/>
      <c r="O24" s="17"/>
    </row>
    <row r="25" spans="1:15" ht="12.5">
      <c r="A25" s="17" t="str">
        <f ca="1">IFERROR(__xludf.DUMMYFUNCTION("""COMPUTED_VALUE"""),"TRX1973")</f>
        <v>TRX1973</v>
      </c>
      <c r="B25" s="86" t="str">
        <f ca="1">IFERROR(__xludf.DUMMYFUNCTION("""COMPUTED_VALUE"""),"#52")</f>
        <v>#52</v>
      </c>
      <c r="C25" s="63">
        <f ca="1">IFERROR(__xludf.DUMMYFUNCTION("""COMPUTED_VALUE"""),46061.4173611111)</f>
        <v>46061.417361111096</v>
      </c>
      <c r="D25" s="65">
        <f ca="1">IFERROR(__xludf.DUMMYFUNCTION("""COMPUTED_VALUE"""),379.56)</f>
        <v>379.56</v>
      </c>
      <c r="E25" s="17" t="str">
        <f ca="1">IFERROR(__xludf.DUMMYFUNCTION("""COMPUTED_VALUE"""),"USD")</f>
        <v>USD</v>
      </c>
      <c r="F25" s="17" t="str">
        <f ca="1">IFERROR(__xludf.DUMMYFUNCTION("""COMPUTED_VALUE"""),"Tommaso Rivetti Vinea")</f>
        <v>Tommaso Rivetti Vinea</v>
      </c>
      <c r="G25" s="17" t="str">
        <f ca="1">IFERROR(__xludf.DUMMYFUNCTION("""COMPUTED_VALUE"""),"UBER   * PENDING       SAN FRANCISCO USA")</f>
        <v>UBER   * PENDING       SAN FRANCISCO USA</v>
      </c>
      <c r="H25" s="17" t="str">
        <f ca="1">IFERROR(__xludf.DUMMYFUNCTION("""COMPUTED_VALUE"""),"Uber")</f>
        <v>Uber</v>
      </c>
      <c r="I25" s="17" t="str">
        <f ca="1">IFERROR(__xludf.DUMMYFUNCTION("""COMPUTED_VALUE"""),"Capex")</f>
        <v>Capex</v>
      </c>
      <c r="J25" s="17" t="str">
        <f ca="1">IFERROR(__xludf.DUMMYFUNCTION("""COMPUTED_VALUE"""),"Uber TRV - PO1966")</f>
        <v>Uber TRV - PO1966</v>
      </c>
      <c r="K25" s="17" t="str">
        <f ca="1">IFERROR(__xludf.DUMMYFUNCTION("""COMPUTED_VALUE"""),"N/A")</f>
        <v>N/A</v>
      </c>
      <c r="L25" s="17"/>
      <c r="M25" s="17"/>
      <c r="N25" s="17"/>
      <c r="O25" s="17"/>
    </row>
    <row r="26" spans="1:15" ht="12.5">
      <c r="A26" s="17" t="str">
        <f ca="1">IFERROR(__xludf.DUMMYFUNCTION("""COMPUTED_VALUE"""),"TRX1258")</f>
        <v>TRX1258</v>
      </c>
      <c r="B26" s="86" t="str">
        <f ca="1">IFERROR(__xludf.DUMMYFUNCTION("""COMPUTED_VALUE"""),"#52")</f>
        <v>#52</v>
      </c>
      <c r="C26" s="63">
        <f ca="1">IFERROR(__xludf.DUMMYFUNCTION("""COMPUTED_VALUE"""),46061.4173611111)</f>
        <v>46061.417361111096</v>
      </c>
      <c r="D26" s="65">
        <f ca="1">IFERROR(__xludf.DUMMYFUNCTION("""COMPUTED_VALUE"""),54.35)</f>
        <v>54.35</v>
      </c>
      <c r="E26" s="17" t="str">
        <f ca="1">IFERROR(__xludf.DUMMYFUNCTION("""COMPUTED_VALUE"""),"USD")</f>
        <v>USD</v>
      </c>
      <c r="F26" s="17" t="str">
        <f ca="1">IFERROR(__xludf.DUMMYFUNCTION("""COMPUTED_VALUE"""),"Tommaso Rivetti Vinea")</f>
        <v>Tommaso Rivetti Vinea</v>
      </c>
      <c r="G26" s="17" t="str">
        <f ca="1">IFERROR(__xludf.DUMMYFUNCTION("""COMPUTED_VALUE"""),"UBER   *TRIP           SAN FRANCISCO USA")</f>
        <v>UBER   *TRIP           SAN FRANCISCO USA</v>
      </c>
      <c r="H26" s="17" t="str">
        <f ca="1">IFERROR(__xludf.DUMMYFUNCTION("""COMPUTED_VALUE"""),"Uber")</f>
        <v>Uber</v>
      </c>
      <c r="I26" s="17" t="str">
        <f ca="1">IFERROR(__xludf.DUMMYFUNCTION("""COMPUTED_VALUE"""),"Capex")</f>
        <v>Capex</v>
      </c>
      <c r="J26" s="17" t="str">
        <f ca="1">IFERROR(__xludf.DUMMYFUNCTION("""COMPUTED_VALUE"""),"Uber TRV - PO1966")</f>
        <v>Uber TRV - PO1966</v>
      </c>
      <c r="K26" s="17" t="str">
        <f ca="1">IFERROR(__xludf.DUMMYFUNCTION("""COMPUTED_VALUE"""),"N/A")</f>
        <v>N/A</v>
      </c>
      <c r="L26" s="17"/>
      <c r="M26" s="17"/>
      <c r="N26" s="17"/>
      <c r="O26" s="17"/>
    </row>
    <row r="27" spans="1:15" ht="12.5">
      <c r="A27" s="17" t="str">
        <f ca="1">IFERROR(__xludf.DUMMYFUNCTION("""COMPUTED_VALUE"""),"TRX1703")</f>
        <v>TRX1703</v>
      </c>
      <c r="B27" s="86" t="str">
        <f ca="1">IFERROR(__xludf.DUMMYFUNCTION("""COMPUTED_VALUE"""),"#52")</f>
        <v>#52</v>
      </c>
      <c r="C27" s="63">
        <f ca="1">IFERROR(__xludf.DUMMYFUNCTION("""COMPUTED_VALUE"""),46061.4173611111)</f>
        <v>46061.417361111096</v>
      </c>
      <c r="D27" s="65">
        <f ca="1">IFERROR(__xludf.DUMMYFUNCTION("""COMPUTED_VALUE"""),560.55)</f>
        <v>560.54999999999995</v>
      </c>
      <c r="E27" s="17" t="str">
        <f ca="1">IFERROR(__xludf.DUMMYFUNCTION("""COMPUTED_VALUE"""),"USD")</f>
        <v>USD</v>
      </c>
      <c r="F27" s="17" t="str">
        <f ca="1">IFERROR(__xludf.DUMMYFUNCTION("""COMPUTED_VALUE"""),"Tommaso Rivetti Vinea")</f>
        <v>Tommaso Rivetti Vinea</v>
      </c>
      <c r="G27" s="17" t="str">
        <f ca="1">IFERROR(__xludf.DUMMYFUNCTION("""COMPUTED_VALUE"""),"UBER   * PENDING       SAN FRANCISCO USA")</f>
        <v>UBER   * PENDING       SAN FRANCISCO USA</v>
      </c>
      <c r="H27" s="17" t="str">
        <f ca="1">IFERROR(__xludf.DUMMYFUNCTION("""COMPUTED_VALUE"""),"Uber")</f>
        <v>Uber</v>
      </c>
      <c r="I27" s="17" t="str">
        <f ca="1">IFERROR(__xludf.DUMMYFUNCTION("""COMPUTED_VALUE"""),"Capex")</f>
        <v>Capex</v>
      </c>
      <c r="J27" s="17" t="str">
        <f ca="1">IFERROR(__xludf.DUMMYFUNCTION("""COMPUTED_VALUE"""),"Uber TRV - PO1966")</f>
        <v>Uber TRV - PO1966</v>
      </c>
      <c r="K27" s="17" t="str">
        <f ca="1">IFERROR(__xludf.DUMMYFUNCTION("""COMPUTED_VALUE"""),"N/A")</f>
        <v>N/A</v>
      </c>
      <c r="L27" s="17"/>
      <c r="M27" s="17"/>
      <c r="N27" s="17"/>
      <c r="O27" s="17"/>
    </row>
    <row r="28" spans="1:15" ht="12.5">
      <c r="A28" s="17" t="str">
        <f ca="1">IFERROR(__xludf.DUMMYFUNCTION("""COMPUTED_VALUE"""),"TRX1519")</f>
        <v>TRX1519</v>
      </c>
      <c r="B28" s="86" t="str">
        <f ca="1">IFERROR(__xludf.DUMMYFUNCTION("""COMPUTED_VALUE"""),"#52")</f>
        <v>#52</v>
      </c>
      <c r="C28" s="63">
        <f ca="1">IFERROR(__xludf.DUMMYFUNCTION("""COMPUTED_VALUE"""),46061.4173611111)</f>
        <v>46061.417361111096</v>
      </c>
      <c r="D28" s="65">
        <f ca="1">IFERROR(__xludf.DUMMYFUNCTION("""COMPUTED_VALUE"""),252.37)</f>
        <v>252.37</v>
      </c>
      <c r="E28" s="17" t="str">
        <f ca="1">IFERROR(__xludf.DUMMYFUNCTION("""COMPUTED_VALUE"""),"USD")</f>
        <v>USD</v>
      </c>
      <c r="F28" s="17" t="str">
        <f ca="1">IFERROR(__xludf.DUMMYFUNCTION("""COMPUTED_VALUE"""),"Tommaso Rivetti Vinea")</f>
        <v>Tommaso Rivetti Vinea</v>
      </c>
      <c r="G28" s="17" t="str">
        <f ca="1">IFERROR(__xludf.DUMMYFUNCTION("""COMPUTED_VALUE"""),"UBER   * PENDING       SAN FRANCISCO USA")</f>
        <v>UBER   * PENDING       SAN FRANCISCO USA</v>
      </c>
      <c r="H28" s="17" t="str">
        <f ca="1">IFERROR(__xludf.DUMMYFUNCTION("""COMPUTED_VALUE"""),"Uber")</f>
        <v>Uber</v>
      </c>
      <c r="I28" s="17" t="str">
        <f ca="1">IFERROR(__xludf.DUMMYFUNCTION("""COMPUTED_VALUE"""),"Capex")</f>
        <v>Capex</v>
      </c>
      <c r="J28" s="17" t="str">
        <f ca="1">IFERROR(__xludf.DUMMYFUNCTION("""COMPUTED_VALUE"""),"Uber TRV - PO1966")</f>
        <v>Uber TRV - PO1966</v>
      </c>
      <c r="K28" s="17" t="str">
        <f ca="1">IFERROR(__xludf.DUMMYFUNCTION("""COMPUTED_VALUE"""),"N/A")</f>
        <v>N/A</v>
      </c>
      <c r="L28" s="17"/>
      <c r="M28" s="17"/>
      <c r="N28" s="17"/>
      <c r="O28" s="17"/>
    </row>
    <row r="29" spans="1:15" ht="12.5">
      <c r="A29" s="17" t="str">
        <f ca="1">IFERROR(__xludf.DUMMYFUNCTION("""COMPUTED_VALUE"""),"TRX1905")</f>
        <v>TRX1905</v>
      </c>
      <c r="B29" s="86" t="str">
        <f ca="1">IFERROR(__xludf.DUMMYFUNCTION("""COMPUTED_VALUE"""),"#52")</f>
        <v>#52</v>
      </c>
      <c r="C29" s="63">
        <f ca="1">IFERROR(__xludf.DUMMYFUNCTION("""COMPUTED_VALUE"""),46062.4166666666)</f>
        <v>46062.416666666599</v>
      </c>
      <c r="D29" s="65">
        <f ca="1">IFERROR(__xludf.DUMMYFUNCTION("""COMPUTED_VALUE"""),2456.19)</f>
        <v>2456.19</v>
      </c>
      <c r="E29" s="17" t="str">
        <f ca="1">IFERROR(__xludf.DUMMYFUNCTION("""COMPUTED_VALUE"""),"USD")</f>
        <v>USD</v>
      </c>
      <c r="F29" s="17" t="str">
        <f ca="1">IFERROR(__xludf.DUMMYFUNCTION("""COMPUTED_VALUE"""),"Tommaso Rivetti Vinea")</f>
        <v>Tommaso Rivetti Vinea</v>
      </c>
      <c r="G29" s="17" t="str">
        <f ca="1">IFERROR(__xludf.DUMMYFUNCTION("""COMPUTED_VALUE"""),"COURTYARD BY MARRIOT   AUSTIN        USA")</f>
        <v>COURTYARD BY MARRIOT   AUSTIN        USA</v>
      </c>
      <c r="H29" s="17" t="str">
        <f ca="1">IFERROR(__xludf.DUMMYFUNCTION("""COMPUTED_VALUE"""),"Courtyard")</f>
        <v>Courtyard</v>
      </c>
      <c r="I29" s="17" t="str">
        <f ca="1">IFERROR(__xludf.DUMMYFUNCTION("""COMPUTED_VALUE"""),"Capex")</f>
        <v>Capex</v>
      </c>
      <c r="J29" s="17" t="str">
        <f ca="1">IFERROR(__xludf.DUMMYFUNCTION("""COMPUTED_VALUE"""),"Hotel TRV - PO1966")</f>
        <v>Hotel TRV - PO1966</v>
      </c>
      <c r="K29" s="17" t="str">
        <f ca="1">IFERROR(__xludf.DUMMYFUNCTION("""COMPUTED_VALUE"""),"N/A")</f>
        <v>N/A</v>
      </c>
      <c r="L29" s="17"/>
      <c r="M29" s="17"/>
      <c r="N29" s="17"/>
      <c r="O29" s="17"/>
    </row>
    <row r="30" spans="1:15" ht="12.5">
      <c r="A30" s="17" t="str">
        <f ca="1">IFERROR(__xludf.DUMMYFUNCTION("""COMPUTED_VALUE"""),"TRX1329")</f>
        <v>TRX1329</v>
      </c>
      <c r="B30" s="86" t="str">
        <f ca="1">IFERROR(__xludf.DUMMYFUNCTION("""COMPUTED_VALUE"""),"#52")</f>
        <v>#52</v>
      </c>
      <c r="C30" s="63">
        <f ca="1">IFERROR(__xludf.DUMMYFUNCTION("""COMPUTED_VALUE"""),46062.4166666666)</f>
        <v>46062.416666666599</v>
      </c>
      <c r="D30" s="65">
        <f ca="1">IFERROR(__xludf.DUMMYFUNCTION("""COMPUTED_VALUE"""),885.03)</f>
        <v>885.03</v>
      </c>
      <c r="E30" s="17" t="str">
        <f ca="1">IFERROR(__xludf.DUMMYFUNCTION("""COMPUTED_VALUE"""),"USD")</f>
        <v>USD</v>
      </c>
      <c r="F30" s="17" t="str">
        <f ca="1">IFERROR(__xludf.DUMMYFUNCTION("""COMPUTED_VALUE"""),"Tommaso Rivetti Vinea")</f>
        <v>Tommaso Rivetti Vinea</v>
      </c>
      <c r="G30" s="17" t="str">
        <f ca="1">IFERROR(__xludf.DUMMYFUNCTION("""COMPUTED_VALUE"""),"JIM'S #11              AUSTIN        USA")</f>
        <v>JIM'S #11              AUSTIN        USA</v>
      </c>
      <c r="H30" s="17" t="str">
        <f ca="1">IFERROR(__xludf.DUMMYFUNCTION("""COMPUTED_VALUE"""),"Jim's Austin USA")</f>
        <v>Jim's Austin USA</v>
      </c>
      <c r="I30" s="17" t="str">
        <f ca="1">IFERROR(__xludf.DUMMYFUNCTION("""COMPUTED_VALUE"""),"Capex")</f>
        <v>Capex</v>
      </c>
      <c r="J30" s="17" t="str">
        <f ca="1">IFERROR(__xludf.DUMMYFUNCTION("""COMPUTED_VALUE"""),"Comida TRV - PO1966")</f>
        <v>Comida TRV - PO1966</v>
      </c>
      <c r="K30" s="17" t="str">
        <f ca="1">IFERROR(__xludf.DUMMYFUNCTION("""COMPUTED_VALUE"""),"N/A")</f>
        <v>N/A</v>
      </c>
      <c r="L30" s="17"/>
      <c r="M30" s="17"/>
      <c r="N30" s="17"/>
      <c r="O30" s="17"/>
    </row>
    <row r="31" spans="1:15" ht="12.5">
      <c r="A31" s="17" t="str">
        <f ca="1">IFERROR(__xludf.DUMMYFUNCTION("""COMPUTED_VALUE"""),"TRX1119")</f>
        <v>TRX1119</v>
      </c>
      <c r="B31" s="86" t="str">
        <f ca="1">IFERROR(__xludf.DUMMYFUNCTION("""COMPUTED_VALUE"""),"#52")</f>
        <v>#52</v>
      </c>
      <c r="C31" s="63">
        <f ca="1">IFERROR(__xludf.DUMMYFUNCTION("""COMPUTED_VALUE"""),46066.4166666666)</f>
        <v>46066.416666666599</v>
      </c>
      <c r="D31" s="65">
        <f ca="1">IFERROR(__xludf.DUMMYFUNCTION("""COMPUTED_VALUE"""),64.93)</f>
        <v>64.930000000000007</v>
      </c>
      <c r="E31" s="17" t="str">
        <f ca="1">IFERROR(__xludf.DUMMYFUNCTION("""COMPUTED_VALUE"""),"MXN")</f>
        <v>MXN</v>
      </c>
      <c r="F31" s="17" t="str">
        <f ca="1">IFERROR(__xludf.DUMMYFUNCTION("""COMPUTED_VALUE"""),"Tommaso Rivetti Vinea")</f>
        <v>Tommaso Rivetti Vinea</v>
      </c>
      <c r="G31" s="17" t="str">
        <f ca="1">IFERROR(__xludf.DUMMYFUNCTION("""COMPUTED_VALUE"""),"UBER *TRIP HELP.UBER.C CMX           MEX")</f>
        <v>UBER *TRIP HELP.UBER.C CMX           MEX</v>
      </c>
      <c r="H31" s="17" t="str">
        <f ca="1">IFERROR(__xludf.DUMMYFUNCTION("""COMPUTED_VALUE"""),"Uber")</f>
        <v>Uber</v>
      </c>
      <c r="I31" s="17" t="str">
        <f ca="1">IFERROR(__xludf.DUMMYFUNCTION("""COMPUTED_VALUE"""),"Capex")</f>
        <v>Capex</v>
      </c>
      <c r="J31" s="17" t="str">
        <f ca="1">IFERROR(__xludf.DUMMYFUNCTION("""COMPUTED_VALUE"""),"Uber TRV - PO1966")</f>
        <v>Uber TRV - PO1966</v>
      </c>
      <c r="K31" s="17"/>
      <c r="L31" s="17"/>
      <c r="M31" s="17"/>
      <c r="N31" s="17"/>
      <c r="O31" s="17"/>
    </row>
    <row r="32" spans="1:15" ht="12.5">
      <c r="A32" s="17" t="str">
        <f ca="1">IFERROR(__xludf.DUMMYFUNCTION("""COMPUTED_VALUE"""),"TRX1266")</f>
        <v>TRX1266</v>
      </c>
      <c r="B32" s="86" t="str">
        <f ca="1">IFERROR(__xludf.DUMMYFUNCTION("""COMPUTED_VALUE"""),"#52")</f>
        <v>#52</v>
      </c>
      <c r="C32" s="63">
        <f ca="1">IFERROR(__xludf.DUMMYFUNCTION("""COMPUTED_VALUE"""),46069.4166666666)</f>
        <v>46069.416666666599</v>
      </c>
      <c r="D32" s="65">
        <f ca="1">IFERROR(__xludf.DUMMYFUNCTION("""COMPUTED_VALUE"""),7761)</f>
        <v>7761</v>
      </c>
      <c r="E32" s="17" t="str">
        <f ca="1">IFERROR(__xludf.DUMMYFUNCTION("""COMPUTED_VALUE"""),"MXN")</f>
        <v>MXN</v>
      </c>
      <c r="F32" s="17" t="str">
        <f ca="1">IFERROR(__xludf.DUMMYFUNCTION("""COMPUTED_VALUE"""),"Tommaso Rivetti Vinea")</f>
        <v>Tommaso Rivetti Vinea</v>
      </c>
      <c r="G32" s="17" t="str">
        <f ca="1">IFERROR(__xludf.DUMMYFUNCTION("""COMPUTED_VALUE"""),"AEROMEXICO CC PN       CIUDAD DE MEX MEX")</f>
        <v>AEROMEXICO CC PN       CIUDAD DE MEX MEX</v>
      </c>
      <c r="H32" s="17" t="str">
        <f ca="1">IFERROR(__xludf.DUMMYFUNCTION("""COMPUTED_VALUE"""),"Aeromexico")</f>
        <v>Aeromexico</v>
      </c>
      <c r="I32" s="17" t="str">
        <f ca="1">IFERROR(__xludf.DUMMYFUNCTION("""COMPUTED_VALUE"""),"Capex")</f>
        <v>Capex</v>
      </c>
      <c r="J32" s="17" t="str">
        <f ca="1">IFERROR(__xludf.DUMMYFUNCTION("""COMPUTED_VALUE"""),"Vuelo TRV - PO1066")</f>
        <v>Vuelo TRV - PO1066</v>
      </c>
      <c r="K32" s="17" t="str">
        <f ca="1">IFERROR(__xludf.DUMMYFUNCTION("""COMPUTED_VALUE"""),"F - 1392162943416")</f>
        <v>F - 1392162943416</v>
      </c>
      <c r="L32" s="17"/>
      <c r="M32" s="17"/>
      <c r="N32" s="17"/>
      <c r="O32" s="17"/>
    </row>
    <row r="33" spans="1:15" ht="12.5">
      <c r="A33" s="17" t="str">
        <f ca="1">IFERROR(__xludf.DUMMYFUNCTION("""COMPUTED_VALUE"""),"TRX1812")</f>
        <v>TRX1812</v>
      </c>
      <c r="B33" s="86" t="str">
        <f ca="1">IFERROR(__xludf.DUMMYFUNCTION("""COMPUTED_VALUE"""),"#52")</f>
        <v>#52</v>
      </c>
      <c r="C33" s="63">
        <f ca="1">IFERROR(__xludf.DUMMYFUNCTION("""COMPUTED_VALUE"""),46069.4166666666)</f>
        <v>46069.416666666599</v>
      </c>
      <c r="D33" s="65">
        <f ca="1">IFERROR(__xludf.DUMMYFUNCTION("""COMPUTED_VALUE"""),5517)</f>
        <v>5517</v>
      </c>
      <c r="E33" s="17" t="str">
        <f ca="1">IFERROR(__xludf.DUMMYFUNCTION("""COMPUTED_VALUE"""),"MXN")</f>
        <v>MXN</v>
      </c>
      <c r="F33" s="17" t="str">
        <f ca="1">IFERROR(__xludf.DUMMYFUNCTION("""COMPUTED_VALUE"""),"Tommaso Rivetti Vinea")</f>
        <v>Tommaso Rivetti Vinea</v>
      </c>
      <c r="G33" s="17" t="str">
        <f ca="1">IFERROR(__xludf.DUMMYFUNCTION("""COMPUTED_VALUE"""),"AEROMEXICO CC PN       CIUDAD DE MEX MEX")</f>
        <v>AEROMEXICO CC PN       CIUDAD DE MEX MEX</v>
      </c>
      <c r="H33" s="17" t="str">
        <f ca="1">IFERROR(__xludf.DUMMYFUNCTION("""COMPUTED_VALUE"""),"Aeromexico")</f>
        <v>Aeromexico</v>
      </c>
      <c r="I33" s="17" t="str">
        <f ca="1">IFERROR(__xludf.DUMMYFUNCTION("""COMPUTED_VALUE"""),"Capex")</f>
        <v>Capex</v>
      </c>
      <c r="J33" s="17" t="str">
        <f ca="1">IFERROR(__xludf.DUMMYFUNCTION("""COMPUTED_VALUE"""),"Vuelo TRV - PO1066")</f>
        <v>Vuelo TRV - PO1066</v>
      </c>
      <c r="K33" s="17" t="str">
        <f ca="1">IFERROR(__xludf.DUMMYFUNCTION("""COMPUTED_VALUE"""),"F - 1392162943288")</f>
        <v>F - 1392162943288</v>
      </c>
      <c r="L33" s="17"/>
      <c r="M33" s="17"/>
      <c r="N33" s="17"/>
      <c r="O33" s="17"/>
    </row>
    <row r="34" spans="1:15" ht="12.5">
      <c r="A34" s="17" t="str">
        <f ca="1">IFERROR(__xludf.DUMMYFUNCTION("""COMPUTED_VALUE"""),"TRX1410")</f>
        <v>TRX1410</v>
      </c>
      <c r="B34" s="86" t="str">
        <f ca="1">IFERROR(__xludf.DUMMYFUNCTION("""COMPUTED_VALUE"""),"#52")</f>
        <v>#52</v>
      </c>
      <c r="C34" s="63">
        <f ca="1">IFERROR(__xludf.DUMMYFUNCTION("""COMPUTED_VALUE"""),46071.4166666666)</f>
        <v>46071.416666666599</v>
      </c>
      <c r="D34" s="65">
        <f ca="1">IFERROR(__xludf.DUMMYFUNCTION("""COMPUTED_VALUE"""),369.96)</f>
        <v>369.96</v>
      </c>
      <c r="E34" s="17" t="str">
        <f ca="1">IFERROR(__xludf.DUMMYFUNCTION("""COMPUTED_VALUE"""),"MXN")</f>
        <v>MXN</v>
      </c>
      <c r="F34" s="17" t="str">
        <f ca="1">IFERROR(__xludf.DUMMYFUNCTION("""COMPUTED_VALUE"""),"Tommaso Rivetti Vinea")</f>
        <v>Tommaso Rivetti Vinea</v>
      </c>
      <c r="G34" s="17" t="str">
        <f ca="1">IFERROR(__xludf.DUMMYFUNCTION("""COMPUTED_VALUE"""),"UBER * PENDING         CMX           MEX")</f>
        <v>UBER * PENDING         CMX           MEX</v>
      </c>
      <c r="H34" s="17" t="str">
        <f ca="1">IFERROR(__xludf.DUMMYFUNCTION("""COMPUTED_VALUE"""),"Uber")</f>
        <v>Uber</v>
      </c>
      <c r="I34" s="17" t="str">
        <f ca="1">IFERROR(__xludf.DUMMYFUNCTION("""COMPUTED_VALUE"""),"Capex")</f>
        <v>Capex</v>
      </c>
      <c r="J34" s="17" t="str">
        <f ca="1">IFERROR(__xludf.DUMMYFUNCTION("""COMPUTED_VALUE"""),"Uber TRV - PO1966")</f>
        <v>Uber TRV - PO1966</v>
      </c>
      <c r="K34" s="17"/>
      <c r="L34" s="17"/>
      <c r="M34" s="17"/>
      <c r="N34" s="17"/>
      <c r="O34" s="17"/>
    </row>
    <row r="35" spans="1:15" ht="12.5">
      <c r="A35" s="17" t="str">
        <f ca="1">IFERROR(__xludf.DUMMYFUNCTION("""COMPUTED_VALUE"""),"TRX1486")</f>
        <v>TRX1486</v>
      </c>
      <c r="B35" s="86" t="str">
        <f ca="1">IFERROR(__xludf.DUMMYFUNCTION("""COMPUTED_VALUE"""),"#52")</f>
        <v>#52</v>
      </c>
      <c r="C35" s="63">
        <f ca="1">IFERROR(__xludf.DUMMYFUNCTION("""COMPUTED_VALUE"""),46072.4166666666)</f>
        <v>46072.416666666599</v>
      </c>
      <c r="D35" s="65">
        <f ca="1">IFERROR(__xludf.DUMMYFUNCTION("""COMPUTED_VALUE"""),10)</f>
        <v>10</v>
      </c>
      <c r="E35" s="17" t="str">
        <f ca="1">IFERROR(__xludf.DUMMYFUNCTION("""COMPUTED_VALUE"""),"MXN")</f>
        <v>MXN</v>
      </c>
      <c r="F35" s="17" t="str">
        <f ca="1">IFERROR(__xludf.DUMMYFUNCTION("""COMPUTED_VALUE"""),"Tommaso Rivetti Vinea")</f>
        <v>Tommaso Rivetti Vinea</v>
      </c>
      <c r="G35" s="17" t="str">
        <f ca="1">IFERROR(__xludf.DUMMYFUNCTION("""COMPUTED_VALUE"""),"UBER *TRIP HELP.UBER.C CMX           MEX")</f>
        <v>UBER *TRIP HELP.UBER.C CMX           MEX</v>
      </c>
      <c r="H35" s="17" t="str">
        <f ca="1">IFERROR(__xludf.DUMMYFUNCTION("""COMPUTED_VALUE"""),"Uber")</f>
        <v>Uber</v>
      </c>
      <c r="I35" s="17" t="str">
        <f ca="1">IFERROR(__xludf.DUMMYFUNCTION("""COMPUTED_VALUE"""),"Capex")</f>
        <v>Capex</v>
      </c>
      <c r="J35" s="17" t="str">
        <f ca="1">IFERROR(__xludf.DUMMYFUNCTION("""COMPUTED_VALUE"""),"Uber TRV - PO1966")</f>
        <v>Uber TRV - PO1966</v>
      </c>
      <c r="K35" s="17"/>
      <c r="L35" s="17"/>
      <c r="M35" s="17"/>
      <c r="N35" s="17"/>
      <c r="O35" s="17"/>
    </row>
    <row r="36" spans="1:15" ht="12.5">
      <c r="A36" s="17" t="str">
        <f ca="1">IFERROR(__xludf.DUMMYFUNCTION("""COMPUTED_VALUE"""),"TRX1440")</f>
        <v>TRX1440</v>
      </c>
      <c r="B36" s="86" t="str">
        <f ca="1">IFERROR(__xludf.DUMMYFUNCTION("""COMPUTED_VALUE"""),"#52")</f>
        <v>#52</v>
      </c>
      <c r="C36" s="63">
        <f ca="1">IFERROR(__xludf.DUMMYFUNCTION("""COMPUTED_VALUE"""),46073.4173611111)</f>
        <v>46073.417361111096</v>
      </c>
      <c r="D36" s="65">
        <f ca="1">IFERROR(__xludf.DUMMYFUNCTION("""COMPUTED_VALUE"""),2644.74)</f>
        <v>2644.74</v>
      </c>
      <c r="E36" s="17" t="str">
        <f ca="1">IFERROR(__xludf.DUMMYFUNCTION("""COMPUTED_VALUE"""),"USD")</f>
        <v>USD</v>
      </c>
      <c r="F36" s="17" t="str">
        <f ca="1">IFERROR(__xludf.DUMMYFUNCTION("""COMPUTED_VALUE"""),"Tommaso Rivetti Vinea")</f>
        <v>Tommaso Rivetti Vinea</v>
      </c>
      <c r="G36" s="17" t="str">
        <f ca="1">IFERROR(__xludf.DUMMYFUNCTION("""COMPUTED_VALUE"""),"VONLANE                DALLAS        USA")</f>
        <v>VONLANE                DALLAS        USA</v>
      </c>
      <c r="H36" s="17" t="str">
        <f ca="1">IFERROR(__xludf.DUMMYFUNCTION("""COMPUTED_VALUE"""),"Vonlane Dallas USA")</f>
        <v>Vonlane Dallas USA</v>
      </c>
      <c r="I36" s="17" t="str">
        <f ca="1">IFERROR(__xludf.DUMMYFUNCTION("""COMPUTED_VALUE"""),"Capex")</f>
        <v>Capex</v>
      </c>
      <c r="J36" s="17" t="str">
        <f ca="1">IFERROR(__xludf.DUMMYFUNCTION("""COMPUTED_VALUE"""),"Bus TEV - PO1966")</f>
        <v>Bus TEV - PO1966</v>
      </c>
      <c r="K36" s="17" t="str">
        <f ca="1">IFERROR(__xludf.DUMMYFUNCTION("""COMPUTED_VALUE"""),"N/A")</f>
        <v>N/A</v>
      </c>
      <c r="L36" s="17"/>
      <c r="M36" s="17"/>
      <c r="N36" s="17"/>
      <c r="O36" s="17"/>
    </row>
    <row r="37" spans="1:15" ht="12.5">
      <c r="A37" s="17" t="str">
        <f ca="1">IFERROR(__xludf.DUMMYFUNCTION("""COMPUTED_VALUE"""),"TRX1037")</f>
        <v>TRX1037</v>
      </c>
      <c r="B37" s="86" t="str">
        <f ca="1">IFERROR(__xludf.DUMMYFUNCTION("""COMPUTED_VALUE"""),"#52")</f>
        <v>#52</v>
      </c>
      <c r="C37" s="63">
        <f ca="1">IFERROR(__xludf.DUMMYFUNCTION("""COMPUTED_VALUE"""),46073.4173611111)</f>
        <v>46073.417361111096</v>
      </c>
      <c r="D37" s="65">
        <f ca="1">IFERROR(__xludf.DUMMYFUNCTION("""COMPUTED_VALUE"""),1709.48)</f>
        <v>1709.48</v>
      </c>
      <c r="E37" s="17" t="str">
        <f ca="1">IFERROR(__xludf.DUMMYFUNCTION("""COMPUTED_VALUE"""),"USD")</f>
        <v>USD</v>
      </c>
      <c r="F37" s="17" t="str">
        <f ca="1">IFERROR(__xludf.DUMMYFUNCTION("""COMPUTED_VALUE"""),"Tommaso Rivetti Vinea")</f>
        <v>Tommaso Rivetti Vinea</v>
      </c>
      <c r="G37" s="17" t="str">
        <f ca="1">IFERROR(__xludf.DUMMYFUNCTION("""COMPUTED_VALUE"""),"DFW MINORITY BUS DEV C DALLAS        USA")</f>
        <v>DFW MINORITY BUS DEV C DALLAS        USA</v>
      </c>
      <c r="H37" s="17" t="str">
        <f ca="1">IFERROR(__xludf.DUMMYFUNCTION("""COMPUTED_VALUE"""),"Dfw Minority Bus Dev C Dallas USA")</f>
        <v>Dfw Minority Bus Dev C Dallas USA</v>
      </c>
      <c r="I37" s="17" t="str">
        <f ca="1">IFERROR(__xludf.DUMMYFUNCTION("""COMPUTED_VALUE"""),"Capex")</f>
        <v>Capex</v>
      </c>
      <c r="J37" s="17" t="str">
        <f ca="1">IFERROR(__xludf.DUMMYFUNCTION("""COMPUTED_VALUE"""),"Expo GCs Dallas - PO1966")</f>
        <v>Expo GCs Dallas - PO1966</v>
      </c>
      <c r="K37" s="17" t="str">
        <f ca="1">IFERROR(__xludf.DUMMYFUNCTION("""COMPUTED_VALUE"""),"N/A")</f>
        <v>N/A</v>
      </c>
      <c r="L37" s="17"/>
      <c r="M37" s="17"/>
      <c r="N37" s="17"/>
      <c r="O37" s="17"/>
    </row>
    <row r="38" spans="1:15" ht="12.5">
      <c r="A38" s="17" t="str">
        <f ca="1">IFERROR(__xludf.DUMMYFUNCTION("""COMPUTED_VALUE"""),"TRX1039")</f>
        <v>TRX1039</v>
      </c>
      <c r="B38" s="86" t="str">
        <f ca="1">IFERROR(__xludf.DUMMYFUNCTION("""COMPUTED_VALUE"""),"#52")</f>
        <v>#52</v>
      </c>
      <c r="C38" s="63">
        <f ca="1">IFERROR(__xludf.DUMMYFUNCTION("""COMPUTED_VALUE"""),46074.4173611111)</f>
        <v>46074.417361111096</v>
      </c>
      <c r="D38" s="65">
        <f ca="1">IFERROR(__xludf.DUMMYFUNCTION("""COMPUTED_VALUE"""),981.25)</f>
        <v>981.25</v>
      </c>
      <c r="E38" s="17" t="str">
        <f ca="1">IFERROR(__xludf.DUMMYFUNCTION("""COMPUTED_VALUE"""),"USD")</f>
        <v>USD</v>
      </c>
      <c r="F38" s="17" t="str">
        <f ca="1">IFERROR(__xludf.DUMMYFUNCTION("""COMPUTED_VALUE"""),"Tommaso Rivetti Vinea")</f>
        <v>Tommaso Rivetti Vinea</v>
      </c>
      <c r="G38" s="17" t="str">
        <f ca="1">IFERROR(__xludf.DUMMYFUNCTION("""COMPUTED_VALUE"""),"TST*LAYERED            McKinney      USA")</f>
        <v>TST*LAYERED            McKinney      USA</v>
      </c>
      <c r="H38" s="17" t="str">
        <f ca="1">IFERROR(__xludf.DUMMYFUNCTION("""COMPUTED_VALUE"""),"Layered Mckinney USA")</f>
        <v>Layered Mckinney USA</v>
      </c>
      <c r="I38" s="17" t="str">
        <f ca="1">IFERROR(__xludf.DUMMYFUNCTION("""COMPUTED_VALUE"""),"Capex")</f>
        <v>Capex</v>
      </c>
      <c r="J38" s="17" t="str">
        <f ca="1">IFERROR(__xludf.DUMMYFUNCTION("""COMPUTED_VALUE"""),"Comida TRV - PO1966")</f>
        <v>Comida TRV - PO1966</v>
      </c>
      <c r="K38" s="17" t="str">
        <f ca="1">IFERROR(__xludf.DUMMYFUNCTION("""COMPUTED_VALUE"""),"N/A")</f>
        <v>N/A</v>
      </c>
      <c r="L38" s="17"/>
      <c r="M38" s="17"/>
      <c r="N38" s="17"/>
      <c r="O38" s="17"/>
    </row>
    <row r="39" spans="1:15" ht="12.5">
      <c r="A39" s="17" t="str">
        <f ca="1">IFERROR(__xludf.DUMMYFUNCTION("""COMPUTED_VALUE"""),"TRX1041")</f>
        <v>TRX1041</v>
      </c>
      <c r="B39" s="86" t="str">
        <f ca="1">IFERROR(__xludf.DUMMYFUNCTION("""COMPUTED_VALUE"""),"#52")</f>
        <v>#52</v>
      </c>
      <c r="C39" s="63">
        <f ca="1">IFERROR(__xludf.DUMMYFUNCTION("""COMPUTED_VALUE"""),46074.4180555555)</f>
        <v>46074.418055555499</v>
      </c>
      <c r="D39" s="65">
        <f ca="1">IFERROR(__xludf.DUMMYFUNCTION("""COMPUTED_VALUE"""),5086.9)</f>
        <v>5086.8999999999996</v>
      </c>
      <c r="E39" s="17" t="str">
        <f ca="1">IFERROR(__xludf.DUMMYFUNCTION("""COMPUTED_VALUE"""),"USD")</f>
        <v>USD</v>
      </c>
      <c r="F39" s="17" t="str">
        <f ca="1">IFERROR(__xludf.DUMMYFUNCTION("""COMPUTED_VALUE"""),"Tommaso Rivetti Vinea")</f>
        <v>Tommaso Rivetti Vinea</v>
      </c>
      <c r="G39" s="17" t="str">
        <f ca="1">IFERROR(__xludf.DUMMYFUNCTION("""COMPUTED_VALUE"""),"GRAND HOTEL MCK TX     MCKINNEY      USA")</f>
        <v>GRAND HOTEL MCK TX     MCKINNEY      USA</v>
      </c>
      <c r="H39" s="17" t="str">
        <f ca="1">IFERROR(__xludf.DUMMYFUNCTION("""COMPUTED_VALUE"""),"Grand Hotel Mck Tx Mckinney USA")</f>
        <v>Grand Hotel Mck Tx Mckinney USA</v>
      </c>
      <c r="I39" s="17" t="str">
        <f ca="1">IFERROR(__xludf.DUMMYFUNCTION("""COMPUTED_VALUE"""),"Capex")</f>
        <v>Capex</v>
      </c>
      <c r="J39" s="17" t="str">
        <f ca="1">IFERROR(__xludf.DUMMYFUNCTION("""COMPUTED_VALUE"""),"Hotel TRV - PO1966")</f>
        <v>Hotel TRV - PO1966</v>
      </c>
      <c r="K39" s="17" t="str">
        <f ca="1">IFERROR(__xludf.DUMMYFUNCTION("""COMPUTED_VALUE"""),"N/A")</f>
        <v>N/A</v>
      </c>
      <c r="L39" s="17"/>
      <c r="M39" s="17"/>
      <c r="N39" s="17"/>
      <c r="O39" s="17"/>
    </row>
    <row r="40" spans="1:15" ht="12.5">
      <c r="A40" s="17" t="str">
        <f ca="1">IFERROR(__xludf.DUMMYFUNCTION("""COMPUTED_VALUE"""),"TRX1043")</f>
        <v>TRX1043</v>
      </c>
      <c r="B40" s="86" t="str">
        <f ca="1">IFERROR(__xludf.DUMMYFUNCTION("""COMPUTED_VALUE"""),"#52")</f>
        <v>#52</v>
      </c>
      <c r="C40" s="63">
        <f ca="1">IFERROR(__xludf.DUMMYFUNCTION("""COMPUTED_VALUE"""),46074.4180555555)</f>
        <v>46074.418055555499</v>
      </c>
      <c r="D40" s="65">
        <f ca="1">IFERROR(__xludf.DUMMYFUNCTION("""COMPUTED_VALUE"""),791.94)</f>
        <v>791.94</v>
      </c>
      <c r="E40" s="17" t="str">
        <f ca="1">IFERROR(__xludf.DUMMYFUNCTION("""COMPUTED_VALUE"""),"USD")</f>
        <v>USD</v>
      </c>
      <c r="F40" s="17" t="str">
        <f ca="1">IFERROR(__xludf.DUMMYFUNCTION("""COMPUTED_VALUE"""),"Tommaso Rivetti Vinea")</f>
        <v>Tommaso Rivetti Vinea</v>
      </c>
      <c r="G40" s="17" t="str">
        <f ca="1">IFERROR(__xludf.DUMMYFUNCTION("""COMPUTED_VALUE"""),"UBER   * EATS PENDING  SAN FRANCISCO USA")</f>
        <v>UBER   * EATS PENDING  SAN FRANCISCO USA</v>
      </c>
      <c r="H40" s="17" t="str">
        <f ca="1">IFERROR(__xludf.DUMMYFUNCTION("""COMPUTED_VALUE"""),"Uber Eats")</f>
        <v>Uber Eats</v>
      </c>
      <c r="I40" s="17" t="str">
        <f ca="1">IFERROR(__xludf.DUMMYFUNCTION("""COMPUTED_VALUE"""),"Capex")</f>
        <v>Capex</v>
      </c>
      <c r="J40" s="17" t="str">
        <f ca="1">IFERROR(__xludf.DUMMYFUNCTION("""COMPUTED_VALUE"""),"Uber TRV - PO1966")</f>
        <v>Uber TRV - PO1966</v>
      </c>
      <c r="K40" s="17" t="str">
        <f ca="1">IFERROR(__xludf.DUMMYFUNCTION("""COMPUTED_VALUE"""),"N/A")</f>
        <v>N/A</v>
      </c>
      <c r="L40" s="17"/>
      <c r="M40" s="17"/>
      <c r="N40" s="17"/>
      <c r="O40" s="17"/>
    </row>
    <row r="41" spans="1:15" ht="12.5">
      <c r="A41" s="17" t="str">
        <f ca="1">IFERROR(__xludf.DUMMYFUNCTION("""COMPUTED_VALUE"""),"TRX1044")</f>
        <v>TRX1044</v>
      </c>
      <c r="B41" s="86" t="str">
        <f ca="1">IFERROR(__xludf.DUMMYFUNCTION("""COMPUTED_VALUE"""),"#52")</f>
        <v>#52</v>
      </c>
      <c r="C41" s="63">
        <f ca="1">IFERROR(__xludf.DUMMYFUNCTION("""COMPUTED_VALUE"""),46074.4180555555)</f>
        <v>46074.418055555499</v>
      </c>
      <c r="D41" s="65">
        <f ca="1">IFERROR(__xludf.DUMMYFUNCTION("""COMPUTED_VALUE"""),531.88)</f>
        <v>531.88</v>
      </c>
      <c r="E41" s="17" t="str">
        <f ca="1">IFERROR(__xludf.DUMMYFUNCTION("""COMPUTED_VALUE"""),"USD")</f>
        <v>USD</v>
      </c>
      <c r="F41" s="17" t="str">
        <f ca="1">IFERROR(__xludf.DUMMYFUNCTION("""COMPUTED_VALUE"""),"Tommaso Rivetti Vinea")</f>
        <v>Tommaso Rivetti Vinea</v>
      </c>
      <c r="G41" s="17" t="str">
        <f ca="1">IFERROR(__xludf.DUMMYFUNCTION("""COMPUTED_VALUE"""),"UBER   * EATS PENDING  SAN FRANCISCO USA")</f>
        <v>UBER   * EATS PENDING  SAN FRANCISCO USA</v>
      </c>
      <c r="H41" s="17" t="str">
        <f ca="1">IFERROR(__xludf.DUMMYFUNCTION("""COMPUTED_VALUE"""),"Uber Eats")</f>
        <v>Uber Eats</v>
      </c>
      <c r="I41" s="17" t="str">
        <f ca="1">IFERROR(__xludf.DUMMYFUNCTION("""COMPUTED_VALUE"""),"Capex")</f>
        <v>Capex</v>
      </c>
      <c r="J41" s="17" t="str">
        <f ca="1">IFERROR(__xludf.DUMMYFUNCTION("""COMPUTED_VALUE"""),"Uber TRV - PO1966")</f>
        <v>Uber TRV - PO1966</v>
      </c>
      <c r="K41" s="17" t="str">
        <f ca="1">IFERROR(__xludf.DUMMYFUNCTION("""COMPUTED_VALUE"""),"N/A")</f>
        <v>N/A</v>
      </c>
      <c r="L41" s="17"/>
      <c r="M41" s="17"/>
      <c r="N41" s="17"/>
      <c r="O41" s="17"/>
    </row>
    <row r="42" spans="1:15" ht="12.5">
      <c r="A42" s="17" t="str">
        <f ca="1">IFERROR(__xludf.DUMMYFUNCTION("""COMPUTED_VALUE"""),"TRX1045")</f>
        <v>TRX1045</v>
      </c>
      <c r="B42" s="86" t="str">
        <f ca="1">IFERROR(__xludf.DUMMYFUNCTION("""COMPUTED_VALUE"""),"#52")</f>
        <v>#52</v>
      </c>
      <c r="C42" s="63">
        <f ca="1">IFERROR(__xludf.DUMMYFUNCTION("""COMPUTED_VALUE"""),46074.4180555555)</f>
        <v>46074.418055555499</v>
      </c>
      <c r="D42" s="65">
        <f ca="1">IFERROR(__xludf.DUMMYFUNCTION("""COMPUTED_VALUE"""),96.45)</f>
        <v>96.45</v>
      </c>
      <c r="E42" s="17" t="str">
        <f ca="1">IFERROR(__xludf.DUMMYFUNCTION("""COMPUTED_VALUE"""),"USD")</f>
        <v>USD</v>
      </c>
      <c r="F42" s="17" t="str">
        <f ca="1">IFERROR(__xludf.DUMMYFUNCTION("""COMPUTED_VALUE"""),"Tommaso Rivetti Vinea")</f>
        <v>Tommaso Rivetti Vinea</v>
      </c>
      <c r="G42" s="17" t="str">
        <f ca="1">IFERROR(__xludf.DUMMYFUNCTION("""COMPUTED_VALUE"""),"HILTON FORT WORTH FB   FORT WORTH    USA")</f>
        <v>HILTON FORT WORTH FB   FORT WORTH    USA</v>
      </c>
      <c r="H42" s="17" t="str">
        <f ca="1">IFERROR(__xludf.DUMMYFUNCTION("""COMPUTED_VALUE"""),"Hilton Fort Worth Fb Fort Worth USA")</f>
        <v>Hilton Fort Worth Fb Fort Worth USA</v>
      </c>
      <c r="I42" s="17" t="str">
        <f ca="1">IFERROR(__xludf.DUMMYFUNCTION("""COMPUTED_VALUE"""),"Capex")</f>
        <v>Capex</v>
      </c>
      <c r="J42" s="17" t="str">
        <f ca="1">IFERROR(__xludf.DUMMYFUNCTION("""COMPUTED_VALUE"""),"Comida TRV - PO1966")</f>
        <v>Comida TRV - PO1966</v>
      </c>
      <c r="K42" s="17" t="str">
        <f ca="1">IFERROR(__xludf.DUMMYFUNCTION("""COMPUTED_VALUE"""),"N/A")</f>
        <v>N/A</v>
      </c>
      <c r="L42" s="17"/>
      <c r="M42" s="17"/>
      <c r="N42" s="17"/>
      <c r="O42" s="17"/>
    </row>
    <row r="43" spans="1:15" ht="12.5">
      <c r="A43" s="17" t="str">
        <f ca="1">IFERROR(__xludf.DUMMYFUNCTION("""COMPUTED_VALUE"""),"TRX1046")</f>
        <v>TRX1046</v>
      </c>
      <c r="B43" s="86" t="str">
        <f ca="1">IFERROR(__xludf.DUMMYFUNCTION("""COMPUTED_VALUE"""),"#52")</f>
        <v>#52</v>
      </c>
      <c r="C43" s="63">
        <f ca="1">IFERROR(__xludf.DUMMYFUNCTION("""COMPUTED_VALUE"""),46074.4180555555)</f>
        <v>46074.418055555499</v>
      </c>
      <c r="D43" s="65">
        <f ca="1">IFERROR(__xludf.DUMMYFUNCTION("""COMPUTED_VALUE"""),215.22)</f>
        <v>215.22</v>
      </c>
      <c r="E43" s="17" t="str">
        <f ca="1">IFERROR(__xludf.DUMMYFUNCTION("""COMPUTED_VALUE"""),"USD")</f>
        <v>USD</v>
      </c>
      <c r="F43" s="17" t="str">
        <f ca="1">IFERROR(__xludf.DUMMYFUNCTION("""COMPUTED_VALUE"""),"Tommaso Rivetti Vinea")</f>
        <v>Tommaso Rivetti Vinea</v>
      </c>
      <c r="G43" s="17" t="str">
        <f ca="1">IFERROR(__xludf.DUMMYFUNCTION("""COMPUTED_VALUE"""),"UBER   * PENDING       SAN FRANCISCO USA")</f>
        <v>UBER   * PENDING       SAN FRANCISCO USA</v>
      </c>
      <c r="H43" s="17" t="str">
        <f ca="1">IFERROR(__xludf.DUMMYFUNCTION("""COMPUTED_VALUE"""),"Uber")</f>
        <v>Uber</v>
      </c>
      <c r="I43" s="17" t="str">
        <f ca="1">IFERROR(__xludf.DUMMYFUNCTION("""COMPUTED_VALUE"""),"Capex")</f>
        <v>Capex</v>
      </c>
      <c r="J43" s="17" t="str">
        <f ca="1">IFERROR(__xludf.DUMMYFUNCTION("""COMPUTED_VALUE"""),"Uber TRV - PO1966")</f>
        <v>Uber TRV - PO1966</v>
      </c>
      <c r="K43" s="17" t="str">
        <f ca="1">IFERROR(__xludf.DUMMYFUNCTION("""COMPUTED_VALUE"""),"N/A")</f>
        <v>N/A</v>
      </c>
      <c r="L43" s="17"/>
      <c r="M43" s="17"/>
      <c r="N43" s="17"/>
      <c r="O43" s="17"/>
    </row>
    <row r="44" spans="1:15" ht="12.5">
      <c r="A44" s="17" t="str">
        <f ca="1">IFERROR(__xludf.DUMMYFUNCTION("""COMPUTED_VALUE"""),"TRX1055")</f>
        <v>TRX1055</v>
      </c>
      <c r="B44" s="86" t="str">
        <f ca="1">IFERROR(__xludf.DUMMYFUNCTION("""COMPUTED_VALUE"""),"#52")</f>
        <v>#52</v>
      </c>
      <c r="C44" s="63">
        <f ca="1">IFERROR(__xludf.DUMMYFUNCTION("""COMPUTED_VALUE"""),46075.4166666666)</f>
        <v>46075.416666666599</v>
      </c>
      <c r="D44" s="65">
        <f ca="1">IFERROR(__xludf.DUMMYFUNCTION("""COMPUTED_VALUE"""),10)</f>
        <v>10</v>
      </c>
      <c r="E44" s="17" t="str">
        <f ca="1">IFERROR(__xludf.DUMMYFUNCTION("""COMPUTED_VALUE"""),"MXN")</f>
        <v>MXN</v>
      </c>
      <c r="F44" s="17" t="str">
        <f ca="1">IFERROR(__xludf.DUMMYFUNCTION("""COMPUTED_VALUE"""),"Tommaso Rivetti Vinea")</f>
        <v>Tommaso Rivetti Vinea</v>
      </c>
      <c r="G44" s="17" t="str">
        <f ca="1">IFERROR(__xludf.DUMMYFUNCTION("""COMPUTED_VALUE"""),"UBER *TRIP HELP.UBER.C CMX           MEX")</f>
        <v>UBER *TRIP HELP.UBER.C CMX           MEX</v>
      </c>
      <c r="H44" s="17" t="str">
        <f ca="1">IFERROR(__xludf.DUMMYFUNCTION("""COMPUTED_VALUE"""),"Uber")</f>
        <v>Uber</v>
      </c>
      <c r="I44" s="17" t="str">
        <f ca="1">IFERROR(__xludf.DUMMYFUNCTION("""COMPUTED_VALUE"""),"Capex")</f>
        <v>Capex</v>
      </c>
      <c r="J44" s="17" t="str">
        <f ca="1">IFERROR(__xludf.DUMMYFUNCTION("""COMPUTED_VALUE"""),"Uber TRV - PO1966")</f>
        <v>Uber TRV - PO1966</v>
      </c>
      <c r="K44" s="17" t="str">
        <f ca="1">IFERROR(__xludf.DUMMYFUNCTION("""COMPUTED_VALUE"""),"KEHAAZ-I-0000442")</f>
        <v>KEHAAZ-I-0000442</v>
      </c>
      <c r="L44" s="17"/>
      <c r="M44" s="17"/>
      <c r="N44" s="17"/>
      <c r="O44" s="17"/>
    </row>
    <row r="45" spans="1:15" ht="12.5">
      <c r="A45" s="17" t="str">
        <f ca="1">IFERROR(__xludf.DUMMYFUNCTION("""COMPUTED_VALUE"""),"TRX1057")</f>
        <v>TRX1057</v>
      </c>
      <c r="B45" s="86" t="str">
        <f ca="1">IFERROR(__xludf.DUMMYFUNCTION("""COMPUTED_VALUE"""),"#52")</f>
        <v>#52</v>
      </c>
      <c r="C45" s="63">
        <f ca="1">IFERROR(__xludf.DUMMYFUNCTION("""COMPUTED_VALUE"""),46075.4166666666)</f>
        <v>46075.416666666599</v>
      </c>
      <c r="D45" s="65">
        <f ca="1">IFERROR(__xludf.DUMMYFUNCTION("""COMPUTED_VALUE"""),599.94)</f>
        <v>599.94000000000005</v>
      </c>
      <c r="E45" s="17" t="str">
        <f ca="1">IFERROR(__xludf.DUMMYFUNCTION("""COMPUTED_VALUE"""),"MXN")</f>
        <v>MXN</v>
      </c>
      <c r="F45" s="17" t="str">
        <f ca="1">IFERROR(__xludf.DUMMYFUNCTION("""COMPUTED_VALUE"""),"Tommaso Rivetti Vinea")</f>
        <v>Tommaso Rivetti Vinea</v>
      </c>
      <c r="G45" s="17" t="str">
        <f ca="1">IFERROR(__xludf.DUMMYFUNCTION("""COMPUTED_VALUE"""),"UBER * PENDING         CMX           MEX")</f>
        <v>UBER * PENDING         CMX           MEX</v>
      </c>
      <c r="H45" s="17" t="str">
        <f ca="1">IFERROR(__xludf.DUMMYFUNCTION("""COMPUTED_VALUE"""),"Uber")</f>
        <v>Uber</v>
      </c>
      <c r="I45" s="17" t="str">
        <f ca="1">IFERROR(__xludf.DUMMYFUNCTION("""COMPUTED_VALUE"""),"Capex")</f>
        <v>Capex</v>
      </c>
      <c r="J45" s="17" t="str">
        <f ca="1">IFERROR(__xludf.DUMMYFUNCTION("""COMPUTED_VALUE"""),"Uber TRV - PO1966")</f>
        <v>Uber TRV - PO1966</v>
      </c>
      <c r="K45" s="17" t="str">
        <f ca="1">IFERROR(__xludf.DUMMYFUNCTION("""COMPUTED_VALUE"""),"KEHAAZ-I-0000442")</f>
        <v>KEHAAZ-I-0000442</v>
      </c>
      <c r="L45" s="17"/>
      <c r="M45" s="17"/>
      <c r="N45" s="17"/>
      <c r="O45" s="17"/>
    </row>
    <row r="46" spans="1:15" ht="12.5">
      <c r="A46" s="17" t="str">
        <f ca="1">IFERROR(__xludf.DUMMYFUNCTION("""COMPUTED_VALUE"""),"TRX1090")</f>
        <v>TRX1090</v>
      </c>
      <c r="B46" s="86" t="str">
        <f ca="1">IFERROR(__xludf.DUMMYFUNCTION("""COMPUTED_VALUE"""),"#52")</f>
        <v>#52</v>
      </c>
      <c r="C46" s="63">
        <f ca="1">IFERROR(__xludf.DUMMYFUNCTION("""COMPUTED_VALUE"""),46075.4173611111)</f>
        <v>46075.417361111096</v>
      </c>
      <c r="D46" s="65">
        <f ca="1">IFERROR(__xludf.DUMMYFUNCTION("""COMPUTED_VALUE"""),55.49)</f>
        <v>55.49</v>
      </c>
      <c r="E46" s="17" t="str">
        <f ca="1">IFERROR(__xludf.DUMMYFUNCTION("""COMPUTED_VALUE"""),"USD")</f>
        <v>USD</v>
      </c>
      <c r="F46" s="17" t="str">
        <f ca="1">IFERROR(__xludf.DUMMYFUNCTION("""COMPUTED_VALUE"""),"Tommaso Rivetti Vinea")</f>
        <v>Tommaso Rivetti Vinea</v>
      </c>
      <c r="G46" s="17" t="str">
        <f ca="1">IFERROR(__xludf.DUMMYFUNCTION("""COMPUTED_VALUE"""),"UBER   *TRIP           SAN FRANCISCO USA")</f>
        <v>UBER   *TRIP           SAN FRANCISCO USA</v>
      </c>
      <c r="H46" s="17" t="str">
        <f ca="1">IFERROR(__xludf.DUMMYFUNCTION("""COMPUTED_VALUE"""),"Uber")</f>
        <v>Uber</v>
      </c>
      <c r="I46" s="17" t="str">
        <f ca="1">IFERROR(__xludf.DUMMYFUNCTION("""COMPUTED_VALUE"""),"Capex")</f>
        <v>Capex</v>
      </c>
      <c r="J46" s="17" t="str">
        <f ca="1">IFERROR(__xludf.DUMMYFUNCTION("""COMPUTED_VALUE"""),"Uber TRV - PO1966")</f>
        <v>Uber TRV - PO1966</v>
      </c>
      <c r="K46" s="17" t="str">
        <f ca="1">IFERROR(__xludf.DUMMYFUNCTION("""COMPUTED_VALUE"""),"N/A")</f>
        <v>N/A</v>
      </c>
      <c r="L46" s="17"/>
      <c r="M46" s="17"/>
      <c r="N46" s="17"/>
      <c r="O46" s="17"/>
    </row>
    <row r="47" spans="1:15" ht="12.5">
      <c r="A47" s="17" t="str">
        <f ca="1">IFERROR(__xludf.DUMMYFUNCTION("""COMPUTED_VALUE"""),"TRX1091")</f>
        <v>TRX1091</v>
      </c>
      <c r="B47" s="86" t="str">
        <f ca="1">IFERROR(__xludf.DUMMYFUNCTION("""COMPUTED_VALUE"""),"#52")</f>
        <v>#52</v>
      </c>
      <c r="C47" s="63">
        <f ca="1">IFERROR(__xludf.DUMMYFUNCTION("""COMPUTED_VALUE"""),46075.4173611111)</f>
        <v>46075.417361111096</v>
      </c>
      <c r="D47" s="65">
        <f ca="1">IFERROR(__xludf.DUMMYFUNCTION("""COMPUTED_VALUE"""),580.01)</f>
        <v>580.01</v>
      </c>
      <c r="E47" s="17" t="str">
        <f ca="1">IFERROR(__xludf.DUMMYFUNCTION("""COMPUTED_VALUE"""),"USD")</f>
        <v>USD</v>
      </c>
      <c r="F47" s="17" t="str">
        <f ca="1">IFERROR(__xludf.DUMMYFUNCTION("""COMPUTED_VALUE"""),"Tommaso Rivetti Vinea")</f>
        <v>Tommaso Rivetti Vinea</v>
      </c>
      <c r="G47" s="17" t="str">
        <f ca="1">IFERROR(__xludf.DUMMYFUNCTION("""COMPUTED_VALUE"""),"UBER   *TRIP           SAN FRANCISCO USA")</f>
        <v>UBER   *TRIP           SAN FRANCISCO USA</v>
      </c>
      <c r="H47" s="17" t="str">
        <f ca="1">IFERROR(__xludf.DUMMYFUNCTION("""COMPUTED_VALUE"""),"Uber")</f>
        <v>Uber</v>
      </c>
      <c r="I47" s="17" t="str">
        <f ca="1">IFERROR(__xludf.DUMMYFUNCTION("""COMPUTED_VALUE"""),"Capex")</f>
        <v>Capex</v>
      </c>
      <c r="J47" s="17" t="str">
        <f ca="1">IFERROR(__xludf.DUMMYFUNCTION("""COMPUTED_VALUE"""),"Uber TRV - PO1966")</f>
        <v>Uber TRV - PO1966</v>
      </c>
      <c r="K47" s="17" t="str">
        <f ca="1">IFERROR(__xludf.DUMMYFUNCTION("""COMPUTED_VALUE"""),"N/A")</f>
        <v>N/A</v>
      </c>
      <c r="L47" s="17"/>
      <c r="M47" s="17"/>
      <c r="N47" s="17"/>
      <c r="O47" s="17"/>
    </row>
    <row r="48" spans="1:15" ht="12.5">
      <c r="A48" s="17" t="str">
        <f ca="1">IFERROR(__xludf.DUMMYFUNCTION("""COMPUTED_VALUE"""),"TRX1102")</f>
        <v>TRX1102</v>
      </c>
      <c r="B48" s="86" t="str">
        <f ca="1">IFERROR(__xludf.DUMMYFUNCTION("""COMPUTED_VALUE"""),"#52")</f>
        <v>#52</v>
      </c>
      <c r="C48" s="63">
        <f ca="1">IFERROR(__xludf.DUMMYFUNCTION("""COMPUTED_VALUE"""),46076.4166666666)</f>
        <v>46076.416666666599</v>
      </c>
      <c r="D48" s="65">
        <f ca="1">IFERROR(__xludf.DUMMYFUNCTION("""COMPUTED_VALUE"""),2268.4)</f>
        <v>2268.4</v>
      </c>
      <c r="E48" s="17" t="str">
        <f ca="1">IFERROR(__xludf.DUMMYFUNCTION("""COMPUTED_VALUE"""),"USD")</f>
        <v>USD</v>
      </c>
      <c r="F48" s="17" t="str">
        <f ca="1">IFERROR(__xludf.DUMMYFUNCTION("""COMPUTED_VALUE"""),"Tommaso Rivetti Vinea")</f>
        <v>Tommaso Rivetti Vinea</v>
      </c>
      <c r="G48" s="17" t="str">
        <f ca="1">IFERROR(__xludf.DUMMYFUNCTION("""COMPUTED_VALUE"""),"FAIRFIELD INN &amp; SUIT   AUSTIN        USA")</f>
        <v>FAIRFIELD INN &amp; SUIT   AUSTIN        USA</v>
      </c>
      <c r="H48" s="17" t="str">
        <f ca="1">IFERROR(__xludf.DUMMYFUNCTION("""COMPUTED_VALUE"""),"Fairfield Inn Suites")</f>
        <v>Fairfield Inn Suites</v>
      </c>
      <c r="I48" s="17" t="str">
        <f ca="1">IFERROR(__xludf.DUMMYFUNCTION("""COMPUTED_VALUE"""),"Capex")</f>
        <v>Capex</v>
      </c>
      <c r="J48" s="17" t="str">
        <f ca="1">IFERROR(__xludf.DUMMYFUNCTION("""COMPUTED_VALUE"""),"Uber TRV - PO1966")</f>
        <v>Uber TRV - PO1966</v>
      </c>
      <c r="K48" s="17" t="str">
        <f ca="1">IFERROR(__xludf.DUMMYFUNCTION("""COMPUTED_VALUE"""),"N/A")</f>
        <v>N/A</v>
      </c>
      <c r="L48" s="17"/>
      <c r="M48" s="17"/>
      <c r="N48" s="17"/>
      <c r="O48" s="17"/>
    </row>
    <row r="49" spans="1:15" ht="12.5">
      <c r="A49" s="17"/>
      <c r="B49" s="24"/>
      <c r="C49" s="24"/>
      <c r="D49" s="17"/>
      <c r="E49" s="17"/>
      <c r="F49" s="17"/>
      <c r="G49" s="17"/>
      <c r="H49" s="17"/>
      <c r="I49" s="17" t="str">
        <f ca="1">IFERROR(__xludf.DUMMYFUNCTION("""COMPUTED_VALUE"""),"Capex")</f>
        <v>Capex</v>
      </c>
      <c r="J49" s="17"/>
      <c r="K49" s="17"/>
      <c r="L49" s="17"/>
      <c r="M49" s="17"/>
      <c r="N49" s="17"/>
      <c r="O49" s="17"/>
    </row>
    <row r="50" spans="1:15" ht="12.5">
      <c r="A50" s="17"/>
      <c r="B50" s="24"/>
      <c r="C50" s="24"/>
      <c r="D50" s="17"/>
      <c r="E50" s="17"/>
      <c r="F50" s="17"/>
      <c r="G50" s="17"/>
      <c r="H50" s="17"/>
      <c r="I50" s="17" t="str">
        <f ca="1">IFERROR(__xludf.DUMMYFUNCTION("""COMPUTED_VALUE"""),"Capex")</f>
        <v>Capex</v>
      </c>
      <c r="J50" s="17"/>
      <c r="K50" s="17"/>
      <c r="L50" s="17"/>
      <c r="M50" s="17"/>
      <c r="N50" s="17"/>
      <c r="O50" s="17"/>
    </row>
    <row r="51" spans="1:15" ht="12.5">
      <c r="A51" s="17"/>
      <c r="B51" s="24"/>
      <c r="C51" s="24"/>
      <c r="D51" s="17"/>
      <c r="E51" s="17"/>
      <c r="F51" s="17"/>
      <c r="G51" s="17"/>
      <c r="H51" s="17"/>
      <c r="I51" s="17" t="str">
        <f ca="1">IFERROR(__xludf.DUMMYFUNCTION("""COMPUTED_VALUE"""),"Capex")</f>
        <v>Capex</v>
      </c>
      <c r="J51" s="17"/>
      <c r="K51" s="17"/>
      <c r="L51" s="17"/>
      <c r="M51" s="17"/>
      <c r="N51" s="17"/>
      <c r="O51" s="17"/>
    </row>
    <row r="52" spans="1:15" ht="12.5">
      <c r="A52" s="17"/>
      <c r="B52" s="24"/>
      <c r="C52" s="24"/>
      <c r="D52" s="17"/>
      <c r="E52" s="17"/>
      <c r="F52" s="17"/>
      <c r="G52" s="17"/>
      <c r="H52" s="17"/>
      <c r="I52" s="17" t="str">
        <f ca="1">IFERROR(__xludf.DUMMYFUNCTION("""COMPUTED_VALUE"""),"Capex")</f>
        <v>Capex</v>
      </c>
      <c r="J52" s="17"/>
      <c r="K52" s="17"/>
      <c r="L52" s="17"/>
      <c r="M52" s="17"/>
      <c r="N52" s="17"/>
      <c r="O52" s="17"/>
    </row>
    <row r="53" spans="1:15" ht="12.5">
      <c r="A53" s="17"/>
      <c r="B53" s="24"/>
      <c r="C53" s="24"/>
      <c r="D53" s="17"/>
      <c r="E53" s="17"/>
      <c r="F53" s="17"/>
      <c r="G53" s="17"/>
      <c r="H53" s="17"/>
      <c r="I53" s="17" t="str">
        <f ca="1">IFERROR(__xludf.DUMMYFUNCTION("""COMPUTED_VALUE"""),"Capex")</f>
        <v>Capex</v>
      </c>
      <c r="J53" s="17"/>
      <c r="K53" s="17"/>
      <c r="L53" s="17"/>
      <c r="M53" s="17"/>
      <c r="N53" s="17"/>
      <c r="O53" s="17"/>
    </row>
    <row r="54" spans="1:15" ht="12.5">
      <c r="A54" s="17"/>
      <c r="B54" s="24"/>
      <c r="C54" s="24"/>
      <c r="D54" s="17"/>
      <c r="E54" s="17"/>
      <c r="F54" s="17"/>
      <c r="G54" s="17"/>
      <c r="H54" s="17"/>
      <c r="I54" s="17" t="str">
        <f ca="1">IFERROR(__xludf.DUMMYFUNCTION("""COMPUTED_VALUE"""),"Capex")</f>
        <v>Capex</v>
      </c>
      <c r="J54" s="17"/>
      <c r="K54" s="17"/>
      <c r="L54" s="17"/>
      <c r="M54" s="17"/>
      <c r="N54" s="17"/>
      <c r="O54" s="17"/>
    </row>
    <row r="55" spans="1:15" ht="12.5">
      <c r="A55" s="17"/>
      <c r="B55" s="24"/>
      <c r="C55" s="24"/>
      <c r="D55" s="17"/>
      <c r="E55" s="17"/>
      <c r="F55" s="17"/>
      <c r="G55" s="17"/>
      <c r="H55" s="17"/>
      <c r="I55" s="17" t="str">
        <f ca="1">IFERROR(__xludf.DUMMYFUNCTION("""COMPUTED_VALUE"""),"Capex")</f>
        <v>Capex</v>
      </c>
      <c r="J55" s="17"/>
      <c r="K55" s="17"/>
      <c r="L55" s="17"/>
      <c r="M55" s="17"/>
      <c r="N55" s="17"/>
      <c r="O55" s="17"/>
    </row>
    <row r="56" spans="1:15" ht="12.5">
      <c r="A56" s="17"/>
      <c r="B56" s="24"/>
      <c r="C56" s="24"/>
      <c r="D56" s="17"/>
      <c r="E56" s="17"/>
      <c r="F56" s="17"/>
      <c r="G56" s="17"/>
      <c r="H56" s="17"/>
      <c r="I56" s="17" t="str">
        <f ca="1">IFERROR(__xludf.DUMMYFUNCTION("""COMPUTED_VALUE"""),"Capex")</f>
        <v>Capex</v>
      </c>
      <c r="J56" s="17" t="str">
        <f ca="1">IFERROR(__xludf.DUMMYFUNCTION("""COMPUTED_VALUE"""),"Uber TRV - PO1966")</f>
        <v>Uber TRV - PO1966</v>
      </c>
      <c r="K56" s="17"/>
      <c r="L56" s="17"/>
      <c r="M56" s="17"/>
      <c r="N56" s="17"/>
      <c r="O56" s="17"/>
    </row>
    <row r="57" spans="1:15" ht="12.5">
      <c r="A57" s="17"/>
      <c r="B57" s="24"/>
      <c r="C57" s="24"/>
      <c r="D57" s="17"/>
      <c r="E57" s="17"/>
      <c r="F57" s="17"/>
      <c r="G57" s="17"/>
      <c r="H57" s="17"/>
      <c r="I57" s="17" t="str">
        <f ca="1">IFERROR(__xludf.DUMMYFUNCTION("""COMPUTED_VALUE"""),"Capex")</f>
        <v>Capex</v>
      </c>
      <c r="J57" s="17" t="str">
        <f ca="1">IFERROR(__xludf.DUMMYFUNCTION("""COMPUTED_VALUE"""),"Uber TRV - PO1966")</f>
        <v>Uber TRV - PO1966</v>
      </c>
      <c r="K57" s="17"/>
      <c r="L57" s="17"/>
      <c r="M57" s="17"/>
      <c r="N57" s="17"/>
      <c r="O57" s="17"/>
    </row>
    <row r="58" spans="1:15" ht="12.5">
      <c r="A58" s="17"/>
      <c r="B58" s="24"/>
      <c r="C58" s="24"/>
      <c r="D58" s="17"/>
      <c r="E58" s="17"/>
      <c r="F58" s="17"/>
      <c r="G58" s="17"/>
      <c r="H58" s="17"/>
      <c r="I58" s="17" t="str">
        <f ca="1">IFERROR(__xludf.DUMMYFUNCTION("""COMPUTED_VALUE"""),"Capex")</f>
        <v>Capex</v>
      </c>
      <c r="J58" s="17" t="str">
        <f ca="1">IFERROR(__xludf.DUMMYFUNCTION("""COMPUTED_VALUE"""),"Uber TRV - PO1966")</f>
        <v>Uber TRV - PO1966</v>
      </c>
      <c r="K58" s="17"/>
      <c r="L58" s="17"/>
      <c r="M58" s="17"/>
      <c r="N58" s="17"/>
      <c r="O58" s="17"/>
    </row>
    <row r="59" spans="1:15" ht="12.5">
      <c r="A59" s="17"/>
      <c r="B59" s="24"/>
      <c r="C59" s="24"/>
      <c r="D59" s="17"/>
      <c r="E59" s="17"/>
      <c r="F59" s="17"/>
      <c r="G59" s="17"/>
      <c r="H59" s="17"/>
      <c r="I59" s="17" t="str">
        <f ca="1">IFERROR(__xludf.DUMMYFUNCTION("""COMPUTED_VALUE"""),"Capex")</f>
        <v>Capex</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IFERROR(__xludf.DUMMYFUNCTION("""COMPUTED_VALUE"""),"Capex")</f>
        <v>Capex</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IFERROR(__xludf.DUMMYFUNCTION("""COMPUTED_VALUE"""),"Capex")</f>
        <v>Capex</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IFERROR(__xludf.DUMMYFUNCTION("""COMPUTED_VALUE"""),"Capex")</f>
        <v>Capex</v>
      </c>
      <c r="J62" s="17"/>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IFERROR(__xludf.DUMMYFUNCTION("""COMPUTED_VALUE"""),"Capex")</f>
        <v>Capex</v>
      </c>
      <c r="J63" s="17"/>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IFERROR(__xludf.DUMMYFUNCTION("""COMPUTED_VALUE"""),"Capex")</f>
        <v>Capex</v>
      </c>
      <c r="J64" s="17"/>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IFERROR(__xludf.DUMMYFUNCTION("""COMPUTED_VALUE"""),"Capex")</f>
        <v>Capex</v>
      </c>
      <c r="J65" s="17"/>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IFERROR(__xludf.DUMMYFUNCTION("""COMPUTED_VALUE"""),"Capex")</f>
        <v>Capex</v>
      </c>
      <c r="J66" s="17"/>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IFERROR(__xludf.DUMMYFUNCTION("""COMPUTED_VALUE"""),"Capex")</f>
        <v>Capex</v>
      </c>
      <c r="J67" s="17"/>
      <c r="K67" s="17" t="str">
        <f ca="1">IFERROR(__xludf.DUMMYFUNCTION("""COMPUTED_VALUE"""),".")</f>
        <v>.</v>
      </c>
      <c r="L67" s="17"/>
      <c r="M67" s="17"/>
      <c r="N67" s="17"/>
      <c r="O67" s="17"/>
    </row>
    <row r="68" spans="1:15" ht="12.5">
      <c r="A68" s="17"/>
      <c r="B68" s="24"/>
      <c r="C68" s="24"/>
      <c r="D68" s="17"/>
      <c r="E68" s="17"/>
      <c r="F68" s="17"/>
      <c r="G68" s="17"/>
      <c r="H68" s="17"/>
      <c r="I68" s="17" t="str">
        <f ca="1">IFERROR(__xludf.DUMMYFUNCTION("""COMPUTED_VALUE"""),"Capex")</f>
        <v>Capex</v>
      </c>
      <c r="J68" s="17"/>
      <c r="K68" s="17" t="str">
        <f ca="1">IFERROR(__xludf.DUMMYFUNCTION("""COMPUTED_VALUE"""),".")</f>
        <v>.</v>
      </c>
      <c r="L68" s="17"/>
      <c r="M68" s="17"/>
      <c r="N68" s="17"/>
      <c r="O68" s="17"/>
    </row>
    <row r="69" spans="1:15" ht="12.5">
      <c r="A69" s="17"/>
      <c r="B69" s="24"/>
      <c r="C69" s="24"/>
      <c r="D69" s="17"/>
      <c r="E69" s="17"/>
      <c r="F69" s="17"/>
      <c r="G69" s="17"/>
      <c r="H69" s="17"/>
      <c r="I69" s="17" t="str">
        <f ca="1">IFERROR(__xludf.DUMMYFUNCTION("""COMPUTED_VALUE"""),"Capex")</f>
        <v>Capex</v>
      </c>
      <c r="J69" s="17"/>
      <c r="K69" s="17" t="str">
        <f ca="1">IFERROR(__xludf.DUMMYFUNCTION("""COMPUTED_VALUE"""),".")</f>
        <v>.</v>
      </c>
      <c r="L69" s="17"/>
      <c r="M69" s="17"/>
      <c r="N69" s="17"/>
      <c r="O69" s="17"/>
    </row>
    <row r="70" spans="1:15" ht="12.5">
      <c r="A70" s="17"/>
      <c r="B70" s="24"/>
      <c r="C70" s="24"/>
      <c r="D70" s="17"/>
      <c r="E70" s="17"/>
      <c r="F70" s="17"/>
      <c r="G70" s="17"/>
      <c r="H70" s="17"/>
      <c r="I70" s="17" t="str">
        <f ca="1">IFERROR(__xludf.DUMMYFUNCTION("""COMPUTED_VALUE"""),"Capex")</f>
        <v>Capex</v>
      </c>
      <c r="J70" s="17"/>
      <c r="K70" s="17" t="str">
        <f ca="1">IFERROR(__xludf.DUMMYFUNCTION("""COMPUTED_VALUE"""),".")</f>
        <v>.</v>
      </c>
      <c r="L70" s="17"/>
      <c r="M70" s="17"/>
      <c r="N70" s="17"/>
      <c r="O70" s="17"/>
    </row>
    <row r="71" spans="1:15" ht="12.5">
      <c r="A71" s="17"/>
      <c r="B71" s="24"/>
      <c r="C71" s="24"/>
      <c r="D71" s="17"/>
      <c r="E71" s="17"/>
      <c r="F71" s="17"/>
      <c r="G71" s="17"/>
      <c r="H71" s="17"/>
      <c r="I71" s="17" t="str">
        <f ca="1">IFERROR(__xludf.DUMMYFUNCTION("""COMPUTED_VALUE"""),"Capex")</f>
        <v>Capex</v>
      </c>
      <c r="J71" s="17"/>
      <c r="K71" s="17" t="str">
        <f ca="1">IFERROR(__xludf.DUMMYFUNCTION("""COMPUTED_VALUE"""),".")</f>
        <v>.</v>
      </c>
      <c r="L71" s="17"/>
      <c r="M71" s="17"/>
      <c r="N71" s="17"/>
      <c r="O71" s="17"/>
    </row>
    <row r="72" spans="1:15" ht="12.5">
      <c r="A72" s="17"/>
      <c r="B72" s="24"/>
      <c r="C72" s="24"/>
      <c r="D72" s="17"/>
      <c r="E72" s="17"/>
      <c r="F72" s="17"/>
      <c r="G72" s="17"/>
      <c r="H72" s="17"/>
      <c r="I72" s="17" t="str">
        <f ca="1">IFERROR(__xludf.DUMMYFUNCTION("""COMPUTED_VALUE"""),"Capex")</f>
        <v>Capex</v>
      </c>
      <c r="J72" s="17"/>
      <c r="K72" s="17" t="str">
        <f ca="1">IFERROR(__xludf.DUMMYFUNCTION("""COMPUTED_VALUE"""),".")</f>
        <v>.</v>
      </c>
      <c r="L72" s="17"/>
      <c r="M72" s="17"/>
      <c r="N72" s="17"/>
      <c r="O72" s="17"/>
    </row>
    <row r="73" spans="1:15" ht="12.5">
      <c r="A73" s="17"/>
      <c r="B73" s="24"/>
      <c r="C73" s="24"/>
      <c r="D73" s="17"/>
      <c r="E73" s="17"/>
      <c r="F73" s="17"/>
      <c r="G73" s="17"/>
      <c r="H73" s="17"/>
      <c r="I73" s="17" t="str">
        <f ca="1">IFERROR(__xludf.DUMMYFUNCTION("""COMPUTED_VALUE"""),"Capex")</f>
        <v>Capex</v>
      </c>
      <c r="J73" s="17"/>
      <c r="K73" s="17" t="str">
        <f ca="1">IFERROR(__xludf.DUMMYFUNCTION("""COMPUTED_VALUE"""),".")</f>
        <v>.</v>
      </c>
      <c r="L73" s="17"/>
      <c r="M73" s="17"/>
      <c r="N73" s="17"/>
      <c r="O73" s="17"/>
    </row>
    <row r="74" spans="1:15" ht="12.5">
      <c r="A74" s="17"/>
      <c r="B74" s="24"/>
      <c r="C74" s="24"/>
      <c r="D74" s="17"/>
      <c r="E74" s="17"/>
      <c r="F74" s="17"/>
      <c r="G74" s="17"/>
      <c r="H74" s="17"/>
      <c r="I74" s="17" t="str">
        <f ca="1">IFERROR(__xludf.DUMMYFUNCTION("""COMPUTED_VALUE"""),"Capex")</f>
        <v>Capex</v>
      </c>
      <c r="J74" s="17"/>
      <c r="K74" s="17" t="str">
        <f ca="1">IFERROR(__xludf.DUMMYFUNCTION("""COMPUTED_VALUE"""),".")</f>
        <v>.</v>
      </c>
      <c r="L74" s="17"/>
      <c r="M74" s="17"/>
      <c r="N74" s="17"/>
      <c r="O74" s="17"/>
    </row>
    <row r="75" spans="1:15" ht="12.5">
      <c r="A75" s="17"/>
      <c r="B75" s="24"/>
      <c r="C75" s="24"/>
      <c r="D75" s="17"/>
      <c r="E75" s="17"/>
      <c r="F75" s="17"/>
      <c r="G75" s="17"/>
      <c r="H75" s="17"/>
      <c r="I75" s="17" t="str">
        <f ca="1">IFERROR(__xludf.DUMMYFUNCTION("""COMPUTED_VALUE"""),"Capex")</f>
        <v>Capex</v>
      </c>
      <c r="J75" s="17"/>
      <c r="K75" s="17" t="str">
        <f ca="1">IFERROR(__xludf.DUMMYFUNCTION("""COMPUTED_VALUE"""),".")</f>
        <v>.</v>
      </c>
      <c r="L75" s="17"/>
      <c r="M75" s="17"/>
      <c r="N75" s="17"/>
      <c r="O75" s="17"/>
    </row>
    <row r="76" spans="1:15" ht="12.5">
      <c r="A76" s="17"/>
      <c r="B76" s="24"/>
      <c r="C76" s="24"/>
      <c r="D76" s="17"/>
      <c r="E76" s="17"/>
      <c r="F76" s="17"/>
      <c r="G76" s="17"/>
      <c r="H76" s="17"/>
      <c r="I76" s="17" t="str">
        <f ca="1">IFERROR(__xludf.DUMMYFUNCTION("""COMPUTED_VALUE"""),"Capex")</f>
        <v>Capex</v>
      </c>
      <c r="J76" s="17"/>
      <c r="K76" s="17" t="str">
        <f ca="1">IFERROR(__xludf.DUMMYFUNCTION("""COMPUTED_VALUE"""),".")</f>
        <v>.</v>
      </c>
      <c r="L76" s="17"/>
      <c r="M76" s="17"/>
      <c r="N76" s="17"/>
      <c r="O76" s="17"/>
    </row>
    <row r="77" spans="1:15" ht="12.5">
      <c r="A77" s="17"/>
      <c r="B77" s="24"/>
      <c r="C77" s="24"/>
      <c r="D77" s="17"/>
      <c r="E77" s="17"/>
      <c r="F77" s="17"/>
      <c r="G77" s="17"/>
      <c r="H77" s="17"/>
      <c r="I77" s="17" t="str">
        <f ca="1">IFERROR(__xludf.DUMMYFUNCTION("""COMPUTED_VALUE"""),"Capex")</f>
        <v>Capex</v>
      </c>
      <c r="J77" s="17"/>
      <c r="K77" s="17" t="str">
        <f ca="1">IFERROR(__xludf.DUMMYFUNCTION("""COMPUTED_VALUE"""),".")</f>
        <v>.</v>
      </c>
      <c r="L77" s="17"/>
      <c r="M77" s="17"/>
      <c r="N77" s="17"/>
      <c r="O77" s="17"/>
    </row>
    <row r="78" spans="1:15" ht="12.5">
      <c r="A78" s="17"/>
      <c r="B78" s="24"/>
      <c r="C78" s="24"/>
      <c r="D78" s="17"/>
      <c r="E78" s="17"/>
      <c r="F78" s="17"/>
      <c r="G78" s="17"/>
      <c r="H78" s="17"/>
      <c r="I78" s="17" t="str">
        <f ca="1">IFERROR(__xludf.DUMMYFUNCTION("""COMPUTED_VALUE"""),"Capex")</f>
        <v>Capex</v>
      </c>
      <c r="J78" s="17"/>
      <c r="K78" s="17" t="str">
        <f ca="1">IFERROR(__xludf.DUMMYFUNCTION("""COMPUTED_VALUE"""),".")</f>
        <v>.</v>
      </c>
      <c r="L78" s="17"/>
      <c r="M78" s="17"/>
      <c r="N78" s="17"/>
      <c r="O78" s="17"/>
    </row>
    <row r="79" spans="1:15" ht="12.5">
      <c r="A79" s="17"/>
      <c r="B79" s="24"/>
      <c r="C79" s="24"/>
      <c r="D79" s="17"/>
      <c r="E79" s="17"/>
      <c r="F79" s="17"/>
      <c r="G79" s="17"/>
      <c r="H79" s="17"/>
      <c r="I79" s="17" t="str">
        <f ca="1">IFERROR(__xludf.DUMMYFUNCTION("""COMPUTED_VALUE"""),"Capex")</f>
        <v>Capex</v>
      </c>
      <c r="J79" s="17"/>
      <c r="K79" s="17" t="str">
        <f ca="1">IFERROR(__xludf.DUMMYFUNCTION("""COMPUTED_VALUE"""),".")</f>
        <v>.</v>
      </c>
      <c r="L79" s="17"/>
      <c r="M79" s="17"/>
      <c r="N79" s="17"/>
      <c r="O79" s="17"/>
    </row>
    <row r="80" spans="1:15" ht="12.5">
      <c r="A80" s="17"/>
      <c r="B80" s="24"/>
      <c r="C80" s="24"/>
      <c r="D80" s="17"/>
      <c r="E80" s="17"/>
      <c r="F80" s="17"/>
      <c r="G80" s="17"/>
      <c r="H80" s="17"/>
      <c r="I80" s="17" t="str">
        <f ca="1">IFERROR(__xludf.DUMMYFUNCTION("""COMPUTED_VALUE"""),"Capex")</f>
        <v>Capex</v>
      </c>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4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8.6328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131</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IFERROR(__xludf.DUMMYFUNCTION("IMPORTRANGE(""https://docs.google.com/spreadsheets/d/1vZUi4faA-FYifaZ99w4RSYBnYd86ynwTKHK_purTSxM/edit#gid=1404531132"",""I12:K80"")"),"Transaction cost")</f>
        <v>Transaction cost</v>
      </c>
      <c r="J12" s="17" t="str">
        <f ca="1">IFERROR(__xludf.DUMMYFUNCTION("""COMPUTED_VALUE"""),"PO 1801 VISITA A GRAJALES")</f>
        <v>PO 1801 VISITA A GRAJALES</v>
      </c>
      <c r="K12" s="17"/>
      <c r="L12" s="17"/>
      <c r="M12" s="17"/>
      <c r="N12" s="17"/>
      <c r="O12" s="17"/>
    </row>
    <row r="13" spans="1:15" ht="15.75" customHeight="1">
      <c r="A13" s="24"/>
      <c r="B13" s="24"/>
      <c r="C13" s="24"/>
      <c r="D13" s="100"/>
      <c r="E13" s="17"/>
      <c r="F13" s="17"/>
      <c r="G13" s="17"/>
      <c r="H13" s="17"/>
      <c r="I13" s="17" t="str">
        <f ca="1">IFERROR(__xludf.DUMMYFUNCTION("""COMPUTED_VALUE"""),"Transaction cost")</f>
        <v>Transaction cost</v>
      </c>
      <c r="J13" s="17" t="str">
        <f ca="1">IFERROR(__xludf.DUMMYFUNCTION("""COMPUTED_VALUE"""),"PO 1801 VISITA A GRAJALES")</f>
        <v>PO 1801 VISITA A GRAJALES</v>
      </c>
      <c r="K13" s="17"/>
      <c r="L13" s="17"/>
      <c r="M13" s="17"/>
      <c r="N13" s="17"/>
      <c r="O13" s="17"/>
    </row>
    <row r="14" spans="1:15" ht="15.75" customHeight="1">
      <c r="A14" s="24"/>
      <c r="B14" s="24"/>
      <c r="C14" s="24"/>
      <c r="D14" s="17"/>
      <c r="E14" s="17"/>
      <c r="F14" s="17"/>
      <c r="G14" s="17"/>
      <c r="H14" s="17"/>
      <c r="I14" s="17" t="str">
        <f ca="1">IFERROR(__xludf.DUMMYFUNCTION("""COMPUTED_VALUE"""),"Transaction cost")</f>
        <v>Transaction cost</v>
      </c>
      <c r="J14" s="17" t="str">
        <f ca="1">IFERROR(__xludf.DUMMYFUNCTION("""COMPUTED_VALUE"""),"PO 1801 VISITA A GRAJALES")</f>
        <v>PO 1801 VISITA A GRAJALES</v>
      </c>
      <c r="K14" s="17"/>
      <c r="L14" s="17"/>
      <c r="M14" s="17"/>
      <c r="N14" s="17"/>
      <c r="O14" s="17"/>
    </row>
    <row r="15" spans="1:15" ht="15.75" customHeight="1">
      <c r="A15" s="24"/>
      <c r="B15" s="24"/>
      <c r="C15" s="24"/>
      <c r="D15" s="17"/>
      <c r="E15" s="17"/>
      <c r="F15" s="17"/>
      <c r="G15" s="17"/>
      <c r="H15" s="17"/>
      <c r="I15" s="17" t="str">
        <f ca="1">IFERROR(__xludf.DUMMYFUNCTION("""COMPUTED_VALUE"""),"Transaction cost")</f>
        <v>Transaction cost</v>
      </c>
      <c r="J15" s="17" t="str">
        <f ca="1">IFERROR(__xludf.DUMMYFUNCTION("""COMPUTED_VALUE"""),"PO 1801 VISITA A GRAJALES")</f>
        <v>PO 1801 VISITA A GRAJALES</v>
      </c>
      <c r="K15" s="17"/>
      <c r="L15" s="17"/>
      <c r="M15" s="17"/>
      <c r="N15" s="17"/>
      <c r="O15" s="17"/>
    </row>
    <row r="16" spans="1:15" ht="15.75" customHeight="1">
      <c r="A16" s="17"/>
      <c r="B16" s="24"/>
      <c r="C16" s="24"/>
      <c r="D16" s="17"/>
      <c r="E16" s="17"/>
      <c r="F16" s="17"/>
      <c r="G16" s="17"/>
      <c r="H16" s="17"/>
      <c r="I16" s="17" t="str">
        <f ca="1">IFERROR(__xludf.DUMMYFUNCTION("""COMPUTED_VALUE"""),"Transaction cost")</f>
        <v>Transaction cost</v>
      </c>
      <c r="J16" s="17" t="str">
        <f ca="1">IFERROR(__xludf.DUMMYFUNCTION("""COMPUTED_VALUE"""),"PO 1801 VISITA A GRAJALES")</f>
        <v>PO 1801 VISITA A GRAJALES</v>
      </c>
      <c r="K16" s="17" t="str">
        <f ca="1">IFERROR(__xludf.DUMMYFUNCTION("""COMPUTED_VALUE"""),"13CE3804-AED9-5C09-BF6F-A6CCA3083088")</f>
        <v>13CE3804-AED9-5C09-BF6F-A6CCA3083088</v>
      </c>
      <c r="L16" s="17"/>
      <c r="M16" s="17"/>
      <c r="N16" s="17"/>
      <c r="O16" s="17"/>
    </row>
    <row r="17" spans="1:15" ht="15.75" customHeight="1">
      <c r="A17" s="17"/>
      <c r="B17" s="24"/>
      <c r="C17" s="24"/>
      <c r="D17" s="17"/>
      <c r="E17" s="17"/>
      <c r="F17" s="17"/>
      <c r="G17" s="17"/>
      <c r="H17" s="17"/>
      <c r="I17" s="17" t="str">
        <f ca="1">IFERROR(__xludf.DUMMYFUNCTION("""COMPUTED_VALUE"""),"Transaction cost")</f>
        <v>Transaction cost</v>
      </c>
      <c r="J17" s="17" t="str">
        <f ca="1">IFERROR(__xludf.DUMMYFUNCTION("""COMPUTED_VALUE"""),"PO 1801 VISITA A GRAJALES")</f>
        <v>PO 1801 VISITA A GRAJALES</v>
      </c>
      <c r="K17" s="17"/>
      <c r="L17" s="17"/>
      <c r="M17" s="17"/>
      <c r="N17" s="17"/>
      <c r="O17" s="17"/>
    </row>
    <row r="18" spans="1:15" ht="15.75" customHeight="1">
      <c r="A18" s="17"/>
      <c r="B18" s="24"/>
      <c r="C18" s="24"/>
      <c r="D18" s="17"/>
      <c r="E18" s="17"/>
      <c r="F18" s="17"/>
      <c r="G18" s="17"/>
      <c r="H18" s="17"/>
      <c r="I18" s="17" t="str">
        <f ca="1">IFERROR(__xludf.DUMMYFUNCTION("""COMPUTED_VALUE"""),"Transaction cost")</f>
        <v>Transaction cost</v>
      </c>
      <c r="J18" s="17" t="str">
        <f ca="1">IFERROR(__xludf.DUMMYFUNCTION("""COMPUTED_VALUE"""),"PO 1801 VISITA A GRAJALES")</f>
        <v>PO 1801 VISITA A GRAJALES</v>
      </c>
      <c r="K18" s="17"/>
      <c r="L18" s="17"/>
      <c r="M18" s="17"/>
      <c r="N18" s="17"/>
      <c r="O18" s="17"/>
    </row>
    <row r="19" spans="1:15" ht="15.75" customHeight="1">
      <c r="A19" s="17"/>
      <c r="B19" s="24"/>
      <c r="C19" s="24"/>
      <c r="D19" s="17"/>
      <c r="E19" s="17"/>
      <c r="F19" s="17"/>
      <c r="G19" s="17"/>
      <c r="H19" s="17"/>
      <c r="I19" s="17" t="str">
        <f ca="1">IFERROR(__xludf.DUMMYFUNCTION("""COMPUTED_VALUE"""),"Transaction cost")</f>
        <v>Transaction cost</v>
      </c>
      <c r="J19" s="17" t="str">
        <f ca="1">IFERROR(__xludf.DUMMYFUNCTION("""COMPUTED_VALUE"""),"PO 1801 VISITA A GRAJALES")</f>
        <v>PO 1801 VISITA A GRAJALES</v>
      </c>
      <c r="K19" s="17"/>
      <c r="L19" s="17"/>
      <c r="M19" s="17"/>
      <c r="N19" s="17"/>
      <c r="O19" s="17"/>
    </row>
    <row r="20" spans="1:15" ht="12.5">
      <c r="A20" s="17"/>
      <c r="B20" s="24"/>
      <c r="C20" s="24"/>
      <c r="D20" s="100"/>
      <c r="E20" s="17"/>
      <c r="F20" s="17"/>
      <c r="G20" s="17"/>
      <c r="H20" s="17"/>
      <c r="I20" s="17" t="str">
        <f ca="1">IFERROR(__xludf.DUMMYFUNCTION("""COMPUTED_VALUE"""),"Transaction cost")</f>
        <v>Transaction cost</v>
      </c>
      <c r="J20" s="17" t="str">
        <f ca="1">IFERROR(__xludf.DUMMYFUNCTION("""COMPUTED_VALUE"""),"PO 1801 COMIDA CON CLIENTE Y TONA")</f>
        <v>PO 1801 COMIDA CON CLIENTE Y TONA</v>
      </c>
      <c r="K20" s="17" t="str">
        <f ca="1">IFERROR(__xludf.DUMMYFUNCTION("""COMPUTED_VALUE"""),"E06BFBC7-F91A-4A65-B156-DE9164AF48CF")</f>
        <v>E06BFBC7-F91A-4A65-B156-DE9164AF48CF</v>
      </c>
      <c r="L20" s="17"/>
      <c r="M20" s="17"/>
      <c r="N20" s="17"/>
      <c r="O20" s="17"/>
    </row>
    <row r="21" spans="1:15" ht="12.5">
      <c r="A21" s="17"/>
      <c r="B21" s="24"/>
      <c r="C21" s="24"/>
      <c r="D21" s="17"/>
      <c r="E21" s="17"/>
      <c r="F21" s="17"/>
      <c r="G21" s="17"/>
      <c r="H21" s="17"/>
      <c r="I21" s="17" t="str">
        <f ca="1">IFERROR(__xludf.DUMMYFUNCTION("""COMPUTED_VALUE"""),"Transaction cost")</f>
        <v>Transaction cost</v>
      </c>
      <c r="J21" s="17" t="str">
        <f ca="1">IFERROR(__xludf.DUMMYFUNCTION("""COMPUTED_VALUE"""),"PO 1801 VISITA A GRAJALES")</f>
        <v>PO 1801 VISITA A GRAJALES</v>
      </c>
      <c r="K21" s="17"/>
      <c r="L21" s="17"/>
      <c r="M21" s="17"/>
      <c r="N21" s="17"/>
      <c r="O21" s="17"/>
    </row>
    <row r="22" spans="1:15" ht="12.5">
      <c r="A22" s="17"/>
      <c r="B22" s="24"/>
      <c r="C22" s="24"/>
      <c r="D22" s="17"/>
      <c r="E22" s="17"/>
      <c r="F22" s="17"/>
      <c r="G22" s="17"/>
      <c r="H22" s="17"/>
      <c r="I22" s="17" t="str">
        <f ca="1">IFERROR(__xludf.DUMMYFUNCTION("""COMPUTED_VALUE"""),"Transaction cost")</f>
        <v>Transaction cost</v>
      </c>
      <c r="J22" s="17" t="str">
        <f ca="1">IFERROR(__xludf.DUMMYFUNCTION("""COMPUTED_VALUE"""),"PO 1801 VISITA A GRAJALES")</f>
        <v>PO 1801 VISITA A GRAJALES</v>
      </c>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t="str">
        <f ca="1">IFERROR(__xludf.DUMMYFUNCTION("""COMPUTED_VALUE"""),"PO 1801 VISITA A GRAJALES")</f>
        <v>PO 1801 VISITA A GRAJALES</v>
      </c>
      <c r="K23" s="17"/>
      <c r="L23" s="17"/>
      <c r="M23" s="17"/>
      <c r="N23" s="17"/>
      <c r="O23" s="17"/>
    </row>
    <row r="24" spans="1:15" ht="12.5">
      <c r="A24" s="17"/>
      <c r="B24" s="24"/>
      <c r="C24" s="24"/>
      <c r="D24" s="17"/>
      <c r="E24" s="17"/>
      <c r="F24" s="17"/>
      <c r="G24" s="17"/>
      <c r="H24" s="17"/>
      <c r="I24" s="17" t="str">
        <f ca="1">IFERROR(__xludf.DUMMYFUNCTION("""COMPUTED_VALUE"""),"Transaction cost")</f>
        <v>Transaction cost</v>
      </c>
      <c r="J24" s="17" t="str">
        <f ca="1">IFERROR(__xludf.DUMMYFUNCTION("""COMPUTED_VALUE"""),"PO 1801 VISITA A GRAJALES")</f>
        <v>PO 1801 VISITA A GRAJALES</v>
      </c>
      <c r="K24" s="17"/>
      <c r="L24" s="17"/>
      <c r="M24" s="17"/>
      <c r="N24" s="17"/>
      <c r="O24" s="17"/>
    </row>
    <row r="25" spans="1:15" ht="12.5">
      <c r="A25" s="17"/>
      <c r="B25" s="24"/>
      <c r="C25" s="24"/>
      <c r="D25" s="17"/>
      <c r="E25" s="17"/>
      <c r="F25" s="17"/>
      <c r="G25" s="17"/>
      <c r="H25" s="17"/>
      <c r="I25" s="17" t="str">
        <f ca="1">IFERROR(__xludf.DUMMYFUNCTION("""COMPUTED_VALUE"""),"Transaction cost")</f>
        <v>Transaction cost</v>
      </c>
      <c r="J25" s="17" t="str">
        <f ca="1">IFERROR(__xludf.DUMMYFUNCTION("""COMPUTED_VALUE"""),"PO 1801 VISITA A GRAJALES")</f>
        <v>PO 1801 VISITA A GRAJALES</v>
      </c>
      <c r="K25" s="17"/>
      <c r="L25" s="17"/>
      <c r="M25" s="17"/>
      <c r="N25" s="17"/>
      <c r="O25" s="17"/>
    </row>
    <row r="26" spans="1:15" ht="12.5">
      <c r="A26" s="17"/>
      <c r="B26" s="24"/>
      <c r="C26" s="24"/>
      <c r="D26" s="17"/>
      <c r="E26" s="17"/>
      <c r="F26" s="17"/>
      <c r="G26" s="17"/>
      <c r="H26" s="17"/>
      <c r="I26" s="17" t="str">
        <f ca="1">IFERROR(__xludf.DUMMYFUNCTION("""COMPUTED_VALUE"""),"Transaction cost")</f>
        <v>Transaction cost</v>
      </c>
      <c r="J26" s="17" t="str">
        <f ca="1">IFERROR(__xludf.DUMMYFUNCTION("""COMPUTED_VALUE"""),"PO 1801 VISITA A GRAJALES")</f>
        <v>PO 1801 VISITA A GRAJALES</v>
      </c>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t="str">
        <f ca="1">IFERROR(__xludf.DUMMYFUNCTION("""COMPUTED_VALUE"""),"PO 1801 VISITA A GRAJALES")</f>
        <v>PO 1801 VISITA A GRAJALES</v>
      </c>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t="str">
        <f ca="1">IFERROR(__xludf.DUMMYFUNCTION("""COMPUTED_VALUE"""),"PO 1801 VISITA A GRAJALES")</f>
        <v>PO 1801 VISITA A GRAJALES</v>
      </c>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t="str">
        <f ca="1">IFERROR(__xludf.DUMMYFUNCTION("""COMPUTED_VALUE"""),"PO 1801 VISITA A GRAJALES")</f>
        <v>PO 1801 VISITA A GRAJALES</v>
      </c>
      <c r="K29" s="17"/>
      <c r="L29" s="17"/>
      <c r="M29" s="17"/>
      <c r="N29" s="17"/>
      <c r="O29" s="17"/>
    </row>
    <row r="30" spans="1:15" ht="12.5">
      <c r="A30" s="17"/>
      <c r="B30" s="24"/>
      <c r="C30" s="24"/>
      <c r="D30" s="17"/>
      <c r="E30" s="17"/>
      <c r="F30" s="17"/>
      <c r="G30" s="17"/>
      <c r="H30" s="17"/>
      <c r="I30" s="17" t="str">
        <f ca="1">IFERROR(__xludf.DUMMYFUNCTION("""COMPUTED_VALUE"""),"Transaction cost")</f>
        <v>Transaction cost</v>
      </c>
      <c r="J30" s="17" t="str">
        <f ca="1">IFERROR(__xludf.DUMMYFUNCTION("""COMPUTED_VALUE"""),"PO 1801 VISITA A GRAJALES")</f>
        <v>PO 1801 VISITA A GRAJALES</v>
      </c>
      <c r="K30" s="17"/>
      <c r="L30" s="17"/>
      <c r="M30" s="17"/>
      <c r="N30" s="17"/>
      <c r="O30" s="17"/>
    </row>
    <row r="31" spans="1:15" ht="12.5">
      <c r="A31" s="17"/>
      <c r="B31" s="24"/>
      <c r="C31" s="24"/>
      <c r="D31" s="17"/>
      <c r="E31" s="17"/>
      <c r="F31" s="17"/>
      <c r="G31" s="17"/>
      <c r="H31" s="17"/>
      <c r="I31" s="17" t="str">
        <f ca="1">IFERROR(__xludf.DUMMYFUNCTION("""COMPUTED_VALUE"""),"Transaction cost")</f>
        <v>Transaction cost</v>
      </c>
      <c r="J31" s="17" t="str">
        <f ca="1">IFERROR(__xludf.DUMMYFUNCTION("""COMPUTED_VALUE"""),"PO 1801 VISITA A GRAJALES")</f>
        <v>PO 1801 VISITA A GRAJALES</v>
      </c>
      <c r="K31" s="17"/>
      <c r="L31" s="17"/>
      <c r="M31" s="17"/>
      <c r="N31" s="17"/>
      <c r="O31" s="17"/>
    </row>
    <row r="32" spans="1:15" ht="12.5">
      <c r="A32" s="17"/>
      <c r="B32" s="24"/>
      <c r="C32" s="24"/>
      <c r="D32" s="17"/>
      <c r="E32" s="17"/>
      <c r="F32" s="17"/>
      <c r="G32" s="17"/>
      <c r="H32" s="17"/>
      <c r="I32" s="17" t="str">
        <f ca="1">IFERROR(__xludf.DUMMYFUNCTION("""COMPUTED_VALUE"""),"Transaction cost")</f>
        <v>Transaction cost</v>
      </c>
      <c r="J32" s="17" t="str">
        <f ca="1">IFERROR(__xludf.DUMMYFUNCTION("""COMPUTED_VALUE"""),"PO 1915 VISITA A DMRB REV PTL ")</f>
        <v xml:space="preserve">PO 1915 VISITA A DMRB REV PTL </v>
      </c>
      <c r="K32" s="17"/>
      <c r="L32" s="17"/>
      <c r="M32" s="17"/>
      <c r="N32" s="17"/>
      <c r="O32" s="17"/>
    </row>
    <row r="33" spans="1:15" ht="12.5">
      <c r="A33" s="17"/>
      <c r="B33" s="24"/>
      <c r="C33" s="24"/>
      <c r="D33" s="17"/>
      <c r="E33" s="17"/>
      <c r="F33" s="17"/>
      <c r="G33" s="17"/>
      <c r="H33" s="17"/>
      <c r="I33" s="17" t="str">
        <f ca="1">IFERROR(__xludf.DUMMYFUNCTION("""COMPUTED_VALUE"""),"Transaction cost")</f>
        <v>Transaction cost</v>
      </c>
      <c r="J33" s="17" t="str">
        <f ca="1">IFERROR(__xludf.DUMMYFUNCTION("""COMPUTED_VALUE"""),"PO 1801 VISITA A GRAJALES")</f>
        <v>PO 1801 VISITA A GRAJALES</v>
      </c>
      <c r="K33" s="17"/>
      <c r="L33" s="17"/>
      <c r="M33" s="17"/>
      <c r="N33" s="17"/>
      <c r="O33" s="17"/>
    </row>
    <row r="34" spans="1:15" ht="12.5">
      <c r="A34" s="17"/>
      <c r="B34" s="24"/>
      <c r="C34" s="24"/>
      <c r="D34" s="17"/>
      <c r="E34" s="17"/>
      <c r="F34" s="17"/>
      <c r="G34" s="17"/>
      <c r="H34" s="17"/>
      <c r="I34" s="17" t="str">
        <f ca="1">IFERROR(__xludf.DUMMYFUNCTION("""COMPUTED_VALUE"""),"Transaction cost")</f>
        <v>Transaction cost</v>
      </c>
      <c r="J34" s="17" t="str">
        <f ca="1">IFERROR(__xludf.DUMMYFUNCTION("""COMPUTED_VALUE"""),"PO 1801 VISITA A GRAJALES")</f>
        <v>PO 1801 VISITA A GRAJALES</v>
      </c>
      <c r="K34" s="17"/>
      <c r="L34" s="17"/>
      <c r="M34" s="17"/>
      <c r="N34" s="17"/>
      <c r="O34" s="17"/>
    </row>
    <row r="35" spans="1:15" ht="12.5">
      <c r="A35" s="17"/>
      <c r="B35" s="24"/>
      <c r="C35" s="24"/>
      <c r="D35" s="17"/>
      <c r="E35" s="17"/>
      <c r="F35" s="17"/>
      <c r="G35" s="17"/>
      <c r="H35" s="17"/>
      <c r="I35" s="17" t="str">
        <f ca="1">IFERROR(__xludf.DUMMYFUNCTION("""COMPUTED_VALUE"""),"Transaction cost")</f>
        <v>Transaction cost</v>
      </c>
      <c r="J35" s="17" t="str">
        <f ca="1">IFERROR(__xludf.DUMMYFUNCTION("""COMPUTED_VALUE"""),"PO 1801 VISITA A GRAJALES")</f>
        <v>PO 1801 VISITA A GRAJALES</v>
      </c>
      <c r="K35" s="17"/>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c r="L36" s="17"/>
      <c r="M36" s="17"/>
      <c r="N36" s="17"/>
      <c r="O36" s="17"/>
    </row>
    <row r="37" spans="1:15" ht="12.5">
      <c r="A37" s="17"/>
      <c r="B37" s="24"/>
      <c r="C37" s="24"/>
      <c r="D37" s="100"/>
      <c r="E37" s="17"/>
      <c r="F37" s="17"/>
      <c r="G37" s="17"/>
      <c r="H37" s="17"/>
      <c r="I37" s="17" t="str">
        <f ca="1">IFERROR(__xludf.DUMMYFUNCTION("""COMPUTED_VALUE"""),"Transaction cost")</f>
        <v>Transaction cost</v>
      </c>
      <c r="J37" s="17"/>
      <c r="K37" s="17"/>
      <c r="L37" s="17"/>
      <c r="M37" s="17"/>
      <c r="N37" s="17"/>
      <c r="O37" s="17"/>
    </row>
    <row r="38" spans="1:15" ht="12.5">
      <c r="A38" s="17"/>
      <c r="B38" s="24"/>
      <c r="C38" s="24"/>
      <c r="D38" s="100"/>
      <c r="E38" s="17"/>
      <c r="F38" s="17"/>
      <c r="G38" s="17"/>
      <c r="H38" s="17"/>
      <c r="I38" s="17" t="str">
        <f ca="1">IFERROR(__xludf.DUMMYFUNCTION("""COMPUTED_VALUE"""),"Transaction cost")</f>
        <v>Transaction cost</v>
      </c>
      <c r="J38" s="17"/>
      <c r="K38" s="17"/>
      <c r="L38" s="17"/>
      <c r="M38" s="17"/>
      <c r="N38" s="17"/>
      <c r="O38" s="17"/>
    </row>
    <row r="39" spans="1:15" ht="12.5">
      <c r="A39" s="17"/>
      <c r="B39" s="24"/>
      <c r="C39" s="24"/>
      <c r="D39" s="100"/>
      <c r="E39" s="17"/>
      <c r="F39" s="17"/>
      <c r="G39" s="17"/>
      <c r="H39" s="17"/>
      <c r="I39" s="17" t="str">
        <f ca="1">IFERROR(__xludf.DUMMYFUNCTION("""COMPUTED_VALUE"""),"Transaction cost")</f>
        <v>Transaction cost</v>
      </c>
      <c r="J39" s="17"/>
      <c r="K39" s="17"/>
      <c r="L39" s="17"/>
      <c r="M39" s="17"/>
      <c r="N39" s="17"/>
      <c r="O39" s="17"/>
    </row>
    <row r="40" spans="1:15" ht="12.5">
      <c r="A40" s="17"/>
      <c r="B40" s="24"/>
      <c r="C40" s="24"/>
      <c r="D40" s="17"/>
      <c r="E40" s="17"/>
      <c r="F40" s="17"/>
      <c r="G40" s="17"/>
      <c r="H40" s="17"/>
      <c r="I40" s="17" t="str">
        <f ca="1">IFERROR(__xludf.DUMMYFUNCTION("""COMPUTED_VALUE"""),"Transaction cost")</f>
        <v>Transaction cost</v>
      </c>
      <c r="J40" s="17"/>
      <c r="K40" s="17"/>
      <c r="L40" s="17"/>
      <c r="M40" s="17"/>
      <c r="N40" s="17"/>
      <c r="O40" s="17"/>
    </row>
    <row r="41" spans="1:15" ht="12.5">
      <c r="A41" s="17"/>
      <c r="B41" s="24"/>
      <c r="C41" s="24"/>
      <c r="D41" s="17"/>
      <c r="E41" s="17"/>
      <c r="F41" s="17"/>
      <c r="G41" s="17"/>
      <c r="H41" s="17"/>
      <c r="I41" s="17" t="str">
        <f ca="1">IFERROR(__xludf.DUMMYFUNCTION("""COMPUTED_VALUE"""),"Transaction cost")</f>
        <v>Transaction cost</v>
      </c>
      <c r="J41" s="17"/>
      <c r="K41" s="17"/>
      <c r="L41" s="17"/>
      <c r="M41" s="17"/>
      <c r="N41" s="17"/>
      <c r="O41" s="17"/>
    </row>
    <row r="42" spans="1:15" ht="12.5">
      <c r="A42" s="17"/>
      <c r="B42" s="24"/>
      <c r="C42" s="24"/>
      <c r="D42" s="17"/>
      <c r="E42" s="17"/>
      <c r="F42" s="17"/>
      <c r="G42" s="17"/>
      <c r="H42" s="17"/>
      <c r="I42" s="17" t="str">
        <f ca="1">IFERROR(__xludf.DUMMYFUNCTION("""COMPUTED_VALUE"""),"Transaction cost")</f>
        <v>Transaction cost</v>
      </c>
      <c r="J42" s="17"/>
      <c r="K42" s="17"/>
      <c r="L42" s="17"/>
      <c r="M42" s="17"/>
      <c r="N42" s="17"/>
      <c r="O42" s="17"/>
    </row>
    <row r="43" spans="1:15" ht="12.5">
      <c r="A43" s="17"/>
      <c r="B43" s="24"/>
      <c r="C43" s="24"/>
      <c r="D43" s="17"/>
      <c r="E43" s="17"/>
      <c r="F43" s="17"/>
      <c r="G43" s="17"/>
      <c r="H43" s="17"/>
      <c r="I43" s="17" t="str">
        <f ca="1">IFERROR(__xludf.DUMMYFUNCTION("""COMPUTED_VALUE"""),"Transaction cost")</f>
        <v>Transaction cost</v>
      </c>
      <c r="J43" s="17"/>
      <c r="K43" s="17"/>
      <c r="L43" s="17"/>
      <c r="M43" s="17"/>
      <c r="N43" s="17"/>
      <c r="O43" s="17"/>
    </row>
    <row r="44" spans="1:15" ht="12.5">
      <c r="A44" s="17"/>
      <c r="B44" s="24"/>
      <c r="C44" s="24"/>
      <c r="D44" s="17"/>
      <c r="E44" s="17"/>
      <c r="F44" s="17"/>
      <c r="G44" s="17"/>
      <c r="H44" s="17"/>
      <c r="I44" s="17" t="str">
        <f ca="1">IFERROR(__xludf.DUMMYFUNCTION("""COMPUTED_VALUE"""),"Transaction cost")</f>
        <v>Transaction cost</v>
      </c>
      <c r="J44" s="17"/>
      <c r="K44" s="17"/>
      <c r="L44" s="17"/>
      <c r="M44" s="17"/>
      <c r="N44" s="17"/>
      <c r="O44" s="17"/>
    </row>
    <row r="45" spans="1:15" ht="12.5">
      <c r="A45" s="17"/>
      <c r="B45" s="24"/>
      <c r="C45" s="24"/>
      <c r="D45" s="17"/>
      <c r="E45" s="17"/>
      <c r="F45" s="17"/>
      <c r="G45" s="17"/>
      <c r="H45" s="17"/>
      <c r="I45" s="17" t="str">
        <f ca="1">IFERROR(__xludf.DUMMYFUNCTION("""COMPUTED_VALUE"""),"Transaction cost")</f>
        <v>Transaction cost</v>
      </c>
      <c r="J45" s="17"/>
      <c r="K45" s="17"/>
      <c r="L45" s="17"/>
      <c r="M45" s="17"/>
      <c r="N45" s="17"/>
      <c r="O45" s="17"/>
    </row>
    <row r="46" spans="1:15" ht="12.5">
      <c r="A46" s="17"/>
      <c r="B46" s="24"/>
      <c r="C46" s="24"/>
      <c r="D46" s="17"/>
      <c r="E46" s="17"/>
      <c r="F46" s="17"/>
      <c r="G46" s="17"/>
      <c r="H46" s="17"/>
      <c r="I46" s="17" t="str">
        <f ca="1">IFERROR(__xludf.DUMMYFUNCTION("""COMPUTED_VALUE"""),"Transaction cost")</f>
        <v>Transaction cost</v>
      </c>
      <c r="J46" s="17"/>
      <c r="K46" s="17"/>
      <c r="L46" s="17"/>
      <c r="M46" s="17"/>
      <c r="N46" s="17"/>
      <c r="O46" s="17"/>
    </row>
    <row r="47" spans="1:15" ht="12.5">
      <c r="A47" s="17"/>
      <c r="B47" s="24"/>
      <c r="C47" s="24"/>
      <c r="D47" s="17"/>
      <c r="E47" s="17"/>
      <c r="F47" s="17"/>
      <c r="G47" s="17"/>
      <c r="H47" s="17"/>
      <c r="I47" s="17" t="str">
        <f ca="1">IFERROR(__xludf.DUMMYFUNCTION("""COMPUTED_VALUE"""),"Transaction cost")</f>
        <v>Transaction cost</v>
      </c>
      <c r="J47" s="17"/>
      <c r="K47" s="17"/>
      <c r="L47" s="17"/>
      <c r="M47" s="17"/>
      <c r="N47" s="17"/>
      <c r="O47" s="17"/>
    </row>
    <row r="48" spans="1:15" ht="12.5">
      <c r="A48" s="17"/>
      <c r="B48" s="24"/>
      <c r="C48" s="24"/>
      <c r="D48" s="17"/>
      <c r="E48" s="17"/>
      <c r="F48" s="17"/>
      <c r="G48" s="17"/>
      <c r="H48" s="17"/>
      <c r="I48" s="17" t="str">
        <f ca="1">IFERROR(__xludf.DUMMYFUNCTION("""COMPUTED_VALUE"""),"Transaction cost")</f>
        <v>Transaction cost</v>
      </c>
      <c r="J48" s="17"/>
      <c r="K48" s="17"/>
      <c r="L48" s="17"/>
      <c r="M48" s="17"/>
      <c r="N48" s="17"/>
      <c r="O48" s="17"/>
    </row>
    <row r="49" spans="1:15" ht="12.5">
      <c r="A49" s="17"/>
      <c r="B49" s="24"/>
      <c r="C49" s="24"/>
      <c r="D49" s="17"/>
      <c r="E49" s="17"/>
      <c r="F49" s="17"/>
      <c r="G49" s="17"/>
      <c r="H49" s="17"/>
      <c r="I49" s="17" t="str">
        <f ca="1">IFERROR(__xludf.DUMMYFUNCTION("""COMPUTED_VALUE"""),"Transaction cost")</f>
        <v>Transaction cost</v>
      </c>
      <c r="J49" s="17"/>
      <c r="K49" s="17"/>
      <c r="L49" s="17"/>
      <c r="M49" s="17"/>
      <c r="N49" s="17"/>
      <c r="O49" s="17"/>
    </row>
    <row r="50" spans="1:15" ht="12.5">
      <c r="A50" s="17"/>
      <c r="B50" s="24"/>
      <c r="C50" s="24"/>
      <c r="D50" s="17"/>
      <c r="E50" s="17"/>
      <c r="F50" s="17"/>
      <c r="G50" s="17"/>
      <c r="H50" s="17"/>
      <c r="I50" s="17" t="str">
        <f ca="1">IFERROR(__xludf.DUMMYFUNCTION("""COMPUTED_VALUE"""),"Transaction cost")</f>
        <v>Transaction cost</v>
      </c>
      <c r="J50" s="17"/>
      <c r="K50" s="17"/>
      <c r="L50" s="17"/>
      <c r="M50" s="17"/>
      <c r="N50" s="17"/>
      <c r="O50" s="17"/>
    </row>
    <row r="51" spans="1:15" ht="12.5">
      <c r="A51" s="17"/>
      <c r="B51" s="24"/>
      <c r="C51" s="24"/>
      <c r="D51" s="17"/>
      <c r="E51" s="17"/>
      <c r="F51" s="17"/>
      <c r="G51" s="17"/>
      <c r="H51" s="17"/>
      <c r="I51" s="17" t="str">
        <f ca="1">IFERROR(__xludf.DUMMYFUNCTION("""COMPUTED_VALUE"""),"Transaction cost")</f>
        <v>Transaction cost</v>
      </c>
      <c r="J51" s="17"/>
      <c r="K51" s="17"/>
      <c r="L51" s="17"/>
      <c r="M51" s="17"/>
      <c r="N51" s="17"/>
      <c r="O51" s="17"/>
    </row>
    <row r="52" spans="1:15" ht="12.5">
      <c r="A52" s="17"/>
      <c r="B52" s="24"/>
      <c r="C52" s="24"/>
      <c r="D52" s="17"/>
      <c r="E52" s="17"/>
      <c r="F52" s="17"/>
      <c r="G52" s="17"/>
      <c r="H52" s="17"/>
      <c r="I52" s="17"/>
      <c r="J52" s="17"/>
      <c r="K52" s="17"/>
      <c r="L52" s="17"/>
      <c r="M52" s="17"/>
      <c r="N52" s="17"/>
      <c r="O52" s="17"/>
    </row>
    <row r="53" spans="1:15" ht="12.5">
      <c r="A53" s="17"/>
      <c r="B53" s="24"/>
      <c r="C53" s="24"/>
      <c r="D53" s="17"/>
      <c r="E53" s="17"/>
      <c r="F53" s="17"/>
      <c r="G53" s="17"/>
      <c r="H53" s="17"/>
      <c r="I53" s="17"/>
      <c r="J53" s="17"/>
      <c r="K53" s="17"/>
      <c r="L53" s="17"/>
      <c r="M53" s="17"/>
      <c r="N53" s="17"/>
      <c r="O53" s="17"/>
    </row>
    <row r="54" spans="1:15" ht="12.5">
      <c r="A54" s="17"/>
      <c r="B54" s="24"/>
      <c r="C54" s="24"/>
      <c r="D54" s="17"/>
      <c r="E54" s="17"/>
      <c r="F54" s="17"/>
      <c r="G54" s="17"/>
      <c r="H54" s="17"/>
      <c r="I54" s="17"/>
      <c r="J54" s="17"/>
      <c r="K54" s="17"/>
      <c r="L54" s="17"/>
      <c r="M54" s="17"/>
      <c r="N54" s="17"/>
      <c r="O54" s="17"/>
    </row>
    <row r="55" spans="1:15" ht="12.5">
      <c r="A55" s="17"/>
      <c r="B55" s="24"/>
      <c r="C55" s="24"/>
      <c r="D55" s="17"/>
      <c r="E55" s="17"/>
      <c r="F55" s="17"/>
      <c r="G55" s="17"/>
      <c r="H55" s="17"/>
      <c r="I55" s="17"/>
      <c r="J55" s="17"/>
      <c r="K55" s="17"/>
      <c r="L55" s="17"/>
      <c r="M55" s="17"/>
      <c r="N55" s="17"/>
      <c r="O55" s="17"/>
    </row>
    <row r="56" spans="1:15" ht="12.5">
      <c r="A56" s="17"/>
      <c r="B56" s="24"/>
      <c r="C56" s="24"/>
      <c r="D56" s="17"/>
      <c r="E56" s="17"/>
      <c r="F56" s="17"/>
      <c r="G56" s="17"/>
      <c r="H56" s="17"/>
      <c r="I56" s="17"/>
      <c r="J56" s="17"/>
      <c r="K56" s="17"/>
      <c r="L56" s="17"/>
      <c r="M56" s="17"/>
      <c r="N56" s="17"/>
      <c r="O56" s="17"/>
    </row>
    <row r="57" spans="1:15" ht="12.5">
      <c r="A57" s="17"/>
      <c r="B57" s="24"/>
      <c r="C57" s="24"/>
      <c r="D57" s="17"/>
      <c r="E57" s="17"/>
      <c r="F57" s="17"/>
      <c r="G57" s="17"/>
      <c r="H57" s="17"/>
      <c r="I57" s="17"/>
      <c r="J57" s="17"/>
      <c r="K57" s="17"/>
      <c r="L57" s="17"/>
      <c r="M57" s="17"/>
      <c r="N57" s="17"/>
      <c r="O57" s="17"/>
    </row>
    <row r="58" spans="1:15" ht="12.5">
      <c r="A58" s="17"/>
      <c r="B58" s="24"/>
      <c r="C58" s="24"/>
      <c r="D58" s="17"/>
      <c r="E58" s="17"/>
      <c r="F58" s="17"/>
      <c r="G58" s="17"/>
      <c r="H58" s="17"/>
      <c r="I58" s="17"/>
      <c r="J58" s="17"/>
      <c r="K58" s="17"/>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c r="L62" s="17"/>
      <c r="M62" s="17"/>
      <c r="N62" s="17"/>
      <c r="O62" s="17"/>
    </row>
    <row r="63" spans="1:15" ht="12.5">
      <c r="A63" s="17"/>
      <c r="B63" s="24"/>
      <c r="C63" s="24"/>
      <c r="D63" s="17"/>
      <c r="E63" s="17"/>
      <c r="F63" s="17"/>
      <c r="G63" s="17"/>
      <c r="H63" s="17"/>
      <c r="I63" s="17"/>
      <c r="J63" s="17"/>
      <c r="K63" s="17"/>
      <c r="L63" s="17"/>
      <c r="M63" s="17"/>
      <c r="N63" s="17"/>
      <c r="O63" s="17"/>
    </row>
    <row r="64" spans="1:15" ht="12.5">
      <c r="A64" s="17"/>
      <c r="B64" s="24"/>
      <c r="C64" s="24"/>
      <c r="D64" s="17"/>
      <c r="E64" s="17"/>
      <c r="F64" s="17"/>
      <c r="G64" s="17"/>
      <c r="H64" s="17"/>
      <c r="I64" s="17"/>
      <c r="J64" s="17"/>
      <c r="K64" s="17"/>
      <c r="L64" s="17"/>
      <c r="M64" s="17"/>
      <c r="N64" s="17"/>
      <c r="O64" s="17"/>
    </row>
    <row r="65" spans="1:15" ht="12.5">
      <c r="A65" s="17"/>
      <c r="B65" s="24"/>
      <c r="C65" s="24"/>
      <c r="D65" s="17"/>
      <c r="E65" s="17"/>
      <c r="F65" s="17"/>
      <c r="G65" s="17"/>
      <c r="H65" s="17"/>
      <c r="I65" s="17"/>
      <c r="J65" s="17"/>
      <c r="K65" s="17"/>
      <c r="L65" s="17"/>
      <c r="M65" s="17"/>
      <c r="N65" s="17"/>
      <c r="O65" s="17"/>
    </row>
    <row r="66" spans="1:15" ht="12.5">
      <c r="A66" s="17"/>
      <c r="B66" s="24"/>
      <c r="C66" s="24"/>
      <c r="D66" s="17"/>
      <c r="E66" s="17"/>
      <c r="F66" s="17"/>
      <c r="G66" s="17"/>
      <c r="H66" s="17"/>
      <c r="I66" s="17"/>
      <c r="J66" s="17"/>
      <c r="K66" s="17"/>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90"/>
      <c r="B79" s="111"/>
      <c r="C79" s="111"/>
      <c r="D79" s="90"/>
      <c r="E79" s="90"/>
      <c r="F79" s="90"/>
      <c r="G79" s="90"/>
      <c r="H79" s="90"/>
      <c r="I79" s="90"/>
      <c r="J79" s="90"/>
      <c r="K79" s="90"/>
      <c r="L79" s="17"/>
      <c r="M79" s="17"/>
      <c r="N79" s="17"/>
      <c r="O79" s="17"/>
    </row>
    <row r="80" spans="1:15" ht="12.5">
      <c r="A80" s="90"/>
      <c r="B80" s="111"/>
      <c r="C80" s="111"/>
      <c r="D80" s="90"/>
      <c r="E80" s="90"/>
      <c r="F80" s="90"/>
      <c r="G80" s="90"/>
      <c r="H80" s="90"/>
      <c r="I80" s="90"/>
      <c r="J80" s="90"/>
      <c r="K80" s="90"/>
      <c r="L80" s="17"/>
      <c r="M80" s="17"/>
      <c r="N80" s="17"/>
      <c r="O80" s="17"/>
    </row>
    <row r="81" spans="1:15" ht="12.5">
      <c r="A81" s="90"/>
      <c r="B81" s="111"/>
      <c r="C81" s="111"/>
      <c r="D81" s="90"/>
      <c r="E81" s="90"/>
      <c r="F81" s="90"/>
      <c r="G81" s="90"/>
      <c r="H81" s="90"/>
      <c r="I81" s="90"/>
      <c r="J81" s="90"/>
      <c r="K81" s="90"/>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5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1962</v>
      </c>
      <c r="B2" s="139"/>
      <c r="C2" s="139"/>
      <c r="D2" s="68"/>
      <c r="E2" s="141" t="s">
        <v>63</v>
      </c>
      <c r="F2" s="139"/>
      <c r="G2" s="69" t="s">
        <v>1975</v>
      </c>
      <c r="H2" s="21" t="s">
        <v>1991</v>
      </c>
      <c r="I2" s="17"/>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IFERROR(__xludf.DUMMYFUNCTION("IMPORTRANGE(""https://docs.google.com/spreadsheets/d/1pQiLgjLpHaXzOxUEx_WHVbuW525OkWg0WKJUupa9dsU/edit#gid=1404531132"",""I12:K80"")"),"Sales")</f>
        <v>Sales</v>
      </c>
      <c r="J12" s="17" t="str">
        <f ca="1">IFERROR(__xludf.DUMMYFUNCTION("""COMPUTED_VALUE"""),"CANCELADO")</f>
        <v>CANCELADO</v>
      </c>
      <c r="K12" s="17" t="str">
        <f ca="1">IFERROR(__xludf.DUMMYFUNCTION("""COMPUTED_VALUE"""),"NA")</f>
        <v>NA</v>
      </c>
      <c r="L12" s="17"/>
      <c r="M12" s="17"/>
      <c r="N12" s="17"/>
      <c r="O12" s="17"/>
    </row>
    <row r="13" spans="1:15" ht="15.75" customHeight="1">
      <c r="A13" s="24"/>
      <c r="B13" s="24"/>
      <c r="C13" s="24"/>
      <c r="D13" s="17"/>
      <c r="E13" s="17"/>
      <c r="F13" s="17"/>
      <c r="G13" s="17"/>
      <c r="H13" s="17"/>
      <c r="I13" s="17" t="str">
        <f ca="1">IFERROR(__xludf.DUMMYFUNCTION("""COMPUTED_VALUE"""),"Sales")</f>
        <v>Sales</v>
      </c>
      <c r="J13" s="17" t="str">
        <f ca="1">IFERROR(__xludf.DUMMYFUNCTION("""COMPUTED_VALUE"""),"CANCELADO")</f>
        <v>CANCELADO</v>
      </c>
      <c r="K13" s="17" t="str">
        <f ca="1">IFERROR(__xludf.DUMMYFUNCTION("""COMPUTED_VALUE"""),"NA")</f>
        <v>NA</v>
      </c>
      <c r="L13" s="17"/>
      <c r="M13" s="17"/>
      <c r="N13" s="17"/>
      <c r="O13" s="17"/>
    </row>
    <row r="14" spans="1:15" ht="15.75" customHeight="1">
      <c r="A14" s="24"/>
      <c r="B14" s="24"/>
      <c r="C14" s="24"/>
      <c r="D14" s="17"/>
      <c r="E14" s="17"/>
      <c r="F14" s="17"/>
      <c r="G14" s="17"/>
      <c r="H14" s="17"/>
      <c r="I14" s="17" t="str">
        <f ca="1">IFERROR(__xludf.DUMMYFUNCTION("""COMPUTED_VALUE"""),"Sales")</f>
        <v>Sales</v>
      </c>
      <c r="J14" s="17" t="str">
        <f ca="1">IFERROR(__xludf.DUMMYFUNCTION("""COMPUTED_VALUE"""),"Visita Sears 1857")</f>
        <v>Visita Sears 1857</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IFERROR(__xludf.DUMMYFUNCTION("""COMPUTED_VALUE"""),"Visita Sears muestras 1857")</f>
        <v>Visita Sears muestras 1857</v>
      </c>
      <c r="K15" s="17" t="str">
        <f ca="1">IFERROR(__xludf.DUMMYFUNCTION("""COMPUTED_VALUE"""),"87DD9-0004181")</f>
        <v>87DD9-0004181</v>
      </c>
      <c r="L15" s="17"/>
      <c r="M15" s="17"/>
      <c r="N15" s="17"/>
      <c r="O15" s="17"/>
    </row>
    <row r="16" spans="1:15" ht="15.75" customHeight="1">
      <c r="A16" s="17"/>
      <c r="B16" s="24"/>
      <c r="C16" s="24"/>
      <c r="D16" s="17"/>
      <c r="E16" s="17"/>
      <c r="F16" s="17"/>
      <c r="G16" s="17"/>
      <c r="H16" s="17"/>
      <c r="I16" s="17" t="str">
        <f ca="1">IFERROR(__xludf.DUMMYFUNCTION("""COMPUTED_VALUE"""),"Sales")</f>
        <v>Sales</v>
      </c>
      <c r="J16" s="17" t="str">
        <f ca="1">IFERROR(__xludf.DUMMYFUNCTION("""COMPUTED_VALUE"""),"Visita Sears muestras 1857")</f>
        <v>Visita Sears muestras 1857</v>
      </c>
      <c r="K16" s="17" t="str">
        <f ca="1">IFERROR(__xludf.DUMMYFUNCTION("""COMPUTED_VALUE"""),"ULWEAO-I-0000071")</f>
        <v>ULWEAO-I-0000071</v>
      </c>
      <c r="L16" s="17"/>
      <c r="M16" s="17"/>
      <c r="N16" s="17"/>
      <c r="O16" s="17"/>
    </row>
    <row r="17" spans="1:15" ht="15.75" customHeight="1">
      <c r="A17" s="17"/>
      <c r="B17" s="24"/>
      <c r="C17" s="24"/>
      <c r="D17" s="17"/>
      <c r="E17" s="17"/>
      <c r="F17" s="17"/>
      <c r="G17" s="17"/>
      <c r="H17" s="17"/>
      <c r="I17" s="17" t="str">
        <f ca="1">IFERROR(__xludf.DUMMYFUNCTION("""COMPUTED_VALUE"""),"Sales")</f>
        <v>Sales</v>
      </c>
      <c r="J17" s="17" t="str">
        <f ca="1">IFERROR(__xludf.DUMMYFUNCTION("""COMPUTED_VALUE"""),"Visita Steren")</f>
        <v>Visita Steren</v>
      </c>
      <c r="K17" s="17" t="str">
        <f ca="1">IFERROR(__xludf.DUMMYFUNCTION("""COMPUTED_VALUE"""),"C2522-0002924")</f>
        <v>C2522-0002924</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IFERROR(__xludf.DUMMYFUNCTION("""COMPUTED_VALUE"""),"Visita Sears muestras")</f>
        <v>Visita Sears muestras</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IFERROR(__xludf.DUMMYFUNCTION("""COMPUTED_VALUE"""),"Sales")</f>
        <v>Sales</v>
      </c>
      <c r="J19" s="17" t="str">
        <f ca="1">IFERROR(__xludf.DUMMYFUNCTION("""COMPUTED_VALUE"""),"Visita a Sears")</f>
        <v>Visita a Sears</v>
      </c>
      <c r="K19" s="17" t="str">
        <f ca="1">IFERROR(__xludf.DUMMYFUNCTION("""COMPUTED_VALUE"""),"DB417-0001509")</f>
        <v>DB417-0001509</v>
      </c>
      <c r="L19" s="17"/>
      <c r="M19" s="17"/>
      <c r="N19" s="17"/>
      <c r="O19" s="17"/>
    </row>
    <row r="20" spans="1:15" ht="12.5">
      <c r="A20" s="17"/>
      <c r="B20" s="24"/>
      <c r="C20" s="24"/>
      <c r="D20" s="17"/>
      <c r="E20" s="17"/>
      <c r="F20" s="17"/>
      <c r="G20" s="17"/>
      <c r="H20" s="17"/>
      <c r="I20" s="17" t="str">
        <f ca="1">IFERROR(__xludf.DUMMYFUNCTION("""COMPUTED_VALUE"""),"Sales")</f>
        <v>Sales</v>
      </c>
      <c r="J20" s="17"/>
      <c r="K20" s="17" t="str">
        <f ca="1">IFERROR(__xludf.DUMMYFUNCTION("""COMPUTED_VALUE"""),".")</f>
        <v>.</v>
      </c>
      <c r="L20" s="17"/>
      <c r="M20" s="17"/>
      <c r="N20" s="17"/>
      <c r="O20" s="17"/>
    </row>
    <row r="21" spans="1:15" ht="12.5">
      <c r="A21" s="17"/>
      <c r="B21" s="24"/>
      <c r="C21" s="24"/>
      <c r="D21" s="17"/>
      <c r="E21" s="17"/>
      <c r="F21" s="17"/>
      <c r="G21" s="17"/>
      <c r="H21" s="17"/>
      <c r="I21" s="17" t="str">
        <f ca="1">IFERROR(__xludf.DUMMYFUNCTION("""COMPUTED_VALUE"""),"Sales")</f>
        <v>Sales</v>
      </c>
      <c r="J21" s="17" t="str">
        <f ca="1">IFERROR(__xludf.DUMMYFUNCTION("""COMPUTED_VALUE"""),"Visita")</f>
        <v>Visita</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IFERROR(__xludf.DUMMYFUNCTION("""COMPUTED_VALUE"""),"Sales")</f>
        <v>Sales</v>
      </c>
      <c r="J22" s="17" t="str">
        <f ca="1">IFERROR(__xludf.DUMMYFUNCTION("""COMPUTED_VALUE"""),"CANCELADO")</f>
        <v>CANCELADO</v>
      </c>
      <c r="K22" s="17" t="str">
        <f ca="1">IFERROR(__xludf.DUMMYFUNCTION("""COMPUTED_VALUE"""),"NA")</f>
        <v>NA</v>
      </c>
      <c r="L22" s="17"/>
      <c r="M22" s="17"/>
      <c r="N22" s="17"/>
      <c r="O22" s="17"/>
    </row>
    <row r="23" spans="1:15" ht="12.5">
      <c r="A23" s="17"/>
      <c r="B23" s="24"/>
      <c r="C23" s="24"/>
      <c r="D23" s="17"/>
      <c r="E23" s="17"/>
      <c r="F23" s="17"/>
      <c r="G23" s="17"/>
      <c r="H23" s="17"/>
      <c r="I23" s="17" t="str">
        <f ca="1">IFERROR(__xludf.DUMMYFUNCTION("""COMPUTED_VALUE"""),"Sales")</f>
        <v>Sales</v>
      </c>
      <c r="J23" s="17"/>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IFERROR(__xludf.DUMMYFUNCTION("""COMPUTED_VALUE"""),"Sales")</f>
        <v>Sales</v>
      </c>
      <c r="J24" s="17" t="str">
        <f ca="1">IFERROR(__xludf.DUMMYFUNCTION("""COMPUTED_VALUE"""),"Visita Camino Real 2201")</f>
        <v>Visita Camino Real 2201</v>
      </c>
      <c r="K24" s="17" t="str">
        <f ca="1">IFERROR(__xludf.DUMMYFUNCTION("""COMPUTED_VALUE"""),"HZNIZP-I-0025234")</f>
        <v>HZNIZP-I-0025234</v>
      </c>
      <c r="L24" s="17"/>
      <c r="M24" s="17"/>
      <c r="N24" s="17"/>
      <c r="O24" s="17"/>
    </row>
    <row r="25" spans="1:15" ht="12.5">
      <c r="A25" s="17"/>
      <c r="B25" s="24"/>
      <c r="C25" s="24"/>
      <c r="D25" s="17"/>
      <c r="E25" s="17"/>
      <c r="F25" s="17"/>
      <c r="G25" s="17"/>
      <c r="H25" s="17"/>
      <c r="I25" s="17" t="str">
        <f ca="1">IFERROR(__xludf.DUMMYFUNCTION("""COMPUTED_VALUE"""),"Sales")</f>
        <v>Sales</v>
      </c>
      <c r="J25" s="17"/>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IFERROR(__xludf.DUMMYFUNCTION("""COMPUTED_VALUE"""),"Sales")</f>
        <v>Sales</v>
      </c>
      <c r="J26" s="17"/>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IFERROR(__xludf.DUMMYFUNCTION("""COMPUTED_VALUE"""),"Sales")</f>
        <v>Sales</v>
      </c>
      <c r="J27" s="17" t="str">
        <f ca="1">IFERROR(__xludf.DUMMYFUNCTION("""COMPUTED_VALUE"""),"CANCELADO")</f>
        <v>CANCELADO</v>
      </c>
      <c r="K27" s="17" t="str">
        <f ca="1">IFERROR(__xludf.DUMMYFUNCTION("""COMPUTED_VALUE"""),"NA")</f>
        <v>NA</v>
      </c>
      <c r="L27" s="17"/>
      <c r="M27" s="17"/>
      <c r="N27" s="17"/>
      <c r="O27" s="17"/>
    </row>
    <row r="28" spans="1:15" ht="12.5">
      <c r="A28" s="17"/>
      <c r="B28" s="24"/>
      <c r="C28" s="24"/>
      <c r="D28" s="17"/>
      <c r="E28" s="17"/>
      <c r="F28" s="17"/>
      <c r="G28" s="17"/>
      <c r="H28" s="17"/>
      <c r="I28" s="17" t="str">
        <f ca="1">IFERROR(__xludf.DUMMYFUNCTION("""COMPUTED_VALUE"""),"Sales")</f>
        <v>Sales</v>
      </c>
      <c r="J28" s="17" t="str">
        <f ca="1">IFERROR(__xludf.DUMMYFUNCTION("""COMPUTED_VALUE"""),"CANCELADO")</f>
        <v>CANCELADO</v>
      </c>
      <c r="K28" s="17" t="str">
        <f ca="1">IFERROR(__xludf.DUMMYFUNCTION("""COMPUTED_VALUE"""),"NA")</f>
        <v>NA</v>
      </c>
      <c r="L28" s="17"/>
      <c r="M28" s="17"/>
      <c r="N28" s="17"/>
      <c r="O28" s="17"/>
    </row>
    <row r="29" spans="1:15" ht="12.5">
      <c r="A29" s="17"/>
      <c r="B29" s="24"/>
      <c r="C29" s="24"/>
      <c r="D29" s="17"/>
      <c r="E29" s="17"/>
      <c r="F29" s="17"/>
      <c r="G29" s="17"/>
      <c r="H29" s="17"/>
      <c r="I29" s="17" t="str">
        <f ca="1">IFERROR(__xludf.DUMMYFUNCTION("""COMPUTED_VALUE"""),"Sales")</f>
        <v>Sales</v>
      </c>
      <c r="J29" s="17" t="str">
        <f ca="1">IFERROR(__xludf.DUMMYFUNCTION("""COMPUTED_VALUE"""),"Recoger factura Sears 1857")</f>
        <v>Recoger factura Sears 1857</v>
      </c>
      <c r="K29" s="17" t="str">
        <f ca="1">IFERROR(__xludf.DUMMYFUNCTION("""COMPUTED_VALUE"""),"FMZEKW-I-0004322")</f>
        <v>FMZEKW-I-0004322</v>
      </c>
      <c r="L29" s="17"/>
      <c r="M29" s="17"/>
      <c r="N29" s="17"/>
      <c r="O29" s="17"/>
    </row>
    <row r="30" spans="1:15" ht="12.5">
      <c r="A30" s="17"/>
      <c r="B30" s="24"/>
      <c r="C30" s="24"/>
      <c r="D30" s="17"/>
      <c r="E30" s="17"/>
      <c r="F30" s="17"/>
      <c r="G30" s="17"/>
      <c r="H30" s="17"/>
      <c r="I30" s="17" t="str">
        <f ca="1">IFERROR(__xludf.DUMMYFUNCTION("""COMPUTED_VALUE"""),"Sales")</f>
        <v>Sales</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IFERROR(__xludf.DUMMYFUNCTION("""COMPUTED_VALUE"""),"Sales")</f>
        <v>Sales</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IFERROR(__xludf.DUMMYFUNCTION("""COMPUTED_VALUE"""),"Sales")</f>
        <v>Sales</v>
      </c>
      <c r="J32" s="17" t="str">
        <f ca="1">IFERROR(__xludf.DUMMYFUNCTION("""COMPUTED_VALUE"""),"Entregar factura Sears 1857")</f>
        <v>Entregar factura Sears 1857</v>
      </c>
      <c r="K32" s="17" t="str">
        <f ca="1">IFERROR(__xludf.DUMMYFUNCTION("""COMPUTED_VALUE"""),"IMNQRR-I-0000130")</f>
        <v>IMNQRR-I-0000130</v>
      </c>
      <c r="L32" s="17"/>
      <c r="M32" s="17"/>
      <c r="N32" s="17"/>
      <c r="O32" s="17"/>
    </row>
    <row r="33" spans="1:15" ht="12.5">
      <c r="A33" s="17"/>
      <c r="B33" s="24"/>
      <c r="C33" s="24"/>
      <c r="D33" s="17"/>
      <c r="E33" s="17"/>
      <c r="F33" s="17"/>
      <c r="G33" s="17"/>
      <c r="H33" s="17"/>
      <c r="I33" s="17" t="str">
        <f ca="1">IFERROR(__xludf.DUMMYFUNCTION("""COMPUTED_VALUE"""),"Sales")</f>
        <v>Sales</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IFERROR(__xludf.DUMMYFUNCTION("""COMPUTED_VALUE"""),"Sales")</f>
        <v>Sales</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IFERROR(__xludf.DUMMYFUNCTION("""COMPUTED_VALUE"""),"Sales")</f>
        <v>Sales</v>
      </c>
      <c r="J35" s="17" t="str">
        <f ca="1">IFERROR(__xludf.DUMMYFUNCTION("""COMPUTED_VALUE"""),"Visita FormaTres 38 2175")</f>
        <v>Visita FormaTres 38 2175</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IFERROR(__xludf.DUMMYFUNCTION("""COMPUTED_VALUE"""),"Sales")</f>
        <v>Sales</v>
      </c>
      <c r="J36" s="17" t="str">
        <f ca="1">IFERROR(__xludf.DUMMYFUNCTION("""COMPUTED_VALUE"""),"Visita FormaTres 38 2175")</f>
        <v>Visita FormaTres 38 2175</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IFERROR(__xludf.DUMMYFUNCTION("""COMPUTED_VALUE"""),"Sales")</f>
        <v>Sales</v>
      </c>
      <c r="J37" s="17" t="str">
        <f ca="1">IFERROR(__xludf.DUMMYFUNCTION("""COMPUTED_VALUE"""),"Visita Pop Manufacturing RevShare")</f>
        <v>Visita Pop Manufacturing RevShare</v>
      </c>
      <c r="K37" s="17" t="str">
        <f ca="1">IFERROR(__xludf.DUMMYFUNCTION("""COMPUTED_VALUE"""),"RCIYAG-I-1")</f>
        <v>RCIYAG-I-1</v>
      </c>
      <c r="L37" s="17"/>
      <c r="M37" s="17"/>
      <c r="N37" s="17"/>
      <c r="O37" s="17"/>
    </row>
    <row r="38" spans="1:15" ht="12.5">
      <c r="A38" s="17"/>
      <c r="B38" s="24"/>
      <c r="C38" s="24"/>
      <c r="D38" s="17"/>
      <c r="E38" s="17"/>
      <c r="F38" s="17"/>
      <c r="G38" s="17"/>
      <c r="H38" s="17"/>
      <c r="I38" s="17" t="str">
        <f ca="1">IFERROR(__xludf.DUMMYFUNCTION("""COMPUTED_VALUE"""),"Sales")</f>
        <v>Sales</v>
      </c>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H2" location="'Edo Cta Jeeves Sept'!A1" display="Inicio" xr:uid="{00000000-0004-0000-36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2007</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IFERROR(__xludf.DUMMYFUNCTION("IMPORTRANGE(""https://docs.google.com/spreadsheets/d/1I4WniZN2g83YAd2cvQCyi9L4irb4iaPTtnR-A4_GOV4/edit#gid=1404531132"",""I12:K80"")"),"Sales")</f>
        <v>Sales</v>
      </c>
      <c r="J12" s="17" t="str">
        <f ca="1">IFERROR(__xludf.DUMMYFUNCTION("""COMPUTED_VALUE"""),"Hotel para la vista en la expo acero")</f>
        <v>Hotel para la vista en la expo acero</v>
      </c>
      <c r="K12" s="17" t="str">
        <f ca="1">IFERROR(__xludf.DUMMYFUNCTION("""COMPUTED_VALUE"""),"59ad28ac-202c-455c-a500-23358de1b2cb")</f>
        <v>59ad28ac-202c-455c-a500-23358de1b2cb</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7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9.08984375" customWidth="1"/>
    <col min="5" max="5" width="11.6328125" customWidth="1"/>
    <col min="6" max="6" width="11.08984375" customWidth="1"/>
    <col min="7" max="7" width="35.08984375" customWidth="1"/>
    <col min="8"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Sept'!$J$12:$J$1700=$A$2)"),"TRX1114")</f>
        <v>TRX1114</v>
      </c>
      <c r="B12" s="86" t="str">
        <f ca="1">IFERROR(__xludf.DUMMYFUNCTION("""COMPUTED_VALUE"""),"#53")</f>
        <v>#53</v>
      </c>
      <c r="C12" s="86">
        <f ca="1">IFERROR(__xludf.DUMMYFUNCTION("""COMPUTED_VALUE"""),46077.4166666666)</f>
        <v>46077.416666666599</v>
      </c>
      <c r="D12" s="65">
        <f ca="1">IFERROR(__xludf.DUMMYFUNCTION("FILTER('Edo Cta Jeeves Sept'!$G$12:$G$1700,'Edo Cta Jeeves Sept'!$J$12:$J$1700=$A$2)"),4269)</f>
        <v>4269</v>
      </c>
      <c r="E12" s="17" t="str">
        <f ca="1">IFERROR(__xludf.DUMMYFUNCTION("FILTER('Edo Cta Jeeves Sept'!$I$12:$I$1700,'Edo Cta Jeeves Sept'!$J$12:$J$1700=$A$2)"),"MXN")</f>
        <v>MXN</v>
      </c>
      <c r="F12" s="17" t="str">
        <f ca="1">IFERROR(__xludf.DUMMYFUNCTION("FILTER('Edo Cta Jeeves Sept'!$J$12:$J$1700,'Edo Cta Jeeves Sept'!$J$12:$J$1700=$A$2)"),"Monserrat Benitez")</f>
        <v>Monserrat Benitez</v>
      </c>
      <c r="G12" s="17" t="str">
        <f ca="1">IFERROR(__xludf.DUMMYFUNCTION("FILTER('Edo Cta Jeeves Sept'!$K$12:$L$1700,'Edo Cta Jeeves Sept'!$J$12:$J$1700=$A$2)"),"PPROMEX*LINKEDIN       CIUDAD DE MEX MEX")</f>
        <v>PPROMEX*LINKEDIN       CIUDAD DE MEX MEX</v>
      </c>
      <c r="H12" s="17" t="str">
        <f ca="1">IFERROR(__xludf.DUMMYFUNCTION("""COMPUTED_VALUE"""),"Linkedin")</f>
        <v>Linkedin</v>
      </c>
      <c r="I12" s="17" t="str">
        <f ca="1">IFERROR(__xludf.DUMMYFUNCTION("IMPORTRANGE(""https://docs.google.com/spreadsheets/d/152bUFc0vInWmOXpvnOFCwOY2UBLMI1hrxw0hvkr1UwQ/edit#gid=1404531132"",""I12:K80"")"),"G&amp;A expenses")</f>
        <v>G&amp;A expenses</v>
      </c>
      <c r="J12" s="17" t="str">
        <f ca="1">IFERROR(__xludf.DUMMYFUNCTION("""COMPUTED_VALUE"""),"LinkedIn Premium")</f>
        <v>LinkedIn Premium</v>
      </c>
      <c r="K12" s="17" t="str">
        <f ca="1">IFERROR(__xludf.DUMMYFUNCTION("""COMPUTED_VALUE"""),"1392148662342, 1392148662343, 1392148662344, 1392148662345, 1392148662346")</f>
        <v>1392148662342, 1392148662343, 1392148662344, 1392148662345, 1392148662346</v>
      </c>
      <c r="L12" s="17"/>
      <c r="M12" s="17"/>
      <c r="N12" s="17"/>
      <c r="O12" s="17"/>
    </row>
    <row r="13" spans="1:15" ht="15.75" customHeight="1">
      <c r="A13" s="24"/>
      <c r="B13" s="24"/>
      <c r="C13" s="24"/>
      <c r="D13" s="17"/>
      <c r="E13" s="17"/>
      <c r="F13" s="17"/>
      <c r="G13" s="17"/>
      <c r="H13" s="17"/>
      <c r="I13" s="17" t="str">
        <f ca="1">IFERROR(__xludf.DUMMYFUNCTION("""COMPUTED_VALUE"""),"Office expenses")</f>
        <v>Office expenses</v>
      </c>
      <c r="J13" s="17" t="str">
        <f ca="1">IFERROR(__xludf.DUMMYFUNCTION("""COMPUTED_VALUE"""),"Gastos oficina")</f>
        <v>Gastos oficina</v>
      </c>
      <c r="K13" s="17">
        <f ca="1">IFERROR(__xludf.DUMMYFUNCTION("""COMPUTED_VALUE"""),213097877)</f>
        <v>213097877</v>
      </c>
      <c r="L13" s="17"/>
      <c r="M13" s="17"/>
      <c r="N13" s="17"/>
      <c r="O13" s="17"/>
    </row>
    <row r="14" spans="1:15" ht="15.75" customHeight="1">
      <c r="A14" s="24"/>
      <c r="B14" s="24"/>
      <c r="C14" s="24"/>
      <c r="D14" s="17"/>
      <c r="E14" s="17"/>
      <c r="F14" s="17"/>
      <c r="G14" s="17"/>
      <c r="H14" s="17"/>
      <c r="I14" s="17" t="str">
        <f ca="1">IFERROR(__xludf.DUMMYFUNCTION("""COMPUTED_VALUE"""),"Office expenses")</f>
        <v>Office expenses</v>
      </c>
      <c r="J14" s="17" t="str">
        <f ca="1">IFERROR(__xludf.DUMMYFUNCTION("""COMPUTED_VALUE"""),"Gastos oficina")</f>
        <v>Gastos oficina</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IFERROR(__xludf.DUMMYFUNCTION("""COMPUTED_VALUE"""),"Office expenses")</f>
        <v>Office expenses</v>
      </c>
      <c r="J15" s="17" t="str">
        <f ca="1">IFERROR(__xludf.DUMMYFUNCTION("""COMPUTED_VALUE"""),"Gastos oficina")</f>
        <v>Gastos oficina</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IFERROR(__xludf.DUMMYFUNCTION("""COMPUTED_VALUE"""),"LinkedIn Premium")</f>
        <v>LinkedIn Premium</v>
      </c>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8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10.453125"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89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Sept'!$A$12:$C$1700,'Edo Cta Jeeves Sept'!$J$12:$J$1700=$A$2)"),"TRX1247")</f>
        <v>TRX1247</v>
      </c>
      <c r="B12" s="112" t="str">
        <f ca="1">IFERROR(__xludf.DUMMYFUNCTION("""COMPUTED_VALUE"""),"#55")</f>
        <v>#55</v>
      </c>
      <c r="C12" s="112">
        <f ca="1">IFERROR(__xludf.DUMMYFUNCTION("""COMPUTED_VALUE"""),46058.4166666666)</f>
        <v>46058.416666666599</v>
      </c>
      <c r="D12" s="113">
        <f ca="1">IFERROR(__xludf.DUMMYFUNCTION("FILTER('Edo Cta Jeeves Sept'!$G$12:$G$1700,'Edo Cta Jeeves Sept'!$J$12:$J$1700=$A$2)"),147.93)</f>
        <v>147.93</v>
      </c>
      <c r="E12" s="90" t="str">
        <f ca="1">IFERROR(__xludf.DUMMYFUNCTION("FILTER('Edo Cta Jeeves Sept'!$I$12:$I$1700,'Edo Cta Jeeves Sept'!$J$12:$J$1700=$A$2)"),"MXN")</f>
        <v>MXN</v>
      </c>
      <c r="F12" s="90" t="str">
        <f ca="1">IFERROR(__xludf.DUMMYFUNCTION("FILTER('Edo Cta Jeeves Sept'!$J$12:$J$1700,'Edo Cta Jeeves Sept'!$J$12:$J$1700=$A$2)"),"Gerardo Madrid")</f>
        <v>Gerardo Madrid</v>
      </c>
      <c r="G12" s="90" t="str">
        <f ca="1">IFERROR(__xludf.DUMMYFUNCTION("FILTER('Edo Cta Jeeves Sept'!$K$12:$L$1700,'Edo Cta Jeeves Sept'!$J$12:$J$1700=$A$2)"),"UBER *TRIP HELP.UBER.C CMX           MEX")</f>
        <v>UBER *TRIP HELP.UBER.C CMX           MEX</v>
      </c>
      <c r="H12" s="90" t="str">
        <f ca="1">IFERROR(__xludf.DUMMYFUNCTION("""COMPUTED_VALUE"""),"Uber")</f>
        <v>Uber</v>
      </c>
      <c r="I12" s="90" t="str">
        <f ca="1">IFERROR(__xludf.DUMMYFUNCTION("IMPORTRANGE(""https://docs.google.com/spreadsheets/d/1bY_cnwntXOEvciDKuaLaW78_2oveuCjJtJ9oRUNET6k/edit#gid=1404531132"",""I12:K80"")"),"Sales")</f>
        <v>Sales</v>
      </c>
      <c r="J12" s="90"/>
      <c r="K12" s="90"/>
      <c r="L12" s="90"/>
      <c r="M12" s="90"/>
      <c r="N12" s="17"/>
      <c r="O12" s="17"/>
    </row>
    <row r="13" spans="1:15" ht="15.75" customHeight="1">
      <c r="A13" s="111" t="str">
        <f ca="1">IFERROR(__xludf.DUMMYFUNCTION("""COMPUTED_VALUE"""),"TRX1199")</f>
        <v>TRX1199</v>
      </c>
      <c r="B13" s="112" t="str">
        <f ca="1">IFERROR(__xludf.DUMMYFUNCTION("""COMPUTED_VALUE"""),"#55")</f>
        <v>#55</v>
      </c>
      <c r="C13" s="114">
        <f ca="1">IFERROR(__xludf.DUMMYFUNCTION("""COMPUTED_VALUE"""),46058.4173611111)</f>
        <v>46058.417361111096</v>
      </c>
      <c r="D13" s="113">
        <f ca="1">IFERROR(__xludf.DUMMYFUNCTION("""COMPUTED_VALUE"""),210)</f>
        <v>210</v>
      </c>
      <c r="E13" s="90" t="str">
        <f ca="1">IFERROR(__xludf.DUMMYFUNCTION("""COMPUTED_VALUE"""),"MXN")</f>
        <v>MXN</v>
      </c>
      <c r="F13" s="90" t="str">
        <f ca="1">IFERROR(__xludf.DUMMYFUNCTION("""COMPUTED_VALUE"""),"Gerardo Madrid")</f>
        <v>Gerardo Madrid</v>
      </c>
      <c r="G13" s="90" t="str">
        <f ca="1">IFERROR(__xludf.DUMMYFUNCTION("""COMPUTED_VALUE"""),"FIX EL CERRITO         CUAUTITLAN IZ MEX")</f>
        <v>FIX EL CERRITO         CUAUTITLAN IZ MEX</v>
      </c>
      <c r="H13" s="90" t="str">
        <f ca="1">IFERROR(__xludf.DUMMYFUNCTION("""COMPUTED_VALUE"""),"Fix El Cerrito Cuautitlan Iz Mex")</f>
        <v>Fix El Cerrito Cuautitlan Iz Mex</v>
      </c>
      <c r="I13" s="90" t="str">
        <f ca="1">IFERROR(__xludf.DUMMYFUNCTION("""COMPUTED_VALUE"""),"Sales")</f>
        <v>Sales</v>
      </c>
      <c r="J13" s="90"/>
      <c r="K13" s="90"/>
      <c r="L13" s="90"/>
      <c r="M13" s="90"/>
      <c r="N13" s="17"/>
      <c r="O13" s="17"/>
    </row>
    <row r="14" spans="1:15" ht="15.75" customHeight="1">
      <c r="A14" s="111" t="str">
        <f ca="1">IFERROR(__xludf.DUMMYFUNCTION("""COMPUTED_VALUE"""),"TRX1167")</f>
        <v>TRX1167</v>
      </c>
      <c r="B14" s="112" t="str">
        <f ca="1">IFERROR(__xludf.DUMMYFUNCTION("""COMPUTED_VALUE"""),"#55")</f>
        <v>#55</v>
      </c>
      <c r="C14" s="114">
        <f ca="1">IFERROR(__xludf.DUMMYFUNCTION("""COMPUTED_VALUE"""),46059.4166666666)</f>
        <v>46059.416666666599</v>
      </c>
      <c r="D14" s="113">
        <f ca="1">IFERROR(__xludf.DUMMYFUNCTION("""COMPUTED_VALUE"""),2377.29)</f>
        <v>2377.29</v>
      </c>
      <c r="E14" s="90" t="str">
        <f ca="1">IFERROR(__xludf.DUMMYFUNCTION("""COMPUTED_VALUE"""),"MXN")</f>
        <v>MXN</v>
      </c>
      <c r="F14" s="90" t="str">
        <f ca="1">IFERROR(__xludf.DUMMYFUNCTION("""COMPUTED_VALUE"""),"Gerardo Madrid")</f>
        <v>Gerardo Madrid</v>
      </c>
      <c r="G14" s="90" t="str">
        <f ca="1">IFERROR(__xludf.DUMMYFUNCTION("""COMPUTED_VALUE"""),"Amazon Mexico          CMX           MEX")</f>
        <v>Amazon Mexico          CMX           MEX</v>
      </c>
      <c r="H14" s="90" t="str">
        <f ca="1">IFERROR(__xludf.DUMMYFUNCTION("""COMPUTED_VALUE"""),"Amazon")</f>
        <v>Amazon</v>
      </c>
      <c r="I14" s="90" t="str">
        <f ca="1">IFERROR(__xludf.DUMMYFUNCTION("""COMPUTED_VALUE"""),"Sales")</f>
        <v>Sales</v>
      </c>
      <c r="J14" s="90"/>
      <c r="K14" s="90"/>
      <c r="L14" s="90"/>
      <c r="M14" s="90"/>
      <c r="N14" s="17"/>
      <c r="O14" s="17"/>
    </row>
    <row r="15" spans="1:15" ht="15.75" customHeight="1">
      <c r="A15" s="111" t="str">
        <f ca="1">IFERROR(__xludf.DUMMYFUNCTION("""COMPUTED_VALUE"""),"TRX1672")</f>
        <v>TRX1672</v>
      </c>
      <c r="B15" s="112" t="str">
        <f ca="1">IFERROR(__xludf.DUMMYFUNCTION("""COMPUTED_VALUE"""),"#55")</f>
        <v>#55</v>
      </c>
      <c r="C15" s="114">
        <f ca="1">IFERROR(__xludf.DUMMYFUNCTION("""COMPUTED_VALUE"""),46060.4173611111)</f>
        <v>46060.417361111096</v>
      </c>
      <c r="D15" s="113">
        <f ca="1">IFERROR(__xludf.DUMMYFUNCTION("""COMPUTED_VALUE"""),998.02)</f>
        <v>998.02</v>
      </c>
      <c r="E15" s="90" t="str">
        <f ca="1">IFERROR(__xludf.DUMMYFUNCTION("""COMPUTED_VALUE"""),"MXN")</f>
        <v>MXN</v>
      </c>
      <c r="F15" s="90" t="str">
        <f ca="1">IFERROR(__xludf.DUMMYFUNCTION("""COMPUTED_VALUE"""),"Gerardo Madrid")</f>
        <v>Gerardo Madrid</v>
      </c>
      <c r="G15" s="90" t="str">
        <f ca="1">IFERROR(__xludf.DUMMYFUNCTION("""COMPUTED_VALUE"""),"ELECT STEREN           CIUDAD DE MEX MEX")</f>
        <v>ELECT STEREN           CIUDAD DE MEX MEX</v>
      </c>
      <c r="H15" s="90" t="str">
        <f ca="1">IFERROR(__xludf.DUMMYFUNCTION("""COMPUTED_VALUE"""),"Elect Steren Ciudad De Mex Mex")</f>
        <v>Elect Steren Ciudad De Mex Mex</v>
      </c>
      <c r="I15" s="90" t="str">
        <f ca="1">IFERROR(__xludf.DUMMYFUNCTION("""COMPUTED_VALUE"""),"Sales")</f>
        <v>Sales</v>
      </c>
      <c r="J15" s="90"/>
      <c r="K15" s="90"/>
      <c r="L15" s="90"/>
      <c r="M15" s="90"/>
      <c r="N15" s="17"/>
      <c r="O15" s="17"/>
    </row>
    <row r="16" spans="1:15" ht="15.75" customHeight="1">
      <c r="A16" s="90" t="str">
        <f ca="1">IFERROR(__xludf.DUMMYFUNCTION("""COMPUTED_VALUE"""),"TRX1752")</f>
        <v>TRX1752</v>
      </c>
      <c r="B16" s="112" t="str">
        <f ca="1">IFERROR(__xludf.DUMMYFUNCTION("""COMPUTED_VALUE"""),"#55")</f>
        <v>#55</v>
      </c>
      <c r="C16" s="114">
        <f ca="1">IFERROR(__xludf.DUMMYFUNCTION("""COMPUTED_VALUE"""),46063.3354166666)</f>
        <v>46063.335416666603</v>
      </c>
      <c r="D16" s="113">
        <f ca="1">IFERROR(__xludf.DUMMYFUNCTION("""COMPUTED_VALUE"""),0.01)</f>
        <v>0.01</v>
      </c>
      <c r="E16" s="90" t="str">
        <f ca="1">IFERROR(__xludf.DUMMYFUNCTION("""COMPUTED_VALUE"""),"MXN")</f>
        <v>MXN</v>
      </c>
      <c r="F16" s="90" t="str">
        <f ca="1">IFERROR(__xludf.DUMMYFUNCTION("""COMPUTED_VALUE"""),"Gerardo Madrid")</f>
        <v>Gerardo Madrid</v>
      </c>
      <c r="G16" s="90" t="str">
        <f ca="1">IFERROR(__xludf.DUMMYFUNCTION("""COMPUTED_VALUE"""),"20260208T01:01:01/PALACIO RENT A CAR\UNKNOWN\TIJUANA BCN\22404        MEX")</f>
        <v>20260208T01:01:01/PALACIO RENT A CAR\UNKNOWN\TIJUANA BCN\22404        MEX</v>
      </c>
      <c r="H16" s="90" t="str">
        <f ca="1">IFERROR(__xludf.DUMMYFUNCTION("""COMPUTED_VALUE"""),"T :01/Palacio Rent A Car\Unknown\Tijuana Bcn\22404 Mex")</f>
        <v>T :01/Palacio Rent A Car\Unknown\Tijuana Bcn\22404 Mex</v>
      </c>
      <c r="I16" s="90" t="str">
        <f ca="1">IFERROR(__xludf.DUMMYFUNCTION("""COMPUTED_VALUE"""),"Sales")</f>
        <v>Sales</v>
      </c>
      <c r="J16" s="90"/>
      <c r="K16" s="90"/>
      <c r="L16" s="90"/>
      <c r="M16" s="90"/>
      <c r="N16" s="17"/>
      <c r="O16" s="17"/>
    </row>
    <row r="17" spans="1:15" ht="15.75" customHeight="1">
      <c r="A17" s="90" t="str">
        <f ca="1">IFERROR(__xludf.DUMMYFUNCTION("""COMPUTED_VALUE"""),"TRX1253")</f>
        <v>TRX1253</v>
      </c>
      <c r="B17" s="112" t="str">
        <f ca="1">IFERROR(__xludf.DUMMYFUNCTION("""COMPUTED_VALUE"""),"#55")</f>
        <v>#55</v>
      </c>
      <c r="C17" s="114">
        <f ca="1">IFERROR(__xludf.DUMMYFUNCTION("""COMPUTED_VALUE"""),46064.4166666666)</f>
        <v>46064.416666666599</v>
      </c>
      <c r="D17" s="113">
        <f ca="1">IFERROR(__xludf.DUMMYFUNCTION("""COMPUTED_VALUE"""),149.95)</f>
        <v>149.94999999999999</v>
      </c>
      <c r="E17" s="90" t="str">
        <f ca="1">IFERROR(__xludf.DUMMYFUNCTION("""COMPUTED_VALUE"""),"MXN")</f>
        <v>MXN</v>
      </c>
      <c r="F17" s="90" t="str">
        <f ca="1">IFERROR(__xludf.DUMMYFUNCTION("""COMPUTED_VALUE"""),"Gerardo Madrid")</f>
        <v>Gerardo Madrid</v>
      </c>
      <c r="G17" s="90" t="str">
        <f ca="1">IFERROR(__xludf.DUMMYFUNCTION("""COMPUTED_VALUE"""),"UBER * PENDING         CMX           MEX")</f>
        <v>UBER * PENDING         CMX           MEX</v>
      </c>
      <c r="H17" s="90" t="str">
        <f ca="1">IFERROR(__xludf.DUMMYFUNCTION("""COMPUTED_VALUE"""),"Uber")</f>
        <v>Uber</v>
      </c>
      <c r="I17" s="90" t="str">
        <f ca="1">IFERROR(__xludf.DUMMYFUNCTION("""COMPUTED_VALUE"""),"Sales")</f>
        <v>Sales</v>
      </c>
      <c r="J17" s="90"/>
      <c r="K17" s="90"/>
      <c r="L17" s="90"/>
      <c r="M17" s="90"/>
      <c r="N17" s="17"/>
      <c r="O17" s="17"/>
    </row>
    <row r="18" spans="1:15" ht="15.75" customHeight="1">
      <c r="A18" s="100" t="str">
        <f ca="1">IFERROR(__xludf.DUMMYFUNCTION("""COMPUTED_VALUE"""),"TRX1463")</f>
        <v>TRX1463</v>
      </c>
      <c r="B18" s="99" t="str">
        <f ca="1">IFERROR(__xludf.DUMMYFUNCTION("""COMPUTED_VALUE"""),"#55")</f>
        <v>#55</v>
      </c>
      <c r="C18" s="130">
        <f ca="1">IFERROR(__xludf.DUMMYFUNCTION("""COMPUTED_VALUE"""),46065.4166666666)</f>
        <v>46065.416666666599</v>
      </c>
      <c r="D18" s="131">
        <f ca="1">IFERROR(__xludf.DUMMYFUNCTION("""COMPUTED_VALUE"""),1075)</f>
        <v>1075</v>
      </c>
      <c r="E18" s="100" t="str">
        <f ca="1">IFERROR(__xludf.DUMMYFUNCTION("""COMPUTED_VALUE"""),"MXN")</f>
        <v>MXN</v>
      </c>
      <c r="F18" s="100" t="str">
        <f ca="1">IFERROR(__xludf.DUMMYFUNCTION("""COMPUTED_VALUE"""),"Gerardo Madrid")</f>
        <v>Gerardo Madrid</v>
      </c>
      <c r="G18" s="100" t="str">
        <f ca="1">IFERROR(__xludf.DUMMYFUNCTION("""COMPUTED_VALUE"""),"SERV JARDINES DEL PEDR CIUDAD DE MEX MEX")</f>
        <v>SERV JARDINES DEL PEDR CIUDAD DE MEX MEX</v>
      </c>
      <c r="H18" s="100" t="str">
        <f ca="1">IFERROR(__xludf.DUMMYFUNCTION("""COMPUTED_VALUE"""),"Serv Jardines Del Pedr Ciudad De Mex Mex")</f>
        <v>Serv Jardines Del Pedr Ciudad De Mex Mex</v>
      </c>
      <c r="I18" s="100" t="str">
        <f ca="1">IFERROR(__xludf.DUMMYFUNCTION("""COMPUTED_VALUE"""),"Sales")</f>
        <v>Sales</v>
      </c>
      <c r="J18" s="100"/>
      <c r="K18" s="90"/>
      <c r="L18" s="90"/>
      <c r="M18" s="90"/>
      <c r="N18" s="17"/>
      <c r="O18" s="17"/>
    </row>
    <row r="19" spans="1:15" ht="15.75" customHeight="1">
      <c r="A19" s="90" t="str">
        <f ca="1">IFERROR(__xludf.DUMMYFUNCTION("""COMPUTED_VALUE"""),"TRX1820")</f>
        <v>TRX1820</v>
      </c>
      <c r="B19" s="112" t="str">
        <f ca="1">IFERROR(__xludf.DUMMYFUNCTION("""COMPUTED_VALUE"""),"#55")</f>
        <v>#55</v>
      </c>
      <c r="C19" s="114">
        <f ca="1">IFERROR(__xludf.DUMMYFUNCTION("""COMPUTED_VALUE"""),46066.4166666666)</f>
        <v>46066.416666666599</v>
      </c>
      <c r="D19" s="113">
        <f ca="1">IFERROR(__xludf.DUMMYFUNCTION("""COMPUTED_VALUE"""),170.51)</f>
        <v>170.51</v>
      </c>
      <c r="E19" s="90" t="str">
        <f ca="1">IFERROR(__xludf.DUMMYFUNCTION("""COMPUTED_VALUE"""),"MXN")</f>
        <v>MXN</v>
      </c>
      <c r="F19" s="90" t="str">
        <f ca="1">IFERROR(__xludf.DUMMYFUNCTION("""COMPUTED_VALUE"""),"Gerardo Madrid")</f>
        <v>Gerardo Madrid</v>
      </c>
      <c r="G19" s="90" t="str">
        <f ca="1">IFERROR(__xludf.DUMMYFUNCTION("""COMPUTED_VALUE"""),"UBER *TRIP HELP.UBER.C CMX           MEX")</f>
        <v>UBER *TRIP HELP.UBER.C CMX           MEX</v>
      </c>
      <c r="H19" s="90" t="str">
        <f ca="1">IFERROR(__xludf.DUMMYFUNCTION("""COMPUTED_VALUE"""),"Uber")</f>
        <v>Uber</v>
      </c>
      <c r="I19" s="90" t="str">
        <f ca="1">IFERROR(__xludf.DUMMYFUNCTION("""COMPUTED_VALUE"""),"Sales")</f>
        <v>Sales</v>
      </c>
      <c r="J19" s="90"/>
      <c r="K19" s="90"/>
      <c r="L19" s="90"/>
      <c r="M19" s="90"/>
      <c r="N19" s="17"/>
      <c r="O19" s="17"/>
    </row>
    <row r="20" spans="1:15" ht="12.5">
      <c r="A20" s="100" t="str">
        <f ca="1">IFERROR(__xludf.DUMMYFUNCTION("""COMPUTED_VALUE"""),"TRX1727")</f>
        <v>TRX1727</v>
      </c>
      <c r="B20" s="99" t="str">
        <f ca="1">IFERROR(__xludf.DUMMYFUNCTION("""COMPUTED_VALUE"""),"#55")</f>
        <v>#55</v>
      </c>
      <c r="C20" s="130">
        <f ca="1">IFERROR(__xludf.DUMMYFUNCTION("""COMPUTED_VALUE"""),46067.4166666666)</f>
        <v>46067.416666666599</v>
      </c>
      <c r="D20" s="131">
        <f ca="1">IFERROR(__xludf.DUMMYFUNCTION("""COMPUTED_VALUE"""),256.25)</f>
        <v>256.25</v>
      </c>
      <c r="E20" s="100" t="str">
        <f ca="1">IFERROR(__xludf.DUMMYFUNCTION("""COMPUTED_VALUE"""),"MXN")</f>
        <v>MXN</v>
      </c>
      <c r="F20" s="100" t="str">
        <f ca="1">IFERROR(__xludf.DUMMYFUNCTION("""COMPUTED_VALUE"""),"Gerardo Madrid")</f>
        <v>Gerardo Madrid</v>
      </c>
      <c r="G20" s="100" t="str">
        <f ca="1">IFERROR(__xludf.DUMMYFUNCTION("""COMPUTED_VALUE"""),"UBER *TRIP HELP.UBER.C CMX           MEX")</f>
        <v>UBER *TRIP HELP.UBER.C CMX           MEX</v>
      </c>
      <c r="H20" s="100" t="str">
        <f ca="1">IFERROR(__xludf.DUMMYFUNCTION("""COMPUTED_VALUE"""),"Uber")</f>
        <v>Uber</v>
      </c>
      <c r="I20" s="100" t="str">
        <f ca="1">IFERROR(__xludf.DUMMYFUNCTION("""COMPUTED_VALUE"""),"Sales")</f>
        <v>Sales</v>
      </c>
      <c r="J20" s="100"/>
      <c r="K20" s="90"/>
      <c r="L20" s="90"/>
      <c r="M20" s="90"/>
      <c r="N20" s="17"/>
      <c r="O20" s="17"/>
    </row>
    <row r="21" spans="1:15" ht="12.5">
      <c r="A21" s="90" t="str">
        <f ca="1">IFERROR(__xludf.DUMMYFUNCTION("""COMPUTED_VALUE"""),"TRX1564")</f>
        <v>TRX1564</v>
      </c>
      <c r="B21" s="112" t="str">
        <f ca="1">IFERROR(__xludf.DUMMYFUNCTION("""COMPUTED_VALUE"""),"#55")</f>
        <v>#55</v>
      </c>
      <c r="C21" s="114">
        <f ca="1">IFERROR(__xludf.DUMMYFUNCTION("""COMPUTED_VALUE"""),46067.4166666666)</f>
        <v>46067.416666666599</v>
      </c>
      <c r="D21" s="113">
        <f ca="1">IFERROR(__xludf.DUMMYFUNCTION("""COMPUTED_VALUE"""),43.95)</f>
        <v>43.95</v>
      </c>
      <c r="E21" s="90" t="str">
        <f ca="1">IFERROR(__xludf.DUMMYFUNCTION("""COMPUTED_VALUE"""),"MXN")</f>
        <v>MXN</v>
      </c>
      <c r="F21" s="90" t="str">
        <f ca="1">IFERROR(__xludf.DUMMYFUNCTION("""COMPUTED_VALUE"""),"Gerardo Madrid")</f>
        <v>Gerardo Madrid</v>
      </c>
      <c r="G21" s="90" t="str">
        <f ca="1">IFERROR(__xludf.DUMMYFUNCTION("""COMPUTED_VALUE"""),"UBER * PENDING         CMX           MEX")</f>
        <v>UBER * PENDING         CMX           MEX</v>
      </c>
      <c r="H21" s="90" t="str">
        <f ca="1">IFERROR(__xludf.DUMMYFUNCTION("""COMPUTED_VALUE"""),"Uber")</f>
        <v>Uber</v>
      </c>
      <c r="I21" s="90" t="str">
        <f ca="1">IFERROR(__xludf.DUMMYFUNCTION("""COMPUTED_VALUE"""),"Sales")</f>
        <v>Sales</v>
      </c>
      <c r="J21" s="90"/>
      <c r="K21" s="90"/>
      <c r="L21" s="90"/>
      <c r="M21" s="90"/>
      <c r="N21" s="17"/>
      <c r="O21" s="17"/>
    </row>
    <row r="22" spans="1:15" ht="12.5">
      <c r="A22" s="100" t="str">
        <f ca="1">IFERROR(__xludf.DUMMYFUNCTION("""COMPUTED_VALUE"""),"TRX1041")</f>
        <v>TRX1041</v>
      </c>
      <c r="B22" s="99" t="str">
        <f ca="1">IFERROR(__xludf.DUMMYFUNCTION("""COMPUTED_VALUE"""),"#55")</f>
        <v>#55</v>
      </c>
      <c r="C22" s="130">
        <f ca="1">IFERROR(__xludf.DUMMYFUNCTION("""COMPUTED_VALUE"""),46068.4166666666)</f>
        <v>46068.416666666599</v>
      </c>
      <c r="D22" s="131">
        <f ca="1">IFERROR(__xludf.DUMMYFUNCTION("""COMPUTED_VALUE"""),844.65)</f>
        <v>844.65</v>
      </c>
      <c r="E22" s="100" t="str">
        <f ca="1">IFERROR(__xludf.DUMMYFUNCTION("""COMPUTED_VALUE"""),"MXN")</f>
        <v>MXN</v>
      </c>
      <c r="F22" s="100" t="str">
        <f ca="1">IFERROR(__xludf.DUMMYFUNCTION("""COMPUTED_VALUE"""),"Gerardo Madrid")</f>
        <v>Gerardo Madrid</v>
      </c>
      <c r="G22" s="100" t="str">
        <f ca="1">IFERROR(__xludf.DUMMYFUNCTION("""COMPUTED_VALUE"""),"MERPAGO*MERCADOLIBRE   Ciudad de Mex MEX")</f>
        <v>MERPAGO*MERCADOLIBRE   Ciudad de Mex MEX</v>
      </c>
      <c r="H22" s="100" t="str">
        <f ca="1">IFERROR(__xludf.DUMMYFUNCTION("""COMPUTED_VALUE"""),"Merpago Mercadolibre Ciudad De Mex Mex")</f>
        <v>Merpago Mercadolibre Ciudad De Mex Mex</v>
      </c>
      <c r="I22" s="100" t="str">
        <f ca="1">IFERROR(__xludf.DUMMYFUNCTION("""COMPUTED_VALUE"""),"Sales")</f>
        <v>Sales</v>
      </c>
      <c r="J22" s="100"/>
      <c r="K22" s="90"/>
      <c r="L22" s="90"/>
      <c r="M22" s="90"/>
      <c r="N22" s="17"/>
      <c r="O22" s="17"/>
    </row>
    <row r="23" spans="1:15" ht="12.5">
      <c r="A23" s="100" t="str">
        <f ca="1">IFERROR(__xludf.DUMMYFUNCTION("""COMPUTED_VALUE"""),"TRX1773")</f>
        <v>TRX1773</v>
      </c>
      <c r="B23" s="99" t="str">
        <f ca="1">IFERROR(__xludf.DUMMYFUNCTION("""COMPUTED_VALUE"""),"#55")</f>
        <v>#55</v>
      </c>
      <c r="C23" s="130">
        <f ca="1">IFERROR(__xludf.DUMMYFUNCTION("""COMPUTED_VALUE"""),46073.4166666666)</f>
        <v>46073.416666666599</v>
      </c>
      <c r="D23" s="131">
        <f ca="1">IFERROR(__xludf.DUMMYFUNCTION("""COMPUTED_VALUE"""),161.39)</f>
        <v>161.38999999999999</v>
      </c>
      <c r="E23" s="100" t="str">
        <f ca="1">IFERROR(__xludf.DUMMYFUNCTION("""COMPUTED_VALUE"""),"MXN")</f>
        <v>MXN</v>
      </c>
      <c r="F23" s="100" t="str">
        <f ca="1">IFERROR(__xludf.DUMMYFUNCTION("""COMPUTED_VALUE"""),"Gerardo Madrid")</f>
        <v>Gerardo Madrid</v>
      </c>
      <c r="G23" s="100" t="str">
        <f ca="1">IFERROR(__xludf.DUMMYFUNCTION("""COMPUTED_VALUE"""),"UBER *TRIP HELP.UBER.C CMX           MEX")</f>
        <v>UBER *TRIP HELP.UBER.C CMX           MEX</v>
      </c>
      <c r="H23" s="100" t="str">
        <f ca="1">IFERROR(__xludf.DUMMYFUNCTION("""COMPUTED_VALUE"""),"Uber")</f>
        <v>Uber</v>
      </c>
      <c r="I23" s="100" t="str">
        <f ca="1">IFERROR(__xludf.DUMMYFUNCTION("""COMPUTED_VALUE"""),"Sales")</f>
        <v>Sales</v>
      </c>
      <c r="J23" s="100"/>
      <c r="K23" s="90"/>
      <c r="L23" s="90"/>
      <c r="M23" s="90"/>
      <c r="N23" s="17"/>
      <c r="O23" s="17"/>
    </row>
    <row r="24" spans="1:15" ht="12.5">
      <c r="A24" s="90" t="str">
        <f ca="1">IFERROR(__xludf.DUMMYFUNCTION("""COMPUTED_VALUE"""),"TRX1792")</f>
        <v>TRX1792</v>
      </c>
      <c r="B24" s="112" t="str">
        <f ca="1">IFERROR(__xludf.DUMMYFUNCTION("""COMPUTED_VALUE"""),"#55")</f>
        <v>#55</v>
      </c>
      <c r="C24" s="114">
        <f ca="1">IFERROR(__xludf.DUMMYFUNCTION("""COMPUTED_VALUE"""),46073.4166666666)</f>
        <v>46073.416666666599</v>
      </c>
      <c r="D24" s="113">
        <f ca="1">IFERROR(__xludf.DUMMYFUNCTION("""COMPUTED_VALUE"""),623.55)</f>
        <v>623.54999999999995</v>
      </c>
      <c r="E24" s="90" t="str">
        <f ca="1">IFERROR(__xludf.DUMMYFUNCTION("""COMPUTED_VALUE"""),"MXN")</f>
        <v>MXN</v>
      </c>
      <c r="F24" s="90" t="str">
        <f ca="1">IFERROR(__xludf.DUMMYFUNCTION("""COMPUTED_VALUE"""),"Gerardo Madrid")</f>
        <v>Gerardo Madrid</v>
      </c>
      <c r="G24" s="90" t="str">
        <f ca="1">IFERROR(__xludf.DUMMYFUNCTION("""COMPUTED_VALUE"""),"UBER *TRIP HELP.UBER.C CMX           MEX")</f>
        <v>UBER *TRIP HELP.UBER.C CMX           MEX</v>
      </c>
      <c r="H24" s="90" t="str">
        <f ca="1">IFERROR(__xludf.DUMMYFUNCTION("""COMPUTED_VALUE"""),"Uber")</f>
        <v>Uber</v>
      </c>
      <c r="I24" s="90" t="str">
        <f ca="1">IFERROR(__xludf.DUMMYFUNCTION("""COMPUTED_VALUE"""),"Sales")</f>
        <v>Sales</v>
      </c>
      <c r="J24" s="90"/>
      <c r="K24" s="90"/>
      <c r="L24" s="90"/>
      <c r="M24" s="90"/>
      <c r="N24" s="17"/>
      <c r="O24" s="17"/>
    </row>
    <row r="25" spans="1:15" ht="12.5">
      <c r="A25" s="90" t="str">
        <f ca="1">IFERROR(__xludf.DUMMYFUNCTION("""COMPUTED_VALUE"""),"TRX1811")</f>
        <v>TRX1811</v>
      </c>
      <c r="B25" s="112" t="str">
        <f ca="1">IFERROR(__xludf.DUMMYFUNCTION("""COMPUTED_VALUE"""),"#55")</f>
        <v>#55</v>
      </c>
      <c r="C25" s="114">
        <f ca="1">IFERROR(__xludf.DUMMYFUNCTION("""COMPUTED_VALUE"""),46073.4166666666)</f>
        <v>46073.416666666599</v>
      </c>
      <c r="D25" s="113">
        <f ca="1">IFERROR(__xludf.DUMMYFUNCTION("""COMPUTED_VALUE"""),50)</f>
        <v>50</v>
      </c>
      <c r="E25" s="90" t="str">
        <f ca="1">IFERROR(__xludf.DUMMYFUNCTION("""COMPUTED_VALUE"""),"MXN")</f>
        <v>MXN</v>
      </c>
      <c r="F25" s="90" t="str">
        <f ca="1">IFERROR(__xludf.DUMMYFUNCTION("""COMPUTED_VALUE"""),"Gerardo Madrid")</f>
        <v>Gerardo Madrid</v>
      </c>
      <c r="G25" s="90" t="str">
        <f ca="1">IFERROR(__xludf.DUMMYFUNCTION("""COMPUTED_VALUE"""),"UBER * PENDING         CMX           MEX")</f>
        <v>UBER * PENDING         CMX           MEX</v>
      </c>
      <c r="H25" s="90" t="str">
        <f ca="1">IFERROR(__xludf.DUMMYFUNCTION("""COMPUTED_VALUE"""),"Uber")</f>
        <v>Uber</v>
      </c>
      <c r="I25" s="90" t="str">
        <f ca="1">IFERROR(__xludf.DUMMYFUNCTION("""COMPUTED_VALUE"""),"Sales")</f>
        <v>Sales</v>
      </c>
      <c r="J25" s="90"/>
      <c r="K25" s="90"/>
      <c r="L25" s="90"/>
      <c r="M25" s="90"/>
      <c r="N25" s="17"/>
      <c r="O25" s="17"/>
    </row>
    <row r="26" spans="1:15" ht="12.5">
      <c r="A26" s="90" t="str">
        <f ca="1">IFERROR(__xludf.DUMMYFUNCTION("""COMPUTED_VALUE"""),"TRX1035")</f>
        <v>TRX1035</v>
      </c>
      <c r="B26" s="112" t="str">
        <f ca="1">IFERROR(__xludf.DUMMYFUNCTION("""COMPUTED_VALUE"""),"#55")</f>
        <v>#55</v>
      </c>
      <c r="C26" s="114">
        <f ca="1">IFERROR(__xludf.DUMMYFUNCTION("""COMPUTED_VALUE"""),46074.4173611111)</f>
        <v>46074.417361111096</v>
      </c>
      <c r="D26" s="113">
        <f ca="1">IFERROR(__xludf.DUMMYFUNCTION("""COMPUTED_VALUE"""),1028.84)</f>
        <v>1028.8399999999999</v>
      </c>
      <c r="E26" s="90" t="str">
        <f ca="1">IFERROR(__xludf.DUMMYFUNCTION("""COMPUTED_VALUE"""),"MXN")</f>
        <v>MXN</v>
      </c>
      <c r="F26" s="90" t="str">
        <f ca="1">IFERROR(__xludf.DUMMYFUNCTION("""COMPUTED_VALUE"""),"Gerardo Madrid")</f>
        <v>Gerardo Madrid</v>
      </c>
      <c r="G26" s="90" t="str">
        <f ca="1">IFERROR(__xludf.DUMMYFUNCTION("""COMPUTED_VALUE"""),"GAS SERV BP            CUAUTITLAN IZ MEX")</f>
        <v>GAS SERV BP            CUAUTITLAN IZ MEX</v>
      </c>
      <c r="H26" s="90" t="str">
        <f ca="1">IFERROR(__xludf.DUMMYFUNCTION("""COMPUTED_VALUE"""),"Gas Serv Bp Cuautitlan Iz Mex")</f>
        <v>Gas Serv Bp Cuautitlan Iz Mex</v>
      </c>
      <c r="I26" s="90" t="str">
        <f ca="1">IFERROR(__xludf.DUMMYFUNCTION("""COMPUTED_VALUE"""),"Sales")</f>
        <v>Sales</v>
      </c>
      <c r="J26" s="90"/>
      <c r="K26" s="90"/>
      <c r="L26" s="90"/>
      <c r="M26" s="90"/>
      <c r="N26" s="17"/>
      <c r="O26" s="17"/>
    </row>
    <row r="27" spans="1:15" ht="12.5">
      <c r="A27" s="90" t="str">
        <f ca="1">IFERROR(__xludf.DUMMYFUNCTION("""COMPUTED_VALUE"""),"TRX1050")</f>
        <v>TRX1050</v>
      </c>
      <c r="B27" s="112" t="str">
        <f ca="1">IFERROR(__xludf.DUMMYFUNCTION("""COMPUTED_VALUE"""),"#55")</f>
        <v>#55</v>
      </c>
      <c r="C27" s="114">
        <f ca="1">IFERROR(__xludf.DUMMYFUNCTION("""COMPUTED_VALUE"""),46075.4166666666)</f>
        <v>46075.416666666599</v>
      </c>
      <c r="D27" s="113">
        <f ca="1">IFERROR(__xludf.DUMMYFUNCTION("""COMPUTED_VALUE"""),71.79)</f>
        <v>71.790000000000006</v>
      </c>
      <c r="E27" s="90" t="str">
        <f ca="1">IFERROR(__xludf.DUMMYFUNCTION("""COMPUTED_VALUE"""),"MXN")</f>
        <v>MXN</v>
      </c>
      <c r="F27" s="90" t="str">
        <f ca="1">IFERROR(__xludf.DUMMYFUNCTION("""COMPUTED_VALUE"""),"Gerardo Madrid")</f>
        <v>Gerardo Madrid</v>
      </c>
      <c r="G27" s="90" t="str">
        <f ca="1">IFERROR(__xludf.DUMMYFUNCTION("""COMPUTED_VALUE"""),"UBER *TRIP HELP.UBER.C CMX           MEX")</f>
        <v>UBER *TRIP HELP.UBER.C CMX           MEX</v>
      </c>
      <c r="H27" s="90" t="str">
        <f ca="1">IFERROR(__xludf.DUMMYFUNCTION("""COMPUTED_VALUE"""),"Uber")</f>
        <v>Uber</v>
      </c>
      <c r="I27" s="90" t="str">
        <f ca="1">IFERROR(__xludf.DUMMYFUNCTION("""COMPUTED_VALUE"""),"Sales")</f>
        <v>Sales</v>
      </c>
      <c r="J27" s="90"/>
      <c r="K27" s="90"/>
      <c r="L27" s="90"/>
      <c r="M27" s="90"/>
      <c r="N27" s="17"/>
      <c r="O27" s="17"/>
    </row>
    <row r="28" spans="1:15" ht="12.5">
      <c r="A28" s="90" t="str">
        <f ca="1">IFERROR(__xludf.DUMMYFUNCTION("""COMPUTED_VALUE"""),"TRX1062")</f>
        <v>TRX1062</v>
      </c>
      <c r="B28" s="112" t="str">
        <f ca="1">IFERROR(__xludf.DUMMYFUNCTION("""COMPUTED_VALUE"""),"#55")</f>
        <v>#55</v>
      </c>
      <c r="C28" s="114">
        <f ca="1">IFERROR(__xludf.DUMMYFUNCTION("""COMPUTED_VALUE"""),46075.4166666666)</f>
        <v>46075.416666666599</v>
      </c>
      <c r="D28" s="113">
        <f ca="1">IFERROR(__xludf.DUMMYFUNCTION("""COMPUTED_VALUE"""),2417.93)</f>
        <v>2417.9299999999998</v>
      </c>
      <c r="E28" s="90" t="str">
        <f ca="1">IFERROR(__xludf.DUMMYFUNCTION("""COMPUTED_VALUE"""),"MXN")</f>
        <v>MXN</v>
      </c>
      <c r="F28" s="90" t="str">
        <f ca="1">IFERROR(__xludf.DUMMYFUNCTION("""COMPUTED_VALUE"""),"Gerardo Madrid")</f>
        <v>Gerardo Madrid</v>
      </c>
      <c r="G28" s="90" t="str">
        <f ca="1">IFERROR(__xludf.DUMMYFUNCTION("""COMPUTED_VALUE"""),"Amazon Mexico          CMX           MEX")</f>
        <v>Amazon Mexico          CMX           MEX</v>
      </c>
      <c r="H28" s="90" t="str">
        <f ca="1">IFERROR(__xludf.DUMMYFUNCTION("""COMPUTED_VALUE"""),"Amazon")</f>
        <v>Amazon</v>
      </c>
      <c r="I28" s="90" t="str">
        <f ca="1">IFERROR(__xludf.DUMMYFUNCTION("""COMPUTED_VALUE"""),"Sales")</f>
        <v>Sales</v>
      </c>
      <c r="J28" s="90"/>
      <c r="K28" s="90"/>
      <c r="L28" s="90"/>
      <c r="M28" s="90"/>
      <c r="N28" s="17"/>
      <c r="O28" s="17"/>
    </row>
    <row r="29" spans="1:15" ht="12.5">
      <c r="A29" s="90" t="str">
        <f ca="1">IFERROR(__xludf.DUMMYFUNCTION("""COMPUTED_VALUE"""),"TRX1111")</f>
        <v>TRX1111</v>
      </c>
      <c r="B29" s="112" t="str">
        <f ca="1">IFERROR(__xludf.DUMMYFUNCTION("""COMPUTED_VALUE"""),"#55")</f>
        <v>#55</v>
      </c>
      <c r="C29" s="114">
        <f ca="1">IFERROR(__xludf.DUMMYFUNCTION("""COMPUTED_VALUE"""),46077.4166666666)</f>
        <v>46077.416666666599</v>
      </c>
      <c r="D29" s="113">
        <f ca="1">IFERROR(__xludf.DUMMYFUNCTION("""COMPUTED_VALUE"""),3111.25)</f>
        <v>3111.25</v>
      </c>
      <c r="E29" s="90" t="str">
        <f ca="1">IFERROR(__xludf.DUMMYFUNCTION("""COMPUTED_VALUE"""),"MXN")</f>
        <v>MXN</v>
      </c>
      <c r="F29" s="90" t="str">
        <f ca="1">IFERROR(__xludf.DUMMYFUNCTION("""COMPUTED_VALUE"""),"Gerardo Madrid")</f>
        <v>Gerardo Madrid</v>
      </c>
      <c r="G29" s="90" t="str">
        <f ca="1">IFERROR(__xludf.DUMMYFUNCTION("""COMPUTED_VALUE"""),"MERPAGO*MERCADOLIBRE   Ciudad de Mex MEX")</f>
        <v>MERPAGO*MERCADOLIBRE   Ciudad de Mex MEX</v>
      </c>
      <c r="H29" s="90" t="str">
        <f ca="1">IFERROR(__xludf.DUMMYFUNCTION("""COMPUTED_VALUE"""),"Merpago Mercadolibre Ciudad De Mex Mex")</f>
        <v>Merpago Mercadolibre Ciudad De Mex Mex</v>
      </c>
      <c r="I29" s="90" t="str">
        <f ca="1">IFERROR(__xludf.DUMMYFUNCTION("""COMPUTED_VALUE"""),"Sales")</f>
        <v>Sales</v>
      </c>
      <c r="J29" s="90"/>
      <c r="K29" s="90"/>
      <c r="L29" s="90"/>
      <c r="M29" s="90"/>
      <c r="N29" s="17"/>
      <c r="O29" s="17"/>
    </row>
    <row r="30" spans="1:15" ht="12.5">
      <c r="A30" s="90" t="str">
        <f ca="1">IFERROR(__xludf.DUMMYFUNCTION("""COMPUTED_VALUE"""),"TRX1140")</f>
        <v>TRX1140</v>
      </c>
      <c r="B30" s="112" t="str">
        <f ca="1">IFERROR(__xludf.DUMMYFUNCTION("""COMPUTED_VALUE"""),"#55")</f>
        <v>#55</v>
      </c>
      <c r="C30" s="114">
        <f ca="1">IFERROR(__xludf.DUMMYFUNCTION("""COMPUTED_VALUE"""),46078.4166666666)</f>
        <v>46078.416666666599</v>
      </c>
      <c r="D30" s="113">
        <f ca="1">IFERROR(__xludf.DUMMYFUNCTION("""COMPUTED_VALUE"""),282)</f>
        <v>282</v>
      </c>
      <c r="E30" s="90" t="str">
        <f ca="1">IFERROR(__xludf.DUMMYFUNCTION("""COMPUTED_VALUE"""),"MXN")</f>
        <v>MXN</v>
      </c>
      <c r="F30" s="90" t="str">
        <f ca="1">IFERROR(__xludf.DUMMYFUNCTION("""COMPUTED_VALUE"""),"Gerardo Madrid")</f>
        <v>Gerardo Madrid</v>
      </c>
      <c r="G30" s="90" t="str">
        <f ca="1">IFERROR(__xludf.DUMMYFUNCTION("""COMPUTED_VALUE"""),"DLO*UBER RIDES         CIUDAD DE MEX MEX")</f>
        <v>DLO*UBER RIDES         CIUDAD DE MEX MEX</v>
      </c>
      <c r="H30" s="90" t="str">
        <f ca="1">IFERROR(__xludf.DUMMYFUNCTION("""COMPUTED_VALUE"""),"Uber")</f>
        <v>Uber</v>
      </c>
      <c r="I30" s="90" t="str">
        <f ca="1">IFERROR(__xludf.DUMMYFUNCTION("""COMPUTED_VALUE"""),"Sales")</f>
        <v>Sales</v>
      </c>
      <c r="J30" s="90"/>
      <c r="K30" s="90"/>
      <c r="L30" s="90"/>
      <c r="M30" s="90"/>
      <c r="N30" s="17"/>
      <c r="O30" s="17"/>
    </row>
    <row r="31" spans="1:15" ht="12.5">
      <c r="A31" s="90" t="str">
        <f ca="1">IFERROR(__xludf.DUMMYFUNCTION("""COMPUTED_VALUE"""),"TRX1234")</f>
        <v>TRX1234</v>
      </c>
      <c r="B31" s="112" t="str">
        <f ca="1">IFERROR(__xludf.DUMMYFUNCTION("""COMPUTED_VALUE"""),"#55")</f>
        <v>#55</v>
      </c>
      <c r="C31" s="114">
        <f ca="1">IFERROR(__xludf.DUMMYFUNCTION("""COMPUTED_VALUE"""),46080.4166666666)</f>
        <v>46080.416666666599</v>
      </c>
      <c r="D31" s="113">
        <f ca="1">IFERROR(__xludf.DUMMYFUNCTION("""COMPUTED_VALUE"""),1017.79)</f>
        <v>1017.79</v>
      </c>
      <c r="E31" s="90" t="str">
        <f ca="1">IFERROR(__xludf.DUMMYFUNCTION("""COMPUTED_VALUE"""),"MXN")</f>
        <v>MXN</v>
      </c>
      <c r="F31" s="90" t="str">
        <f ca="1">IFERROR(__xludf.DUMMYFUNCTION("""COMPUTED_VALUE"""),"Gerardo Madrid")</f>
        <v>Gerardo Madrid</v>
      </c>
      <c r="G31" s="90" t="str">
        <f ca="1">IFERROR(__xludf.DUMMYFUNCTION("""COMPUTED_VALUE"""),"SERVEL NUEVO PEDREGAL  CIUDAD DE MEX MEX")</f>
        <v>SERVEL NUEVO PEDREGAL  CIUDAD DE MEX MEX</v>
      </c>
      <c r="H31" s="90" t="str">
        <f ca="1">IFERROR(__xludf.DUMMYFUNCTION("""COMPUTED_VALUE"""),"Servel Nuevo Pedregal Ciudad De Mex Mex")</f>
        <v>Servel Nuevo Pedregal Ciudad De Mex Mex</v>
      </c>
      <c r="I31" s="90" t="str">
        <f ca="1">IFERROR(__xludf.DUMMYFUNCTION("""COMPUTED_VALUE"""),"Sales")</f>
        <v>Sales</v>
      </c>
      <c r="J31" s="90"/>
      <c r="K31" s="90"/>
      <c r="L31" s="90"/>
      <c r="M31" s="90"/>
      <c r="N31" s="17"/>
      <c r="O31" s="17"/>
    </row>
    <row r="32" spans="1:15" ht="12.5">
      <c r="A32" s="90"/>
      <c r="B32" s="111"/>
      <c r="C32" s="111"/>
      <c r="D32" s="90"/>
      <c r="E32" s="90"/>
      <c r="F32" s="90"/>
      <c r="G32" s="90"/>
      <c r="H32" s="90"/>
      <c r="I32" s="90" t="str">
        <f ca="1">IFERROR(__xludf.DUMMYFUNCTION("""COMPUTED_VALUE"""),"Sales")</f>
        <v>Sales</v>
      </c>
      <c r="J32" s="90"/>
      <c r="K32" s="90"/>
      <c r="L32" s="90"/>
      <c r="M32" s="90"/>
      <c r="N32" s="17"/>
      <c r="O32" s="17"/>
    </row>
    <row r="33" spans="1:15" ht="12.5">
      <c r="A33" s="90"/>
      <c r="B33" s="111"/>
      <c r="C33" s="111"/>
      <c r="D33" s="90"/>
      <c r="E33" s="90"/>
      <c r="F33" s="90"/>
      <c r="G33" s="90"/>
      <c r="H33" s="90"/>
      <c r="I33" s="90" t="str">
        <f ca="1">IFERROR(__xludf.DUMMYFUNCTION("""COMPUTED_VALUE"""),"Sales")</f>
        <v>Sales</v>
      </c>
      <c r="J33" s="90"/>
      <c r="K33" s="90"/>
      <c r="L33" s="90"/>
      <c r="M33" s="90"/>
      <c r="N33" s="17"/>
      <c r="O33" s="17"/>
    </row>
    <row r="34" spans="1:15" ht="12.5">
      <c r="A34" s="90"/>
      <c r="B34" s="111"/>
      <c r="C34" s="111"/>
      <c r="D34" s="90"/>
      <c r="E34" s="90"/>
      <c r="F34" s="90"/>
      <c r="G34" s="90"/>
      <c r="H34" s="90"/>
      <c r="I34" s="90" t="str">
        <f ca="1">IFERROR(__xludf.DUMMYFUNCTION("""COMPUTED_VALUE"""),"Sales")</f>
        <v>Sales</v>
      </c>
      <c r="J34" s="90"/>
      <c r="K34" s="90"/>
      <c r="L34" s="90"/>
      <c r="M34" s="90"/>
      <c r="N34" s="17"/>
      <c r="O34" s="17"/>
    </row>
    <row r="35" spans="1:15" ht="12.5">
      <c r="A35" s="90"/>
      <c r="B35" s="111"/>
      <c r="C35" s="111"/>
      <c r="D35" s="90"/>
      <c r="E35" s="90"/>
      <c r="F35" s="90"/>
      <c r="G35" s="90"/>
      <c r="H35" s="90"/>
      <c r="I35" s="90" t="str">
        <f ca="1">IFERROR(__xludf.DUMMYFUNCTION("""COMPUTED_VALUE"""),"Sales")</f>
        <v>Sales</v>
      </c>
      <c r="J35" s="90"/>
      <c r="K35" s="90"/>
      <c r="L35" s="90"/>
      <c r="M35" s="90"/>
      <c r="N35" s="17"/>
      <c r="O35" s="17"/>
    </row>
    <row r="36" spans="1:15" ht="12.5">
      <c r="A36" s="90"/>
      <c r="B36" s="111"/>
      <c r="C36" s="111"/>
      <c r="D36" s="90"/>
      <c r="E36" s="90"/>
      <c r="F36" s="90"/>
      <c r="G36" s="90"/>
      <c r="H36" s="90"/>
      <c r="I36" s="90" t="str">
        <f ca="1">IFERROR(__xludf.DUMMYFUNCTION("""COMPUTED_VALUE"""),"Sales")</f>
        <v>Sales</v>
      </c>
      <c r="J36" s="90"/>
      <c r="K36" s="90"/>
      <c r="L36" s="90"/>
      <c r="M36" s="90"/>
      <c r="N36" s="17"/>
      <c r="O36" s="17"/>
    </row>
    <row r="37" spans="1:15" ht="12.5">
      <c r="A37" s="90"/>
      <c r="B37" s="111"/>
      <c r="C37" s="111"/>
      <c r="D37" s="90"/>
      <c r="E37" s="90"/>
      <c r="F37" s="90"/>
      <c r="G37" s="90"/>
      <c r="H37" s="90"/>
      <c r="I37" s="90" t="str">
        <f ca="1">IFERROR(__xludf.DUMMYFUNCTION("""COMPUTED_VALUE"""),"Sales")</f>
        <v>Sales</v>
      </c>
      <c r="J37" s="90"/>
      <c r="K37" s="90"/>
      <c r="L37" s="90"/>
      <c r="M37" s="90"/>
      <c r="N37" s="17"/>
      <c r="O37" s="17"/>
    </row>
    <row r="38" spans="1:15" ht="12.5">
      <c r="A38" s="90"/>
      <c r="B38" s="111"/>
      <c r="C38" s="111"/>
      <c r="D38" s="90"/>
      <c r="E38" s="90"/>
      <c r="F38" s="90"/>
      <c r="G38" s="90"/>
      <c r="H38" s="90"/>
      <c r="I38" s="90" t="str">
        <f ca="1">IFERROR(__xludf.DUMMYFUNCTION("""COMPUTED_VALUE"""),"Sales")</f>
        <v>Sales</v>
      </c>
      <c r="J38" s="90"/>
      <c r="K38" s="90"/>
      <c r="L38" s="90"/>
      <c r="M38" s="90"/>
      <c r="N38" s="17"/>
      <c r="O38" s="17"/>
    </row>
    <row r="39" spans="1:15" ht="12.5">
      <c r="A39" s="90"/>
      <c r="B39" s="111"/>
      <c r="C39" s="111"/>
      <c r="D39" s="90"/>
      <c r="E39" s="90"/>
      <c r="F39" s="90"/>
      <c r="G39" s="90"/>
      <c r="H39" s="90"/>
      <c r="I39" s="90" t="str">
        <f ca="1">IFERROR(__xludf.DUMMYFUNCTION("""COMPUTED_VALUE"""),"Sales")</f>
        <v>Sales</v>
      </c>
      <c r="J39" s="90"/>
      <c r="K39" s="90" t="str">
        <f ca="1">IFERROR(__xludf.DUMMYFUNCTION("""COMPUTED_VALUE"""),".")</f>
        <v>.</v>
      </c>
      <c r="L39" s="90"/>
      <c r="M39" s="90"/>
      <c r="N39" s="17"/>
      <c r="O39" s="17"/>
    </row>
    <row r="40" spans="1:15" ht="12.5">
      <c r="A40" s="90"/>
      <c r="B40" s="111"/>
      <c r="C40" s="111"/>
      <c r="D40" s="90"/>
      <c r="E40" s="90"/>
      <c r="F40" s="90"/>
      <c r="G40" s="90"/>
      <c r="H40" s="90"/>
      <c r="I40" s="90" t="str">
        <f ca="1">IFERROR(__xludf.DUMMYFUNCTION("""COMPUTED_VALUE"""),"Sales")</f>
        <v>Sales</v>
      </c>
      <c r="J40" s="90"/>
      <c r="K40" s="90" t="str">
        <f ca="1">IFERROR(__xludf.DUMMYFUNCTION("""COMPUTED_VALUE"""),".")</f>
        <v>.</v>
      </c>
      <c r="L40" s="90"/>
      <c r="M40" s="90"/>
      <c r="N40" s="17"/>
      <c r="O40" s="17"/>
    </row>
    <row r="41" spans="1:15" ht="12.5">
      <c r="A41" s="90"/>
      <c r="B41" s="111"/>
      <c r="C41" s="111"/>
      <c r="D41" s="90"/>
      <c r="E41" s="90"/>
      <c r="F41" s="90"/>
      <c r="G41" s="90"/>
      <c r="H41" s="90"/>
      <c r="I41" s="90" t="str">
        <f ca="1">IFERROR(__xludf.DUMMYFUNCTION("""COMPUTED_VALUE"""),"Sales")</f>
        <v>Sales</v>
      </c>
      <c r="J41" s="90"/>
      <c r="K41" s="90" t="str">
        <f ca="1">IFERROR(__xludf.DUMMYFUNCTION("""COMPUTED_VALUE"""),".")</f>
        <v>.</v>
      </c>
      <c r="L41" s="90"/>
      <c r="M41" s="90"/>
      <c r="N41" s="17"/>
      <c r="O41" s="17"/>
    </row>
    <row r="42" spans="1:15" ht="12.5">
      <c r="A42" s="90"/>
      <c r="B42" s="111"/>
      <c r="C42" s="111"/>
      <c r="D42" s="90"/>
      <c r="E42" s="90"/>
      <c r="F42" s="90"/>
      <c r="G42" s="90"/>
      <c r="H42" s="90"/>
      <c r="I42" s="90" t="str">
        <f ca="1">IFERROR(__xludf.DUMMYFUNCTION("""COMPUTED_VALUE"""),"Sales")</f>
        <v>Sales</v>
      </c>
      <c r="J42" s="90"/>
      <c r="K42" s="90" t="str">
        <f ca="1">IFERROR(__xludf.DUMMYFUNCTION("""COMPUTED_VALUE"""),".")</f>
        <v>.</v>
      </c>
      <c r="L42" s="90"/>
      <c r="M42" s="90"/>
      <c r="N42" s="17"/>
      <c r="O42" s="17"/>
    </row>
    <row r="43" spans="1:15" ht="12.5">
      <c r="A43" s="90"/>
      <c r="B43" s="111"/>
      <c r="C43" s="111"/>
      <c r="E43" s="90"/>
      <c r="F43" s="90"/>
      <c r="G43" s="90"/>
      <c r="H43" s="90"/>
      <c r="I43" s="90" t="str">
        <f ca="1">IFERROR(__xludf.DUMMYFUNCTION("""COMPUTED_VALUE"""),"Sales")</f>
        <v>Sales</v>
      </c>
      <c r="J43" s="90"/>
      <c r="K43" s="90" t="str">
        <f ca="1">IFERROR(__xludf.DUMMYFUNCTION("""COMPUTED_VALUE"""),".")</f>
        <v>.</v>
      </c>
      <c r="L43" s="90"/>
      <c r="M43" s="90"/>
      <c r="N43" s="17"/>
      <c r="O43" s="17"/>
    </row>
    <row r="44" spans="1:15" ht="12.5">
      <c r="A44" s="90"/>
      <c r="B44" s="111"/>
      <c r="C44" s="111"/>
      <c r="D44" s="90"/>
      <c r="E44" s="90"/>
      <c r="F44" s="90"/>
      <c r="G44" s="90"/>
      <c r="H44" s="90"/>
      <c r="I44" s="90" t="str">
        <f ca="1">IFERROR(__xludf.DUMMYFUNCTION("""COMPUTED_VALUE"""),"Sales")</f>
        <v>Sales</v>
      </c>
      <c r="J44" s="90"/>
      <c r="K44" s="90" t="str">
        <f ca="1">IFERROR(__xludf.DUMMYFUNCTION("""COMPUTED_VALUE"""),".")</f>
        <v>.</v>
      </c>
      <c r="L44" s="90"/>
      <c r="M44" s="90"/>
      <c r="N44" s="17"/>
      <c r="O44" s="17"/>
    </row>
    <row r="45" spans="1:15" ht="12.5">
      <c r="A45" s="90"/>
      <c r="B45" s="111"/>
      <c r="C45" s="111"/>
      <c r="D45" s="90"/>
      <c r="E45" s="90"/>
      <c r="F45" s="90"/>
      <c r="G45" s="90"/>
      <c r="H45" s="90"/>
      <c r="I45" s="90" t="str">
        <f ca="1">IFERROR(__xludf.DUMMYFUNCTION("""COMPUTED_VALUE"""),"Sales")</f>
        <v>Sales</v>
      </c>
      <c r="J45" s="90"/>
      <c r="K45" s="90" t="str">
        <f ca="1">IFERROR(__xludf.DUMMYFUNCTION("""COMPUTED_VALUE"""),".")</f>
        <v>.</v>
      </c>
      <c r="L45" s="90"/>
      <c r="M45" s="90"/>
      <c r="N45" s="17"/>
      <c r="O45" s="17"/>
    </row>
    <row r="46" spans="1:15" ht="12.5">
      <c r="A46" s="17"/>
      <c r="B46" s="24"/>
      <c r="C46" s="24"/>
      <c r="D46" s="17"/>
      <c r="E46" s="17"/>
      <c r="F46" s="17"/>
      <c r="G46" s="17"/>
      <c r="H46" s="17"/>
      <c r="I46" s="17" t="str">
        <f ca="1">IFERROR(__xludf.DUMMYFUNCTION("""COMPUTED_VALUE"""),"Sales")</f>
        <v>Sales</v>
      </c>
      <c r="J46" s="17"/>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IFERROR(__xludf.DUMMYFUNCTION("""COMPUTED_VALUE"""),"Sales")</f>
        <v>Sales</v>
      </c>
      <c r="J47" s="17"/>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IFERROR(__xludf.DUMMYFUNCTION("""COMPUTED_VALUE"""),"Sales")</f>
        <v>Sales</v>
      </c>
      <c r="J48" s="17"/>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IFERROR(__xludf.DUMMYFUNCTION("""COMPUTED_VALUE"""),"Sales")</f>
        <v>Sales</v>
      </c>
      <c r="J49" s="17"/>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IFERROR(__xludf.DUMMYFUNCTION("""COMPUTED_VALUE"""),"Sales")</f>
        <v>Sales</v>
      </c>
      <c r="J50" s="17"/>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IFERROR(__xludf.DUMMYFUNCTION("""COMPUTED_VALUE"""),"Sales")</f>
        <v>Sales</v>
      </c>
      <c r="J51" s="17"/>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IFERROR(__xludf.DUMMYFUNCTION("""COMPUTED_VALUE"""),"Sales")</f>
        <v>Sales</v>
      </c>
      <c r="J52" s="17"/>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IFERROR(__xludf.DUMMYFUNCTION("""COMPUTED_VALUE"""),"Sales")</f>
        <v>Sales</v>
      </c>
      <c r="J53" s="17"/>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IFERROR(__xludf.DUMMYFUNCTION("""COMPUTED_VALUE"""),"Sales")</f>
        <v>Sales</v>
      </c>
      <c r="J54" s="17"/>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IFERROR(__xludf.DUMMYFUNCTION("""COMPUTED_VALUE"""),"Sales")</f>
        <v>Sales</v>
      </c>
      <c r="J55" s="17"/>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IFERROR(__xludf.DUMMYFUNCTION("""COMPUTED_VALUE"""),"Sales")</f>
        <v>Sales</v>
      </c>
      <c r="J56" s="17"/>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IFERROR(__xludf.DUMMYFUNCTION("""COMPUTED_VALUE"""),"Sales")</f>
        <v>Sales</v>
      </c>
      <c r="J57" s="17"/>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IFERROR(__xludf.DUMMYFUNCTION("""COMPUTED_VALUE"""),"Sales")</f>
        <v>Sales</v>
      </c>
      <c r="J58" s="17"/>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IFERROR(__xludf.DUMMYFUNCTION("""COMPUTED_VALUE"""),"Sales")</f>
        <v>Sales</v>
      </c>
      <c r="J59" s="17"/>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IFERROR(__xludf.DUMMYFUNCTION("""COMPUTED_VALUE"""),"Sales")</f>
        <v>Sales</v>
      </c>
      <c r="J60" s="17"/>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IFERROR(__xludf.DUMMYFUNCTION("""COMPUTED_VALUE"""),"Sales")</f>
        <v>Sales</v>
      </c>
      <c r="J61" s="17"/>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IFERROR(__xludf.DUMMYFUNCTION("""COMPUTED_VALUE"""),"Sales")</f>
        <v>Sales</v>
      </c>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9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CC0000"/>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29.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99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09" t="str">
        <f ca="1">IFERROR(__xludf.DUMMYFUNCTION("FILTER('Edo Cta Jeeves Sept'!$A$12:$C$1700,'Edo Cta Jeeves Sept'!$J$12:$J$1700=$A$2)"),"TRX1274")</f>
        <v>TRX1274</v>
      </c>
      <c r="B12" s="110" t="str">
        <f ca="1">IFERROR(__xludf.DUMMYFUNCTION("""COMPUTED_VALUE"""),"#56")</f>
        <v>#56</v>
      </c>
      <c r="C12" s="110">
        <f ca="1">IFERROR(__xludf.DUMMYFUNCTION("""COMPUTED_VALUE"""),46057.4166666666)</f>
        <v>46057.416666666599</v>
      </c>
      <c r="D12" s="117">
        <f ca="1">IFERROR(__xludf.DUMMYFUNCTION("FILTER('Edo Cta Jeeves Sept'!$G$12:$G$1700,'Edo Cta Jeeves Sept'!$J$12:$J$1700=$A$2)"),429.98)</f>
        <v>429.98</v>
      </c>
      <c r="E12" s="89" t="str">
        <f ca="1">IFERROR(__xludf.DUMMYFUNCTION("FILTER('Edo Cta Jeeves Sept'!$I$12:$I$1700,'Edo Cta Jeeves Sept'!$J$12:$J$1700=$A$2)"),"MXN")</f>
        <v>MXN</v>
      </c>
      <c r="F12" s="89" t="str">
        <f ca="1">IFERROR(__xludf.DUMMYFUNCTION("FILTER('Edo Cta Jeeves Sept'!$J$12:$J$1700,'Edo Cta Jeeves Sept'!$J$12:$J$1700=$A$2)"),"Carlos Ivan Gonzalez Merino")</f>
        <v>Carlos Ivan Gonzalez Merino</v>
      </c>
      <c r="G12" s="89" t="str">
        <f ca="1">IFERROR(__xludf.DUMMYFUNCTION("FILTER('Edo Cta Jeeves Sept'!$K$12:$L$1700,'Edo Cta Jeeves Sept'!$J$12:$J$1700=$A$2)"),"UBER * PENDING         CMX           MEX")</f>
        <v>UBER * PENDING         CMX           MEX</v>
      </c>
      <c r="H12" s="89" t="str">
        <f ca="1">IFERROR(__xludf.DUMMYFUNCTION("""COMPUTED_VALUE"""),"Uber")</f>
        <v>Uber</v>
      </c>
      <c r="I12" s="89" t="str">
        <f ca="1">IFERROR(__xludf.DUMMYFUNCTION("IMPORTRANGE(""https://docs.google.com/spreadsheets/d/10RV-TTCdatRTiYI6OCntwr-_13CwFvsbbPbYcZRIrpc/edit?gid=1404531132#gid=1404531132"",""I12:K80"")"),"G&amp;A expenses")</f>
        <v>G&amp;A expenses</v>
      </c>
      <c r="J12" s="89" t="str">
        <f ca="1">IFERROR(__xludf.DUMMYFUNCTION("""COMPUTED_VALUE"""),"PO_2009 ASIPONA_TRASLADO")</f>
        <v>PO_2009 ASIPONA_TRASLADO</v>
      </c>
      <c r="K12" s="89"/>
      <c r="L12" s="17"/>
      <c r="M12" s="17"/>
      <c r="N12" s="17"/>
      <c r="O12" s="17"/>
    </row>
    <row r="13" spans="1:15" ht="15.75" customHeight="1">
      <c r="A13" s="109" t="str">
        <f ca="1">IFERROR(__xludf.DUMMYFUNCTION("""COMPUTED_VALUE"""),"TRX1256")</f>
        <v>TRX1256</v>
      </c>
      <c r="B13" s="110" t="str">
        <f ca="1">IFERROR(__xludf.DUMMYFUNCTION("""COMPUTED_VALUE"""),"#56")</f>
        <v>#56</v>
      </c>
      <c r="C13" s="118">
        <f ca="1">IFERROR(__xludf.DUMMYFUNCTION("""COMPUTED_VALUE"""),46058.4166666666)</f>
        <v>46058.416666666599</v>
      </c>
      <c r="D13" s="117">
        <f ca="1">IFERROR(__xludf.DUMMYFUNCTION("""COMPUTED_VALUE"""),280)</f>
        <v>280</v>
      </c>
      <c r="E13" s="89" t="str">
        <f ca="1">IFERROR(__xludf.DUMMYFUNCTION("""COMPUTED_VALUE"""),"MXN")</f>
        <v>MXN</v>
      </c>
      <c r="F13" s="89" t="str">
        <f ca="1">IFERROR(__xludf.DUMMYFUNCTION("""COMPUTED_VALUE"""),"Carlos Ivan Gonzalez Merino")</f>
        <v>Carlos Ivan Gonzalez Merino</v>
      </c>
      <c r="G13" s="89" t="str">
        <f ca="1">IFERROR(__xludf.DUMMYFUNCTION("""COMPUTED_VALUE"""),"ADO SUC AEROPUERTO     VERACRUZ VER  MEX")</f>
        <v>ADO SUC AEROPUERTO     VERACRUZ VER  MEX</v>
      </c>
      <c r="H13" s="89" t="str">
        <f ca="1">IFERROR(__xludf.DUMMYFUNCTION("""COMPUTED_VALUE"""),"Ado Suc Aeropuerto Veracruz Ver Mex")</f>
        <v>Ado Suc Aeropuerto Veracruz Ver Mex</v>
      </c>
      <c r="I13" s="89" t="str">
        <f ca="1">IFERROR(__xludf.DUMMYFUNCTION("""COMPUTED_VALUE"""),"G&amp;A expenses")</f>
        <v>G&amp;A expenses</v>
      </c>
      <c r="J13" s="89" t="str">
        <f ca="1">IFERROR(__xludf.DUMMYFUNCTION("""COMPUTED_VALUE"""),"PO_2009 ASIPONA_TRASLADO")</f>
        <v>PO_2009 ASIPONA_TRASLADO</v>
      </c>
      <c r="K13" s="89"/>
      <c r="L13" s="17"/>
      <c r="M13" s="17"/>
      <c r="N13" s="17"/>
      <c r="O13" s="17"/>
    </row>
    <row r="14" spans="1:15" ht="15.75" customHeight="1">
      <c r="A14" s="109" t="str">
        <f ca="1">IFERROR(__xludf.DUMMYFUNCTION("""COMPUTED_VALUE"""),"TRX1249")</f>
        <v>TRX1249</v>
      </c>
      <c r="B14" s="110" t="str">
        <f ca="1">IFERROR(__xludf.DUMMYFUNCTION("""COMPUTED_VALUE"""),"#56")</f>
        <v>#56</v>
      </c>
      <c r="C14" s="118">
        <f ca="1">IFERROR(__xludf.DUMMYFUNCTION("""COMPUTED_VALUE"""),46058.4166666666)</f>
        <v>46058.416666666599</v>
      </c>
      <c r="D14" s="117">
        <f ca="1">IFERROR(__xludf.DUMMYFUNCTION("""COMPUTED_VALUE"""),276)</f>
        <v>276</v>
      </c>
      <c r="E14" s="89" t="str">
        <f ca="1">IFERROR(__xludf.DUMMYFUNCTION("""COMPUTED_VALUE"""),"MXN")</f>
        <v>MXN</v>
      </c>
      <c r="F14" s="89" t="str">
        <f ca="1">IFERROR(__xludf.DUMMYFUNCTION("""COMPUTED_VALUE"""),"Carlos Ivan Gonzalez Merino")</f>
        <v>Carlos Ivan Gonzalez Merino</v>
      </c>
      <c r="G14" s="89" t="str">
        <f ca="1">IFERROR(__xludf.DUMMYFUNCTION("""COMPUTED_VALUE"""),"Starbucks              CMX           MEX")</f>
        <v>Starbucks              CMX           MEX</v>
      </c>
      <c r="H14" s="89" t="str">
        <f ca="1">IFERROR(__xludf.DUMMYFUNCTION("""COMPUTED_VALUE"""),"Starbucks")</f>
        <v>Starbucks</v>
      </c>
      <c r="I14" s="89" t="str">
        <f ca="1">IFERROR(__xludf.DUMMYFUNCTION("""COMPUTED_VALUE"""),"G&amp;A expenses")</f>
        <v>G&amp;A expenses</v>
      </c>
      <c r="J14" s="89" t="str">
        <f ca="1">IFERROR(__xludf.DUMMYFUNCTION("""COMPUTED_VALUE"""),"PO_2009 ASIPONA_COMIDA")</f>
        <v>PO_2009 ASIPONA_COMIDA</v>
      </c>
      <c r="K14" s="89"/>
      <c r="L14" s="17"/>
      <c r="M14" s="17"/>
      <c r="N14" s="17"/>
      <c r="O14" s="17"/>
    </row>
    <row r="15" spans="1:15" ht="15.75" customHeight="1">
      <c r="A15" s="109" t="str">
        <f ca="1">IFERROR(__xludf.DUMMYFUNCTION("""COMPUTED_VALUE"""),"TRX1208")</f>
        <v>TRX1208</v>
      </c>
      <c r="B15" s="110" t="str">
        <f ca="1">IFERROR(__xludf.DUMMYFUNCTION("""COMPUTED_VALUE"""),"#56")</f>
        <v>#56</v>
      </c>
      <c r="C15" s="118">
        <f ca="1">IFERROR(__xludf.DUMMYFUNCTION("""COMPUTED_VALUE"""),46058.4173611111)</f>
        <v>46058.417361111096</v>
      </c>
      <c r="D15" s="117">
        <f ca="1">IFERROR(__xludf.DUMMYFUNCTION("""COMPUTED_VALUE"""),122)</f>
        <v>122</v>
      </c>
      <c r="E15" s="89" t="str">
        <f ca="1">IFERROR(__xludf.DUMMYFUNCTION("""COMPUTED_VALUE"""),"MXN")</f>
        <v>MXN</v>
      </c>
      <c r="F15" s="89" t="str">
        <f ca="1">IFERROR(__xludf.DUMMYFUNCTION("""COMPUTED_VALUE"""),"Carlos Ivan Gonzalez Merino")</f>
        <v>Carlos Ivan Gonzalez Merino</v>
      </c>
      <c r="G15" s="89" t="str">
        <f ca="1">IFERROR(__xludf.DUMMYFUNCTION("""COMPUTED_VALUE"""),"DLO*DIDI RIDES         MEXICO        MEX")</f>
        <v>DLO*DIDI RIDES         MEXICO        MEX</v>
      </c>
      <c r="H15" s="89" t="str">
        <f ca="1">IFERROR(__xludf.DUMMYFUNCTION("""COMPUTED_VALUE"""),"Didi Chuxing")</f>
        <v>Didi Chuxing</v>
      </c>
      <c r="I15" s="89" t="str">
        <f ca="1">IFERROR(__xludf.DUMMYFUNCTION("""COMPUTED_VALUE"""),"G&amp;A expenses")</f>
        <v>G&amp;A expenses</v>
      </c>
      <c r="J15" s="89" t="str">
        <f ca="1">IFERROR(__xludf.DUMMYFUNCTION("""COMPUTED_VALUE"""),"PO_2009 ASIPONA_TRASLADO")</f>
        <v>PO_2009 ASIPONA_TRASLADO</v>
      </c>
      <c r="K15" s="89"/>
      <c r="L15" s="17"/>
      <c r="M15" s="17"/>
      <c r="N15" s="17"/>
      <c r="O15" s="17"/>
    </row>
    <row r="16" spans="1:15" ht="15.75" customHeight="1">
      <c r="A16" s="90" t="str">
        <f ca="1">IFERROR(__xludf.DUMMYFUNCTION("""COMPUTED_VALUE"""),"TRX1207")</f>
        <v>TRX1207</v>
      </c>
      <c r="B16" s="112" t="str">
        <f ca="1">IFERROR(__xludf.DUMMYFUNCTION("""COMPUTED_VALUE"""),"#56")</f>
        <v>#56</v>
      </c>
      <c r="C16" s="114">
        <f ca="1">IFERROR(__xludf.DUMMYFUNCTION("""COMPUTED_VALUE"""),46058.4173611111)</f>
        <v>46058.417361111096</v>
      </c>
      <c r="D16" s="113">
        <f ca="1">IFERROR(__xludf.DUMMYFUNCTION("""COMPUTED_VALUE"""),133)</f>
        <v>133</v>
      </c>
      <c r="E16" s="90" t="str">
        <f ca="1">IFERROR(__xludf.DUMMYFUNCTION("""COMPUTED_VALUE"""),"MXN")</f>
        <v>MXN</v>
      </c>
      <c r="F16" s="90" t="str">
        <f ca="1">IFERROR(__xludf.DUMMYFUNCTION("""COMPUTED_VALUE"""),"Carlos Ivan Gonzalez Merino")</f>
        <v>Carlos Ivan Gonzalez Merino</v>
      </c>
      <c r="G16" s="90" t="str">
        <f ca="1">IFERROR(__xludf.DUMMYFUNCTION("""COMPUTED_VALUE"""),"DLO*DIDI RIDES         MEXICO        MEX")</f>
        <v>DLO*DIDI RIDES         MEXICO        MEX</v>
      </c>
      <c r="H16" s="90" t="str">
        <f ca="1">IFERROR(__xludf.DUMMYFUNCTION("""COMPUTED_VALUE"""),"Didi Chuxing")</f>
        <v>Didi Chuxing</v>
      </c>
      <c r="I16" s="90" t="str">
        <f ca="1">IFERROR(__xludf.DUMMYFUNCTION("""COMPUTED_VALUE"""),"G&amp;A expenses")</f>
        <v>G&amp;A expenses</v>
      </c>
      <c r="J16" s="90" t="str">
        <f ca="1">IFERROR(__xludf.DUMMYFUNCTION("""COMPUTED_VALUE"""),"PO_2009 ASIPONA_TRASLADO")</f>
        <v>PO_2009 ASIPONA_TRASLADO</v>
      </c>
      <c r="K16" s="90"/>
      <c r="L16" s="17"/>
      <c r="M16" s="17"/>
      <c r="N16" s="17"/>
      <c r="O16" s="17"/>
    </row>
    <row r="17" spans="1:15" ht="15.75" customHeight="1">
      <c r="A17" s="89" t="str">
        <f ca="1">IFERROR(__xludf.DUMMYFUNCTION("""COMPUTED_VALUE"""),"TRX1204")</f>
        <v>TRX1204</v>
      </c>
      <c r="B17" s="110" t="str">
        <f ca="1">IFERROR(__xludf.DUMMYFUNCTION("""COMPUTED_VALUE"""),"#56")</f>
        <v>#56</v>
      </c>
      <c r="C17" s="118">
        <f ca="1">IFERROR(__xludf.DUMMYFUNCTION("""COMPUTED_VALUE"""),46058.4173611111)</f>
        <v>46058.417361111096</v>
      </c>
      <c r="D17" s="117">
        <f ca="1">IFERROR(__xludf.DUMMYFUNCTION("""COMPUTED_VALUE"""),438)</f>
        <v>438</v>
      </c>
      <c r="E17" s="89" t="str">
        <f ca="1">IFERROR(__xludf.DUMMYFUNCTION("""COMPUTED_VALUE"""),"MXN")</f>
        <v>MXN</v>
      </c>
      <c r="F17" s="89" t="str">
        <f ca="1">IFERROR(__xludf.DUMMYFUNCTION("""COMPUTED_VALUE"""),"Carlos Ivan Gonzalez Merino")</f>
        <v>Carlos Ivan Gonzalez Merino</v>
      </c>
      <c r="G17" s="89" t="str">
        <f ca="1">IFERROR(__xludf.DUMMYFUNCTION("""COMPUTED_VALUE"""),"REST EL LECHERO        VERACRUZ VER  MEX")</f>
        <v>REST EL LECHERO        VERACRUZ VER  MEX</v>
      </c>
      <c r="H17" s="89" t="str">
        <f ca="1">IFERROR(__xludf.DUMMYFUNCTION("""COMPUTED_VALUE"""),"Rest El Lechero Veracruz Ver Mex")</f>
        <v>Rest El Lechero Veracruz Ver Mex</v>
      </c>
      <c r="I17" s="89" t="str">
        <f ca="1">IFERROR(__xludf.DUMMYFUNCTION("""COMPUTED_VALUE"""),"G&amp;A expenses")</f>
        <v>G&amp;A expenses</v>
      </c>
      <c r="J17" s="89" t="str">
        <f ca="1">IFERROR(__xludf.DUMMYFUNCTION("""COMPUTED_VALUE"""),"PO_2009 ASIPONA_COMIDA")</f>
        <v>PO_2009 ASIPONA_COMIDA</v>
      </c>
      <c r="K17" s="89"/>
      <c r="L17" s="17"/>
      <c r="M17" s="17"/>
      <c r="N17" s="17"/>
      <c r="O17" s="17"/>
    </row>
    <row r="18" spans="1:15" ht="15.75" customHeight="1">
      <c r="A18" s="89" t="str">
        <f ca="1">IFERROR(__xludf.DUMMYFUNCTION("""COMPUTED_VALUE"""),"TRX1183")</f>
        <v>TRX1183</v>
      </c>
      <c r="B18" s="110" t="str">
        <f ca="1">IFERROR(__xludf.DUMMYFUNCTION("""COMPUTED_VALUE"""),"#56")</f>
        <v>#56</v>
      </c>
      <c r="C18" s="118">
        <f ca="1">IFERROR(__xludf.DUMMYFUNCTION("""COMPUTED_VALUE"""),46059.4166666666)</f>
        <v>46059.416666666599</v>
      </c>
      <c r="D18" s="117">
        <f ca="1">IFERROR(__xludf.DUMMYFUNCTION("""COMPUTED_VALUE"""),196)</f>
        <v>196</v>
      </c>
      <c r="E18" s="89" t="str">
        <f ca="1">IFERROR(__xludf.DUMMYFUNCTION("""COMPUTED_VALUE"""),"MXN")</f>
        <v>MXN</v>
      </c>
      <c r="F18" s="89" t="str">
        <f ca="1">IFERROR(__xludf.DUMMYFUNCTION("""COMPUTED_VALUE"""),"Carlos Ivan Gonzalez Merino")</f>
        <v>Carlos Ivan Gonzalez Merino</v>
      </c>
      <c r="G18" s="89" t="str">
        <f ca="1">IFERROR(__xludf.DUMMYFUNCTION("""COMPUTED_VALUE"""),"COM RAP BOL D ORO RU C BOCA DEL RIO  MEX")</f>
        <v>COM RAP BOL D ORO RU C BOCA DEL RIO  MEX</v>
      </c>
      <c r="H18" s="89" t="str">
        <f ca="1">IFERROR(__xludf.DUMMYFUNCTION("""COMPUTED_VALUE"""),"Com Rap Bol D Oro Ru C Boca Del Rio Mex")</f>
        <v>Com Rap Bol D Oro Ru C Boca Del Rio Mex</v>
      </c>
      <c r="I18" s="89" t="str">
        <f ca="1">IFERROR(__xludf.DUMMYFUNCTION("""COMPUTED_VALUE"""),"G&amp;A expenses")</f>
        <v>G&amp;A expenses</v>
      </c>
      <c r="J18" s="89" t="str">
        <f ca="1">IFERROR(__xludf.DUMMYFUNCTION("""COMPUTED_VALUE"""),"PO_2009 ASIPONA_COMIDA")</f>
        <v>PO_2009 ASIPONA_COMIDA</v>
      </c>
      <c r="K18" s="89"/>
      <c r="L18" s="17"/>
      <c r="M18" s="17"/>
      <c r="N18" s="17"/>
      <c r="O18" s="17"/>
    </row>
    <row r="19" spans="1:15" ht="15.75" customHeight="1">
      <c r="A19" s="89" t="str">
        <f ca="1">IFERROR(__xludf.DUMMYFUNCTION("""COMPUTED_VALUE"""),"TRX1168")</f>
        <v>TRX1168</v>
      </c>
      <c r="B19" s="110" t="str">
        <f ca="1">IFERROR(__xludf.DUMMYFUNCTION("""COMPUTED_VALUE"""),"#56")</f>
        <v>#56</v>
      </c>
      <c r="C19" s="118">
        <f ca="1">IFERROR(__xludf.DUMMYFUNCTION("""COMPUTED_VALUE"""),46059.4166666666)</f>
        <v>46059.416666666599</v>
      </c>
      <c r="D19" s="117">
        <f ca="1">IFERROR(__xludf.DUMMYFUNCTION("""COMPUTED_VALUE"""),151)</f>
        <v>151</v>
      </c>
      <c r="E19" s="89" t="str">
        <f ca="1">IFERROR(__xludf.DUMMYFUNCTION("""COMPUTED_VALUE"""),"MXN")</f>
        <v>MXN</v>
      </c>
      <c r="F19" s="89" t="str">
        <f ca="1">IFERROR(__xludf.DUMMYFUNCTION("""COMPUTED_VALUE"""),"Carlos Ivan Gonzalez Merino")</f>
        <v>Carlos Ivan Gonzalez Merino</v>
      </c>
      <c r="G19" s="89" t="str">
        <f ca="1">IFERROR(__xludf.DUMMYFUNCTION("""COMPUTED_VALUE"""),"DLO*DIDI RIDES         MEXICO        MEX")</f>
        <v>DLO*DIDI RIDES         MEXICO        MEX</v>
      </c>
      <c r="H19" s="89" t="str">
        <f ca="1">IFERROR(__xludf.DUMMYFUNCTION("""COMPUTED_VALUE"""),"Didi Chuxing")</f>
        <v>Didi Chuxing</v>
      </c>
      <c r="I19" s="89" t="str">
        <f ca="1">IFERROR(__xludf.DUMMYFUNCTION("""COMPUTED_VALUE"""),"G&amp;A expenses")</f>
        <v>G&amp;A expenses</v>
      </c>
      <c r="J19" s="89" t="str">
        <f ca="1">IFERROR(__xludf.DUMMYFUNCTION("""COMPUTED_VALUE"""),"PO_2009 ASIPONA_TRASLADO")</f>
        <v>PO_2009 ASIPONA_TRASLADO</v>
      </c>
      <c r="K19" s="89"/>
      <c r="L19" s="17"/>
      <c r="M19" s="17"/>
      <c r="N19" s="17"/>
      <c r="O19" s="17"/>
    </row>
    <row r="20" spans="1:15" ht="12.5">
      <c r="A20" s="89" t="str">
        <f ca="1">IFERROR(__xludf.DUMMYFUNCTION("""COMPUTED_VALUE"""),"TRX1161")</f>
        <v>TRX1161</v>
      </c>
      <c r="B20" s="110" t="str">
        <f ca="1">IFERROR(__xludf.DUMMYFUNCTION("""COMPUTED_VALUE"""),"#56")</f>
        <v>#56</v>
      </c>
      <c r="C20" s="118">
        <f ca="1">IFERROR(__xludf.DUMMYFUNCTION("""COMPUTED_VALUE"""),46059.4166666666)</f>
        <v>46059.416666666599</v>
      </c>
      <c r="D20" s="117">
        <f ca="1">IFERROR(__xludf.DUMMYFUNCTION("""COMPUTED_VALUE"""),2639)</f>
        <v>2639</v>
      </c>
      <c r="E20" s="89" t="str">
        <f ca="1">IFERROR(__xludf.DUMMYFUNCTION("""COMPUTED_VALUE"""),"MXN")</f>
        <v>MXN</v>
      </c>
      <c r="F20" s="89" t="str">
        <f ca="1">IFERROR(__xludf.DUMMYFUNCTION("""COMPUTED_VALUE"""),"Carlos Ivan Gonzalez Merino")</f>
        <v>Carlos Ivan Gonzalez Merino</v>
      </c>
      <c r="G20" s="89" t="str">
        <f ca="1">IFERROR(__xludf.DUMMYFUNCTION("""COMPUTED_VALUE"""),"HOME DEPOT             VERACRUZ VER  MEX")</f>
        <v>HOME DEPOT             VERACRUZ VER  MEX</v>
      </c>
      <c r="H20" s="89" t="str">
        <f ca="1">IFERROR(__xludf.DUMMYFUNCTION("""COMPUTED_VALUE"""),"The Home Depot")</f>
        <v>The Home Depot</v>
      </c>
      <c r="I20" s="89" t="str">
        <f ca="1">IFERROR(__xludf.DUMMYFUNCTION("""COMPUTED_VALUE"""),"G&amp;A expenses")</f>
        <v>G&amp;A expenses</v>
      </c>
      <c r="J20" s="89" t="str">
        <f ca="1">IFERROR(__xludf.DUMMYFUNCTION("""COMPUTED_VALUE"""),"PO_2009 ASIPONA_COMIDA")</f>
        <v>PO_2009 ASIPONA_COMIDA</v>
      </c>
      <c r="K20" s="89"/>
      <c r="L20" s="17"/>
      <c r="M20" s="17"/>
      <c r="N20" s="17"/>
      <c r="O20" s="17"/>
    </row>
    <row r="21" spans="1:15" ht="12.5">
      <c r="A21" s="90" t="str">
        <f ca="1">IFERROR(__xludf.DUMMYFUNCTION("""COMPUTED_VALUE"""),"TRX1154")</f>
        <v>TRX1154</v>
      </c>
      <c r="B21" s="112" t="str">
        <f ca="1">IFERROR(__xludf.DUMMYFUNCTION("""COMPUTED_VALUE"""),"#56")</f>
        <v>#56</v>
      </c>
      <c r="C21" s="114">
        <f ca="1">IFERROR(__xludf.DUMMYFUNCTION("""COMPUTED_VALUE"""),46059.4173611111)</f>
        <v>46059.417361111096</v>
      </c>
      <c r="D21" s="113">
        <f ca="1">IFERROR(__xludf.DUMMYFUNCTION("""COMPUTED_VALUE"""),90)</f>
        <v>90</v>
      </c>
      <c r="E21" s="90" t="str">
        <f ca="1">IFERROR(__xludf.DUMMYFUNCTION("""COMPUTED_VALUE"""),"MXN")</f>
        <v>MXN</v>
      </c>
      <c r="F21" s="90" t="str">
        <f ca="1">IFERROR(__xludf.DUMMYFUNCTION("""COMPUTED_VALUE"""),"Carlos Ivan Gonzalez Merino")</f>
        <v>Carlos Ivan Gonzalez Merino</v>
      </c>
      <c r="G21" s="90" t="str">
        <f ca="1">IFERROR(__xludf.DUMMYFUNCTION("""COMPUTED_VALUE"""),"DLO*DIDI RIDES         MEXICO        MEX")</f>
        <v>DLO*DIDI RIDES         MEXICO        MEX</v>
      </c>
      <c r="H21" s="90" t="str">
        <f ca="1">IFERROR(__xludf.DUMMYFUNCTION("""COMPUTED_VALUE"""),"Didi Chuxing")</f>
        <v>Didi Chuxing</v>
      </c>
      <c r="I21" s="90" t="str">
        <f ca="1">IFERROR(__xludf.DUMMYFUNCTION("""COMPUTED_VALUE"""),"G&amp;A expenses")</f>
        <v>G&amp;A expenses</v>
      </c>
      <c r="J21" s="90" t="str">
        <f ca="1">IFERROR(__xludf.DUMMYFUNCTION("""COMPUTED_VALUE"""),"PO_2009 ASIPONA_TRASLADO")</f>
        <v>PO_2009 ASIPONA_TRASLADO</v>
      </c>
      <c r="K21" s="90"/>
      <c r="L21" s="17"/>
      <c r="M21" s="17"/>
      <c r="N21" s="17"/>
      <c r="O21" s="17"/>
    </row>
    <row r="22" spans="1:15" ht="12.5">
      <c r="A22" s="90" t="str">
        <f ca="1">IFERROR(__xludf.DUMMYFUNCTION("""COMPUTED_VALUE"""),"TRX1069")</f>
        <v>TRX1069</v>
      </c>
      <c r="B22" s="112" t="str">
        <f ca="1">IFERROR(__xludf.DUMMYFUNCTION("""COMPUTED_VALUE"""),"#56")</f>
        <v>#56</v>
      </c>
      <c r="C22" s="114">
        <f ca="1">IFERROR(__xludf.DUMMYFUNCTION("""COMPUTED_VALUE"""),46059.4173611111)</f>
        <v>46059.417361111096</v>
      </c>
      <c r="D22" s="113">
        <f ca="1">IFERROR(__xludf.DUMMYFUNCTION("""COMPUTED_VALUE"""),374)</f>
        <v>374</v>
      </c>
      <c r="E22" s="90" t="str">
        <f ca="1">IFERROR(__xludf.DUMMYFUNCTION("""COMPUTED_VALUE"""),"MXN")</f>
        <v>MXN</v>
      </c>
      <c r="F22" s="90" t="str">
        <f ca="1">IFERROR(__xludf.DUMMYFUNCTION("""COMPUTED_VALUE"""),"Carlos Ivan Gonzalez Merino")</f>
        <v>Carlos Ivan Gonzalez Merino</v>
      </c>
      <c r="G22" s="90" t="str">
        <f ca="1">IFERROR(__xludf.DUMMYFUNCTION("""COMPUTED_VALUE"""),"REST TACOS FE BOLIVAR  VERACRUZ VER  MEX")</f>
        <v>REST TACOS FE BOLIVAR  VERACRUZ VER  MEX</v>
      </c>
      <c r="H22" s="90" t="str">
        <f ca="1">IFERROR(__xludf.DUMMYFUNCTION("""COMPUTED_VALUE"""),"Rest Tacos Fe Bolivar Veracruz Ver Mex")</f>
        <v>Rest Tacos Fe Bolivar Veracruz Ver Mex</v>
      </c>
      <c r="I22" s="90" t="str">
        <f ca="1">IFERROR(__xludf.DUMMYFUNCTION("""COMPUTED_VALUE"""),"G&amp;A expenses")</f>
        <v>G&amp;A expenses</v>
      </c>
      <c r="J22" s="90" t="str">
        <f ca="1">IFERROR(__xludf.DUMMYFUNCTION("""COMPUTED_VALUE"""),"PO_2009 ASIPONA_COMIDA")</f>
        <v>PO_2009 ASIPONA_COMIDA</v>
      </c>
      <c r="K22" s="90"/>
      <c r="L22" s="17"/>
      <c r="M22" s="17"/>
      <c r="N22" s="17"/>
      <c r="O22" s="17"/>
    </row>
    <row r="23" spans="1:15" ht="12.5">
      <c r="A23" s="89" t="str">
        <f ca="1">IFERROR(__xludf.DUMMYFUNCTION("""COMPUTED_VALUE"""),"TRX1883")</f>
        <v>TRX1883</v>
      </c>
      <c r="B23" s="110" t="str">
        <f ca="1">IFERROR(__xludf.DUMMYFUNCTION("""COMPUTED_VALUE"""),"#56")</f>
        <v>#56</v>
      </c>
      <c r="C23" s="118">
        <f ca="1">IFERROR(__xludf.DUMMYFUNCTION("""COMPUTED_VALUE"""),46060.4166666666)</f>
        <v>46060.416666666599</v>
      </c>
      <c r="D23" s="117">
        <f ca="1">IFERROR(__xludf.DUMMYFUNCTION("""COMPUTED_VALUE"""),113)</f>
        <v>113</v>
      </c>
      <c r="E23" s="89" t="str">
        <f ca="1">IFERROR(__xludf.DUMMYFUNCTION("""COMPUTED_VALUE"""),"MXN")</f>
        <v>MXN</v>
      </c>
      <c r="F23" s="89" t="str">
        <f ca="1">IFERROR(__xludf.DUMMYFUNCTION("""COMPUTED_VALUE"""),"Carlos Ivan Gonzalez Merino")</f>
        <v>Carlos Ivan Gonzalez Merino</v>
      </c>
      <c r="G23" s="89" t="str">
        <f ca="1">IFERROR(__xludf.DUMMYFUNCTION("""COMPUTED_VALUE"""),"DLO*DIDI RIDES         MEXICO        MEX")</f>
        <v>DLO*DIDI RIDES         MEXICO        MEX</v>
      </c>
      <c r="H23" s="89" t="str">
        <f ca="1">IFERROR(__xludf.DUMMYFUNCTION("""COMPUTED_VALUE"""),"Didi Chuxing")</f>
        <v>Didi Chuxing</v>
      </c>
      <c r="I23" s="89" t="str">
        <f ca="1">IFERROR(__xludf.DUMMYFUNCTION("""COMPUTED_VALUE"""),"G&amp;A expenses")</f>
        <v>G&amp;A expenses</v>
      </c>
      <c r="J23" s="89" t="str">
        <f ca="1">IFERROR(__xludf.DUMMYFUNCTION("""COMPUTED_VALUE"""),"PO_2009 ASIPONA_TRASLADO")</f>
        <v>PO_2009 ASIPONA_TRASLADO</v>
      </c>
      <c r="K23" s="89"/>
      <c r="L23" s="17"/>
      <c r="M23" s="17"/>
      <c r="N23" s="17"/>
      <c r="O23" s="17"/>
    </row>
    <row r="24" spans="1:15" ht="12.5">
      <c r="A24" s="89" t="str">
        <f ca="1">IFERROR(__xludf.DUMMYFUNCTION("""COMPUTED_VALUE"""),"TRX1686")</f>
        <v>TRX1686</v>
      </c>
      <c r="B24" s="110" t="str">
        <f ca="1">IFERROR(__xludf.DUMMYFUNCTION("""COMPUTED_VALUE"""),"#56")</f>
        <v>#56</v>
      </c>
      <c r="C24" s="118">
        <f ca="1">IFERROR(__xludf.DUMMYFUNCTION("""COMPUTED_VALUE"""),46060.4173611111)</f>
        <v>46060.417361111096</v>
      </c>
      <c r="D24" s="117">
        <f ca="1">IFERROR(__xludf.DUMMYFUNCTION("""COMPUTED_VALUE"""),893)</f>
        <v>893</v>
      </c>
      <c r="E24" s="89" t="str">
        <f ca="1">IFERROR(__xludf.DUMMYFUNCTION("""COMPUTED_VALUE"""),"MXN")</f>
        <v>MXN</v>
      </c>
      <c r="F24" s="89" t="str">
        <f ca="1">IFERROR(__xludf.DUMMYFUNCTION("""COMPUTED_VALUE"""),"Carlos Ivan Gonzalez Merino")</f>
        <v>Carlos Ivan Gonzalez Merino</v>
      </c>
      <c r="G24" s="89" t="str">
        <f ca="1">IFERROR(__xludf.DUMMYFUNCTION("""COMPUTED_VALUE"""),"CAFE PARROQ VERACRUZ   VERACRUZ VER  MEX")</f>
        <v>CAFE PARROQ VERACRUZ   VERACRUZ VER  MEX</v>
      </c>
      <c r="H24" s="89" t="str">
        <f ca="1">IFERROR(__xludf.DUMMYFUNCTION("""COMPUTED_VALUE"""),"Cafe Parroq Veracruz Veracruz Ver Mex")</f>
        <v>Cafe Parroq Veracruz Veracruz Ver Mex</v>
      </c>
      <c r="I24" s="89" t="str">
        <f ca="1">IFERROR(__xludf.DUMMYFUNCTION("""COMPUTED_VALUE"""),"G&amp;A expenses")</f>
        <v>G&amp;A expenses</v>
      </c>
      <c r="J24" s="89" t="str">
        <f ca="1">IFERROR(__xludf.DUMMYFUNCTION("""COMPUTED_VALUE"""),"PO_2009 ASIPONA_COMIDA")</f>
        <v>PO_2009 ASIPONA_COMIDA</v>
      </c>
      <c r="K24" s="89"/>
      <c r="L24" s="17"/>
      <c r="M24" s="17"/>
      <c r="N24" s="17"/>
      <c r="O24" s="17"/>
    </row>
    <row r="25" spans="1:15" ht="12.5">
      <c r="A25" s="89" t="str">
        <f ca="1">IFERROR(__xludf.DUMMYFUNCTION("""COMPUTED_VALUE"""),"TRX1240")</f>
        <v>TRX1240</v>
      </c>
      <c r="B25" s="110" t="str">
        <f ca="1">IFERROR(__xludf.DUMMYFUNCTION("""COMPUTED_VALUE"""),"#56")</f>
        <v>#56</v>
      </c>
      <c r="C25" s="118">
        <f ca="1">IFERROR(__xludf.DUMMYFUNCTION("""COMPUTED_VALUE"""),46060.4173611111)</f>
        <v>46060.417361111096</v>
      </c>
      <c r="D25" s="117">
        <f ca="1">IFERROR(__xludf.DUMMYFUNCTION("""COMPUTED_VALUE"""),115)</f>
        <v>115</v>
      </c>
      <c r="E25" s="89" t="str">
        <f ca="1">IFERROR(__xludf.DUMMYFUNCTION("""COMPUTED_VALUE"""),"MXN")</f>
        <v>MXN</v>
      </c>
      <c r="F25" s="89" t="str">
        <f ca="1">IFERROR(__xludf.DUMMYFUNCTION("""COMPUTED_VALUE"""),"Carlos Ivan Gonzalez Merino")</f>
        <v>Carlos Ivan Gonzalez Merino</v>
      </c>
      <c r="G25" s="89" t="str">
        <f ca="1">IFERROR(__xludf.DUMMYFUNCTION("""COMPUTED_VALUE"""),"DLO*DIDI RIDES         MEXICO        MEX")</f>
        <v>DLO*DIDI RIDES         MEXICO        MEX</v>
      </c>
      <c r="H25" s="89" t="str">
        <f ca="1">IFERROR(__xludf.DUMMYFUNCTION("""COMPUTED_VALUE"""),"Didi Chuxing")</f>
        <v>Didi Chuxing</v>
      </c>
      <c r="I25" s="89" t="str">
        <f ca="1">IFERROR(__xludf.DUMMYFUNCTION("""COMPUTED_VALUE"""),"G&amp;A expenses")</f>
        <v>G&amp;A expenses</v>
      </c>
      <c r="J25" s="89" t="str">
        <f ca="1">IFERROR(__xludf.DUMMYFUNCTION("""COMPUTED_VALUE"""),"PO_2009 ASIPONA_TRASLADO")</f>
        <v>PO_2009 ASIPONA_TRASLADO</v>
      </c>
      <c r="K25" s="89"/>
      <c r="L25" s="17"/>
      <c r="M25" s="17"/>
      <c r="N25" s="17"/>
      <c r="O25" s="17"/>
    </row>
    <row r="26" spans="1:15" ht="12.5">
      <c r="A26" s="89" t="str">
        <f ca="1">IFERROR(__xludf.DUMMYFUNCTION("""COMPUTED_VALUE"""),"TRX1370")</f>
        <v>TRX1370</v>
      </c>
      <c r="B26" s="110" t="str">
        <f ca="1">IFERROR(__xludf.DUMMYFUNCTION("""COMPUTED_VALUE"""),"#56")</f>
        <v>#56</v>
      </c>
      <c r="C26" s="118">
        <f ca="1">IFERROR(__xludf.DUMMYFUNCTION("""COMPUTED_VALUE"""),46060.4173611111)</f>
        <v>46060.417361111096</v>
      </c>
      <c r="D26" s="117">
        <f ca="1">IFERROR(__xludf.DUMMYFUNCTION("""COMPUTED_VALUE"""),229.68)</f>
        <v>229.68</v>
      </c>
      <c r="E26" s="89" t="str">
        <f ca="1">IFERROR(__xludf.DUMMYFUNCTION("""COMPUTED_VALUE"""),"MXN")</f>
        <v>MXN</v>
      </c>
      <c r="F26" s="89" t="str">
        <f ca="1">IFERROR(__xludf.DUMMYFUNCTION("""COMPUTED_VALUE"""),"Carlos Ivan Gonzalez Merino")</f>
        <v>Carlos Ivan Gonzalez Merino</v>
      </c>
      <c r="G26" s="89" t="str">
        <f ca="1">IFERROR(__xludf.DUMMYFUNCTION("""COMPUTED_VALUE"""),"D LOCAL*REST DIDIFOOD  CIUDAD DE MEX MEX")</f>
        <v>D LOCAL*REST DIDIFOOD  CIUDAD DE MEX MEX</v>
      </c>
      <c r="H26" s="89" t="str">
        <f ca="1">IFERROR(__xludf.DUMMYFUNCTION("""COMPUTED_VALUE"""),"D Local Rest Didifood Ciudad De Mex Mex")</f>
        <v>D Local Rest Didifood Ciudad De Mex Mex</v>
      </c>
      <c r="I26" s="89" t="str">
        <f ca="1">IFERROR(__xludf.DUMMYFUNCTION("""COMPUTED_VALUE"""),"G&amp;A expenses")</f>
        <v>G&amp;A expenses</v>
      </c>
      <c r="J26" s="89" t="str">
        <f ca="1">IFERROR(__xludf.DUMMYFUNCTION("""COMPUTED_VALUE"""),"PO_2009 ASIPONA_COMIDA")</f>
        <v>PO_2009 ASIPONA_COMIDA</v>
      </c>
      <c r="K26" s="89"/>
      <c r="L26" s="17"/>
      <c r="M26" s="17"/>
      <c r="N26" s="17"/>
      <c r="O26" s="17"/>
    </row>
    <row r="27" spans="1:15" ht="12.5">
      <c r="A27" s="89" t="str">
        <f ca="1">IFERROR(__xludf.DUMMYFUNCTION("""COMPUTED_VALUE"""),"TRX1113")</f>
        <v>TRX1113</v>
      </c>
      <c r="B27" s="110" t="str">
        <f ca="1">IFERROR(__xludf.DUMMYFUNCTION("""COMPUTED_VALUE"""),"#56")</f>
        <v>#56</v>
      </c>
      <c r="C27" s="118">
        <f ca="1">IFERROR(__xludf.DUMMYFUNCTION("""COMPUTED_VALUE"""),46062.4166666666)</f>
        <v>46062.416666666599</v>
      </c>
      <c r="D27" s="117">
        <f ca="1">IFERROR(__xludf.DUMMYFUNCTION("""COMPUTED_VALUE"""),292.17)</f>
        <v>292.17</v>
      </c>
      <c r="E27" s="89" t="str">
        <f ca="1">IFERROR(__xludf.DUMMYFUNCTION("""COMPUTED_VALUE"""),"MXN")</f>
        <v>MXN</v>
      </c>
      <c r="F27" s="89" t="str">
        <f ca="1">IFERROR(__xludf.DUMMYFUNCTION("""COMPUTED_VALUE"""),"Carlos Ivan Gonzalez Merino")</f>
        <v>Carlos Ivan Gonzalez Merino</v>
      </c>
      <c r="G27" s="89" t="str">
        <f ca="1">IFERROR(__xludf.DUMMYFUNCTION("""COMPUTED_VALUE"""),"UBER * EATS PENDING    CMX           MEX")</f>
        <v>UBER * EATS PENDING    CMX           MEX</v>
      </c>
      <c r="H27" s="89" t="str">
        <f ca="1">IFERROR(__xludf.DUMMYFUNCTION("""COMPUTED_VALUE"""),"Uber Eats")</f>
        <v>Uber Eats</v>
      </c>
      <c r="I27" s="89" t="str">
        <f ca="1">IFERROR(__xludf.DUMMYFUNCTION("""COMPUTED_VALUE"""),"G&amp;A expenses")</f>
        <v>G&amp;A expenses</v>
      </c>
      <c r="J27" s="89" t="str">
        <f ca="1">IFERROR(__xludf.DUMMYFUNCTION("""COMPUTED_VALUE"""),"PO_2009 ASIPONA_COMIDA")</f>
        <v>PO_2009 ASIPONA_COMIDA</v>
      </c>
      <c r="K27" s="89"/>
      <c r="L27" s="17"/>
      <c r="M27" s="17"/>
      <c r="N27" s="17"/>
      <c r="O27" s="17"/>
    </row>
    <row r="28" spans="1:15" ht="12.5">
      <c r="A28" s="89" t="str">
        <f ca="1">IFERROR(__xludf.DUMMYFUNCTION("""COMPUTED_VALUE"""),"TRX1505")</f>
        <v>TRX1505</v>
      </c>
      <c r="B28" s="110" t="str">
        <f ca="1">IFERROR(__xludf.DUMMYFUNCTION("""COMPUTED_VALUE"""),"#56")</f>
        <v>#56</v>
      </c>
      <c r="C28" s="118">
        <f ca="1">IFERROR(__xludf.DUMMYFUNCTION("""COMPUTED_VALUE"""),46062.4166666666)</f>
        <v>46062.416666666599</v>
      </c>
      <c r="D28" s="117">
        <f ca="1">IFERROR(__xludf.DUMMYFUNCTION("""COMPUTED_VALUE"""),120)</f>
        <v>120</v>
      </c>
      <c r="E28" s="89" t="str">
        <f ca="1">IFERROR(__xludf.DUMMYFUNCTION("""COMPUTED_VALUE"""),"MXN")</f>
        <v>MXN</v>
      </c>
      <c r="F28" s="89" t="str">
        <f ca="1">IFERROR(__xludf.DUMMYFUNCTION("""COMPUTED_VALUE"""),"Carlos Ivan Gonzalez Merino")</f>
        <v>Carlos Ivan Gonzalez Merino</v>
      </c>
      <c r="G28" s="89" t="str">
        <f ca="1">IFERROR(__xludf.DUMMYFUNCTION("""COMPUTED_VALUE"""),"DLO*DIDI RIDES         MEXICO        MEX")</f>
        <v>DLO*DIDI RIDES         MEXICO        MEX</v>
      </c>
      <c r="H28" s="89" t="str">
        <f ca="1">IFERROR(__xludf.DUMMYFUNCTION("""COMPUTED_VALUE"""),"Didi Chuxing")</f>
        <v>Didi Chuxing</v>
      </c>
      <c r="I28" s="89" t="str">
        <f ca="1">IFERROR(__xludf.DUMMYFUNCTION("""COMPUTED_VALUE"""),"G&amp;A expenses")</f>
        <v>G&amp;A expenses</v>
      </c>
      <c r="J28" s="89" t="str">
        <f ca="1">IFERROR(__xludf.DUMMYFUNCTION("""COMPUTED_VALUE"""),"PO_2009 ASIPONA_TRASLADO")</f>
        <v>PO_2009 ASIPONA_TRASLADO</v>
      </c>
      <c r="K28" s="89"/>
      <c r="L28" s="17"/>
      <c r="M28" s="17"/>
      <c r="N28" s="17"/>
      <c r="O28" s="17"/>
    </row>
    <row r="29" spans="1:15" ht="12.5">
      <c r="A29" s="90" t="str">
        <f ca="1">IFERROR(__xludf.DUMMYFUNCTION("""COMPUTED_VALUE"""),"TRX1395")</f>
        <v>TRX1395</v>
      </c>
      <c r="B29" s="112" t="str">
        <f ca="1">IFERROR(__xludf.DUMMYFUNCTION("""COMPUTED_VALUE"""),"#56")</f>
        <v>#56</v>
      </c>
      <c r="C29" s="114">
        <f ca="1">IFERROR(__xludf.DUMMYFUNCTION("""COMPUTED_VALUE"""),46063.4166666666)</f>
        <v>46063.416666666599</v>
      </c>
      <c r="D29" s="113">
        <f ca="1">IFERROR(__xludf.DUMMYFUNCTION("""COMPUTED_VALUE"""),139.2)</f>
        <v>139.19999999999999</v>
      </c>
      <c r="E29" s="90" t="str">
        <f ca="1">IFERROR(__xludf.DUMMYFUNCTION("""COMPUTED_VALUE"""),"MXN")</f>
        <v>MXN</v>
      </c>
      <c r="F29" s="90" t="str">
        <f ca="1">IFERROR(__xludf.DUMMYFUNCTION("""COMPUTED_VALUE"""),"Carlos Ivan Gonzalez Merino")</f>
        <v>Carlos Ivan Gonzalez Merino</v>
      </c>
      <c r="G29" s="90" t="str">
        <f ca="1">IFERROR(__xludf.DUMMYFUNCTION("""COMPUTED_VALUE"""),"ODM ORIZABA            ORIZABA VER   MEX")</f>
        <v>ODM ORIZABA            ORIZABA VER   MEX</v>
      </c>
      <c r="H29" s="90" t="str">
        <f ca="1">IFERROR(__xludf.DUMMYFUNCTION("""COMPUTED_VALUE"""),"Odm Orizaba Orizaba Ver Mex")</f>
        <v>Odm Orizaba Orizaba Ver Mex</v>
      </c>
      <c r="I29" s="90" t="str">
        <f ca="1">IFERROR(__xludf.DUMMYFUNCTION("""COMPUTED_VALUE"""),"G&amp;A expenses")</f>
        <v>G&amp;A expenses</v>
      </c>
      <c r="J29" s="90" t="str">
        <f ca="1">IFERROR(__xludf.DUMMYFUNCTION("""COMPUTED_VALUE"""),"PO_2009 ASIPONA_COMIDA")</f>
        <v>PO_2009 ASIPONA_COMIDA</v>
      </c>
      <c r="K29" s="90"/>
      <c r="L29" s="17"/>
      <c r="M29" s="17"/>
      <c r="N29" s="17"/>
      <c r="O29" s="17"/>
    </row>
    <row r="30" spans="1:15" ht="12.5">
      <c r="A30" s="89" t="str">
        <f ca="1">IFERROR(__xludf.DUMMYFUNCTION("""COMPUTED_VALUE"""),"TRX1601")</f>
        <v>TRX1601</v>
      </c>
      <c r="B30" s="110" t="str">
        <f ca="1">IFERROR(__xludf.DUMMYFUNCTION("""COMPUTED_VALUE"""),"#56")</f>
        <v>#56</v>
      </c>
      <c r="C30" s="118">
        <f ca="1">IFERROR(__xludf.DUMMYFUNCTION("""COMPUTED_VALUE"""),46063.4166666666)</f>
        <v>46063.416666666599</v>
      </c>
      <c r="D30" s="117">
        <f ca="1">IFERROR(__xludf.DUMMYFUNCTION("""COMPUTED_VALUE"""),282.27)</f>
        <v>282.27</v>
      </c>
      <c r="E30" s="89" t="str">
        <f ca="1">IFERROR(__xludf.DUMMYFUNCTION("""COMPUTED_VALUE"""),"MXN")</f>
        <v>MXN</v>
      </c>
      <c r="F30" s="89" t="str">
        <f ca="1">IFERROR(__xludf.DUMMYFUNCTION("""COMPUTED_VALUE"""),"Carlos Ivan Gonzalez Merino")</f>
        <v>Carlos Ivan Gonzalez Merino</v>
      </c>
      <c r="G30" s="89" t="str">
        <f ca="1">IFERROR(__xludf.DUMMYFUNCTION("""COMPUTED_VALUE"""),"D LOCAL*REST DIDIFOOD  CIUDAD DE MEX MEX")</f>
        <v>D LOCAL*REST DIDIFOOD  CIUDAD DE MEX MEX</v>
      </c>
      <c r="H30" s="89" t="str">
        <f ca="1">IFERROR(__xludf.DUMMYFUNCTION("""COMPUTED_VALUE"""),"D Local Rest Didifood Ciudad De Mex Mex")</f>
        <v>D Local Rest Didifood Ciudad De Mex Mex</v>
      </c>
      <c r="I30" s="89" t="str">
        <f ca="1">IFERROR(__xludf.DUMMYFUNCTION("""COMPUTED_VALUE"""),"G&amp;A expenses")</f>
        <v>G&amp;A expenses</v>
      </c>
      <c r="J30" s="89" t="str">
        <f ca="1">IFERROR(__xludf.DUMMYFUNCTION("""COMPUTED_VALUE"""),"PO_2009 ASIPONA_COMIDA")</f>
        <v>PO_2009 ASIPONA_COMIDA</v>
      </c>
      <c r="K30" s="89"/>
      <c r="L30" s="17"/>
      <c r="M30" s="17"/>
      <c r="N30" s="17"/>
      <c r="O30" s="17"/>
    </row>
    <row r="31" spans="1:15" ht="12.5">
      <c r="A31" s="89" t="str">
        <f ca="1">IFERROR(__xludf.DUMMYFUNCTION("""COMPUTED_VALUE"""),"TRX1126")</f>
        <v>TRX1126</v>
      </c>
      <c r="B31" s="110" t="str">
        <f ca="1">IFERROR(__xludf.DUMMYFUNCTION("""COMPUTED_VALUE"""),"#56")</f>
        <v>#56</v>
      </c>
      <c r="C31" s="118">
        <f ca="1">IFERROR(__xludf.DUMMYFUNCTION("""COMPUTED_VALUE"""),46064.4166666666)</f>
        <v>46064.416666666599</v>
      </c>
      <c r="D31" s="117">
        <f ca="1">IFERROR(__xludf.DUMMYFUNCTION("""COMPUTED_VALUE"""),111)</f>
        <v>111</v>
      </c>
      <c r="E31" s="89" t="str">
        <f ca="1">IFERROR(__xludf.DUMMYFUNCTION("""COMPUTED_VALUE"""),"MXN")</f>
        <v>MXN</v>
      </c>
      <c r="F31" s="89" t="str">
        <f ca="1">IFERROR(__xludf.DUMMYFUNCTION("""COMPUTED_VALUE"""),"Carlos Ivan Gonzalez Merino")</f>
        <v>Carlos Ivan Gonzalez Merino</v>
      </c>
      <c r="G31" s="89" t="str">
        <f ca="1">IFERROR(__xludf.DUMMYFUNCTION("""COMPUTED_VALUE"""),"DLO*DIDI RIDES         MEXICO        MEX")</f>
        <v>DLO*DIDI RIDES         MEXICO        MEX</v>
      </c>
      <c r="H31" s="89" t="str">
        <f ca="1">IFERROR(__xludf.DUMMYFUNCTION("""COMPUTED_VALUE"""),"Didi Chuxing")</f>
        <v>Didi Chuxing</v>
      </c>
      <c r="I31" s="89" t="str">
        <f ca="1">IFERROR(__xludf.DUMMYFUNCTION("""COMPUTED_VALUE"""),"G&amp;A expenses")</f>
        <v>G&amp;A expenses</v>
      </c>
      <c r="J31" s="89" t="str">
        <f ca="1">IFERROR(__xludf.DUMMYFUNCTION("""COMPUTED_VALUE"""),"PO_2009 ASIPONA_TRASLADO")</f>
        <v>PO_2009 ASIPONA_TRASLADO</v>
      </c>
      <c r="K31" s="89"/>
      <c r="L31" s="17"/>
      <c r="M31" s="17"/>
      <c r="N31" s="17"/>
      <c r="O31" s="17"/>
    </row>
    <row r="32" spans="1:15" ht="12.5">
      <c r="A32" s="89" t="str">
        <f ca="1">IFERROR(__xludf.DUMMYFUNCTION("""COMPUTED_VALUE"""),"TRX1880")</f>
        <v>TRX1880</v>
      </c>
      <c r="B32" s="110" t="str">
        <f ca="1">IFERROR(__xludf.DUMMYFUNCTION("""COMPUTED_VALUE"""),"#56")</f>
        <v>#56</v>
      </c>
      <c r="C32" s="118">
        <f ca="1">IFERROR(__xludf.DUMMYFUNCTION("""COMPUTED_VALUE"""),46064.4166666666)</f>
        <v>46064.416666666599</v>
      </c>
      <c r="D32" s="117">
        <f ca="1">IFERROR(__xludf.DUMMYFUNCTION("""COMPUTED_VALUE"""),259)</f>
        <v>259</v>
      </c>
      <c r="E32" s="89" t="str">
        <f ca="1">IFERROR(__xludf.DUMMYFUNCTION("""COMPUTED_VALUE"""),"MXN")</f>
        <v>MXN</v>
      </c>
      <c r="F32" s="89" t="str">
        <f ca="1">IFERROR(__xludf.DUMMYFUNCTION("""COMPUTED_VALUE"""),"Carlos Ivan Gonzalez Merino")</f>
        <v>Carlos Ivan Gonzalez Merino</v>
      </c>
      <c r="G32" s="89" t="str">
        <f ca="1">IFERROR(__xludf.DUMMYFUNCTION("""COMPUTED_VALUE"""),"REST GRAN CAFE DE LA P VERACRUZ VER  MEX")</f>
        <v>REST GRAN CAFE DE LA P VERACRUZ VER  MEX</v>
      </c>
      <c r="H32" s="89" t="str">
        <f ca="1">IFERROR(__xludf.DUMMYFUNCTION("""COMPUTED_VALUE"""),"Rest Gran Cafe De La P Veracruz Ver Mex")</f>
        <v>Rest Gran Cafe De La P Veracruz Ver Mex</v>
      </c>
      <c r="I32" s="89" t="str">
        <f ca="1">IFERROR(__xludf.DUMMYFUNCTION("""COMPUTED_VALUE"""),"G&amp;A expenses")</f>
        <v>G&amp;A expenses</v>
      </c>
      <c r="J32" s="89" t="str">
        <f ca="1">IFERROR(__xludf.DUMMYFUNCTION("""COMPUTED_VALUE"""),"PO_2009 ASIPONA_COMIDA")</f>
        <v>PO_2009 ASIPONA_COMIDA</v>
      </c>
      <c r="K32" s="89"/>
      <c r="L32" s="17"/>
      <c r="M32" s="17"/>
      <c r="N32" s="17"/>
      <c r="O32" s="17"/>
    </row>
    <row r="33" spans="1:15" ht="12.5">
      <c r="A33" s="89" t="str">
        <f ca="1">IFERROR(__xludf.DUMMYFUNCTION("""COMPUTED_VALUE"""),"TRX1910")</f>
        <v>TRX1910</v>
      </c>
      <c r="B33" s="110" t="str">
        <f ca="1">IFERROR(__xludf.DUMMYFUNCTION("""COMPUTED_VALUE"""),"#56")</f>
        <v>#56</v>
      </c>
      <c r="C33" s="118">
        <f ca="1">IFERROR(__xludf.DUMMYFUNCTION("""COMPUTED_VALUE"""),46064.4166666666)</f>
        <v>46064.416666666599</v>
      </c>
      <c r="D33" s="117">
        <f ca="1">IFERROR(__xludf.DUMMYFUNCTION("""COMPUTED_VALUE"""),74)</f>
        <v>74</v>
      </c>
      <c r="E33" s="89" t="str">
        <f ca="1">IFERROR(__xludf.DUMMYFUNCTION("""COMPUTED_VALUE"""),"MXN")</f>
        <v>MXN</v>
      </c>
      <c r="F33" s="89" t="str">
        <f ca="1">IFERROR(__xludf.DUMMYFUNCTION("""COMPUTED_VALUE"""),"Carlos Ivan Gonzalez Merino")</f>
        <v>Carlos Ivan Gonzalez Merino</v>
      </c>
      <c r="G33" s="89" t="str">
        <f ca="1">IFERROR(__xludf.DUMMYFUNCTION("""COMPUTED_VALUE"""),"DLO*DIDI RIDES         MEXICO        MEX")</f>
        <v>DLO*DIDI RIDES         MEXICO        MEX</v>
      </c>
      <c r="H33" s="89" t="str">
        <f ca="1">IFERROR(__xludf.DUMMYFUNCTION("""COMPUTED_VALUE"""),"Didi Chuxing")</f>
        <v>Didi Chuxing</v>
      </c>
      <c r="I33" s="89" t="str">
        <f ca="1">IFERROR(__xludf.DUMMYFUNCTION("""COMPUTED_VALUE"""),"G&amp;A expenses")</f>
        <v>G&amp;A expenses</v>
      </c>
      <c r="J33" s="89" t="str">
        <f ca="1">IFERROR(__xludf.DUMMYFUNCTION("""COMPUTED_VALUE"""),"PO_2009 ASIPONA_TRASLADO")</f>
        <v>PO_2009 ASIPONA_TRASLADO</v>
      </c>
      <c r="K33" s="89"/>
      <c r="L33" s="17"/>
      <c r="M33" s="17"/>
      <c r="N33" s="17"/>
      <c r="O33" s="17"/>
    </row>
    <row r="34" spans="1:15" ht="12.5">
      <c r="A34" s="89" t="str">
        <f ca="1">IFERROR(__xludf.DUMMYFUNCTION("""COMPUTED_VALUE"""),"TRX1492")</f>
        <v>TRX1492</v>
      </c>
      <c r="B34" s="110" t="str">
        <f ca="1">IFERROR(__xludf.DUMMYFUNCTION("""COMPUTED_VALUE"""),"#56")</f>
        <v>#56</v>
      </c>
      <c r="C34" s="118">
        <f ca="1">IFERROR(__xludf.DUMMYFUNCTION("""COMPUTED_VALUE"""),46065.4166666666)</f>
        <v>46065.416666666599</v>
      </c>
      <c r="D34" s="117">
        <f ca="1">IFERROR(__xludf.DUMMYFUNCTION("""COMPUTED_VALUE"""),309.93)</f>
        <v>309.93</v>
      </c>
      <c r="E34" s="89" t="str">
        <f ca="1">IFERROR(__xludf.DUMMYFUNCTION("""COMPUTED_VALUE"""),"MXN")</f>
        <v>MXN</v>
      </c>
      <c r="F34" s="89" t="str">
        <f ca="1">IFERROR(__xludf.DUMMYFUNCTION("""COMPUTED_VALUE"""),"Carlos Ivan Gonzalez Merino")</f>
        <v>Carlos Ivan Gonzalez Merino</v>
      </c>
      <c r="G34" s="89" t="str">
        <f ca="1">IFERROR(__xludf.DUMMYFUNCTION("""COMPUTED_VALUE"""),"UBER * PENDING         CMX           MEX")</f>
        <v>UBER * PENDING         CMX           MEX</v>
      </c>
      <c r="H34" s="89" t="str">
        <f ca="1">IFERROR(__xludf.DUMMYFUNCTION("""COMPUTED_VALUE"""),"Uber")</f>
        <v>Uber</v>
      </c>
      <c r="I34" s="89" t="str">
        <f ca="1">IFERROR(__xludf.DUMMYFUNCTION("""COMPUTED_VALUE"""),"G&amp;A expenses")</f>
        <v>G&amp;A expenses</v>
      </c>
      <c r="J34" s="89" t="str">
        <f ca="1">IFERROR(__xludf.DUMMYFUNCTION("""COMPUTED_VALUE"""),"PO_2009 ASIPONA_TRASLADO")</f>
        <v>PO_2009 ASIPONA_TRASLADO</v>
      </c>
      <c r="K34" s="89"/>
      <c r="L34" s="17"/>
      <c r="M34" s="17"/>
      <c r="N34" s="17"/>
      <c r="O34" s="17"/>
    </row>
    <row r="35" spans="1:15" ht="12.5">
      <c r="A35" s="90" t="str">
        <f ca="1">IFERROR(__xludf.DUMMYFUNCTION("""COMPUTED_VALUE"""),"TRX1244")</f>
        <v>TRX1244</v>
      </c>
      <c r="B35" s="112" t="str">
        <f ca="1">IFERROR(__xludf.DUMMYFUNCTION("""COMPUTED_VALUE"""),"#56")</f>
        <v>#56</v>
      </c>
      <c r="C35" s="114">
        <f ca="1">IFERROR(__xludf.DUMMYFUNCTION("""COMPUTED_VALUE"""),46065.4173611111)</f>
        <v>46065.417361111096</v>
      </c>
      <c r="D35" s="113">
        <f ca="1">IFERROR(__xludf.DUMMYFUNCTION("""COMPUTED_VALUE"""),104)</f>
        <v>104</v>
      </c>
      <c r="E35" s="90" t="str">
        <f ca="1">IFERROR(__xludf.DUMMYFUNCTION("""COMPUTED_VALUE"""),"MXN")</f>
        <v>MXN</v>
      </c>
      <c r="F35" s="90" t="str">
        <f ca="1">IFERROR(__xludf.DUMMYFUNCTION("""COMPUTED_VALUE"""),"Carlos Ivan Gonzalez Merino")</f>
        <v>Carlos Ivan Gonzalez Merino</v>
      </c>
      <c r="G35" s="90" t="str">
        <f ca="1">IFERROR(__xludf.DUMMYFUNCTION("""COMPUTED_VALUE"""),"DLO*DIDI RIDES         MEXICO        MEX")</f>
        <v>DLO*DIDI RIDES         MEXICO        MEX</v>
      </c>
      <c r="H35" s="90" t="str">
        <f ca="1">IFERROR(__xludf.DUMMYFUNCTION("""COMPUTED_VALUE"""),"Didi Chuxing")</f>
        <v>Didi Chuxing</v>
      </c>
      <c r="I35" s="90" t="str">
        <f ca="1">IFERROR(__xludf.DUMMYFUNCTION("""COMPUTED_VALUE"""),"G&amp;A expenses")</f>
        <v>G&amp;A expenses</v>
      </c>
      <c r="J35" s="90" t="str">
        <f ca="1">IFERROR(__xludf.DUMMYFUNCTION("""COMPUTED_VALUE"""),"PO_2009 ASIPONA_TRASLADO")</f>
        <v>PO_2009 ASIPONA_TRASLADO</v>
      </c>
      <c r="K35" s="90"/>
      <c r="L35" s="17"/>
      <c r="M35" s="17"/>
      <c r="N35" s="17"/>
      <c r="O35" s="17"/>
    </row>
    <row r="36" spans="1:15" ht="12.5">
      <c r="A36" s="89" t="str">
        <f ca="1">IFERROR(__xludf.DUMMYFUNCTION("""COMPUTED_VALUE"""),"TRX1316")</f>
        <v>TRX1316</v>
      </c>
      <c r="B36" s="110" t="str">
        <f ca="1">IFERROR(__xludf.DUMMYFUNCTION("""COMPUTED_VALUE"""),"#56")</f>
        <v>#56</v>
      </c>
      <c r="C36" s="118">
        <f ca="1">IFERROR(__xludf.DUMMYFUNCTION("""COMPUTED_VALUE"""),46065.4173611111)</f>
        <v>46065.417361111096</v>
      </c>
      <c r="D36" s="117">
        <f ca="1">IFERROR(__xludf.DUMMYFUNCTION("""COMPUTED_VALUE"""),1413.5)</f>
        <v>1413.5</v>
      </c>
      <c r="E36" s="89" t="str">
        <f ca="1">IFERROR(__xludf.DUMMYFUNCTION("""COMPUTED_VALUE"""),"MXN")</f>
        <v>MXN</v>
      </c>
      <c r="F36" s="89" t="str">
        <f ca="1">IFERROR(__xludf.DUMMYFUNCTION("""COMPUTED_VALUE"""),"Carlos Ivan Gonzalez Merino")</f>
        <v>Carlos Ivan Gonzalez Merino</v>
      </c>
      <c r="G36" s="89" t="str">
        <f ca="1">IFERROR(__xludf.DUMMYFUNCTION("""COMPUTED_VALUE"""),"GRAN CAFE DE LA PARROQ VERACRUZ VER  MEX")</f>
        <v>GRAN CAFE DE LA PARROQ VERACRUZ VER  MEX</v>
      </c>
      <c r="H36" s="89" t="str">
        <f ca="1">IFERROR(__xludf.DUMMYFUNCTION("""COMPUTED_VALUE"""),"Gran Cafe De La Parroq Veracruz Ver Mex")</f>
        <v>Gran Cafe De La Parroq Veracruz Ver Mex</v>
      </c>
      <c r="I36" s="89" t="str">
        <f ca="1">IFERROR(__xludf.DUMMYFUNCTION("""COMPUTED_VALUE"""),"G&amp;A expenses")</f>
        <v>G&amp;A expenses</v>
      </c>
      <c r="J36" s="89" t="str">
        <f ca="1">IFERROR(__xludf.DUMMYFUNCTION("""COMPUTED_VALUE"""),"PO_2009 ASIPONA_COMIDA")</f>
        <v>PO_2009 ASIPONA_COMIDA</v>
      </c>
      <c r="K36" s="89"/>
      <c r="L36" s="17"/>
      <c r="M36" s="17"/>
      <c r="N36" s="17"/>
      <c r="O36" s="17"/>
    </row>
    <row r="37" spans="1:15" ht="12.5">
      <c r="A37" s="89" t="str">
        <f ca="1">IFERROR(__xludf.DUMMYFUNCTION("""COMPUTED_VALUE"""),"TRX1264")</f>
        <v>TRX1264</v>
      </c>
      <c r="B37" s="110" t="str">
        <f ca="1">IFERROR(__xludf.DUMMYFUNCTION("""COMPUTED_VALUE"""),"#56")</f>
        <v>#56</v>
      </c>
      <c r="C37" s="118">
        <f ca="1">IFERROR(__xludf.DUMMYFUNCTION("""COMPUTED_VALUE"""),46065.4173611111)</f>
        <v>46065.417361111096</v>
      </c>
      <c r="D37" s="117">
        <f ca="1">IFERROR(__xludf.DUMMYFUNCTION("""COMPUTED_VALUE"""),110)</f>
        <v>110</v>
      </c>
      <c r="E37" s="89" t="str">
        <f ca="1">IFERROR(__xludf.DUMMYFUNCTION("""COMPUTED_VALUE"""),"MXN")</f>
        <v>MXN</v>
      </c>
      <c r="F37" s="89" t="str">
        <f ca="1">IFERROR(__xludf.DUMMYFUNCTION("""COMPUTED_VALUE"""),"Carlos Ivan Gonzalez Merino")</f>
        <v>Carlos Ivan Gonzalez Merino</v>
      </c>
      <c r="G37" s="89" t="str">
        <f ca="1">IFERROR(__xludf.DUMMYFUNCTION("""COMPUTED_VALUE"""),"DLO*DIDI RIDES         MEXICO        MEX")</f>
        <v>DLO*DIDI RIDES         MEXICO        MEX</v>
      </c>
      <c r="H37" s="89" t="str">
        <f ca="1">IFERROR(__xludf.DUMMYFUNCTION("""COMPUTED_VALUE"""),"Didi Chuxing")</f>
        <v>Didi Chuxing</v>
      </c>
      <c r="I37" s="89" t="str">
        <f ca="1">IFERROR(__xludf.DUMMYFUNCTION("""COMPUTED_VALUE"""),"G&amp;A expenses")</f>
        <v>G&amp;A expenses</v>
      </c>
      <c r="J37" s="89" t="str">
        <f ca="1">IFERROR(__xludf.DUMMYFUNCTION("""COMPUTED_VALUE"""),"PO_2009 ASIPONA_TRASLADO")</f>
        <v>PO_2009 ASIPONA_TRASLADO</v>
      </c>
      <c r="K37" s="89"/>
      <c r="L37" s="17"/>
      <c r="M37" s="17"/>
      <c r="N37" s="17"/>
      <c r="O37" s="17"/>
    </row>
    <row r="38" spans="1:15" ht="12.5">
      <c r="A38" s="89" t="str">
        <f ca="1">IFERROR(__xludf.DUMMYFUNCTION("""COMPUTED_VALUE"""),"TRX1033")</f>
        <v>TRX1033</v>
      </c>
      <c r="B38" s="110" t="str">
        <f ca="1">IFERROR(__xludf.DUMMYFUNCTION("""COMPUTED_VALUE"""),"#56")</f>
        <v>#56</v>
      </c>
      <c r="C38" s="118">
        <f ca="1">IFERROR(__xludf.DUMMYFUNCTION("""COMPUTED_VALUE"""),46066.4173611111)</f>
        <v>46066.417361111096</v>
      </c>
      <c r="D38" s="117">
        <f ca="1">IFERROR(__xludf.DUMMYFUNCTION("""COMPUTED_VALUE"""),3599)</f>
        <v>3599</v>
      </c>
      <c r="E38" s="89" t="str">
        <f ca="1">IFERROR(__xludf.DUMMYFUNCTION("""COMPUTED_VALUE"""),"MXN")</f>
        <v>MXN</v>
      </c>
      <c r="F38" s="89" t="str">
        <f ca="1">IFERROR(__xludf.DUMMYFUNCTION("""COMPUTED_VALUE"""),"Carlos Ivan Gonzalez Merino")</f>
        <v>Carlos Ivan Gonzalez Merino</v>
      </c>
      <c r="G38" s="89" t="str">
        <f ca="1">IFERROR(__xludf.DUMMYFUNCTION("""COMPUTED_VALUE"""),"HOME DEPOT I           SN PEDRO GARZ MEX")</f>
        <v>HOME DEPOT I           SN PEDRO GARZ MEX</v>
      </c>
      <c r="H38" s="89" t="str">
        <f ca="1">IFERROR(__xludf.DUMMYFUNCTION("""COMPUTED_VALUE"""),"The Home Depot")</f>
        <v>The Home Depot</v>
      </c>
      <c r="I38" s="89" t="str">
        <f ca="1">IFERROR(__xludf.DUMMYFUNCTION("""COMPUTED_VALUE"""),"G&amp;A expenses")</f>
        <v>G&amp;A expenses</v>
      </c>
      <c r="J38" s="89" t="str">
        <f ca="1">IFERROR(__xludf.DUMMYFUNCTION("""COMPUTED_VALUE"""),"PO_2009 ASIPONA_LUMINARIA")</f>
        <v>PO_2009 ASIPONA_LUMINARIA</v>
      </c>
      <c r="K38" s="89"/>
      <c r="L38" s="17"/>
      <c r="M38" s="17"/>
      <c r="N38" s="17"/>
      <c r="O38" s="17"/>
    </row>
    <row r="39" spans="1:15" ht="12.5">
      <c r="A39" s="90" t="str">
        <f ca="1">IFERROR(__xludf.DUMMYFUNCTION("""COMPUTED_VALUE"""),"TRX1623")</f>
        <v>TRX1623</v>
      </c>
      <c r="B39" s="112" t="str">
        <f ca="1">IFERROR(__xludf.DUMMYFUNCTION("""COMPUTED_VALUE"""),"#56")</f>
        <v>#56</v>
      </c>
      <c r="C39" s="114">
        <f ca="1">IFERROR(__xludf.DUMMYFUNCTION("""COMPUTED_VALUE"""),46066.4173611111)</f>
        <v>46066.417361111096</v>
      </c>
      <c r="D39" s="113">
        <f ca="1">IFERROR(__xludf.DUMMYFUNCTION("""COMPUTED_VALUE"""),362.83)</f>
        <v>362.83</v>
      </c>
      <c r="E39" s="90" t="str">
        <f ca="1">IFERROR(__xludf.DUMMYFUNCTION("""COMPUTED_VALUE"""),"MXN")</f>
        <v>MXN</v>
      </c>
      <c r="F39" s="90" t="str">
        <f ca="1">IFERROR(__xludf.DUMMYFUNCTION("""COMPUTED_VALUE"""),"Carlos Ivan Gonzalez Merino")</f>
        <v>Carlos Ivan Gonzalez Merino</v>
      </c>
      <c r="G39" s="90" t="str">
        <f ca="1">IFERROR(__xludf.DUMMYFUNCTION("""COMPUTED_VALUE"""),"DLO*DIDI FOODS         MEXICO        MEX")</f>
        <v>DLO*DIDI FOODS         MEXICO        MEX</v>
      </c>
      <c r="H39" s="90" t="str">
        <f ca="1">IFERROR(__xludf.DUMMYFUNCTION("""COMPUTED_VALUE"""),"Dlo Didi Foods Mexico Mex")</f>
        <v>Dlo Didi Foods Mexico Mex</v>
      </c>
      <c r="I39" s="90" t="str">
        <f ca="1">IFERROR(__xludf.DUMMYFUNCTION("""COMPUTED_VALUE"""),"G&amp;A expenses")</f>
        <v>G&amp;A expenses</v>
      </c>
      <c r="J39" s="90" t="str">
        <f ca="1">IFERROR(__xludf.DUMMYFUNCTION("""COMPUTED_VALUE"""),"PO_2009 ASIPONA_COMIDA")</f>
        <v>PO_2009 ASIPONA_COMIDA</v>
      </c>
      <c r="K39" s="90"/>
      <c r="L39" s="17"/>
      <c r="M39" s="17"/>
      <c r="N39" s="17"/>
      <c r="O39" s="17"/>
    </row>
    <row r="40" spans="1:15" ht="12.5">
      <c r="A40" s="89" t="str">
        <f ca="1">IFERROR(__xludf.DUMMYFUNCTION("""COMPUTED_VALUE"""),"TRX1917")</f>
        <v>TRX1917</v>
      </c>
      <c r="B40" s="110" t="str">
        <f ca="1">IFERROR(__xludf.DUMMYFUNCTION("""COMPUTED_VALUE"""),"#56")</f>
        <v>#56</v>
      </c>
      <c r="C40" s="118">
        <f ca="1">IFERROR(__xludf.DUMMYFUNCTION("""COMPUTED_VALUE"""),46067.4166666666)</f>
        <v>46067.416666666599</v>
      </c>
      <c r="D40" s="117">
        <f ca="1">IFERROR(__xludf.DUMMYFUNCTION("""COMPUTED_VALUE"""),349.99)</f>
        <v>349.99</v>
      </c>
      <c r="E40" s="89" t="str">
        <f ca="1">IFERROR(__xludf.DUMMYFUNCTION("""COMPUTED_VALUE"""),"MXN")</f>
        <v>MXN</v>
      </c>
      <c r="F40" s="89" t="str">
        <f ca="1">IFERROR(__xludf.DUMMYFUNCTION("""COMPUTED_VALUE"""),"Carlos Ivan Gonzalez Merino")</f>
        <v>Carlos Ivan Gonzalez Merino</v>
      </c>
      <c r="G40" s="89" t="str">
        <f ca="1">IFERROR(__xludf.DUMMYFUNCTION("""COMPUTED_VALUE"""),"UBER * PENDING         CMX           MEX")</f>
        <v>UBER * PENDING         CMX           MEX</v>
      </c>
      <c r="H40" s="89" t="str">
        <f ca="1">IFERROR(__xludf.DUMMYFUNCTION("""COMPUTED_VALUE"""),"Uber")</f>
        <v>Uber</v>
      </c>
      <c r="I40" s="89" t="str">
        <f ca="1">IFERROR(__xludf.DUMMYFUNCTION("""COMPUTED_VALUE"""),"G&amp;A expenses")</f>
        <v>G&amp;A expenses</v>
      </c>
      <c r="J40" s="89" t="str">
        <f ca="1">IFERROR(__xludf.DUMMYFUNCTION("""COMPUTED_VALUE"""),"PO_2009 ASIPONA_TRASLADO")</f>
        <v>PO_2009 ASIPONA_TRASLADO</v>
      </c>
      <c r="K40" s="89"/>
      <c r="L40" s="17"/>
      <c r="M40" s="17"/>
      <c r="N40" s="17"/>
      <c r="O40" s="17"/>
    </row>
    <row r="41" spans="1:15" ht="12.5">
      <c r="A41" s="89" t="str">
        <f ca="1">IFERROR(__xludf.DUMMYFUNCTION("""COMPUTED_VALUE"""),"TRX1396")</f>
        <v>TRX1396</v>
      </c>
      <c r="B41" s="110" t="str">
        <f ca="1">IFERROR(__xludf.DUMMYFUNCTION("""COMPUTED_VALUE"""),"#56")</f>
        <v>#56</v>
      </c>
      <c r="C41" s="118">
        <f ca="1">IFERROR(__xludf.DUMMYFUNCTION("""COMPUTED_VALUE"""),46067.4166666666)</f>
        <v>46067.416666666599</v>
      </c>
      <c r="D41" s="117">
        <f ca="1">IFERROR(__xludf.DUMMYFUNCTION("""COMPUTED_VALUE"""),189.99)</f>
        <v>189.99</v>
      </c>
      <c r="E41" s="89" t="str">
        <f ca="1">IFERROR(__xludf.DUMMYFUNCTION("""COMPUTED_VALUE"""),"MXN")</f>
        <v>MXN</v>
      </c>
      <c r="F41" s="89" t="str">
        <f ca="1">IFERROR(__xludf.DUMMYFUNCTION("""COMPUTED_VALUE"""),"Carlos Ivan Gonzalez Merino")</f>
        <v>Carlos Ivan Gonzalez Merino</v>
      </c>
      <c r="G41" s="89" t="str">
        <f ca="1">IFERROR(__xludf.DUMMYFUNCTION("""COMPUTED_VALUE"""),"UBER * PENDING         CMX           MEX")</f>
        <v>UBER * PENDING         CMX           MEX</v>
      </c>
      <c r="H41" s="89" t="str">
        <f ca="1">IFERROR(__xludf.DUMMYFUNCTION("""COMPUTED_VALUE"""),"Uber")</f>
        <v>Uber</v>
      </c>
      <c r="I41" s="89" t="str">
        <f ca="1">IFERROR(__xludf.DUMMYFUNCTION("""COMPUTED_VALUE"""),"G&amp;A expenses")</f>
        <v>G&amp;A expenses</v>
      </c>
      <c r="J41" s="89" t="str">
        <f ca="1">IFERROR(__xludf.DUMMYFUNCTION("""COMPUTED_VALUE"""),"PO_2009 ASIPONA_AGUA")</f>
        <v>PO_2009 ASIPONA_AGUA</v>
      </c>
      <c r="K41" s="89"/>
      <c r="L41" s="17"/>
      <c r="M41" s="17"/>
      <c r="N41" s="17"/>
      <c r="O41" s="17"/>
    </row>
    <row r="42" spans="1:15" ht="12.5">
      <c r="A42" s="89" t="str">
        <f ca="1">IFERROR(__xludf.DUMMYFUNCTION("""COMPUTED_VALUE"""),"TRX1788")</f>
        <v>TRX1788</v>
      </c>
      <c r="B42" s="110" t="str">
        <f ca="1">IFERROR(__xludf.DUMMYFUNCTION("""COMPUTED_VALUE"""),"#56")</f>
        <v>#56</v>
      </c>
      <c r="C42" s="118">
        <f ca="1">IFERROR(__xludf.DUMMYFUNCTION("""COMPUTED_VALUE"""),46068.4166666666)</f>
        <v>46068.416666666599</v>
      </c>
      <c r="D42" s="117">
        <f ca="1">IFERROR(__xludf.DUMMYFUNCTION("""COMPUTED_VALUE"""),5076.92)</f>
        <v>5076.92</v>
      </c>
      <c r="E42" s="89" t="str">
        <f ca="1">IFERROR(__xludf.DUMMYFUNCTION("""COMPUTED_VALUE"""),"MXN")</f>
        <v>MXN</v>
      </c>
      <c r="F42" s="89" t="str">
        <f ca="1">IFERROR(__xludf.DUMMYFUNCTION("""COMPUTED_VALUE"""),"Carlos Ivan Gonzalez Merino")</f>
        <v>Carlos Ivan Gonzalez Merino</v>
      </c>
      <c r="G42" s="89" t="str">
        <f ca="1">IFERROR(__xludf.DUMMYFUNCTION("""COMPUTED_VALUE"""),"MERCADOPAGO *ESTANCIA  Benito jurez  MEX")</f>
        <v>MERCADOPAGO *ESTANCIA  Benito jurez  MEX</v>
      </c>
      <c r="H42" s="89" t="str">
        <f ca="1">IFERROR(__xludf.DUMMYFUNCTION("""COMPUTED_VALUE"""),"Mercadopago")</f>
        <v>Mercadopago</v>
      </c>
      <c r="I42" s="89" t="str">
        <f ca="1">IFERROR(__xludf.DUMMYFUNCTION("""COMPUTED_VALUE"""),"G&amp;A expenses")</f>
        <v>G&amp;A expenses</v>
      </c>
      <c r="J42" s="89" t="str">
        <f ca="1">IFERROR(__xludf.DUMMYFUNCTION("""COMPUTED_VALUE"""),"PO_2009 ASIPONA_TRASLADO OBRA")</f>
        <v>PO_2009 ASIPONA_TRASLADO OBRA</v>
      </c>
      <c r="K42" s="89"/>
      <c r="L42" s="17"/>
      <c r="M42" s="17"/>
      <c r="N42" s="17"/>
      <c r="O42" s="17"/>
    </row>
    <row r="43" spans="1:15" ht="12.5">
      <c r="A43" s="89" t="str">
        <f ca="1">IFERROR(__xludf.DUMMYFUNCTION("""COMPUTED_VALUE"""),"TRX2002")</f>
        <v>TRX2002</v>
      </c>
      <c r="B43" s="110" t="str">
        <f ca="1">IFERROR(__xludf.DUMMYFUNCTION("""COMPUTED_VALUE"""),"#56")</f>
        <v>#56</v>
      </c>
      <c r="C43" s="118">
        <f ca="1">IFERROR(__xludf.DUMMYFUNCTION("""COMPUTED_VALUE"""),46071.4166666666)</f>
        <v>46071.416666666599</v>
      </c>
      <c r="D43" s="89">
        <f ca="1">IFERROR(__xludf.DUMMYFUNCTION("""COMPUTED_VALUE"""),289.99)</f>
        <v>289.99</v>
      </c>
      <c r="E43" s="89" t="str">
        <f ca="1">IFERROR(__xludf.DUMMYFUNCTION("""COMPUTED_VALUE"""),"MXN")</f>
        <v>MXN</v>
      </c>
      <c r="F43" s="89" t="str">
        <f ca="1">IFERROR(__xludf.DUMMYFUNCTION("""COMPUTED_VALUE"""),"Carlos Ivan Gonzalez Merino")</f>
        <v>Carlos Ivan Gonzalez Merino</v>
      </c>
      <c r="G43" s="89" t="str">
        <f ca="1">IFERROR(__xludf.DUMMYFUNCTION("""COMPUTED_VALUE"""),"UBER * PENDING         CMX           MEX")</f>
        <v>UBER * PENDING         CMX           MEX</v>
      </c>
      <c r="H43" s="89" t="str">
        <f ca="1">IFERROR(__xludf.DUMMYFUNCTION("""COMPUTED_VALUE"""),"Uber")</f>
        <v>Uber</v>
      </c>
      <c r="I43" s="89" t="str">
        <f ca="1">IFERROR(__xludf.DUMMYFUNCTION("""COMPUTED_VALUE"""),"G&amp;A expenses")</f>
        <v>G&amp;A expenses</v>
      </c>
      <c r="J43" s="89" t="str">
        <f ca="1">IFERROR(__xludf.DUMMYFUNCTION("""COMPUTED_VALUE"""),"PO_2009 ASIPONA_TRASLADO")</f>
        <v>PO_2009 ASIPONA_TRASLADO</v>
      </c>
      <c r="K43" s="89"/>
      <c r="L43" s="17"/>
      <c r="M43" s="17"/>
      <c r="N43" s="17"/>
      <c r="O43" s="17"/>
    </row>
    <row r="44" spans="1:15" ht="12.5">
      <c r="A44" s="89" t="str">
        <f ca="1">IFERROR(__xludf.DUMMYFUNCTION("""COMPUTED_VALUE"""),"TRX1949")</f>
        <v>TRX1949</v>
      </c>
      <c r="B44" s="110" t="str">
        <f ca="1">IFERROR(__xludf.DUMMYFUNCTION("""COMPUTED_VALUE"""),"#56")</f>
        <v>#56</v>
      </c>
      <c r="C44" s="118">
        <f ca="1">IFERROR(__xludf.DUMMYFUNCTION("""COMPUTED_VALUE"""),46071.4166666666)</f>
        <v>46071.416666666599</v>
      </c>
      <c r="D44" s="117">
        <f ca="1">IFERROR(__xludf.DUMMYFUNCTION("""COMPUTED_VALUE"""),431.2)</f>
        <v>431.2</v>
      </c>
      <c r="E44" s="89" t="str">
        <f ca="1">IFERROR(__xludf.DUMMYFUNCTION("""COMPUTED_VALUE"""),"MXN")</f>
        <v>MXN</v>
      </c>
      <c r="F44" s="89" t="str">
        <f ca="1">IFERROR(__xludf.DUMMYFUNCTION("""COMPUTED_VALUE"""),"Carlos Ivan Gonzalez Merino")</f>
        <v>Carlos Ivan Gonzalez Merino</v>
      </c>
      <c r="G44" s="89" t="str">
        <f ca="1">IFERROR(__xludf.DUMMYFUNCTION("""COMPUTED_VALUE"""),"REST WINGS SALA B      MEXICO DF     MEX")</f>
        <v>REST WINGS SALA B      MEXICO DF     MEX</v>
      </c>
      <c r="H44" s="89" t="str">
        <f ca="1">IFERROR(__xludf.DUMMYFUNCTION("""COMPUTED_VALUE"""),"Rest Wings Sala B Mexico Df Mex")</f>
        <v>Rest Wings Sala B Mexico Df Mex</v>
      </c>
      <c r="I44" s="89" t="str">
        <f ca="1">IFERROR(__xludf.DUMMYFUNCTION("""COMPUTED_VALUE"""),"G&amp;A expenses")</f>
        <v>G&amp;A expenses</v>
      </c>
      <c r="J44" s="89" t="str">
        <f ca="1">IFERROR(__xludf.DUMMYFUNCTION("""COMPUTED_VALUE"""),"PO_2009 ASIPONA_COMIDA")</f>
        <v>PO_2009 ASIPONA_COMIDA</v>
      </c>
      <c r="K44" s="89"/>
      <c r="L44" s="17"/>
      <c r="M44" s="17"/>
      <c r="N44" s="17"/>
      <c r="O44" s="17"/>
    </row>
    <row r="45" spans="1:15" ht="12.5">
      <c r="A45" s="89" t="str">
        <f ca="1">IFERROR(__xludf.DUMMYFUNCTION("""COMPUTED_VALUE"""),"TRX1152")</f>
        <v>TRX1152</v>
      </c>
      <c r="B45" s="110" t="str">
        <f ca="1">IFERROR(__xludf.DUMMYFUNCTION("""COMPUTED_VALUE"""),"#56")</f>
        <v>#56</v>
      </c>
      <c r="C45" s="118">
        <f ca="1">IFERROR(__xludf.DUMMYFUNCTION("""COMPUTED_VALUE"""),46071.4173611111)</f>
        <v>46071.417361111096</v>
      </c>
      <c r="D45" s="117">
        <f ca="1">IFERROR(__xludf.DUMMYFUNCTION("""COMPUTED_VALUE"""),280)</f>
        <v>280</v>
      </c>
      <c r="E45" s="89" t="str">
        <f ca="1">IFERROR(__xludf.DUMMYFUNCTION("""COMPUTED_VALUE"""),"MXN")</f>
        <v>MXN</v>
      </c>
      <c r="F45" s="89" t="str">
        <f ca="1">IFERROR(__xludf.DUMMYFUNCTION("""COMPUTED_VALUE"""),"Carlos Ivan Gonzalez Merino")</f>
        <v>Carlos Ivan Gonzalez Merino</v>
      </c>
      <c r="G45" s="89" t="str">
        <f ca="1">IFERROR(__xludf.DUMMYFUNCTION("""COMPUTED_VALUE"""),"TRANS TERR D PASAJ D A BOCA DEL RIO  MEX")</f>
        <v>TRANS TERR D PASAJ D A BOCA DEL RIO  MEX</v>
      </c>
      <c r="H45" s="89" t="str">
        <f ca="1">IFERROR(__xludf.DUMMYFUNCTION("""COMPUTED_VALUE"""),"Trans Terr D Pasaj D A Boca Del Rio Mex")</f>
        <v>Trans Terr D Pasaj D A Boca Del Rio Mex</v>
      </c>
      <c r="I45" s="89" t="str">
        <f ca="1">IFERROR(__xludf.DUMMYFUNCTION("""COMPUTED_VALUE"""),"G&amp;A expenses")</f>
        <v>G&amp;A expenses</v>
      </c>
      <c r="J45" s="89" t="str">
        <f ca="1">IFERROR(__xludf.DUMMYFUNCTION("""COMPUTED_VALUE"""),"PO_2009 ASIPONA_TRASLADO OBRA")</f>
        <v>PO_2009 ASIPONA_TRASLADO OBRA</v>
      </c>
      <c r="K45" s="89"/>
      <c r="L45" s="17"/>
      <c r="M45" s="17"/>
      <c r="N45" s="17"/>
      <c r="O45" s="17"/>
    </row>
    <row r="46" spans="1:15" ht="12.5">
      <c r="A46" s="89" t="str">
        <f ca="1">IFERROR(__xludf.DUMMYFUNCTION("""COMPUTED_VALUE"""),"TRX1585")</f>
        <v>TRX1585</v>
      </c>
      <c r="B46" s="110" t="str">
        <f ca="1">IFERROR(__xludf.DUMMYFUNCTION("""COMPUTED_VALUE"""),"#56")</f>
        <v>#56</v>
      </c>
      <c r="C46" s="118">
        <f ca="1">IFERROR(__xludf.DUMMYFUNCTION("""COMPUTED_VALUE"""),46072.4166666666)</f>
        <v>46072.416666666599</v>
      </c>
      <c r="D46" s="117">
        <f ca="1">IFERROR(__xludf.DUMMYFUNCTION("""COMPUTED_VALUE"""),165.01)</f>
        <v>165.01</v>
      </c>
      <c r="E46" s="89" t="str">
        <f ca="1">IFERROR(__xludf.DUMMYFUNCTION("""COMPUTED_VALUE"""),"MXN")</f>
        <v>MXN</v>
      </c>
      <c r="F46" s="89" t="str">
        <f ca="1">IFERROR(__xludf.DUMMYFUNCTION("""COMPUTED_VALUE"""),"Carlos Ivan Gonzalez Merino")</f>
        <v>Carlos Ivan Gonzalez Merino</v>
      </c>
      <c r="G46" s="89" t="str">
        <f ca="1">IFERROR(__xludf.DUMMYFUNCTION("""COMPUTED_VALUE"""),"D LOCAL*REST DIDIFOOD  CIUDAD DE MEX MEX")</f>
        <v>D LOCAL*REST DIDIFOOD  CIUDAD DE MEX MEX</v>
      </c>
      <c r="H46" s="89" t="str">
        <f ca="1">IFERROR(__xludf.DUMMYFUNCTION("""COMPUTED_VALUE"""),"D Local Rest Didifood Ciudad De Mex Mex")</f>
        <v>D Local Rest Didifood Ciudad De Mex Mex</v>
      </c>
      <c r="I46" s="89" t="str">
        <f ca="1">IFERROR(__xludf.DUMMYFUNCTION("""COMPUTED_VALUE"""),"G&amp;A expenses")</f>
        <v>G&amp;A expenses</v>
      </c>
      <c r="J46" s="89" t="str">
        <f ca="1">IFERROR(__xludf.DUMMYFUNCTION("""COMPUTED_VALUE"""),"PO_2009 ASIPONA_COMIDA")</f>
        <v>PO_2009 ASIPONA_COMIDA</v>
      </c>
      <c r="K46" s="89"/>
      <c r="L46" s="17"/>
      <c r="M46" s="17"/>
      <c r="N46" s="17"/>
      <c r="O46" s="17"/>
    </row>
    <row r="47" spans="1:15" ht="12.5">
      <c r="A47" s="89" t="str">
        <f ca="1">IFERROR(__xludf.DUMMYFUNCTION("""COMPUTED_VALUE"""),"TRX1356")</f>
        <v>TRX1356</v>
      </c>
      <c r="B47" s="110" t="str">
        <f ca="1">IFERROR(__xludf.DUMMYFUNCTION("""COMPUTED_VALUE"""),"#56")</f>
        <v>#56</v>
      </c>
      <c r="C47" s="118">
        <f ca="1">IFERROR(__xludf.DUMMYFUNCTION("""COMPUTED_VALUE"""),46072.4166666666)</f>
        <v>46072.416666666599</v>
      </c>
      <c r="D47" s="117">
        <f ca="1">IFERROR(__xludf.DUMMYFUNCTION("""COMPUTED_VALUE"""),159)</f>
        <v>159</v>
      </c>
      <c r="E47" s="89" t="str">
        <f ca="1">IFERROR(__xludf.DUMMYFUNCTION("""COMPUTED_VALUE"""),"MXN")</f>
        <v>MXN</v>
      </c>
      <c r="F47" s="89" t="str">
        <f ca="1">IFERROR(__xludf.DUMMYFUNCTION("""COMPUTED_VALUE"""),"Carlos Ivan Gonzalez Merino")</f>
        <v>Carlos Ivan Gonzalez Merino</v>
      </c>
      <c r="G47" s="89" t="str">
        <f ca="1">IFERROR(__xludf.DUMMYFUNCTION("""COMPUTED_VALUE"""),"DLO DIDI RIDES MX      CIUDAD DE MEX MEX")</f>
        <v>DLO DIDI RIDES MX      CIUDAD DE MEX MEX</v>
      </c>
      <c r="H47" s="89" t="str">
        <f ca="1">IFERROR(__xludf.DUMMYFUNCTION("""COMPUTED_VALUE"""),"Didi Chuxing")</f>
        <v>Didi Chuxing</v>
      </c>
      <c r="I47" s="89" t="str">
        <f ca="1">IFERROR(__xludf.DUMMYFUNCTION("""COMPUTED_VALUE"""),"G&amp;A expenses")</f>
        <v>G&amp;A expenses</v>
      </c>
      <c r="J47" s="89" t="str">
        <f ca="1">IFERROR(__xludf.DUMMYFUNCTION("""COMPUTED_VALUE"""),"PO_2009 ASIPONA_TRASLADO")</f>
        <v>PO_2009 ASIPONA_TRASLADO</v>
      </c>
      <c r="K47" s="89"/>
      <c r="L47" s="17"/>
      <c r="M47" s="17"/>
      <c r="N47" s="17"/>
      <c r="O47" s="17"/>
    </row>
    <row r="48" spans="1:15" ht="12.5">
      <c r="A48" s="89" t="str">
        <f ca="1">IFERROR(__xludf.DUMMYFUNCTION("""COMPUTED_VALUE"""),"TRX1852")</f>
        <v>TRX1852</v>
      </c>
      <c r="B48" s="110" t="str">
        <f ca="1">IFERROR(__xludf.DUMMYFUNCTION("""COMPUTED_VALUE"""),"#56")</f>
        <v>#56</v>
      </c>
      <c r="C48" s="118">
        <f ca="1">IFERROR(__xludf.DUMMYFUNCTION("""COMPUTED_VALUE"""),46072.4173611111)</f>
        <v>46072.417361111096</v>
      </c>
      <c r="D48" s="117">
        <f ca="1">IFERROR(__xludf.DUMMYFUNCTION("""COMPUTED_VALUE"""),340.93)</f>
        <v>340.93</v>
      </c>
      <c r="E48" s="89" t="str">
        <f ca="1">IFERROR(__xludf.DUMMYFUNCTION("""COMPUTED_VALUE"""),"MXN")</f>
        <v>MXN</v>
      </c>
      <c r="F48" s="89" t="str">
        <f ca="1">IFERROR(__xludf.DUMMYFUNCTION("""COMPUTED_VALUE"""),"Carlos Ivan Gonzalez Merino")</f>
        <v>Carlos Ivan Gonzalez Merino</v>
      </c>
      <c r="G48" s="89" t="str">
        <f ca="1">IFERROR(__xludf.DUMMYFUNCTION("""COMPUTED_VALUE"""),"D LOCAL*REST DIDIFOOD  CIUDAD DE MEX MEX")</f>
        <v>D LOCAL*REST DIDIFOOD  CIUDAD DE MEX MEX</v>
      </c>
      <c r="H48" s="89" t="str">
        <f ca="1">IFERROR(__xludf.DUMMYFUNCTION("""COMPUTED_VALUE"""),"D Local Rest Didifood Ciudad De Mex Mex")</f>
        <v>D Local Rest Didifood Ciudad De Mex Mex</v>
      </c>
      <c r="I48" s="89" t="str">
        <f ca="1">IFERROR(__xludf.DUMMYFUNCTION("""COMPUTED_VALUE"""),"G&amp;A expenses")</f>
        <v>G&amp;A expenses</v>
      </c>
      <c r="J48" s="89" t="str">
        <f ca="1">IFERROR(__xludf.DUMMYFUNCTION("""COMPUTED_VALUE"""),"PO_2009 ASIPONA_COMIDA")</f>
        <v>PO_2009 ASIPONA_COMIDA</v>
      </c>
      <c r="K48" s="89"/>
      <c r="L48" s="17"/>
      <c r="M48" s="17"/>
      <c r="N48" s="17"/>
      <c r="O48" s="17"/>
    </row>
    <row r="49" spans="1:15" ht="12.5">
      <c r="A49" s="89" t="str">
        <f ca="1">IFERROR(__xludf.DUMMYFUNCTION("""COMPUTED_VALUE"""),"TRX1488")</f>
        <v>TRX1488</v>
      </c>
      <c r="B49" s="110" t="str">
        <f ca="1">IFERROR(__xludf.DUMMYFUNCTION("""COMPUTED_VALUE"""),"#56")</f>
        <v>#56</v>
      </c>
      <c r="C49" s="118">
        <f ca="1">IFERROR(__xludf.DUMMYFUNCTION("""COMPUTED_VALUE"""),46073.4166666666)</f>
        <v>46073.416666666599</v>
      </c>
      <c r="D49" s="117">
        <f ca="1">IFERROR(__xludf.DUMMYFUNCTION("""COMPUTED_VALUE"""),159)</f>
        <v>159</v>
      </c>
      <c r="E49" s="89" t="str">
        <f ca="1">IFERROR(__xludf.DUMMYFUNCTION("""COMPUTED_VALUE"""),"MXN")</f>
        <v>MXN</v>
      </c>
      <c r="F49" s="89" t="str">
        <f ca="1">IFERROR(__xludf.DUMMYFUNCTION("""COMPUTED_VALUE"""),"Carlos Ivan Gonzalez Merino")</f>
        <v>Carlos Ivan Gonzalez Merino</v>
      </c>
      <c r="G49" s="89" t="str">
        <f ca="1">IFERROR(__xludf.DUMMYFUNCTION("""COMPUTED_VALUE"""),"DLO DIDI RIDES MX      CIUDAD DE MEX MEX")</f>
        <v>DLO DIDI RIDES MX      CIUDAD DE MEX MEX</v>
      </c>
      <c r="H49" s="89" t="str">
        <f ca="1">IFERROR(__xludf.DUMMYFUNCTION("""COMPUTED_VALUE"""),"Didi Chuxing")</f>
        <v>Didi Chuxing</v>
      </c>
      <c r="I49" s="89" t="str">
        <f ca="1">IFERROR(__xludf.DUMMYFUNCTION("""COMPUTED_VALUE"""),"G&amp;A expenses")</f>
        <v>G&amp;A expenses</v>
      </c>
      <c r="J49" s="89" t="str">
        <f ca="1">IFERROR(__xludf.DUMMYFUNCTION("""COMPUTED_VALUE"""),"PO_2009 ASIPONA_TRASLADO")</f>
        <v>PO_2009 ASIPONA_TRASLADO</v>
      </c>
      <c r="K49" s="89"/>
      <c r="L49" s="17"/>
      <c r="M49" s="17"/>
      <c r="N49" s="17"/>
      <c r="O49" s="17"/>
    </row>
    <row r="50" spans="1:15" ht="12.5">
      <c r="A50" s="89" t="str">
        <f ca="1">IFERROR(__xludf.DUMMYFUNCTION("""COMPUTED_VALUE"""),"TRX2029")</f>
        <v>TRX2029</v>
      </c>
      <c r="B50" s="110" t="str">
        <f ca="1">IFERROR(__xludf.DUMMYFUNCTION("""COMPUTED_VALUE"""),"#56")</f>
        <v>#56</v>
      </c>
      <c r="C50" s="118">
        <f ca="1">IFERROR(__xludf.DUMMYFUNCTION("""COMPUTED_VALUE"""),46073.4173611111)</f>
        <v>46073.417361111096</v>
      </c>
      <c r="D50" s="89">
        <f ca="1">IFERROR(__xludf.DUMMYFUNCTION("""COMPUTED_VALUE"""),346)</f>
        <v>346</v>
      </c>
      <c r="E50" s="89" t="str">
        <f ca="1">IFERROR(__xludf.DUMMYFUNCTION("""COMPUTED_VALUE"""),"MXN")</f>
        <v>MXN</v>
      </c>
      <c r="F50" s="89" t="str">
        <f ca="1">IFERROR(__xludf.DUMMYFUNCTION("""COMPUTED_VALUE"""),"Carlos Ivan Gonzalez Merino")</f>
        <v>Carlos Ivan Gonzalez Merino</v>
      </c>
      <c r="G50" s="89" t="str">
        <f ca="1">IFERROR(__xludf.DUMMYFUNCTION("""COMPUTED_VALUE"""),"LA PARRILLA VERACRUZAN BOCA DEL RIO  MEX")</f>
        <v>LA PARRILLA VERACRUZAN BOCA DEL RIO  MEX</v>
      </c>
      <c r="H50" s="89" t="str">
        <f ca="1">IFERROR(__xludf.DUMMYFUNCTION("""COMPUTED_VALUE"""),"La Parilla Mexican Restaurant")</f>
        <v>La Parilla Mexican Restaurant</v>
      </c>
      <c r="I50" s="89" t="str">
        <f ca="1">IFERROR(__xludf.DUMMYFUNCTION("""COMPUTED_VALUE"""),"G&amp;A expenses")</f>
        <v>G&amp;A expenses</v>
      </c>
      <c r="J50" s="89" t="str">
        <f ca="1">IFERROR(__xludf.DUMMYFUNCTION("""COMPUTED_VALUE"""),"PO_2009 ASIPONA_COMIDA")</f>
        <v>PO_2009 ASIPONA_COMIDA</v>
      </c>
      <c r="K50" s="89"/>
      <c r="L50" s="17"/>
      <c r="M50" s="17"/>
      <c r="N50" s="17"/>
      <c r="O50" s="17"/>
    </row>
    <row r="51" spans="1:15" ht="12.5">
      <c r="A51" s="90" t="str">
        <f ca="1">IFERROR(__xludf.DUMMYFUNCTION("""COMPUTED_VALUE"""),"TRX1418")</f>
        <v>TRX1418</v>
      </c>
      <c r="B51" s="112" t="str">
        <f ca="1">IFERROR(__xludf.DUMMYFUNCTION("""COMPUTED_VALUE"""),"#56")</f>
        <v>#56</v>
      </c>
      <c r="C51" s="114">
        <f ca="1">IFERROR(__xludf.DUMMYFUNCTION("""COMPUTED_VALUE"""),46074.4166666666)</f>
        <v>46074.416666666599</v>
      </c>
      <c r="D51" s="113">
        <f ca="1">IFERROR(__xludf.DUMMYFUNCTION("""COMPUTED_VALUE"""),449.95)</f>
        <v>449.95</v>
      </c>
      <c r="E51" s="90" t="str">
        <f ca="1">IFERROR(__xludf.DUMMYFUNCTION("""COMPUTED_VALUE"""),"MXN")</f>
        <v>MXN</v>
      </c>
      <c r="F51" s="90" t="str">
        <f ca="1">IFERROR(__xludf.DUMMYFUNCTION("""COMPUTED_VALUE"""),"Carlos Ivan Gonzalez Merino")</f>
        <v>Carlos Ivan Gonzalez Merino</v>
      </c>
      <c r="G51" s="90" t="str">
        <f ca="1">IFERROR(__xludf.DUMMYFUNCTION("""COMPUTED_VALUE"""),"UBER * PENDING         CMX           MEX")</f>
        <v>UBER * PENDING         CMX           MEX</v>
      </c>
      <c r="H51" s="90" t="str">
        <f ca="1">IFERROR(__xludf.DUMMYFUNCTION("""COMPUTED_VALUE"""),"Uber")</f>
        <v>Uber</v>
      </c>
      <c r="I51" s="90" t="str">
        <f ca="1">IFERROR(__xludf.DUMMYFUNCTION("""COMPUTED_VALUE"""),"G&amp;A expenses")</f>
        <v>G&amp;A expenses</v>
      </c>
      <c r="J51" s="90" t="str">
        <f ca="1">IFERROR(__xludf.DUMMYFUNCTION("""COMPUTED_VALUE"""),"PO_2009 ASIPONA_TRASLADO")</f>
        <v>PO_2009 ASIPONA_TRASLADO</v>
      </c>
      <c r="K51" s="90"/>
      <c r="L51" s="17"/>
      <c r="M51" s="17"/>
      <c r="N51" s="17"/>
      <c r="O51" s="17"/>
    </row>
    <row r="52" spans="1:15" ht="12.5">
      <c r="A52" s="90" t="str">
        <f ca="1">IFERROR(__xludf.DUMMYFUNCTION("""COMPUTED_VALUE"""),"TRX1019")</f>
        <v>TRX1019</v>
      </c>
      <c r="B52" s="112" t="str">
        <f ca="1">IFERROR(__xludf.DUMMYFUNCTION("""COMPUTED_VALUE"""),"#56")</f>
        <v>#56</v>
      </c>
      <c r="C52" s="114">
        <f ca="1">IFERROR(__xludf.DUMMYFUNCTION("""COMPUTED_VALUE"""),46074.4166666666)</f>
        <v>46074.416666666599</v>
      </c>
      <c r="D52" s="113">
        <f ca="1">IFERROR(__xludf.DUMMYFUNCTION("""COMPUTED_VALUE"""),254)</f>
        <v>254</v>
      </c>
      <c r="E52" s="90" t="str">
        <f ca="1">IFERROR(__xludf.DUMMYFUNCTION("""COMPUTED_VALUE"""),"MXN")</f>
        <v>MXN</v>
      </c>
      <c r="F52" s="90" t="str">
        <f ca="1">IFERROR(__xludf.DUMMYFUNCTION("""COMPUTED_VALUE"""),"Carlos Ivan Gonzalez Merino")</f>
        <v>Carlos Ivan Gonzalez Merino</v>
      </c>
      <c r="G52" s="90" t="str">
        <f ca="1">IFERROR(__xludf.DUMMYFUNCTION("""COMPUTED_VALUE"""),"CAFE LA PARROQUIA      VERACRUZ VER  MEX")</f>
        <v>CAFE LA PARROQUIA      VERACRUZ VER  MEX</v>
      </c>
      <c r="H52" s="90" t="str">
        <f ca="1">IFERROR(__xludf.DUMMYFUNCTION("""COMPUTED_VALUE"""),"Cafe La Parroquia Veracruz Ver Mex")</f>
        <v>Cafe La Parroquia Veracruz Ver Mex</v>
      </c>
      <c r="I52" s="90" t="str">
        <f ca="1">IFERROR(__xludf.DUMMYFUNCTION("""COMPUTED_VALUE"""),"G&amp;A expenses")</f>
        <v>G&amp;A expenses</v>
      </c>
      <c r="J52" s="90" t="str">
        <f ca="1">IFERROR(__xludf.DUMMYFUNCTION("""COMPUTED_VALUE"""),"PO_2009 ASIPONA_COMIDA")</f>
        <v>PO_2009 ASIPONA_COMIDA</v>
      </c>
      <c r="K52" s="90"/>
      <c r="L52" s="17"/>
      <c r="M52" s="17"/>
      <c r="N52" s="17"/>
      <c r="O52" s="17"/>
    </row>
    <row r="53" spans="1:15" ht="12.5">
      <c r="A53" s="90" t="str">
        <f ca="1">IFERROR(__xludf.DUMMYFUNCTION("""COMPUTED_VALUE"""),"TRX1030")</f>
        <v>TRX1030</v>
      </c>
      <c r="B53" s="112" t="str">
        <f ca="1">IFERROR(__xludf.DUMMYFUNCTION("""COMPUTED_VALUE"""),"#56")</f>
        <v>#56</v>
      </c>
      <c r="C53" s="114">
        <f ca="1">IFERROR(__xludf.DUMMYFUNCTION("""COMPUTED_VALUE"""),46074.4166666666)</f>
        <v>46074.416666666599</v>
      </c>
      <c r="D53" s="113">
        <f ca="1">IFERROR(__xludf.DUMMYFUNCTION("""COMPUTED_VALUE"""),50)</f>
        <v>50</v>
      </c>
      <c r="E53" s="90" t="str">
        <f ca="1">IFERROR(__xludf.DUMMYFUNCTION("""COMPUTED_VALUE"""),"MXN")</f>
        <v>MXN</v>
      </c>
      <c r="F53" s="90" t="str">
        <f ca="1">IFERROR(__xludf.DUMMYFUNCTION("""COMPUTED_VALUE"""),"Carlos Ivan Gonzalez Merino")</f>
        <v>Carlos Ivan Gonzalez Merino</v>
      </c>
      <c r="G53" s="90" t="str">
        <f ca="1">IFERROR(__xludf.DUMMYFUNCTION("""COMPUTED_VALUE"""),"DLO DIDI RIDES MX      CIUDAD DE MEX MEX")</f>
        <v>DLO DIDI RIDES MX      CIUDAD DE MEX MEX</v>
      </c>
      <c r="H53" s="90" t="str">
        <f ca="1">IFERROR(__xludf.DUMMYFUNCTION("""COMPUTED_VALUE"""),"Didi Chuxing")</f>
        <v>Didi Chuxing</v>
      </c>
      <c r="I53" s="90" t="str">
        <f ca="1">IFERROR(__xludf.DUMMYFUNCTION("""COMPUTED_VALUE"""),"G&amp;A expenses")</f>
        <v>G&amp;A expenses</v>
      </c>
      <c r="J53" s="90" t="str">
        <f ca="1">IFERROR(__xludf.DUMMYFUNCTION("""COMPUTED_VALUE"""),"PO_2009 ASIPONA_TRASLADO")</f>
        <v>PO_2009 ASIPONA_TRASLADO</v>
      </c>
      <c r="K53" s="90"/>
      <c r="L53" s="17"/>
      <c r="M53" s="17"/>
      <c r="N53" s="17"/>
      <c r="O53" s="17"/>
    </row>
    <row r="54" spans="1:15" ht="12.5">
      <c r="A54" s="90" t="str">
        <f ca="1">IFERROR(__xludf.DUMMYFUNCTION("""COMPUTED_VALUE"""),"TRX1093")</f>
        <v>TRX1093</v>
      </c>
      <c r="B54" s="112" t="str">
        <f ca="1">IFERROR(__xludf.DUMMYFUNCTION("""COMPUTED_VALUE"""),"#56")</f>
        <v>#56</v>
      </c>
      <c r="C54" s="114">
        <f ca="1">IFERROR(__xludf.DUMMYFUNCTION("""COMPUTED_VALUE"""),46074.4166666666)</f>
        <v>46074.416666666599</v>
      </c>
      <c r="D54" s="113">
        <f ca="1">IFERROR(__xludf.DUMMYFUNCTION("""COMPUTED_VALUE"""),181)</f>
        <v>181</v>
      </c>
      <c r="E54" s="90" t="str">
        <f ca="1">IFERROR(__xludf.DUMMYFUNCTION("""COMPUTED_VALUE"""),"MXN")</f>
        <v>MXN</v>
      </c>
      <c r="F54" s="90" t="str">
        <f ca="1">IFERROR(__xludf.DUMMYFUNCTION("""COMPUTED_VALUE"""),"Carlos Ivan Gonzalez Merino")</f>
        <v>Carlos Ivan Gonzalez Merino</v>
      </c>
      <c r="G54" s="90" t="str">
        <f ca="1">IFERROR(__xludf.DUMMYFUNCTION("""COMPUTED_VALUE"""),"DLO DIDI RIDES MX      CIUDAD DE MEX MEX")</f>
        <v>DLO DIDI RIDES MX      CIUDAD DE MEX MEX</v>
      </c>
      <c r="H54" s="90" t="str">
        <f ca="1">IFERROR(__xludf.DUMMYFUNCTION("""COMPUTED_VALUE"""),"Didi Chuxing")</f>
        <v>Didi Chuxing</v>
      </c>
      <c r="I54" s="90" t="str">
        <f ca="1">IFERROR(__xludf.DUMMYFUNCTION("""COMPUTED_VALUE"""),"G&amp;A expenses")</f>
        <v>G&amp;A expenses</v>
      </c>
      <c r="J54" s="90" t="str">
        <f ca="1">IFERROR(__xludf.DUMMYFUNCTION("""COMPUTED_VALUE"""),"PO_2009 ASIPONA_COMIDA")</f>
        <v>PO_2009 ASIPONA_COMIDA</v>
      </c>
      <c r="K54" s="90"/>
      <c r="L54" s="17"/>
      <c r="M54" s="17"/>
      <c r="N54" s="17"/>
      <c r="O54" s="17"/>
    </row>
    <row r="55" spans="1:15" ht="12.5">
      <c r="A55" s="90" t="str">
        <f ca="1">IFERROR(__xludf.DUMMYFUNCTION("""COMPUTED_VALUE"""),"TRX1074")</f>
        <v>TRX1074</v>
      </c>
      <c r="B55" s="112" t="str">
        <f ca="1">IFERROR(__xludf.DUMMYFUNCTION("""COMPUTED_VALUE"""),"#56")</f>
        <v>#56</v>
      </c>
      <c r="C55" s="114">
        <f ca="1">IFERROR(__xludf.DUMMYFUNCTION("""COMPUTED_VALUE"""),46075.4173611111)</f>
        <v>46075.417361111096</v>
      </c>
      <c r="D55" s="113">
        <f ca="1">IFERROR(__xludf.DUMMYFUNCTION("""COMPUTED_VALUE"""),327.8)</f>
        <v>327.8</v>
      </c>
      <c r="E55" s="90" t="str">
        <f ca="1">IFERROR(__xludf.DUMMYFUNCTION("""COMPUTED_VALUE"""),"MXN")</f>
        <v>MXN</v>
      </c>
      <c r="F55" s="90" t="str">
        <f ca="1">IFERROR(__xludf.DUMMYFUNCTION("""COMPUTED_VALUE"""),"Carlos Ivan Gonzalez Merino")</f>
        <v>Carlos Ivan Gonzalez Merino</v>
      </c>
      <c r="G55" s="90" t="str">
        <f ca="1">IFERROR(__xludf.DUMMYFUNCTION("""COMPUTED_VALUE"""),"DP 11036 LAS AGUILAS   MEXICO DF     MEX")</f>
        <v>DP 11036 LAS AGUILAS   MEXICO DF     MEX</v>
      </c>
      <c r="H55" s="90" t="str">
        <f ca="1">IFERROR(__xludf.DUMMYFUNCTION("""COMPUTED_VALUE"""),"Dp Las Aguilas Mexico Df Mex")</f>
        <v>Dp Las Aguilas Mexico Df Mex</v>
      </c>
      <c r="I55" s="90" t="str">
        <f ca="1">IFERROR(__xludf.DUMMYFUNCTION("""COMPUTED_VALUE"""),"G&amp;A expenses")</f>
        <v>G&amp;A expenses</v>
      </c>
      <c r="J55" s="90" t="str">
        <f ca="1">IFERROR(__xludf.DUMMYFUNCTION("""COMPUTED_VALUE"""),"PO_2009 ASIPONA_COMIDA")</f>
        <v>PO_2009 ASIPONA_COMIDA</v>
      </c>
      <c r="K55" s="90"/>
      <c r="L55" s="17"/>
      <c r="M55" s="17"/>
      <c r="N55" s="17"/>
      <c r="O55" s="17"/>
    </row>
    <row r="56" spans="1:15" ht="12.5">
      <c r="A56" s="90" t="str">
        <f ca="1">IFERROR(__xludf.DUMMYFUNCTION("""COMPUTED_VALUE"""),"TRX1131")</f>
        <v>TRX1131</v>
      </c>
      <c r="B56" s="112" t="str">
        <f ca="1">IFERROR(__xludf.DUMMYFUNCTION("""COMPUTED_VALUE"""),"#56")</f>
        <v>#56</v>
      </c>
      <c r="C56" s="114">
        <f ca="1">IFERROR(__xludf.DUMMYFUNCTION("""COMPUTED_VALUE"""),46078.4166666666)</f>
        <v>46078.416666666599</v>
      </c>
      <c r="D56" s="113">
        <f ca="1">IFERROR(__xludf.DUMMYFUNCTION("""COMPUTED_VALUE"""),239.99)</f>
        <v>239.99</v>
      </c>
      <c r="E56" s="90" t="str">
        <f ca="1">IFERROR(__xludf.DUMMYFUNCTION("""COMPUTED_VALUE"""),"MXN")</f>
        <v>MXN</v>
      </c>
      <c r="F56" s="90" t="str">
        <f ca="1">IFERROR(__xludf.DUMMYFUNCTION("""COMPUTED_VALUE"""),"Carlos Ivan Gonzalez Merino")</f>
        <v>Carlos Ivan Gonzalez Merino</v>
      </c>
      <c r="G56" s="90" t="str">
        <f ca="1">IFERROR(__xludf.DUMMYFUNCTION("""COMPUTED_VALUE"""),"UBER * PENDING         CMX           MEX")</f>
        <v>UBER * PENDING         CMX           MEX</v>
      </c>
      <c r="H56" s="90" t="str">
        <f ca="1">IFERROR(__xludf.DUMMYFUNCTION("""COMPUTED_VALUE"""),"Uber")</f>
        <v>Uber</v>
      </c>
      <c r="I56" s="90" t="str">
        <f ca="1">IFERROR(__xludf.DUMMYFUNCTION("""COMPUTED_VALUE"""),"G&amp;A expenses")</f>
        <v>G&amp;A expenses</v>
      </c>
      <c r="J56" s="90" t="str">
        <f ca="1">IFERROR(__xludf.DUMMYFUNCTION("""COMPUTED_VALUE"""),"PO_2009 ASIPONA_TRASLADO")</f>
        <v>PO_2009 ASIPONA_TRASLADO</v>
      </c>
      <c r="K56" s="90"/>
      <c r="L56" s="17"/>
      <c r="M56" s="17"/>
      <c r="N56" s="17"/>
      <c r="O56" s="17"/>
    </row>
    <row r="57" spans="1:15" ht="12.5">
      <c r="A57" s="90" t="str">
        <f ca="1">IFERROR(__xludf.DUMMYFUNCTION("""COMPUTED_VALUE"""),"TRX1134")</f>
        <v>TRX1134</v>
      </c>
      <c r="B57" s="112" t="str">
        <f ca="1">IFERROR(__xludf.DUMMYFUNCTION("""COMPUTED_VALUE"""),"#56")</f>
        <v>#56</v>
      </c>
      <c r="C57" s="114">
        <f ca="1">IFERROR(__xludf.DUMMYFUNCTION("""COMPUTED_VALUE"""),46078.4166666666)</f>
        <v>46078.416666666599</v>
      </c>
      <c r="D57" s="113">
        <f ca="1">IFERROR(__xludf.DUMMYFUNCTION("""COMPUTED_VALUE"""),189.99)</f>
        <v>189.99</v>
      </c>
      <c r="E57" s="90" t="str">
        <f ca="1">IFERROR(__xludf.DUMMYFUNCTION("""COMPUTED_VALUE"""),"MXN")</f>
        <v>MXN</v>
      </c>
      <c r="F57" s="90" t="str">
        <f ca="1">IFERROR(__xludf.DUMMYFUNCTION("""COMPUTED_VALUE"""),"Carlos Ivan Gonzalez Merino")</f>
        <v>Carlos Ivan Gonzalez Merino</v>
      </c>
      <c r="G57" s="90" t="str">
        <f ca="1">IFERROR(__xludf.DUMMYFUNCTION("""COMPUTED_VALUE"""),"UBER * PENDING         CMX           MEX")</f>
        <v>UBER * PENDING         CMX           MEX</v>
      </c>
      <c r="H57" s="90" t="str">
        <f ca="1">IFERROR(__xludf.DUMMYFUNCTION("""COMPUTED_VALUE"""),"Uber")</f>
        <v>Uber</v>
      </c>
      <c r="I57" s="90" t="str">
        <f ca="1">IFERROR(__xludf.DUMMYFUNCTION("""COMPUTED_VALUE"""),"G&amp;A expenses")</f>
        <v>G&amp;A expenses</v>
      </c>
      <c r="J57" s="90" t="str">
        <f ca="1">IFERROR(__xludf.DUMMYFUNCTION("""COMPUTED_VALUE"""),"PO_2009 ASIPONA_TRASLADO")</f>
        <v>PO_2009 ASIPONA_TRASLADO</v>
      </c>
      <c r="K57" s="90"/>
      <c r="L57" s="17"/>
      <c r="M57" s="17"/>
      <c r="N57" s="17"/>
      <c r="O57" s="17"/>
    </row>
    <row r="58" spans="1:15" ht="12.5">
      <c r="A58" s="90" t="str">
        <f ca="1">IFERROR(__xludf.DUMMYFUNCTION("""COMPUTED_VALUE"""),"TRX1142")</f>
        <v>TRX1142</v>
      </c>
      <c r="B58" s="112" t="str">
        <f ca="1">IFERROR(__xludf.DUMMYFUNCTION("""COMPUTED_VALUE"""),"#56")</f>
        <v>#56</v>
      </c>
      <c r="C58" s="114">
        <f ca="1">IFERROR(__xludf.DUMMYFUNCTION("""COMPUTED_VALUE"""),46078.4166666666)</f>
        <v>46078.416666666599</v>
      </c>
      <c r="D58" s="113">
        <f ca="1">IFERROR(__xludf.DUMMYFUNCTION("""COMPUTED_VALUE"""),175.73)</f>
        <v>175.73</v>
      </c>
      <c r="E58" s="90" t="str">
        <f ca="1">IFERROR(__xludf.DUMMYFUNCTION("""COMPUTED_VALUE"""),"MXN")</f>
        <v>MXN</v>
      </c>
      <c r="F58" s="90" t="str">
        <f ca="1">IFERROR(__xludf.DUMMYFUNCTION("""COMPUTED_VALUE"""),"Carlos Ivan Gonzalez Merino")</f>
        <v>Carlos Ivan Gonzalez Merino</v>
      </c>
      <c r="G58" s="90" t="str">
        <f ca="1">IFERROR(__xludf.DUMMYFUNCTION("""COMPUTED_VALUE"""),"UBER * EATS PENDING    CMX           MEX")</f>
        <v>UBER * EATS PENDING    CMX           MEX</v>
      </c>
      <c r="H58" s="90" t="str">
        <f ca="1">IFERROR(__xludf.DUMMYFUNCTION("""COMPUTED_VALUE"""),"Uber Eats")</f>
        <v>Uber Eats</v>
      </c>
      <c r="I58" s="90" t="str">
        <f ca="1">IFERROR(__xludf.DUMMYFUNCTION("""COMPUTED_VALUE"""),"G&amp;A expenses")</f>
        <v>G&amp;A expenses</v>
      </c>
      <c r="J58" s="90" t="str">
        <f ca="1">IFERROR(__xludf.DUMMYFUNCTION("""COMPUTED_VALUE"""),"PO_2009 ASIPONA_COMIDA")</f>
        <v>PO_2009 ASIPONA_COMIDA</v>
      </c>
      <c r="K58" s="90"/>
      <c r="L58" s="17"/>
      <c r="M58" s="17"/>
      <c r="N58" s="17"/>
      <c r="O58" s="17"/>
    </row>
    <row r="59" spans="1:15" ht="12.5">
      <c r="A59" s="90" t="str">
        <f ca="1">IFERROR(__xludf.DUMMYFUNCTION("""COMPUTED_VALUE"""),"TRX1189")</f>
        <v>TRX1189</v>
      </c>
      <c r="B59" s="112" t="str">
        <f ca="1">IFERROR(__xludf.DUMMYFUNCTION("""COMPUTED_VALUE"""),"#56")</f>
        <v>#56</v>
      </c>
      <c r="C59" s="114">
        <f ca="1">IFERROR(__xludf.DUMMYFUNCTION("""COMPUTED_VALUE"""),46079.4166666666)</f>
        <v>46079.416666666599</v>
      </c>
      <c r="D59" s="113">
        <f ca="1">IFERROR(__xludf.DUMMYFUNCTION("""COMPUTED_VALUE"""),165)</f>
        <v>165</v>
      </c>
      <c r="E59" s="90" t="str">
        <f ca="1">IFERROR(__xludf.DUMMYFUNCTION("""COMPUTED_VALUE"""),"MXN")</f>
        <v>MXN</v>
      </c>
      <c r="F59" s="90" t="str">
        <f ca="1">IFERROR(__xludf.DUMMYFUNCTION("""COMPUTED_VALUE"""),"Carlos Ivan Gonzalez Merino")</f>
        <v>Carlos Ivan Gonzalez Merino</v>
      </c>
      <c r="G59" s="90" t="str">
        <f ca="1">IFERROR(__xludf.DUMMYFUNCTION("""COMPUTED_VALUE"""),"DLO DIDI RIDES MX      CIUDAD DE MEX MEX")</f>
        <v>DLO DIDI RIDES MX      CIUDAD DE MEX MEX</v>
      </c>
      <c r="H59" s="90" t="str">
        <f ca="1">IFERROR(__xludf.DUMMYFUNCTION("""COMPUTED_VALUE"""),"Didi Chuxing")</f>
        <v>Didi Chuxing</v>
      </c>
      <c r="I59" s="90" t="str">
        <f ca="1">IFERROR(__xludf.DUMMYFUNCTION("""COMPUTED_VALUE"""),"G&amp;A expenses")</f>
        <v>G&amp;A expenses</v>
      </c>
      <c r="J59" s="90" t="str">
        <f ca="1">IFERROR(__xludf.DUMMYFUNCTION("""COMPUTED_VALUE"""),"PO_2009 ASIPONA_RENTA UTO")</f>
        <v>PO_2009 ASIPONA_RENTA UTO</v>
      </c>
      <c r="K59" s="90"/>
      <c r="L59" s="17"/>
      <c r="M59" s="17"/>
      <c r="N59" s="17"/>
      <c r="O59" s="17"/>
    </row>
    <row r="60" spans="1:15" ht="12.5">
      <c r="A60" s="90" t="str">
        <f ca="1">IFERROR(__xludf.DUMMYFUNCTION("""COMPUTED_VALUE"""),"TRX1205")</f>
        <v>TRX1205</v>
      </c>
      <c r="B60" s="112" t="str">
        <f ca="1">IFERROR(__xludf.DUMMYFUNCTION("""COMPUTED_VALUE"""),"#56")</f>
        <v>#56</v>
      </c>
      <c r="C60" s="114">
        <f ca="1">IFERROR(__xludf.DUMMYFUNCTION("""COMPUTED_VALUE"""),46079.4166666666)</f>
        <v>46079.416666666599</v>
      </c>
      <c r="D60" s="113">
        <f ca="1">IFERROR(__xludf.DUMMYFUNCTION("""COMPUTED_VALUE"""),179.98)</f>
        <v>179.98</v>
      </c>
      <c r="E60" s="90" t="str">
        <f ca="1">IFERROR(__xludf.DUMMYFUNCTION("""COMPUTED_VALUE"""),"MXN")</f>
        <v>MXN</v>
      </c>
      <c r="F60" s="90" t="str">
        <f ca="1">IFERROR(__xludf.DUMMYFUNCTION("""COMPUTED_VALUE"""),"Carlos Ivan Gonzalez Merino")</f>
        <v>Carlos Ivan Gonzalez Merino</v>
      </c>
      <c r="G60" s="90" t="str">
        <f ca="1">IFERROR(__xludf.DUMMYFUNCTION("""COMPUTED_VALUE"""),"DLO*UBER RIDES         CIUDAD DE MEX MEX")</f>
        <v>DLO*UBER RIDES         CIUDAD DE MEX MEX</v>
      </c>
      <c r="H60" s="90" t="str">
        <f ca="1">IFERROR(__xludf.DUMMYFUNCTION("""COMPUTED_VALUE"""),"Uber")</f>
        <v>Uber</v>
      </c>
      <c r="I60" s="90" t="str">
        <f ca="1">IFERROR(__xludf.DUMMYFUNCTION("""COMPUTED_VALUE"""),"G&amp;A expenses")</f>
        <v>G&amp;A expenses</v>
      </c>
      <c r="J60" s="90" t="str">
        <f ca="1">IFERROR(__xludf.DUMMYFUNCTION("""COMPUTED_VALUE"""),"PO_2009 ASIPONA_DESARMADORES")</f>
        <v>PO_2009 ASIPONA_DESARMADORES</v>
      </c>
      <c r="K60" s="90"/>
      <c r="L60" s="17"/>
      <c r="M60" s="17"/>
      <c r="N60" s="17"/>
      <c r="O60" s="17"/>
    </row>
    <row r="61" spans="1:15" ht="12.5">
      <c r="A61" s="90" t="str">
        <f ca="1">IFERROR(__xludf.DUMMYFUNCTION("""COMPUTED_VALUE"""),"TRX1208")</f>
        <v>TRX1208</v>
      </c>
      <c r="B61" s="112" t="str">
        <f ca="1">IFERROR(__xludf.DUMMYFUNCTION("""COMPUTED_VALUE"""),"#56")</f>
        <v>#56</v>
      </c>
      <c r="C61" s="114">
        <f ca="1">IFERROR(__xludf.DUMMYFUNCTION("""COMPUTED_VALUE"""),46079.4173611111)</f>
        <v>46079.417361111096</v>
      </c>
      <c r="D61" s="113">
        <f ca="1">IFERROR(__xludf.DUMMYFUNCTION("""COMPUTED_VALUE"""),329.97)</f>
        <v>329.97</v>
      </c>
      <c r="E61" s="90" t="str">
        <f ca="1">IFERROR(__xludf.DUMMYFUNCTION("""COMPUTED_VALUE"""),"MXN")</f>
        <v>MXN</v>
      </c>
      <c r="F61" s="90" t="str">
        <f ca="1">IFERROR(__xludf.DUMMYFUNCTION("""COMPUTED_VALUE"""),"Carlos Ivan Gonzalez Merino")</f>
        <v>Carlos Ivan Gonzalez Merino</v>
      </c>
      <c r="G61" s="90" t="str">
        <f ca="1">IFERROR(__xludf.DUMMYFUNCTION("""COMPUTED_VALUE"""),"DLO*Uber               CDMX          MEX")</f>
        <v>DLO*Uber               CDMX          MEX</v>
      </c>
      <c r="H61" s="90" t="str">
        <f ca="1">IFERROR(__xludf.DUMMYFUNCTION("""COMPUTED_VALUE"""),"Uber")</f>
        <v>Uber</v>
      </c>
      <c r="I61" s="90" t="str">
        <f ca="1">IFERROR(__xludf.DUMMYFUNCTION("""COMPUTED_VALUE"""),"G&amp;A expenses")</f>
        <v>G&amp;A expenses</v>
      </c>
      <c r="J61" s="90" t="str">
        <f ca="1">IFERROR(__xludf.DUMMYFUNCTION("""COMPUTED_VALUE"""),"PO_2009 ASIPONA_PEAJE")</f>
        <v>PO_2009 ASIPONA_PEAJE</v>
      </c>
      <c r="K61" s="90"/>
      <c r="L61" s="17"/>
      <c r="M61" s="17"/>
      <c r="N61" s="17"/>
      <c r="O61" s="17"/>
    </row>
    <row r="62" spans="1:15" ht="12.5">
      <c r="A62" s="90" t="str">
        <f ca="1">IFERROR(__xludf.DUMMYFUNCTION("""COMPUTED_VALUE"""),"TRX1240")</f>
        <v>TRX1240</v>
      </c>
      <c r="B62" s="112" t="str">
        <f ca="1">IFERROR(__xludf.DUMMYFUNCTION("""COMPUTED_VALUE"""),"#56")</f>
        <v>#56</v>
      </c>
      <c r="C62" s="114">
        <f ca="1">IFERROR(__xludf.DUMMYFUNCTION("""COMPUTED_VALUE"""),46080.4173611111)</f>
        <v>46080.417361111096</v>
      </c>
      <c r="D62" s="113">
        <f ca="1">IFERROR(__xludf.DUMMYFUNCTION("""COMPUTED_VALUE"""),3663)</f>
        <v>3663</v>
      </c>
      <c r="E62" s="90" t="str">
        <f ca="1">IFERROR(__xludf.DUMMYFUNCTION("""COMPUTED_VALUE"""),"MXN")</f>
        <v>MXN</v>
      </c>
      <c r="F62" s="90" t="str">
        <f ca="1">IFERROR(__xludf.DUMMYFUNCTION("""COMPUTED_VALUE"""),"Carlos Ivan Gonzalez Merino")</f>
        <v>Carlos Ivan Gonzalez Merino</v>
      </c>
      <c r="G62" s="90" t="str">
        <f ca="1">IFERROR(__xludf.DUMMYFUNCTION("""COMPUTED_VALUE"""),"HOME DEPOT             SN PEDRO GARZ MEX")</f>
        <v>HOME DEPOT             SN PEDRO GARZ MEX</v>
      </c>
      <c r="H62" s="90" t="str">
        <f ca="1">IFERROR(__xludf.DUMMYFUNCTION("""COMPUTED_VALUE"""),"The Home Depot")</f>
        <v>The Home Depot</v>
      </c>
      <c r="I62" s="90" t="str">
        <f ca="1">IFERROR(__xludf.DUMMYFUNCTION("""COMPUTED_VALUE"""),"G&amp;A expenses")</f>
        <v>G&amp;A expenses</v>
      </c>
      <c r="J62" s="90" t="str">
        <f ca="1">IFERROR(__xludf.DUMMYFUNCTION("""COMPUTED_VALUE"""),"PO_2009 ASIPONA_PUNTO DE HIDRATACION")</f>
        <v>PO_2009 ASIPONA_PUNTO DE HIDRATACION</v>
      </c>
      <c r="K62" s="90"/>
      <c r="L62" s="17"/>
      <c r="M62" s="17"/>
      <c r="N62" s="17"/>
      <c r="O62" s="17"/>
    </row>
    <row r="63" spans="1:15" ht="12.5">
      <c r="A63" s="90" t="str">
        <f ca="1">IFERROR(__xludf.DUMMYFUNCTION("""COMPUTED_VALUE"""),"TRX1254")</f>
        <v>TRX1254</v>
      </c>
      <c r="B63" s="112" t="str">
        <f ca="1">IFERROR(__xludf.DUMMYFUNCTION("""COMPUTED_VALUE"""),"#56")</f>
        <v>#56</v>
      </c>
      <c r="C63" s="114">
        <f ca="1">IFERROR(__xludf.DUMMYFUNCTION("""COMPUTED_VALUE"""),46081.4166666666)</f>
        <v>46081.416666666599</v>
      </c>
      <c r="D63" s="113">
        <f ca="1">IFERROR(__xludf.DUMMYFUNCTION("""COMPUTED_VALUE"""),289.95)</f>
        <v>289.95</v>
      </c>
      <c r="E63" s="90" t="str">
        <f ca="1">IFERROR(__xludf.DUMMYFUNCTION("""COMPUTED_VALUE"""),"MXN")</f>
        <v>MXN</v>
      </c>
      <c r="F63" s="90" t="str">
        <f ca="1">IFERROR(__xludf.DUMMYFUNCTION("""COMPUTED_VALUE"""),"Carlos Ivan Gonzalez Merino")</f>
        <v>Carlos Ivan Gonzalez Merino</v>
      </c>
      <c r="G63" s="90" t="str">
        <f ca="1">IFERROR(__xludf.DUMMYFUNCTION("""COMPUTED_VALUE"""),"UBER * PENDING         CMX           MEX")</f>
        <v>UBER * PENDING         CMX           MEX</v>
      </c>
      <c r="H63" s="90" t="str">
        <f ca="1">IFERROR(__xludf.DUMMYFUNCTION("""COMPUTED_VALUE"""),"Uber")</f>
        <v>Uber</v>
      </c>
      <c r="I63" s="90" t="str">
        <f ca="1">IFERROR(__xludf.DUMMYFUNCTION("""COMPUTED_VALUE"""),"G&amp;A expenses")</f>
        <v>G&amp;A expenses</v>
      </c>
      <c r="J63" s="90" t="str">
        <f ca="1">IFERROR(__xludf.DUMMYFUNCTION("""COMPUTED_VALUE"""),"PO_2009 ASIPONA_COMIDA")</f>
        <v>PO_2009 ASIPONA_COMIDA</v>
      </c>
      <c r="K63" s="90"/>
      <c r="L63" s="17"/>
      <c r="M63" s="17"/>
      <c r="N63" s="17"/>
      <c r="O63" s="17"/>
    </row>
    <row r="64" spans="1:15" ht="12.5">
      <c r="A64" s="90" t="str">
        <f ca="1">IFERROR(__xludf.DUMMYFUNCTION("""COMPUTED_VALUE"""),"TRX1280")</f>
        <v>TRX1280</v>
      </c>
      <c r="B64" s="112" t="str">
        <f ca="1">IFERROR(__xludf.DUMMYFUNCTION("""COMPUTED_VALUE"""),"#56")</f>
        <v>#56</v>
      </c>
      <c r="C64" s="114">
        <f ca="1">IFERROR(__xludf.DUMMYFUNCTION("""COMPUTED_VALUE"""),46081.4173611111)</f>
        <v>46081.417361111096</v>
      </c>
      <c r="D64" s="90">
        <f ca="1">IFERROR(__xludf.DUMMYFUNCTION("""COMPUTED_VALUE"""),129.97)</f>
        <v>129.97</v>
      </c>
      <c r="E64" s="90" t="str">
        <f ca="1">IFERROR(__xludf.DUMMYFUNCTION("""COMPUTED_VALUE"""),"MXN")</f>
        <v>MXN</v>
      </c>
      <c r="F64" s="90" t="str">
        <f ca="1">IFERROR(__xludf.DUMMYFUNCTION("""COMPUTED_VALUE"""),"Carlos Ivan Gonzalez Merino")</f>
        <v>Carlos Ivan Gonzalez Merino</v>
      </c>
      <c r="G64" s="90" t="str">
        <f ca="1">IFERROR(__xludf.DUMMYFUNCTION("""COMPUTED_VALUE"""),"DLO*Uber               CDMX          MEX")</f>
        <v>DLO*Uber               CDMX          MEX</v>
      </c>
      <c r="H64" s="90" t="str">
        <f ca="1">IFERROR(__xludf.DUMMYFUNCTION("""COMPUTED_VALUE"""),"Uber")</f>
        <v>Uber</v>
      </c>
      <c r="I64" s="90" t="str">
        <f ca="1">IFERROR(__xludf.DUMMYFUNCTION("""COMPUTED_VALUE"""),"G&amp;A expenses")</f>
        <v>G&amp;A expenses</v>
      </c>
      <c r="J64" s="90" t="str">
        <f ca="1">IFERROR(__xludf.DUMMYFUNCTION("""COMPUTED_VALUE"""),"PO_2009 ASIPONA_COMIDA")</f>
        <v>PO_2009 ASIPONA_COMIDA</v>
      </c>
      <c r="K64" s="90"/>
      <c r="L64" s="17"/>
      <c r="M64" s="17"/>
      <c r="N64" s="17"/>
      <c r="O64" s="17"/>
    </row>
    <row r="65" spans="1:15" ht="12.5">
      <c r="A65" s="90"/>
      <c r="B65" s="111"/>
      <c r="C65" s="111"/>
      <c r="D65" s="90"/>
      <c r="E65" s="90"/>
      <c r="F65" s="90"/>
      <c r="G65" s="90"/>
      <c r="H65" s="90"/>
      <c r="I65" s="90"/>
      <c r="J65" s="90"/>
      <c r="K65" s="90"/>
      <c r="L65" s="17"/>
      <c r="M65" s="17"/>
      <c r="N65" s="17"/>
      <c r="O65" s="17"/>
    </row>
    <row r="66" spans="1:15" ht="12.5">
      <c r="A66" s="90"/>
      <c r="B66" s="111"/>
      <c r="C66" s="111"/>
      <c r="D66" s="90"/>
      <c r="E66" s="90"/>
      <c r="F66" s="90"/>
      <c r="G66" s="90"/>
      <c r="H66" s="90"/>
      <c r="I66" s="90"/>
      <c r="J66" s="90"/>
      <c r="K66" s="90"/>
      <c r="L66" s="17"/>
      <c r="M66" s="17"/>
      <c r="N66" s="17"/>
      <c r="O66" s="17"/>
    </row>
    <row r="67" spans="1:15" ht="12.5">
      <c r="A67" s="90"/>
      <c r="B67" s="111"/>
      <c r="C67" s="111"/>
      <c r="D67" s="90"/>
      <c r="E67" s="90"/>
      <c r="F67" s="90"/>
      <c r="G67" s="90"/>
      <c r="H67" s="90"/>
      <c r="I67" s="90"/>
      <c r="J67" s="90"/>
      <c r="K67" s="90"/>
      <c r="L67" s="17"/>
      <c r="M67" s="17"/>
      <c r="N67" s="17"/>
      <c r="O67" s="17"/>
    </row>
    <row r="68" spans="1:15" ht="12.5">
      <c r="A68" s="90"/>
      <c r="B68" s="111"/>
      <c r="C68" s="111"/>
      <c r="D68" s="90"/>
      <c r="E68" s="90"/>
      <c r="F68" s="90"/>
      <c r="G68" s="90"/>
      <c r="H68" s="90"/>
      <c r="I68" s="90"/>
      <c r="J68" s="90"/>
      <c r="K68" s="90"/>
      <c r="L68" s="17"/>
      <c r="M68" s="17"/>
      <c r="N68" s="17"/>
      <c r="O68" s="17"/>
    </row>
    <row r="69" spans="1:15" ht="12.5">
      <c r="A69" s="90"/>
      <c r="B69" s="111"/>
      <c r="C69" s="111"/>
      <c r="D69" s="90"/>
      <c r="E69" s="90"/>
      <c r="F69" s="90"/>
      <c r="G69" s="90"/>
      <c r="H69" s="90"/>
      <c r="I69" s="90"/>
      <c r="J69" s="90"/>
      <c r="K69" s="90"/>
      <c r="L69" s="17"/>
      <c r="M69" s="17"/>
      <c r="N69" s="17"/>
      <c r="O69" s="17"/>
    </row>
    <row r="70" spans="1:15" ht="12.5">
      <c r="A70" s="90"/>
      <c r="B70" s="111"/>
      <c r="C70" s="111"/>
      <c r="D70" s="90"/>
      <c r="E70" s="90"/>
      <c r="F70" s="90"/>
      <c r="G70" s="90"/>
      <c r="H70" s="90"/>
      <c r="I70" s="90"/>
      <c r="J70" s="90"/>
      <c r="K70" s="90"/>
      <c r="L70" s="17"/>
      <c r="M70" s="17"/>
      <c r="N70" s="17"/>
      <c r="O70" s="17"/>
    </row>
    <row r="71" spans="1:15" ht="12.5">
      <c r="A71" s="90"/>
      <c r="B71" s="111"/>
      <c r="C71" s="111"/>
      <c r="D71" s="90"/>
      <c r="E71" s="90"/>
      <c r="F71" s="90"/>
      <c r="G71" s="90"/>
      <c r="H71" s="90"/>
      <c r="I71" s="90"/>
      <c r="J71" s="90"/>
      <c r="K71" s="90"/>
      <c r="L71" s="17"/>
      <c r="M71" s="17"/>
      <c r="N71" s="17"/>
      <c r="O71" s="17"/>
    </row>
    <row r="72" spans="1:15" ht="12.5">
      <c r="A72" s="90"/>
      <c r="B72" s="111"/>
      <c r="C72" s="111"/>
      <c r="D72" s="90"/>
      <c r="E72" s="90"/>
      <c r="F72" s="90"/>
      <c r="G72" s="90"/>
      <c r="H72" s="90"/>
      <c r="I72" s="90"/>
      <c r="J72" s="90"/>
      <c r="K72" s="90"/>
      <c r="L72" s="17"/>
      <c r="M72" s="17"/>
      <c r="N72" s="17"/>
      <c r="O72" s="17"/>
    </row>
    <row r="73" spans="1:15" ht="12.5">
      <c r="A73" s="17"/>
      <c r="B73" s="24"/>
      <c r="C73" s="24"/>
      <c r="D73" s="17"/>
      <c r="E73" s="17"/>
      <c r="F73" s="17"/>
      <c r="G73" s="17"/>
      <c r="H73" s="17"/>
      <c r="I73" s="17"/>
      <c r="J73" s="17"/>
      <c r="K73" s="17"/>
      <c r="L73" s="17"/>
      <c r="M73" s="17"/>
      <c r="N73" s="17"/>
      <c r="O73" s="17"/>
    </row>
    <row r="74" spans="1:15" ht="12.5">
      <c r="A74" s="17"/>
      <c r="B74" s="24"/>
      <c r="C74" s="24"/>
      <c r="D74" s="17"/>
      <c r="E74" s="17"/>
      <c r="F74" s="17"/>
      <c r="G74" s="17"/>
      <c r="H74" s="17"/>
      <c r="I74" s="17"/>
      <c r="J74" s="17"/>
      <c r="K74" s="17"/>
      <c r="L74" s="17"/>
      <c r="M74" s="17"/>
      <c r="N74" s="17"/>
      <c r="O74" s="17"/>
    </row>
    <row r="75" spans="1:15" ht="12.5">
      <c r="A75" s="17"/>
      <c r="B75" s="24"/>
      <c r="C75" s="24"/>
      <c r="D75" s="17"/>
      <c r="E75" s="17"/>
      <c r="F75" s="17"/>
      <c r="G75" s="17"/>
      <c r="H75" s="17"/>
      <c r="I75" s="17"/>
      <c r="J75" s="17"/>
      <c r="K75" s="17"/>
      <c r="L75" s="17"/>
      <c r="M75" s="17"/>
      <c r="N75" s="17"/>
      <c r="O75" s="17"/>
    </row>
    <row r="76" spans="1:15" ht="12.5">
      <c r="A76" s="17"/>
      <c r="B76" s="24"/>
      <c r="C76" s="24"/>
      <c r="D76" s="17"/>
      <c r="E76" s="17"/>
      <c r="F76" s="17"/>
      <c r="G76" s="17"/>
      <c r="H76" s="17"/>
      <c r="I76" s="17"/>
      <c r="J76" s="17"/>
      <c r="K76" s="17"/>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A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79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IFERROR(__xludf.DUMMYFUNCTION("IMPORTRANGE(""https://docs.google.com/spreadsheets/d/1r7mnrDtLhxOm4i_hyLnuNHiwaZqclgVUqnahU-jeJuM/edit#gid=1404531132"",""I12:K80"")"),"Recruiting")</f>
        <v>Recruiting</v>
      </c>
      <c r="J12" s="17" t="str">
        <f ca="1">IFERROR(__xludf.DUMMYFUNCTION("""COMPUTED_VALUE"""),"Visita MITSUI PO1579")</f>
        <v>Visita MITSUI PO1579</v>
      </c>
      <c r="K12" s="17"/>
      <c r="L12" s="17"/>
      <c r="M12" s="17"/>
      <c r="N12" s="17"/>
      <c r="O12" s="17"/>
    </row>
    <row r="13" spans="1:15" ht="15.75" customHeight="1">
      <c r="A13" s="24"/>
      <c r="B13" s="24"/>
      <c r="C13" s="24"/>
      <c r="D13" s="17"/>
      <c r="E13" s="17"/>
      <c r="F13" s="17"/>
      <c r="G13" s="17"/>
      <c r="H13" s="17"/>
      <c r="I13" s="17" t="str">
        <f ca="1">IFERROR(__xludf.DUMMYFUNCTION("""COMPUTED_VALUE"""),"Recruiting")</f>
        <v>Recruiting</v>
      </c>
      <c r="J13" s="17" t="str">
        <f ca="1">IFERROR(__xludf.DUMMYFUNCTION("""COMPUTED_VALUE"""),"Visita MITSUI, IMESA Y SYVASA")</f>
        <v>Visita MITSUI, IMESA Y SYVASA</v>
      </c>
      <c r="K13" s="17"/>
      <c r="L13" s="17"/>
      <c r="M13" s="17"/>
      <c r="N13" s="17"/>
      <c r="O13" s="17"/>
    </row>
    <row r="14" spans="1:15" ht="15.75" customHeight="1">
      <c r="A14" s="24"/>
      <c r="B14" s="24"/>
      <c r="C14" s="24"/>
      <c r="D14" s="17"/>
      <c r="E14" s="17"/>
      <c r="F14" s="17"/>
      <c r="G14" s="17"/>
      <c r="H14" s="17"/>
      <c r="I14" s="17" t="str">
        <f ca="1">IFERROR(__xludf.DUMMYFUNCTION("""COMPUTED_VALUE"""),"Recruiting")</f>
        <v>Recruiting</v>
      </c>
      <c r="J14" s="17"/>
      <c r="K14" s="17"/>
      <c r="L14" s="17"/>
      <c r="M14" s="17"/>
      <c r="N14" s="17"/>
      <c r="O14" s="17"/>
    </row>
    <row r="15" spans="1:15" ht="15.75" customHeight="1">
      <c r="A15" s="24"/>
      <c r="B15" s="24"/>
      <c r="C15" s="24"/>
      <c r="D15" s="17"/>
      <c r="E15" s="17"/>
      <c r="F15" s="17"/>
      <c r="G15" s="17"/>
      <c r="H15" s="17"/>
      <c r="I15" s="17" t="str">
        <f ca="1">IFERROR(__xludf.DUMMYFUNCTION("""COMPUTED_VALUE"""),"Recruiting")</f>
        <v>Recruiting</v>
      </c>
      <c r="J15" s="17"/>
      <c r="K15" s="17"/>
      <c r="L15" s="17"/>
      <c r="M15" s="17"/>
      <c r="N15" s="17"/>
      <c r="O15" s="17"/>
    </row>
    <row r="16" spans="1:15" ht="15.75" customHeight="1">
      <c r="A16" s="17"/>
      <c r="B16" s="24"/>
      <c r="C16" s="24"/>
      <c r="D16" s="17"/>
      <c r="E16" s="17"/>
      <c r="F16" s="17"/>
      <c r="G16" s="17"/>
      <c r="H16" s="17"/>
      <c r="I16" s="17" t="str">
        <f ca="1">IFERROR(__xludf.DUMMYFUNCTION("""COMPUTED_VALUE"""),"Recruiting")</f>
        <v>Recruiting</v>
      </c>
      <c r="J16" s="17"/>
      <c r="K16" s="17"/>
      <c r="L16" s="17"/>
      <c r="M16" s="17"/>
      <c r="N16" s="17"/>
      <c r="O16" s="17"/>
    </row>
    <row r="17" spans="1:15" ht="15.75" customHeight="1">
      <c r="A17" s="17"/>
      <c r="B17" s="24"/>
      <c r="C17" s="24"/>
      <c r="D17" s="17"/>
      <c r="E17" s="17"/>
      <c r="F17" s="17"/>
      <c r="G17" s="17"/>
      <c r="H17" s="17"/>
      <c r="I17" s="17" t="str">
        <f ca="1">IFERROR(__xludf.DUMMYFUNCTION("""COMPUTED_VALUE"""),"Transaction cost")</f>
        <v>Transaction cost</v>
      </c>
      <c r="J17" s="17"/>
      <c r="K17" s="17"/>
      <c r="L17" s="17"/>
      <c r="M17" s="17"/>
      <c r="N17" s="17"/>
      <c r="O17" s="17"/>
    </row>
    <row r="18" spans="1:15" ht="15.75" customHeight="1">
      <c r="A18" s="17"/>
      <c r="B18" s="24"/>
      <c r="C18" s="24"/>
      <c r="D18" s="17"/>
      <c r="E18" s="17"/>
      <c r="F18" s="17"/>
      <c r="G18" s="17"/>
      <c r="H18" s="17"/>
      <c r="I18" s="17" t="str">
        <f ca="1">IFERROR(__xludf.DUMMYFUNCTION("""COMPUTED_VALUE"""),"Transaction cost")</f>
        <v>Transaction cost</v>
      </c>
      <c r="J18" s="17"/>
      <c r="K18" s="17"/>
      <c r="L18" s="17"/>
      <c r="M18" s="17"/>
      <c r="N18" s="17"/>
      <c r="O18" s="17"/>
    </row>
    <row r="19" spans="1:15" ht="15.75" customHeight="1">
      <c r="A19" s="17"/>
      <c r="B19" s="24"/>
      <c r="C19" s="24"/>
      <c r="D19" s="17"/>
      <c r="E19" s="17"/>
      <c r="F19" s="17"/>
      <c r="G19" s="17"/>
      <c r="H19" s="17"/>
      <c r="I19" s="17" t="str">
        <f ca="1">IFERROR(__xludf.DUMMYFUNCTION("""COMPUTED_VALUE"""),"Transaction cost")</f>
        <v>Transaction cost</v>
      </c>
      <c r="J19" s="17"/>
      <c r="K19" s="17"/>
      <c r="L19" s="17"/>
      <c r="M19" s="17"/>
      <c r="N19" s="17"/>
      <c r="O19" s="17"/>
    </row>
    <row r="20" spans="1:15" ht="12.5">
      <c r="A20" s="17"/>
      <c r="B20" s="24"/>
      <c r="C20" s="24"/>
      <c r="D20" s="17"/>
      <c r="E20" s="17"/>
      <c r="F20" s="17"/>
      <c r="G20" s="17"/>
      <c r="H20" s="17"/>
      <c r="I20" s="17" t="str">
        <f ca="1">IFERROR(__xludf.DUMMYFUNCTION("""COMPUTED_VALUE"""),"Transaction cost")</f>
        <v>Transaction cost</v>
      </c>
      <c r="J20" s="17"/>
      <c r="K20" s="17"/>
      <c r="L20" s="17"/>
      <c r="M20" s="17"/>
      <c r="N20" s="17"/>
      <c r="O20" s="17"/>
    </row>
    <row r="21" spans="1:15" ht="12.5">
      <c r="A21" s="17"/>
      <c r="B21" s="24"/>
      <c r="C21" s="24"/>
      <c r="D21" s="17"/>
      <c r="E21" s="17"/>
      <c r="F21" s="17"/>
      <c r="G21" s="17"/>
      <c r="H21" s="17"/>
      <c r="I21" s="17" t="str">
        <f ca="1">IFERROR(__xludf.DUMMYFUNCTION("""COMPUTED_VALUE"""),"Transaction cost")</f>
        <v>Transaction cost</v>
      </c>
      <c r="J21" s="17"/>
      <c r="K21" s="17"/>
      <c r="L21" s="17"/>
      <c r="M21" s="17"/>
      <c r="N21" s="17"/>
      <c r="O21" s="17"/>
    </row>
    <row r="22" spans="1:15" ht="12.5">
      <c r="A22" s="17"/>
      <c r="B22" s="24"/>
      <c r="C22" s="24"/>
      <c r="D22" s="17"/>
      <c r="E22" s="17"/>
      <c r="F22" s="17"/>
      <c r="G22" s="17"/>
      <c r="H22" s="17"/>
      <c r="I22" s="17" t="str">
        <f ca="1">IFERROR(__xludf.DUMMYFUNCTION("""COMPUTED_VALUE"""),"Transaction cost")</f>
        <v>Transaction cost</v>
      </c>
      <c r="J22" s="17"/>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17"/>
      <c r="F24" s="17"/>
      <c r="G24" s="17"/>
      <c r="H24" s="17"/>
      <c r="I24" s="17" t="str">
        <f ca="1">IFERROR(__xludf.DUMMYFUNCTION("""COMPUTED_VALUE"""),"Transaction cost")</f>
        <v>Transaction cost</v>
      </c>
      <c r="J24" s="17"/>
      <c r="K24" s="17"/>
      <c r="L24" s="17"/>
      <c r="M24" s="17"/>
      <c r="N24" s="17"/>
      <c r="O24" s="17"/>
    </row>
    <row r="25" spans="1:15" ht="12.5">
      <c r="A25" s="17"/>
      <c r="B25" s="24"/>
      <c r="C25" s="24"/>
      <c r="D25" s="17"/>
      <c r="E25" s="17"/>
      <c r="F25" s="17"/>
      <c r="G25" s="17"/>
      <c r="H25" s="17"/>
      <c r="I25" s="17" t="str">
        <f ca="1">IFERROR(__xludf.DUMMYFUNCTION("""COMPUTED_VALUE"""),"Transaction cost")</f>
        <v>Transaction cost</v>
      </c>
      <c r="J25" s="17"/>
      <c r="K25" s="17"/>
      <c r="L25" s="17"/>
      <c r="M25" s="17"/>
      <c r="N25" s="17"/>
      <c r="O25" s="17"/>
    </row>
    <row r="26" spans="1:15" ht="12.5">
      <c r="A26" s="17"/>
      <c r="B26" s="24"/>
      <c r="C26" s="24"/>
      <c r="D26" s="17"/>
      <c r="E26" s="17"/>
      <c r="F26" s="17"/>
      <c r="G26" s="17"/>
      <c r="H26" s="17"/>
      <c r="I26" s="17" t="str">
        <f ca="1">IFERROR(__xludf.DUMMYFUNCTION("""COMPUTED_VALUE"""),"Transaction cost")</f>
        <v>Transaction cost</v>
      </c>
      <c r="J26" s="17"/>
      <c r="K26" s="17"/>
      <c r="L26" s="17"/>
      <c r="M26" s="17"/>
      <c r="N26" s="17"/>
      <c r="O26" s="17"/>
    </row>
    <row r="27" spans="1:15" ht="12.5">
      <c r="A27" s="17"/>
      <c r="B27" s="24"/>
      <c r="C27" s="24"/>
      <c r="D27" s="17"/>
      <c r="E27" s="17"/>
      <c r="F27" s="17"/>
      <c r="G27" s="17"/>
      <c r="H27" s="17"/>
      <c r="I27" s="17" t="str">
        <f ca="1">IFERROR(__xludf.DUMMYFUNCTION("""COMPUTED_VALUE"""),"Transaction cost")</f>
        <v>Transaction cost</v>
      </c>
      <c r="J27" s="17"/>
      <c r="K27" s="17"/>
      <c r="L27" s="17"/>
      <c r="M27" s="17"/>
      <c r="N27" s="17"/>
      <c r="O27" s="17"/>
    </row>
    <row r="28" spans="1:15" ht="12.5">
      <c r="A28" s="17"/>
      <c r="B28" s="24"/>
      <c r="C28" s="24"/>
      <c r="D28" s="17"/>
      <c r="E28" s="17"/>
      <c r="F28" s="17"/>
      <c r="G28" s="17"/>
      <c r="H28" s="17"/>
      <c r="I28" s="17" t="str">
        <f ca="1">IFERROR(__xludf.DUMMYFUNCTION("""COMPUTED_VALUE"""),"Transaction cost")</f>
        <v>Transaction cost</v>
      </c>
      <c r="J28" s="17"/>
      <c r="K28" s="17"/>
      <c r="L28" s="17"/>
      <c r="M28" s="17"/>
      <c r="N28" s="17"/>
      <c r="O28" s="17"/>
    </row>
    <row r="29" spans="1:15" ht="12.5">
      <c r="A29" s="17"/>
      <c r="B29" s="24"/>
      <c r="C29" s="24"/>
      <c r="D29" s="17"/>
      <c r="E29" s="17"/>
      <c r="F29" s="17"/>
      <c r="G29" s="17"/>
      <c r="H29" s="17"/>
      <c r="I29" s="17" t="str">
        <f ca="1">IFERROR(__xludf.DUMMYFUNCTION("""COMPUTED_VALUE"""),"Transaction cost")</f>
        <v>Transaction cost</v>
      </c>
      <c r="J29" s="17"/>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IFERROR(__xludf.DUMMYFUNCTION("""COMPUTED_VALUE"""),"Transaction cost")</f>
        <v>Transaction cost</v>
      </c>
      <c r="J30" s="17"/>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IFERROR(__xludf.DUMMYFUNCTION("""COMPUTED_VALUE"""),"Transaction cost")</f>
        <v>Transaction cost</v>
      </c>
      <c r="J31" s="17"/>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IFERROR(__xludf.DUMMYFUNCTION("""COMPUTED_VALUE"""),"Transaction cost")</f>
        <v>Transaction cost</v>
      </c>
      <c r="J33" s="17"/>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IFERROR(__xludf.DUMMYFUNCTION("""COMPUTED_VALUE"""),"Transaction cost")</f>
        <v>Transaction cost</v>
      </c>
      <c r="J34" s="17"/>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IFERROR(__xludf.DUMMYFUNCTION("""COMPUTED_VALUE"""),"Transaction cost")</f>
        <v>Transaction cost</v>
      </c>
      <c r="J35" s="17"/>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IFERROR(__xludf.DUMMYFUNCTION("""COMPUTED_VALUE"""),"Transaction cost")</f>
        <v>Transaction cost</v>
      </c>
      <c r="J36" s="17"/>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IFERROR(__xludf.DUMMYFUNCTION("""COMPUTED_VALUE"""),"Transaction cost")</f>
        <v>Transaction cost</v>
      </c>
      <c r="J37" s="17"/>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IFERROR(__xludf.DUMMYFUNCTION("""COMPUTED_VALUE"""),"Transaction cost")</f>
        <v>Transaction cost</v>
      </c>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B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74.453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109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IFERROR(__xludf.DUMMYFUNCTION("IMPORTRANGE(""https://docs.google.com/spreadsheets/d/14uTWfnZ38BE1EZKdvyUJHeOi9daDemJ3Eh4W47RcpTA/edit?gid=1404531132#gid=1404531132"",""I12:K80"")"),"G&amp;A expenses")</f>
        <v>G&amp;A expenses</v>
      </c>
      <c r="J12" s="17" t="str">
        <f ca="1">IFERROR(__xludf.DUMMYFUNCTION("""COMPUTED_VALUE"""),"Uber de obra en Tijuana")</f>
        <v>Uber de obra en Tijuana</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IFERROR(__xludf.DUMMYFUNCTION("""COMPUTED_VALUE"""),"1 dia de airbnb en tijuana")</f>
        <v>1 dia de airbnb en tijuana</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IFERROR(__xludf.DUMMYFUNCTION("""COMPUTED_VALUE"""),"Uber ")</f>
        <v xml:space="preserve">Uber </v>
      </c>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IFERROR(__xludf.DUMMYFUNCTION("""COMPUTED_VALUE"""),"Uber")</f>
        <v>Uber</v>
      </c>
      <c r="K15" s="17" t="str">
        <f ca="1">IFERROR(__xludf.DUMMYFUNCTION("""COMPUTED_VALUE"""),".")</f>
        <v>.</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IFERROR(__xludf.DUMMYFUNCTION("""COMPUTED_VALUE"""),"Vuelos de tijuana")</f>
        <v>Vuelos de tijuana</v>
      </c>
      <c r="K16" s="17" t="str">
        <f ca="1">IFERROR(__xludf.DUMMYFUNCTION("""COMPUTED_VALUE"""),"d8ffc846-e409-42ba-811b-9c04304c1e3a")</f>
        <v>d8ffc846-e409-42ba-811b-9c04304c1e3a</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IFERROR(__xludf.DUMMYFUNCTION("""COMPUTED_VALUE"""),"Uber greso aeropuerto")</f>
        <v>Uber greso aeropuerto</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IFERROR(__xludf.DUMMYFUNCTION("""COMPUTED_VALUE"""),"uber de aeropuerto")</f>
        <v>uber de aeropuerto</v>
      </c>
      <c r="K18" s="17" t="str">
        <f ca="1">IFERROR(__xludf.DUMMYFUNCTION("""COMPUTED_VALUE"""),".")</f>
        <v>.</v>
      </c>
      <c r="L18" s="17"/>
      <c r="M18" s="17"/>
      <c r="N18" s="17"/>
      <c r="O18" s="17"/>
    </row>
    <row r="19" spans="1:15" ht="15.75" customHeight="1">
      <c r="A19" s="17"/>
      <c r="B19" s="24"/>
      <c r="C19" s="24"/>
      <c r="D19" s="17"/>
      <c r="E19" s="17"/>
      <c r="F19" s="17"/>
      <c r="G19" s="17"/>
      <c r="H19" s="17"/>
      <c r="I19" s="17" t="str">
        <f ca="1">IFERROR(__xludf.DUMMYFUNCTION("""COMPUTED_VALUE"""),"G&amp;A expenses")</f>
        <v>G&amp;A expenses</v>
      </c>
      <c r="J19" s="17" t="str">
        <f ca="1">IFERROR(__xludf.DUMMYFUNCTION("""COMPUTED_VALUE"""),"Vuelo regreso de mty")</f>
        <v>Vuelo regreso de mty</v>
      </c>
      <c r="K19" s="17" t="str">
        <f ca="1">IFERROR(__xludf.DUMMYFUNCTION("""COMPUTED_VALUE"""),".")</f>
        <v>.</v>
      </c>
      <c r="L19" s="17"/>
      <c r="M19" s="17"/>
      <c r="N19" s="17"/>
      <c r="O19" s="17"/>
    </row>
    <row r="20" spans="1:15" ht="12.5">
      <c r="A20" s="17"/>
      <c r="B20" s="24"/>
      <c r="C20" s="24"/>
      <c r="D20" s="17"/>
      <c r="E20" s="17"/>
      <c r="F20" s="17"/>
      <c r="G20" s="17"/>
      <c r="H20" s="17"/>
      <c r="I20" s="17" t="str">
        <f ca="1">IFERROR(__xludf.DUMMYFUNCTION("""COMPUTED_VALUE"""),"G&amp;A expenses")</f>
        <v>G&amp;A expenses</v>
      </c>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C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118</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19" t="s">
        <v>2008</v>
      </c>
      <c r="J3" s="27" t="s">
        <v>2009</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Sept'!$J$12:$J$1700=$A$2)"),"TRX1297")</f>
        <v>TRX1297</v>
      </c>
      <c r="B12" s="86" t="str">
        <f ca="1">IFERROR(__xludf.DUMMYFUNCTION("""COMPUTED_VALUE"""),"#58")</f>
        <v>#58</v>
      </c>
      <c r="C12" s="86">
        <f ca="1">IFERROR(__xludf.DUMMYFUNCTION("""COMPUTED_VALUE"""),46055.4166666666)</f>
        <v>46055.416666666599</v>
      </c>
      <c r="D12" s="65">
        <f ca="1">IFERROR(__xludf.DUMMYFUNCTION("FILTER('Edo Cta Jeeves Sept'!$G$12:$G$1700,'Edo Cta Jeeves Sept'!$J$12:$J$1700=$A$2)"),3230.41)</f>
        <v>3230.41</v>
      </c>
      <c r="E12" s="17" t="str">
        <f ca="1">IFERROR(__xludf.DUMMYFUNCTION("FILTER('Edo Cta Jeeves Sept'!$I$12:$I$1700,'Edo Cta Jeeves Sept'!$J$12:$J$1700=$A$2)"),"MXN")</f>
        <v>MXN</v>
      </c>
      <c r="F12" s="17" t="str">
        <f ca="1">IFERROR(__xludf.DUMMYFUNCTION("FILTER('Edo Cta Jeeves Sept'!$J$12:$J$1700,'Edo Cta Jeeves Sept'!$J$12:$J$1700=$A$2)"),"Jose Rosas Ortiz")</f>
        <v>Jose Rosas Ortiz</v>
      </c>
      <c r="G12" s="17" t="str">
        <f ca="1">IFERROR(__xludf.DUMMYFUNCTION("FILTER('Edo Cta Jeeves Sept'!$K$12:$L$1700,'Edo Cta Jeeves Sept'!$J$12:$J$1700=$A$2)"),"EXPEDIA MEXICO         CIUDAD DE MEX MEX")</f>
        <v>EXPEDIA MEXICO         CIUDAD DE MEX MEX</v>
      </c>
      <c r="H12" s="17" t="str">
        <f ca="1">IFERROR(__xludf.DUMMYFUNCTION("""COMPUTED_VALUE"""),"Expedia")</f>
        <v>Expedia</v>
      </c>
      <c r="I12" s="17" t="str">
        <f ca="1">IFERROR(__xludf.DUMMYFUNCTION("IMPORTRANGE(""https://docs.google.com/spreadsheets/d/1En5HeoMUsGo-MCRuXu8AatilM-EFl8QdYhmYWTXhneY/edit?gid=1404531132#gid=1404531132"",""I12:K80"")"),"Sales")</f>
        <v>Sales</v>
      </c>
      <c r="J12" s="17" t="str">
        <f ca="1">IFERROR(__xludf.DUMMYFUNCTION("""COMPUTED_VALUE"""),"IMESA")</f>
        <v>IMESA</v>
      </c>
      <c r="K12" s="17" t="str">
        <f ca="1">IFERROR(__xludf.DUMMYFUNCTION("""COMPUTED_VALUE"""),"Invoice")</f>
        <v>Invoice</v>
      </c>
      <c r="L12" s="17"/>
      <c r="M12" s="17"/>
      <c r="N12" s="17"/>
      <c r="O12" s="17"/>
    </row>
    <row r="13" spans="1:15" ht="15.75" customHeight="1">
      <c r="A13" s="24" t="str">
        <f ca="1">IFERROR(__xludf.DUMMYFUNCTION("""COMPUTED_VALUE"""),"TRX1281")</f>
        <v>TRX1281</v>
      </c>
      <c r="B13" s="86" t="str">
        <f ca="1">IFERROR(__xludf.DUMMYFUNCTION("""COMPUTED_VALUE"""),"#58")</f>
        <v>#58</v>
      </c>
      <c r="C13" s="63">
        <f ca="1">IFERROR(__xludf.DUMMYFUNCTION("""COMPUTED_VALUE"""),46056.4166666666)</f>
        <v>46056.416666666599</v>
      </c>
      <c r="D13" s="65">
        <f ca="1">IFERROR(__xludf.DUMMYFUNCTION("""COMPUTED_VALUE"""),537.41)</f>
        <v>537.41</v>
      </c>
      <c r="E13" s="17" t="str">
        <f ca="1">IFERROR(__xludf.DUMMYFUNCTION("""COMPUTED_VALUE"""),"MXN")</f>
        <v>MXN</v>
      </c>
      <c r="F13" s="17" t="str">
        <f ca="1">IFERROR(__xludf.DUMMYFUNCTION("""COMPUTED_VALUE"""),"Jose Rosas Ortiz")</f>
        <v>Jose Rosas Ortiz</v>
      </c>
      <c r="G13" s="17" t="str">
        <f ca="1">IFERROR(__xludf.DUMMYFUNCTION("""COMPUTED_VALUE"""),"WELCOME TO LV          LAS VEGAS     USA")</f>
        <v>WELCOME TO LV          LAS VEGAS     USA</v>
      </c>
      <c r="H13" s="17" t="str">
        <f ca="1">IFERROR(__xludf.DUMMYFUNCTION("""COMPUTED_VALUE"""),"Welcome To Lv Las Vegas USA")</f>
        <v>Welcome To Lv Las Vegas USA</v>
      </c>
      <c r="I13" s="17" t="str">
        <f ca="1">IFERROR(__xludf.DUMMYFUNCTION("""COMPUTED_VALUE"""),"Sales")</f>
        <v>Sales</v>
      </c>
      <c r="J13" s="17" t="str">
        <f ca="1">IFERROR(__xludf.DUMMYFUNCTION("""COMPUTED_VALUE"""),"IMESA")</f>
        <v>IMESA</v>
      </c>
      <c r="K13" s="17" t="str">
        <f ca="1">IFERROR(__xludf.DUMMYFUNCTION("""COMPUTED_VALUE"""),"Invoice")</f>
        <v>Invoice</v>
      </c>
      <c r="L13" s="17"/>
      <c r="M13" s="17"/>
      <c r="N13" s="17"/>
      <c r="O13" s="17"/>
    </row>
    <row r="14" spans="1:15" ht="15.75" customHeight="1">
      <c r="A14" s="24" t="str">
        <f ca="1">IFERROR(__xludf.DUMMYFUNCTION("""COMPUTED_VALUE"""),"TRX1280")</f>
        <v>TRX1280</v>
      </c>
      <c r="B14" s="86" t="str">
        <f ca="1">IFERROR(__xludf.DUMMYFUNCTION("""COMPUTED_VALUE"""),"#58")</f>
        <v>#58</v>
      </c>
      <c r="C14" s="63">
        <f ca="1">IFERROR(__xludf.DUMMYFUNCTION("""COMPUTED_VALUE"""),46056.4166666666)</f>
        <v>46056.416666666599</v>
      </c>
      <c r="D14" s="65">
        <f ca="1">IFERROR(__xludf.DUMMYFUNCTION("""COMPUTED_VALUE"""),453.95)</f>
        <v>453.95</v>
      </c>
      <c r="E14" s="17" t="str">
        <f ca="1">IFERROR(__xludf.DUMMYFUNCTION("""COMPUTED_VALUE"""),"USD")</f>
        <v>USD</v>
      </c>
      <c r="F14" s="17" t="str">
        <f ca="1">IFERROR(__xludf.DUMMYFUNCTION("""COMPUTED_VALUE"""),"Jose Rosas Ortiz")</f>
        <v>Jose Rosas Ortiz</v>
      </c>
      <c r="G14" s="17" t="str">
        <f ca="1">IFERROR(__xludf.DUMMYFUNCTION("""COMPUTED_VALUE"""),"NAYAX PARKING          Reno          USA")</f>
        <v>NAYAX PARKING          Reno          USA</v>
      </c>
      <c r="H14" s="17" t="str">
        <f ca="1">IFERROR(__xludf.DUMMYFUNCTION("""COMPUTED_VALUE"""),"Nayax Parking Reno USA")</f>
        <v>Nayax Parking Reno USA</v>
      </c>
      <c r="I14" s="17" t="str">
        <f ca="1">IFERROR(__xludf.DUMMYFUNCTION("""COMPUTED_VALUE"""),"Sales")</f>
        <v>Sales</v>
      </c>
      <c r="J14" s="17" t="str">
        <f ca="1">IFERROR(__xludf.DUMMYFUNCTION("""COMPUTED_VALUE"""),"IMESA")</f>
        <v>IMESA</v>
      </c>
      <c r="K14" s="17" t="str">
        <f ca="1">IFERROR(__xludf.DUMMYFUNCTION("""COMPUTED_VALUE"""),"Invoice")</f>
        <v>Invoice</v>
      </c>
      <c r="L14" s="17"/>
      <c r="M14" s="17"/>
      <c r="N14" s="17"/>
      <c r="O14" s="17"/>
    </row>
    <row r="15" spans="1:15" ht="15.75" customHeight="1">
      <c r="A15" s="24" t="str">
        <f ca="1">IFERROR(__xludf.DUMMYFUNCTION("""COMPUTED_VALUE"""),"TRX1278")</f>
        <v>TRX1278</v>
      </c>
      <c r="B15" s="86" t="str">
        <f ca="1">IFERROR(__xludf.DUMMYFUNCTION("""COMPUTED_VALUE"""),"#58")</f>
        <v>#58</v>
      </c>
      <c r="C15" s="63">
        <f ca="1">IFERROR(__xludf.DUMMYFUNCTION("""COMPUTED_VALUE"""),46056.4166666666)</f>
        <v>46056.416666666599</v>
      </c>
      <c r="D15" s="65">
        <f ca="1">IFERROR(__xludf.DUMMYFUNCTION("""COMPUTED_VALUE"""),1852.27)</f>
        <v>1852.27</v>
      </c>
      <c r="E15" s="17" t="str">
        <f ca="1">IFERROR(__xludf.DUMMYFUNCTION("""COMPUTED_VALUE"""),"USD")</f>
        <v>USD</v>
      </c>
      <c r="F15" s="17" t="str">
        <f ca="1">IFERROR(__xludf.DUMMYFUNCTION("""COMPUTED_VALUE"""),"Jose Rosas Ortiz")</f>
        <v>Jose Rosas Ortiz</v>
      </c>
      <c r="G15" s="17" t="str">
        <f ca="1">IFERROR(__xludf.DUMMYFUNCTION("""COMPUTED_VALUE"""),"VOLARIS                VOLARIS.COM   GBR")</f>
        <v>VOLARIS                VOLARIS.COM   GBR</v>
      </c>
      <c r="H15" s="17" t="str">
        <f ca="1">IFERROR(__xludf.DUMMYFUNCTION("""COMPUTED_VALUE"""),"Volaris")</f>
        <v>Volaris</v>
      </c>
      <c r="I15" s="17" t="str">
        <f ca="1">IFERROR(__xludf.DUMMYFUNCTION("""COMPUTED_VALUE"""),"Sales")</f>
        <v>Sales</v>
      </c>
      <c r="J15" s="17" t="str">
        <f ca="1">IFERROR(__xludf.DUMMYFUNCTION("""COMPUTED_VALUE"""),"IMESA")</f>
        <v>IMESA</v>
      </c>
      <c r="K15" s="17" t="str">
        <f ca="1">IFERROR(__xludf.DUMMYFUNCTION("""COMPUTED_VALUE"""),"Invoice")</f>
        <v>Invoice</v>
      </c>
      <c r="L15" s="17"/>
      <c r="M15" s="17"/>
      <c r="N15" s="17"/>
      <c r="O15" s="17"/>
    </row>
    <row r="16" spans="1:15" ht="15.75" customHeight="1">
      <c r="A16" s="17" t="str">
        <f ca="1">IFERROR(__xludf.DUMMYFUNCTION("""COMPUTED_VALUE"""),"TRX1273")</f>
        <v>TRX1273</v>
      </c>
      <c r="B16" s="86" t="str">
        <f ca="1">IFERROR(__xludf.DUMMYFUNCTION("""COMPUTED_VALUE"""),"#58")</f>
        <v>#58</v>
      </c>
      <c r="C16" s="63">
        <f ca="1">IFERROR(__xludf.DUMMYFUNCTION("""COMPUTED_VALUE"""),46057.4166666666)</f>
        <v>46057.416666666599</v>
      </c>
      <c r="D16" s="65">
        <f ca="1">IFERROR(__xludf.DUMMYFUNCTION("""COMPUTED_VALUE"""),90.79)</f>
        <v>90.79</v>
      </c>
      <c r="E16" s="17" t="str">
        <f ca="1">IFERROR(__xludf.DUMMYFUNCTION("""COMPUTED_VALUE"""),"USD")</f>
        <v>USD</v>
      </c>
      <c r="F16" s="17" t="str">
        <f ca="1">IFERROR(__xludf.DUMMYFUNCTION("""COMPUTED_VALUE"""),"Jose Rosas Ortiz")</f>
        <v>Jose Rosas Ortiz</v>
      </c>
      <c r="G16" s="17" t="str">
        <f ca="1">IFERROR(__xludf.DUMMYFUNCTION("""COMPUTED_VALUE"""),"4930 LVNPO             LAS VEGAS     USA")</f>
        <v>4930 LVNPO             LAS VEGAS     USA</v>
      </c>
      <c r="H16" s="17" t="str">
        <f ca="1">IFERROR(__xludf.DUMMYFUNCTION("""COMPUTED_VALUE"""),"4930 Lvnpo Las Vegas USA")</f>
        <v>4930 Lvnpo Las Vegas USA</v>
      </c>
      <c r="I16" s="17" t="str">
        <f ca="1">IFERROR(__xludf.DUMMYFUNCTION("""COMPUTED_VALUE"""),"Sales")</f>
        <v>Sales</v>
      </c>
      <c r="J16" s="17" t="str">
        <f ca="1">IFERROR(__xludf.DUMMYFUNCTION("""COMPUTED_VALUE"""),"IMESA")</f>
        <v>IMESA</v>
      </c>
      <c r="K16" s="17" t="str">
        <f ca="1">IFERROR(__xludf.DUMMYFUNCTION("""COMPUTED_VALUE"""),"Invoice")</f>
        <v>Invoice</v>
      </c>
      <c r="L16" s="17"/>
      <c r="M16" s="17"/>
      <c r="N16" s="17"/>
      <c r="O16" s="17"/>
    </row>
    <row r="17" spans="1:15" ht="15.75" customHeight="1">
      <c r="A17" s="17" t="str">
        <f ca="1">IFERROR(__xludf.DUMMYFUNCTION("""COMPUTED_VALUE"""),"TRX1269")</f>
        <v>TRX1269</v>
      </c>
      <c r="B17" s="86" t="str">
        <f ca="1">IFERROR(__xludf.DUMMYFUNCTION("""COMPUTED_VALUE"""),"#58")</f>
        <v>#58</v>
      </c>
      <c r="C17" s="63">
        <f ca="1">IFERROR(__xludf.DUMMYFUNCTION("""COMPUTED_VALUE"""),46057.4166666666)</f>
        <v>46057.416666666599</v>
      </c>
      <c r="D17" s="65">
        <f ca="1">IFERROR(__xludf.DUMMYFUNCTION("""COMPUTED_VALUE"""),181.94)</f>
        <v>181.94</v>
      </c>
      <c r="E17" s="17" t="str">
        <f ca="1">IFERROR(__xludf.DUMMYFUNCTION("""COMPUTED_VALUE"""),"USD")</f>
        <v>USD</v>
      </c>
      <c r="F17" s="17" t="str">
        <f ca="1">IFERROR(__xludf.DUMMYFUNCTION("""COMPUTED_VALUE"""),"Jose Rosas Ortiz")</f>
        <v>Jose Rosas Ortiz</v>
      </c>
      <c r="G17" s="17" t="str">
        <f ca="1">IFERROR(__xludf.DUMMYFUNCTION("""COMPUTED_VALUE"""),"IN-N-OUT LINQ          LAS VEGAS     USA")</f>
        <v>IN-N-OUT LINQ          LAS VEGAS     USA</v>
      </c>
      <c r="H17" s="17" t="str">
        <f ca="1">IFERROR(__xludf.DUMMYFUNCTION("""COMPUTED_VALUE"""),"In N Out Linq Las Vegas USA")</f>
        <v>In N Out Linq Las Vegas USA</v>
      </c>
      <c r="I17" s="17" t="str">
        <f ca="1">IFERROR(__xludf.DUMMYFUNCTION("""COMPUTED_VALUE"""),"Sales")</f>
        <v>Sales</v>
      </c>
      <c r="J17" s="17" t="str">
        <f ca="1">IFERROR(__xludf.DUMMYFUNCTION("""COMPUTED_VALUE"""),"IMESA")</f>
        <v>IMESA</v>
      </c>
      <c r="K17" s="17" t="str">
        <f ca="1">IFERROR(__xludf.DUMMYFUNCTION("""COMPUTED_VALUE"""),"Invoice")</f>
        <v>Invoice</v>
      </c>
      <c r="L17" s="17"/>
      <c r="M17" s="17"/>
      <c r="N17" s="17"/>
      <c r="O17" s="17"/>
    </row>
    <row r="18" spans="1:15" ht="15.75" customHeight="1">
      <c r="A18" s="17" t="str">
        <f ca="1">IFERROR(__xludf.DUMMYFUNCTION("""COMPUTED_VALUE"""),"TRX1265")</f>
        <v>TRX1265</v>
      </c>
      <c r="B18" s="86" t="str">
        <f ca="1">IFERROR(__xludf.DUMMYFUNCTION("""COMPUTED_VALUE"""),"#58")</f>
        <v>#58</v>
      </c>
      <c r="C18" s="63">
        <f ca="1">IFERROR(__xludf.DUMMYFUNCTION("""COMPUTED_VALUE"""),46057.4166666666)</f>
        <v>46057.416666666599</v>
      </c>
      <c r="D18" s="65">
        <f ca="1">IFERROR(__xludf.DUMMYFUNCTION("""COMPUTED_VALUE"""),273.27)</f>
        <v>273.27</v>
      </c>
      <c r="E18" s="17" t="str">
        <f ca="1">IFERROR(__xludf.DUMMYFUNCTION("""COMPUTED_VALUE"""),"USD")</f>
        <v>USD</v>
      </c>
      <c r="F18" s="17" t="str">
        <f ca="1">IFERROR(__xludf.DUMMYFUNCTION("""COMPUTED_VALUE"""),"Jose Rosas Ortiz")</f>
        <v>Jose Rosas Ortiz</v>
      </c>
      <c r="G18" s="17" t="str">
        <f ca="1">IFERROR(__xludf.DUMMYFUNCTION("""COMPUTED_VALUE"""),"DOLLAR-GENERAL MKT #12 LAS VEGAS     USA")</f>
        <v>DOLLAR-GENERAL MKT #12 LAS VEGAS     USA</v>
      </c>
      <c r="H18" s="17" t="str">
        <f ca="1">IFERROR(__xludf.DUMMYFUNCTION("""COMPUTED_VALUE"""),"Dollar General")</f>
        <v>Dollar General</v>
      </c>
      <c r="I18" s="17" t="str">
        <f ca="1">IFERROR(__xludf.DUMMYFUNCTION("""COMPUTED_VALUE"""),"Sales")</f>
        <v>Sales</v>
      </c>
      <c r="J18" s="17" t="str">
        <f ca="1">IFERROR(__xludf.DUMMYFUNCTION("""COMPUTED_VALUE"""),"IMESA")</f>
        <v>IMESA</v>
      </c>
      <c r="K18" s="17" t="str">
        <f ca="1">IFERROR(__xludf.DUMMYFUNCTION("""COMPUTED_VALUE"""),"Invoice")</f>
        <v>Invoice</v>
      </c>
      <c r="L18" s="17"/>
      <c r="M18" s="17"/>
      <c r="N18" s="17"/>
      <c r="O18" s="17"/>
    </row>
    <row r="19" spans="1:15" ht="15.75" customHeight="1">
      <c r="A19" s="17" t="str">
        <f ca="1">IFERROR(__xludf.DUMMYFUNCTION("""COMPUTED_VALUE"""),"TRX1264")</f>
        <v>TRX1264</v>
      </c>
      <c r="B19" s="86" t="str">
        <f ca="1">IFERROR(__xludf.DUMMYFUNCTION("""COMPUTED_VALUE"""),"#58")</f>
        <v>#58</v>
      </c>
      <c r="C19" s="63">
        <f ca="1">IFERROR(__xludf.DUMMYFUNCTION("""COMPUTED_VALUE"""),46057.4166666666)</f>
        <v>46057.416666666599</v>
      </c>
      <c r="D19" s="65">
        <f ca="1">IFERROR(__xludf.DUMMYFUNCTION("""COMPUTED_VALUE"""),604.1)</f>
        <v>604.1</v>
      </c>
      <c r="E19" s="17" t="str">
        <f ca="1">IFERROR(__xludf.DUMMYFUNCTION("""COMPUTED_VALUE"""),"USD")</f>
        <v>USD</v>
      </c>
      <c r="F19" s="17" t="str">
        <f ca="1">IFERROR(__xludf.DUMMYFUNCTION("""COMPUTED_VALUE"""),"Jose Rosas Ortiz")</f>
        <v>Jose Rosas Ortiz</v>
      </c>
      <c r="G19" s="17" t="str">
        <f ca="1">IFERROR(__xludf.DUMMYFUNCTION("""COMPUTED_VALUE"""),"LAS VEGAS CONVENTION C LAS VEGAS     USA")</f>
        <v>LAS VEGAS CONVENTION C LAS VEGAS     USA</v>
      </c>
      <c r="H19" s="17" t="str">
        <f ca="1">IFERROR(__xludf.DUMMYFUNCTION("""COMPUTED_VALUE"""),"Las Vegas Convention C Las Vegas USA")</f>
        <v>Las Vegas Convention C Las Vegas USA</v>
      </c>
      <c r="I19" s="17" t="str">
        <f ca="1">IFERROR(__xludf.DUMMYFUNCTION("""COMPUTED_VALUE"""),"Sales")</f>
        <v>Sales</v>
      </c>
      <c r="J19" s="17" t="str">
        <f ca="1">IFERROR(__xludf.DUMMYFUNCTION("""COMPUTED_VALUE"""),"IMESA")</f>
        <v>IMESA</v>
      </c>
      <c r="K19" s="17" t="str">
        <f ca="1">IFERROR(__xludf.DUMMYFUNCTION("""COMPUTED_VALUE"""),"Invoice")</f>
        <v>Invoice</v>
      </c>
      <c r="L19" s="17"/>
      <c r="M19" s="17"/>
      <c r="N19" s="17"/>
      <c r="O19" s="17"/>
    </row>
    <row r="20" spans="1:15" ht="12.5">
      <c r="A20" s="17" t="str">
        <f ca="1">IFERROR(__xludf.DUMMYFUNCTION("""COMPUTED_VALUE"""),"TRX1263")</f>
        <v>TRX1263</v>
      </c>
      <c r="B20" s="86" t="str">
        <f ca="1">IFERROR(__xludf.DUMMYFUNCTION("""COMPUTED_VALUE"""),"#58")</f>
        <v>#58</v>
      </c>
      <c r="C20" s="63">
        <f ca="1">IFERROR(__xludf.DUMMYFUNCTION("""COMPUTED_VALUE"""),46057.4166666666)</f>
        <v>46057.416666666599</v>
      </c>
      <c r="D20" s="65">
        <f ca="1">IFERROR(__xludf.DUMMYFUNCTION("""COMPUTED_VALUE"""),389.66)</f>
        <v>389.66</v>
      </c>
      <c r="E20" s="17" t="str">
        <f ca="1">IFERROR(__xludf.DUMMYFUNCTION("""COMPUTED_VALUE"""),"USD")</f>
        <v>USD</v>
      </c>
      <c r="F20" s="17" t="str">
        <f ca="1">IFERROR(__xludf.DUMMYFUNCTION("""COMPUTED_VALUE"""),"Jose Rosas Ortiz")</f>
        <v>Jose Rosas Ortiz</v>
      </c>
      <c r="G20" s="17" t="str">
        <f ca="1">IFERROR(__xludf.DUMMYFUNCTION("""COMPUTED_VALUE"""),"LAS VEGAS CONVENTION C LAS VEGAS     USA")</f>
        <v>LAS VEGAS CONVENTION C LAS VEGAS     USA</v>
      </c>
      <c r="H20" s="17" t="str">
        <f ca="1">IFERROR(__xludf.DUMMYFUNCTION("""COMPUTED_VALUE"""),"Las Vegas Convention C Las Vegas USA")</f>
        <v>Las Vegas Convention C Las Vegas USA</v>
      </c>
      <c r="I20" s="17" t="str">
        <f ca="1">IFERROR(__xludf.DUMMYFUNCTION("""COMPUTED_VALUE"""),"Sales")</f>
        <v>Sales</v>
      </c>
      <c r="J20" s="17" t="str">
        <f ca="1">IFERROR(__xludf.DUMMYFUNCTION("""COMPUTED_VALUE"""),"IMESA")</f>
        <v>IMESA</v>
      </c>
      <c r="K20" s="17" t="str">
        <f ca="1">IFERROR(__xludf.DUMMYFUNCTION("""COMPUTED_VALUE"""),"Invoice")</f>
        <v>Invoice</v>
      </c>
      <c r="L20" s="17"/>
      <c r="M20" s="17"/>
      <c r="N20" s="17"/>
      <c r="O20" s="17"/>
    </row>
    <row r="21" spans="1:15" ht="12.5">
      <c r="A21" s="17" t="str">
        <f ca="1">IFERROR(__xludf.DUMMYFUNCTION("""COMPUTED_VALUE"""),"TRX1195")</f>
        <v>TRX1195</v>
      </c>
      <c r="B21" s="86" t="str">
        <f ca="1">IFERROR(__xludf.DUMMYFUNCTION("""COMPUTED_VALUE"""),"#58")</f>
        <v>#58</v>
      </c>
      <c r="C21" s="63">
        <f ca="1">IFERROR(__xludf.DUMMYFUNCTION("""COMPUTED_VALUE"""),46058.4173611111)</f>
        <v>46058.417361111096</v>
      </c>
      <c r="D21" s="65">
        <f ca="1">IFERROR(__xludf.DUMMYFUNCTION("""COMPUTED_VALUE"""),363.15)</f>
        <v>363.15</v>
      </c>
      <c r="E21" s="17" t="str">
        <f ca="1">IFERROR(__xludf.DUMMYFUNCTION("""COMPUTED_VALUE"""),"USD")</f>
        <v>USD</v>
      </c>
      <c r="F21" s="17" t="str">
        <f ca="1">IFERROR(__xludf.DUMMYFUNCTION("""COMPUTED_VALUE"""),"Jose Rosas Ortiz")</f>
        <v>Jose Rosas Ortiz</v>
      </c>
      <c r="G21" s="17" t="str">
        <f ca="1">IFERROR(__xludf.DUMMYFUNCTION("""COMPUTED_VALUE"""),"COSMOPOL-SELF PARKIN   LAS VEGAS     USA")</f>
        <v>COSMOPOL-SELF PARKIN   LAS VEGAS     USA</v>
      </c>
      <c r="H21" s="17" t="str">
        <f ca="1">IFERROR(__xludf.DUMMYFUNCTION("""COMPUTED_VALUE"""),"Cosmopol Self Parkin Las Vegas USA")</f>
        <v>Cosmopol Self Parkin Las Vegas USA</v>
      </c>
      <c r="I21" s="17" t="str">
        <f ca="1">IFERROR(__xludf.DUMMYFUNCTION("""COMPUTED_VALUE"""),"Sales")</f>
        <v>Sales</v>
      </c>
      <c r="J21" s="17" t="str">
        <f ca="1">IFERROR(__xludf.DUMMYFUNCTION("""COMPUTED_VALUE"""),"IMESA")</f>
        <v>IMESA</v>
      </c>
      <c r="K21" s="17" t="str">
        <f ca="1">IFERROR(__xludf.DUMMYFUNCTION("""COMPUTED_VALUE"""),"Invoice")</f>
        <v>Invoice</v>
      </c>
      <c r="L21" s="17"/>
      <c r="M21" s="17"/>
      <c r="N21" s="17"/>
      <c r="O21" s="17"/>
    </row>
    <row r="22" spans="1:15" ht="12.5">
      <c r="A22" s="17" t="str">
        <f ca="1">IFERROR(__xludf.DUMMYFUNCTION("""COMPUTED_VALUE"""),"TRX1192")</f>
        <v>TRX1192</v>
      </c>
      <c r="B22" s="86" t="str">
        <f ca="1">IFERROR(__xludf.DUMMYFUNCTION("""COMPUTED_VALUE"""),"#58")</f>
        <v>#58</v>
      </c>
      <c r="C22" s="63">
        <f ca="1">IFERROR(__xludf.DUMMYFUNCTION("""COMPUTED_VALUE"""),46058.4180555555)</f>
        <v>46058.418055555499</v>
      </c>
      <c r="D22" s="65">
        <f ca="1">IFERROR(__xludf.DUMMYFUNCTION("""COMPUTED_VALUE"""),272.37)</f>
        <v>272.37</v>
      </c>
      <c r="E22" s="17" t="str">
        <f ca="1">IFERROR(__xludf.DUMMYFUNCTION("""COMPUTED_VALUE"""),"USD")</f>
        <v>USD</v>
      </c>
      <c r="F22" s="17" t="str">
        <f ca="1">IFERROR(__xludf.DUMMYFUNCTION("""COMPUTED_VALUE"""),"Jose Rosas Ortiz")</f>
        <v>Jose Rosas Ortiz</v>
      </c>
      <c r="G22" s="17" t="str">
        <f ca="1">IFERROR(__xludf.DUMMYFUNCTION("""COMPUTED_VALUE"""),"SQ *LAS VEGAS CONVENTI Las Vegas     USA")</f>
        <v>SQ *LAS VEGAS CONVENTI Las Vegas     USA</v>
      </c>
      <c r="H22" s="17" t="str">
        <f ca="1">IFERROR(__xludf.DUMMYFUNCTION("""COMPUTED_VALUE"""),"Las Vegas Conventi Las Vegas USA")</f>
        <v>Las Vegas Conventi Las Vegas USA</v>
      </c>
      <c r="I22" s="17" t="str">
        <f ca="1">IFERROR(__xludf.DUMMYFUNCTION("""COMPUTED_VALUE"""),"Sales")</f>
        <v>Sales</v>
      </c>
      <c r="J22" s="17" t="str">
        <f ca="1">IFERROR(__xludf.DUMMYFUNCTION("""COMPUTED_VALUE"""),"IMESA")</f>
        <v>IMESA</v>
      </c>
      <c r="K22" s="17" t="str">
        <f ca="1">IFERROR(__xludf.DUMMYFUNCTION("""COMPUTED_VALUE"""),"Invoice")</f>
        <v>Invoice</v>
      </c>
      <c r="L22" s="17"/>
      <c r="M22" s="17"/>
      <c r="N22" s="17"/>
      <c r="O22" s="17"/>
    </row>
    <row r="23" spans="1:15" ht="12.5">
      <c r="A23" s="17" t="str">
        <f ca="1">IFERROR(__xludf.DUMMYFUNCTION("""COMPUTED_VALUE"""),"TRX1190")</f>
        <v>TRX1190</v>
      </c>
      <c r="B23" s="86" t="str">
        <f ca="1">IFERROR(__xludf.DUMMYFUNCTION("""COMPUTED_VALUE"""),"#58")</f>
        <v>#58</v>
      </c>
      <c r="C23" s="63">
        <f ca="1">IFERROR(__xludf.DUMMYFUNCTION("""COMPUTED_VALUE"""),46058.4180555555)</f>
        <v>46058.418055555499</v>
      </c>
      <c r="D23" s="65">
        <f ca="1">IFERROR(__xludf.DUMMYFUNCTION("""COMPUTED_VALUE"""),627.71)</f>
        <v>627.71</v>
      </c>
      <c r="E23" s="17" t="str">
        <f ca="1">IFERROR(__xludf.DUMMYFUNCTION("""COMPUTED_VALUE"""),"USD")</f>
        <v>USD</v>
      </c>
      <c r="F23" s="17" t="str">
        <f ca="1">IFERROR(__xludf.DUMMYFUNCTION("""COMPUTED_VALUE"""),"Jose Rosas Ortiz")</f>
        <v>Jose Rosas Ortiz</v>
      </c>
      <c r="G23" s="17" t="str">
        <f ca="1">IFERROR(__xludf.DUMMYFUNCTION("""COMPUTED_VALUE"""),"TARGET T-0265          LAS VEGAS     USA")</f>
        <v>TARGET T-0265          LAS VEGAS     USA</v>
      </c>
      <c r="H23" s="17" t="str">
        <f ca="1">IFERROR(__xludf.DUMMYFUNCTION("""COMPUTED_VALUE"""),"Target")</f>
        <v>Target</v>
      </c>
      <c r="I23" s="17" t="str">
        <f ca="1">IFERROR(__xludf.DUMMYFUNCTION("""COMPUTED_VALUE"""),"Sales")</f>
        <v>Sales</v>
      </c>
      <c r="J23" s="17" t="str">
        <f ca="1">IFERROR(__xludf.DUMMYFUNCTION("""COMPUTED_VALUE"""),"IMESA")</f>
        <v>IMESA</v>
      </c>
      <c r="K23" s="17" t="str">
        <f ca="1">IFERROR(__xludf.DUMMYFUNCTION("""COMPUTED_VALUE"""),"Invoice")</f>
        <v>Invoice</v>
      </c>
      <c r="L23" s="17"/>
      <c r="M23" s="17"/>
      <c r="N23" s="17"/>
      <c r="O23" s="17"/>
    </row>
    <row r="24" spans="1:15" ht="12.5">
      <c r="A24" s="17" t="str">
        <f ca="1">IFERROR(__xludf.DUMMYFUNCTION("""COMPUTED_VALUE"""),"TRX1189")</f>
        <v>TRX1189</v>
      </c>
      <c r="B24" s="86" t="str">
        <f ca="1">IFERROR(__xludf.DUMMYFUNCTION("""COMPUTED_VALUE"""),"#58")</f>
        <v>#58</v>
      </c>
      <c r="C24" s="63">
        <f ca="1">IFERROR(__xludf.DUMMYFUNCTION("""COMPUTED_VALUE"""),46058.4180555555)</f>
        <v>46058.418055555499</v>
      </c>
      <c r="D24" s="65">
        <f ca="1">IFERROR(__xludf.DUMMYFUNCTION("""COMPUTED_VALUE"""),95.88)</f>
        <v>95.88</v>
      </c>
      <c r="E24" s="17" t="str">
        <f ca="1">IFERROR(__xludf.DUMMYFUNCTION("""COMPUTED_VALUE"""),"USD")</f>
        <v>USD</v>
      </c>
      <c r="F24" s="17" t="str">
        <f ca="1">IFERROR(__xludf.DUMMYFUNCTION("""COMPUTED_VALUE"""),"Jose Rosas Ortiz")</f>
        <v>Jose Rosas Ortiz</v>
      </c>
      <c r="G24" s="17" t="str">
        <f ca="1">IFERROR(__xludf.DUMMYFUNCTION("""COMPUTED_VALUE"""),"TARGET T-0265          LAS VEGAS     USA")</f>
        <v>TARGET T-0265          LAS VEGAS     USA</v>
      </c>
      <c r="H24" s="17" t="str">
        <f ca="1">IFERROR(__xludf.DUMMYFUNCTION("""COMPUTED_VALUE"""),"Target")</f>
        <v>Target</v>
      </c>
      <c r="I24" s="17" t="str">
        <f ca="1">IFERROR(__xludf.DUMMYFUNCTION("""COMPUTED_VALUE"""),"Sales")</f>
        <v>Sales</v>
      </c>
      <c r="J24" s="17" t="str">
        <f ca="1">IFERROR(__xludf.DUMMYFUNCTION("""COMPUTED_VALUE"""),"IMESA")</f>
        <v>IMESA</v>
      </c>
      <c r="K24" s="17" t="str">
        <f ca="1">IFERROR(__xludf.DUMMYFUNCTION("""COMPUTED_VALUE"""),"Invoice")</f>
        <v>Invoice</v>
      </c>
      <c r="L24" s="17"/>
      <c r="M24" s="17"/>
      <c r="N24" s="17"/>
      <c r="O24" s="17"/>
    </row>
    <row r="25" spans="1:15" ht="12.5">
      <c r="A25" s="17" t="str">
        <f ca="1">IFERROR(__xludf.DUMMYFUNCTION("""COMPUTED_VALUE"""),"TRX1187")</f>
        <v>TRX1187</v>
      </c>
      <c r="B25" s="86" t="str">
        <f ca="1">IFERROR(__xludf.DUMMYFUNCTION("""COMPUTED_VALUE"""),"#58")</f>
        <v>#58</v>
      </c>
      <c r="C25" s="63">
        <f ca="1">IFERROR(__xludf.DUMMYFUNCTION("""COMPUTED_VALUE"""),46058.4180555555)</f>
        <v>46058.418055555499</v>
      </c>
      <c r="D25" s="65">
        <f ca="1">IFERROR(__xludf.DUMMYFUNCTION("""COMPUTED_VALUE"""),363.15)</f>
        <v>363.15</v>
      </c>
      <c r="E25" s="17" t="str">
        <f ca="1">IFERROR(__xludf.DUMMYFUNCTION("""COMPUTED_VALUE"""),"USD")</f>
        <v>USD</v>
      </c>
      <c r="F25" s="17" t="str">
        <f ca="1">IFERROR(__xludf.DUMMYFUNCTION("""COMPUTED_VALUE"""),"Jose Rosas Ortiz")</f>
        <v>Jose Rosas Ortiz</v>
      </c>
      <c r="G25" s="17" t="str">
        <f ca="1">IFERROR(__xludf.DUMMYFUNCTION("""COMPUTED_VALUE"""),"VENETIAN RESORT PARKIN LAS VEGAS     USA")</f>
        <v>VENETIAN RESORT PARKIN LAS VEGAS     USA</v>
      </c>
      <c r="H25" s="17" t="str">
        <f ca="1">IFERROR(__xludf.DUMMYFUNCTION("""COMPUTED_VALUE"""),"Venetian Resort Parkin Las Vegas USA")</f>
        <v>Venetian Resort Parkin Las Vegas USA</v>
      </c>
      <c r="I25" s="17" t="str">
        <f ca="1">IFERROR(__xludf.DUMMYFUNCTION("""COMPUTED_VALUE"""),"Sales")</f>
        <v>Sales</v>
      </c>
      <c r="J25" s="17" t="str">
        <f ca="1">IFERROR(__xludf.DUMMYFUNCTION("""COMPUTED_VALUE"""),"IMESA")</f>
        <v>IMESA</v>
      </c>
      <c r="K25" s="17" t="str">
        <f ca="1">IFERROR(__xludf.DUMMYFUNCTION("""COMPUTED_VALUE"""),"Invoice")</f>
        <v>Invoice</v>
      </c>
      <c r="L25" s="17"/>
      <c r="M25" s="17"/>
      <c r="N25" s="17"/>
      <c r="O25" s="17"/>
    </row>
    <row r="26" spans="1:15" ht="12.5">
      <c r="A26" s="17" t="str">
        <f ca="1">IFERROR(__xludf.DUMMYFUNCTION("""COMPUTED_VALUE"""),"TRX1658")</f>
        <v>TRX1658</v>
      </c>
      <c r="B26" s="86" t="str">
        <f ca="1">IFERROR(__xludf.DUMMYFUNCTION("""COMPUTED_VALUE"""),"#58")</f>
        <v>#58</v>
      </c>
      <c r="C26" s="63">
        <f ca="1">IFERROR(__xludf.DUMMYFUNCTION("""COMPUTED_VALUE"""),46059.4173611111)</f>
        <v>46059.417361111096</v>
      </c>
      <c r="D26" s="65">
        <f ca="1">IFERROR(__xludf.DUMMYFUNCTION("""COMPUTED_VALUE"""),1564)</f>
        <v>1564</v>
      </c>
      <c r="E26" s="65" t="str">
        <f ca="1">IFERROR(__xludf.DUMMYFUNCTION("""COMPUTED_VALUE"""),"MXN")</f>
        <v>MXN</v>
      </c>
      <c r="F26" s="17" t="str">
        <f ca="1">IFERROR(__xludf.DUMMYFUNCTION("""COMPUTED_VALUE"""),"Jose Rosas Ortiz")</f>
        <v>Jose Rosas Ortiz</v>
      </c>
      <c r="G26" s="17" t="str">
        <f ca="1">IFERROR(__xludf.DUMMYFUNCTION("""COMPUTED_VALUE"""),"AICM TI 5              CIUDAD DE MEX MEX")</f>
        <v>AICM TI 5              CIUDAD DE MEX MEX</v>
      </c>
      <c r="H26" s="17" t="str">
        <f ca="1">IFERROR(__xludf.DUMMYFUNCTION("""COMPUTED_VALUE"""),"Aicm Ti 5 Ciudad De Mex Mex")</f>
        <v>Aicm Ti 5 Ciudad De Mex Mex</v>
      </c>
      <c r="I26" s="17" t="str">
        <f ca="1">IFERROR(__xludf.DUMMYFUNCTION("""COMPUTED_VALUE"""),"Sales")</f>
        <v>Sales</v>
      </c>
      <c r="J26" s="17" t="str">
        <f ca="1">IFERROR(__xludf.DUMMYFUNCTION("""COMPUTED_VALUE"""),"IMESA")</f>
        <v>IMESA</v>
      </c>
      <c r="K26" s="17" t="str">
        <f ca="1">IFERROR(__xludf.DUMMYFUNCTION("""COMPUTED_VALUE"""),"Invoice")</f>
        <v>Invoice</v>
      </c>
      <c r="L26" s="17"/>
      <c r="M26" s="17"/>
      <c r="N26" s="17"/>
      <c r="O26" s="17"/>
    </row>
    <row r="27" spans="1:15" ht="12.5">
      <c r="A27" s="17" t="str">
        <f ca="1">IFERROR(__xludf.DUMMYFUNCTION("""COMPUTED_VALUE"""),"TRX1495")</f>
        <v>TRX1495</v>
      </c>
      <c r="B27" s="86" t="str">
        <f ca="1">IFERROR(__xludf.DUMMYFUNCTION("""COMPUTED_VALUE"""),"#58")</f>
        <v>#58</v>
      </c>
      <c r="C27" s="63">
        <f ca="1">IFERROR(__xludf.DUMMYFUNCTION("""COMPUTED_VALUE"""),46059.4173611111)</f>
        <v>46059.417361111096</v>
      </c>
      <c r="D27" s="65">
        <f ca="1">IFERROR(__xludf.DUMMYFUNCTION("""COMPUTED_VALUE"""),363.15)</f>
        <v>363.15</v>
      </c>
      <c r="E27" s="17" t="str">
        <f ca="1">IFERROR(__xludf.DUMMYFUNCTION("""COMPUTED_VALUE"""),"USD")</f>
        <v>USD</v>
      </c>
      <c r="F27" s="17" t="str">
        <f ca="1">IFERROR(__xludf.DUMMYFUNCTION("""COMPUTED_VALUE"""),"Jose Rosas Ortiz")</f>
        <v>Jose Rosas Ortiz</v>
      </c>
      <c r="G27" s="17" t="str">
        <f ca="1">IFERROR(__xludf.DUMMYFUNCTION("""COMPUTED_VALUE"""),"COSMOPOL-SELF PARKIN   LAS VEGAS     USA")</f>
        <v>COSMOPOL-SELF PARKIN   LAS VEGAS     USA</v>
      </c>
      <c r="H27" s="17" t="str">
        <f ca="1">IFERROR(__xludf.DUMMYFUNCTION("""COMPUTED_VALUE"""),"Cosmopol Self Parkin Las Vegas USA")</f>
        <v>Cosmopol Self Parkin Las Vegas USA</v>
      </c>
      <c r="I27" s="17" t="str">
        <f ca="1">IFERROR(__xludf.DUMMYFUNCTION("""COMPUTED_VALUE"""),"Sales")</f>
        <v>Sales</v>
      </c>
      <c r="J27" s="17" t="str">
        <f ca="1">IFERROR(__xludf.DUMMYFUNCTION("""COMPUTED_VALUE"""),"IMESA")</f>
        <v>IMESA</v>
      </c>
      <c r="K27" s="17" t="str">
        <f ca="1">IFERROR(__xludf.DUMMYFUNCTION("""COMPUTED_VALUE"""),"Invoice")</f>
        <v>Invoice</v>
      </c>
      <c r="L27" s="17"/>
      <c r="M27" s="17"/>
      <c r="N27" s="17"/>
      <c r="O27" s="17"/>
    </row>
    <row r="28" spans="1:15" ht="12.5">
      <c r="A28" s="17" t="str">
        <f ca="1">IFERROR(__xludf.DUMMYFUNCTION("""COMPUTED_VALUE"""),"TRX1089")</f>
        <v>TRX1089</v>
      </c>
      <c r="B28" s="86" t="str">
        <f ca="1">IFERROR(__xludf.DUMMYFUNCTION("""COMPUTED_VALUE"""),"#58")</f>
        <v>#58</v>
      </c>
      <c r="C28" s="63">
        <f ca="1">IFERROR(__xludf.DUMMYFUNCTION("""COMPUTED_VALUE"""),46059.4173611111)</f>
        <v>46059.417361111096</v>
      </c>
      <c r="D28" s="65">
        <f ca="1">IFERROR(__xludf.DUMMYFUNCTION("""COMPUTED_VALUE"""),907.88)</f>
        <v>907.88</v>
      </c>
      <c r="E28" s="17" t="str">
        <f ca="1">IFERROR(__xludf.DUMMYFUNCTION("""COMPUTED_VALUE"""),"USD")</f>
        <v>USD</v>
      </c>
      <c r="F28" s="17" t="str">
        <f ca="1">IFERROR(__xludf.DUMMYFUNCTION("""COMPUTED_VALUE"""),"Jose Rosas Ortiz")</f>
        <v>Jose Rosas Ortiz</v>
      </c>
      <c r="G28" s="17" t="str">
        <f ca="1">IFERROR(__xludf.DUMMYFUNCTION("""COMPUTED_VALUE"""),"SONESTA SIMPLY SUITES  LAS VEGAS     USA")</f>
        <v>SONESTA SIMPLY SUITES  LAS VEGAS     USA</v>
      </c>
      <c r="H28" s="17" t="str">
        <f ca="1">IFERROR(__xludf.DUMMYFUNCTION("""COMPUTED_VALUE"""),"Simply Vegas Real Estate")</f>
        <v>Simply Vegas Real Estate</v>
      </c>
      <c r="I28" s="17" t="str">
        <f ca="1">IFERROR(__xludf.DUMMYFUNCTION("""COMPUTED_VALUE"""),"Sales")</f>
        <v>Sales</v>
      </c>
      <c r="J28" s="17" t="str">
        <f ca="1">IFERROR(__xludf.DUMMYFUNCTION("""COMPUTED_VALUE"""),"IMESA")</f>
        <v>IMESA</v>
      </c>
      <c r="K28" s="17" t="str">
        <f ca="1">IFERROR(__xludf.DUMMYFUNCTION("""COMPUTED_VALUE"""),"Invoice")</f>
        <v>Invoice</v>
      </c>
      <c r="L28" s="17"/>
      <c r="M28" s="17"/>
      <c r="N28" s="17"/>
      <c r="O28" s="17"/>
    </row>
    <row r="29" spans="1:15" ht="12.5">
      <c r="A29" s="17" t="str">
        <f ca="1">IFERROR(__xludf.DUMMYFUNCTION("""COMPUTED_VALUE"""),"TRX1485")</f>
        <v>TRX1485</v>
      </c>
      <c r="B29" s="86" t="str">
        <f ca="1">IFERROR(__xludf.DUMMYFUNCTION("""COMPUTED_VALUE"""),"#58")</f>
        <v>#58</v>
      </c>
      <c r="C29" s="63">
        <f ca="1">IFERROR(__xludf.DUMMYFUNCTION("""COMPUTED_VALUE"""),46059.4173611111)</f>
        <v>46059.417361111096</v>
      </c>
      <c r="D29" s="65">
        <f ca="1">IFERROR(__xludf.DUMMYFUNCTION("""COMPUTED_VALUE"""),490.44)</f>
        <v>490.44</v>
      </c>
      <c r="E29" s="17" t="str">
        <f ca="1">IFERROR(__xludf.DUMMYFUNCTION("""COMPUTED_VALUE"""),"USD")</f>
        <v>USD</v>
      </c>
      <c r="F29" s="17" t="str">
        <f ca="1">IFERROR(__xludf.DUMMYFUNCTION("""COMPUTED_VALUE"""),"Jose Rosas Ortiz")</f>
        <v>Jose Rosas Ortiz</v>
      </c>
      <c r="G29" s="17" t="str">
        <f ca="1">IFERROR(__xludf.DUMMYFUNCTION("""COMPUTED_VALUE"""),"CHICK-FIL-A #04666     LAS VEGAS     USA")</f>
        <v>CHICK-FIL-A #04666     LAS VEGAS     USA</v>
      </c>
      <c r="H29" s="17" t="str">
        <f ca="1">IFERROR(__xludf.DUMMYFUNCTION("""COMPUTED_VALUE"""),"Chick-fil-A")</f>
        <v>Chick-fil-A</v>
      </c>
      <c r="I29" s="17" t="str">
        <f ca="1">IFERROR(__xludf.DUMMYFUNCTION("""COMPUTED_VALUE"""),"Sales")</f>
        <v>Sales</v>
      </c>
      <c r="J29" s="17" t="str">
        <f ca="1">IFERROR(__xludf.DUMMYFUNCTION("""COMPUTED_VALUE"""),"IMESA")</f>
        <v>IMESA</v>
      </c>
      <c r="K29" s="17" t="str">
        <f ca="1">IFERROR(__xludf.DUMMYFUNCTION("""COMPUTED_VALUE"""),"Invoice")</f>
        <v>Invoice</v>
      </c>
      <c r="L29" s="17"/>
      <c r="M29" s="17"/>
      <c r="N29" s="17"/>
      <c r="O29" s="17"/>
    </row>
    <row r="30" spans="1:15" ht="12.5">
      <c r="A30" s="17" t="str">
        <f ca="1">IFERROR(__xludf.DUMMYFUNCTION("""COMPUTED_VALUE"""),"TRX1661")</f>
        <v>TRX1661</v>
      </c>
      <c r="B30" s="86" t="str">
        <f ca="1">IFERROR(__xludf.DUMMYFUNCTION("""COMPUTED_VALUE"""),"#58")</f>
        <v>#58</v>
      </c>
      <c r="C30" s="63">
        <f ca="1">IFERROR(__xludf.DUMMYFUNCTION("""COMPUTED_VALUE"""),46060.4173611111)</f>
        <v>46060.417361111096</v>
      </c>
      <c r="D30" s="65">
        <f ca="1">IFERROR(__xludf.DUMMYFUNCTION("""COMPUTED_VALUE"""),1615.75)</f>
        <v>1615.75</v>
      </c>
      <c r="E30" s="17" t="str">
        <f ca="1">IFERROR(__xludf.DUMMYFUNCTION("""COMPUTED_VALUE"""),"USD")</f>
        <v>USD</v>
      </c>
      <c r="F30" s="17" t="str">
        <f ca="1">IFERROR(__xludf.DUMMYFUNCTION("""COMPUTED_VALUE"""),"Jose Rosas Ortiz")</f>
        <v>Jose Rosas Ortiz</v>
      </c>
      <c r="G30" s="17" t="str">
        <f ca="1">IFERROR(__xludf.DUMMYFUNCTION("""COMPUTED_VALUE"""),"EVOLVE ST2409          LAS VEGAS     USA")</f>
        <v>EVOLVE ST2409          LAS VEGAS     USA</v>
      </c>
      <c r="H30" s="17" t="str">
        <f ca="1">IFERROR(__xludf.DUMMYFUNCTION("""COMPUTED_VALUE"""),"Evolve St2409 Las Vegas USA")</f>
        <v>Evolve St2409 Las Vegas USA</v>
      </c>
      <c r="I30" s="17" t="str">
        <f ca="1">IFERROR(__xludf.DUMMYFUNCTION("""COMPUTED_VALUE"""),"Sales")</f>
        <v>Sales</v>
      </c>
      <c r="J30" s="17" t="str">
        <f ca="1">IFERROR(__xludf.DUMMYFUNCTION("""COMPUTED_VALUE"""),"IMESA")</f>
        <v>IMESA</v>
      </c>
      <c r="K30" s="17" t="str">
        <f ca="1">IFERROR(__xludf.DUMMYFUNCTION("""COMPUTED_VALUE"""),"Invoice")</f>
        <v>Invoice</v>
      </c>
      <c r="L30" s="17"/>
      <c r="M30" s="17"/>
      <c r="N30" s="17"/>
      <c r="O30" s="17"/>
    </row>
    <row r="31" spans="1:15" ht="12.5">
      <c r="A31" s="17" t="str">
        <f ca="1">IFERROR(__xludf.DUMMYFUNCTION("""COMPUTED_VALUE"""),"TRX1275")</f>
        <v>TRX1275</v>
      </c>
      <c r="B31" s="86" t="str">
        <f ca="1">IFERROR(__xludf.DUMMYFUNCTION("""COMPUTED_VALUE"""),"#58")</f>
        <v>#58</v>
      </c>
      <c r="C31" s="63">
        <f ca="1">IFERROR(__xludf.DUMMYFUNCTION("""COMPUTED_VALUE"""),46060.4173611111)</f>
        <v>46060.417361111096</v>
      </c>
      <c r="D31" s="65">
        <f ca="1">IFERROR(__xludf.DUMMYFUNCTION("""COMPUTED_VALUE"""),866.55)</f>
        <v>866.55</v>
      </c>
      <c r="E31" s="17" t="str">
        <f ca="1">IFERROR(__xludf.DUMMYFUNCTION("""COMPUTED_VALUE"""),"USD")</f>
        <v>USD</v>
      </c>
      <c r="F31" s="17" t="str">
        <f ca="1">IFERROR(__xludf.DUMMYFUNCTION("""COMPUTED_VALUE"""),"Jose Rosas Ortiz")</f>
        <v>Jose Rosas Ortiz</v>
      </c>
      <c r="G31" s="17" t="str">
        <f ca="1">IFERROR(__xludf.DUMMYFUNCTION("""COMPUTED_VALUE"""),"20260204T00:00:00/SONESTA SIMPLY SUITES\4034 PARADISE RD\LAS VEGAS    \89169     NV USA")</f>
        <v>20260204T00:00:00/SONESTA SIMPLY SUITES\4034 PARADISE RD\LAS VEGAS    \89169     NV USA</v>
      </c>
      <c r="H31" s="17" t="str">
        <f ca="1">IFERROR(__xludf.DUMMYFUNCTION("""COMPUTED_VALUE"""),"Simply Vegas Real Estate")</f>
        <v>Simply Vegas Real Estate</v>
      </c>
      <c r="I31" s="17" t="str">
        <f ca="1">IFERROR(__xludf.DUMMYFUNCTION("""COMPUTED_VALUE"""),"Sales")</f>
        <v>Sales</v>
      </c>
      <c r="J31" s="17" t="str">
        <f ca="1">IFERROR(__xludf.DUMMYFUNCTION("""COMPUTED_VALUE"""),"IMESA")</f>
        <v>IMESA</v>
      </c>
      <c r="K31" s="17" t="str">
        <f ca="1">IFERROR(__xludf.DUMMYFUNCTION("""COMPUTED_VALUE"""),"Invoice")</f>
        <v>Invoice</v>
      </c>
      <c r="L31" s="17"/>
      <c r="M31" s="17"/>
      <c r="N31" s="17"/>
      <c r="O31" s="17"/>
    </row>
    <row r="32" spans="1:15" ht="12.5">
      <c r="A32" s="17" t="str">
        <f ca="1">IFERROR(__xludf.DUMMYFUNCTION("""COMPUTED_VALUE"""),"TRX1507")</f>
        <v>TRX1507</v>
      </c>
      <c r="B32" s="86" t="str">
        <f ca="1">IFERROR(__xludf.DUMMYFUNCTION("""COMPUTED_VALUE"""),"#58")</f>
        <v>#58</v>
      </c>
      <c r="C32" s="63">
        <f ca="1">IFERROR(__xludf.DUMMYFUNCTION("""COMPUTED_VALUE"""),46061.4173611111)</f>
        <v>46061.417361111096</v>
      </c>
      <c r="D32" s="65">
        <f ca="1">IFERROR(__xludf.DUMMYFUNCTION("""COMPUTED_VALUE"""),2407.32)</f>
        <v>2407.3200000000002</v>
      </c>
      <c r="E32" s="17" t="str">
        <f ca="1">IFERROR(__xludf.DUMMYFUNCTION("""COMPUTED_VALUE"""),"USD")</f>
        <v>USD</v>
      </c>
      <c r="F32" s="17" t="str">
        <f ca="1">IFERROR(__xludf.DUMMYFUNCTION("""COMPUTED_VALUE"""),"Jose Rosas Ortiz")</f>
        <v>Jose Rosas Ortiz</v>
      </c>
      <c r="G32" s="17" t="str">
        <f ca="1">IFERROR(__xludf.DUMMYFUNCTION("""COMPUTED_VALUE"""),"SMARTSHEET INC.        BELLEVUE      USA")</f>
        <v>SMARTSHEET INC.        BELLEVUE      USA</v>
      </c>
      <c r="H32" s="17" t="str">
        <f ca="1">IFERROR(__xludf.DUMMYFUNCTION("""COMPUTED_VALUE"""),"Smartsheet")</f>
        <v>Smartsheet</v>
      </c>
      <c r="I32" s="17" t="str">
        <f ca="1">IFERROR(__xludf.DUMMYFUNCTION("""COMPUTED_VALUE"""),"Sales")</f>
        <v>Sales</v>
      </c>
      <c r="J32" s="17" t="str">
        <f ca="1">IFERROR(__xludf.DUMMYFUNCTION("""COMPUTED_VALUE"""),"IMESA")</f>
        <v>IMESA</v>
      </c>
      <c r="K32" s="17" t="str">
        <f ca="1">IFERROR(__xludf.DUMMYFUNCTION("""COMPUTED_VALUE"""),"Invoice")</f>
        <v>Invoice</v>
      </c>
      <c r="L32" s="17"/>
      <c r="M32" s="17"/>
      <c r="N32" s="17"/>
      <c r="O32" s="17"/>
    </row>
    <row r="33" spans="1:15" ht="12.5">
      <c r="A33" s="17" t="str">
        <f ca="1">IFERROR(__xludf.DUMMYFUNCTION("""COMPUTED_VALUE"""),"TRX1141")</f>
        <v>TRX1141</v>
      </c>
      <c r="B33" s="86" t="str">
        <f ca="1">IFERROR(__xludf.DUMMYFUNCTION("""COMPUTED_VALUE"""),"#58")</f>
        <v>#58</v>
      </c>
      <c r="C33" s="63">
        <f ca="1">IFERROR(__xludf.DUMMYFUNCTION("""COMPUTED_VALUE"""),46062.4166666666)</f>
        <v>46062.416666666599</v>
      </c>
      <c r="D33" s="65">
        <f ca="1">IFERROR(__xludf.DUMMYFUNCTION("""COMPUTED_VALUE"""),2435.67)</f>
        <v>2435.67</v>
      </c>
      <c r="E33" s="17" t="str">
        <f ca="1">IFERROR(__xludf.DUMMYFUNCTION("""COMPUTED_VALUE"""),"USD")</f>
        <v>USD</v>
      </c>
      <c r="F33" s="17" t="str">
        <f ca="1">IFERROR(__xludf.DUMMYFUNCTION("""COMPUTED_VALUE"""),"Jose Rosas Ortiz")</f>
        <v>Jose Rosas Ortiz</v>
      </c>
      <c r="G33" s="17" t="str">
        <f ca="1">IFERROR(__xludf.DUMMYFUNCTION("""COMPUTED_VALUE"""),"SIXT_LV_POS_42299      LAS VEGAS     USA")</f>
        <v>SIXT_LV_POS_42299      LAS VEGAS     USA</v>
      </c>
      <c r="H33" s="17" t="str">
        <f ca="1">IFERROR(__xludf.DUMMYFUNCTION("""COMPUTED_VALUE"""),"Sixt")</f>
        <v>Sixt</v>
      </c>
      <c r="I33" s="17" t="str">
        <f ca="1">IFERROR(__xludf.DUMMYFUNCTION("""COMPUTED_VALUE"""),"Sales")</f>
        <v>Sales</v>
      </c>
      <c r="J33" s="17" t="str">
        <f ca="1">IFERROR(__xludf.DUMMYFUNCTION("""COMPUTED_VALUE"""),"IMESA")</f>
        <v>IMESA</v>
      </c>
      <c r="K33" s="17" t="str">
        <f ca="1">IFERROR(__xludf.DUMMYFUNCTION("""COMPUTED_VALUE"""),"Invoice")</f>
        <v>Invoice</v>
      </c>
      <c r="L33" s="17"/>
      <c r="M33" s="17"/>
      <c r="N33" s="17"/>
      <c r="O33" s="17"/>
    </row>
    <row r="34" spans="1:15" ht="12.5">
      <c r="A34" s="17" t="str">
        <f ca="1">IFERROR(__xludf.DUMMYFUNCTION("""COMPUTED_VALUE"""),"TRX1824")</f>
        <v>TRX1824</v>
      </c>
      <c r="B34" s="86" t="str">
        <f ca="1">IFERROR(__xludf.DUMMYFUNCTION("""COMPUTED_VALUE"""),"#58")</f>
        <v>#58</v>
      </c>
      <c r="C34" s="63">
        <f ca="1">IFERROR(__xludf.DUMMYFUNCTION("""COMPUTED_VALUE"""),46064.4166666666)</f>
        <v>46064.416666666599</v>
      </c>
      <c r="D34" s="65">
        <f ca="1">IFERROR(__xludf.DUMMYFUNCTION("""COMPUTED_VALUE"""),1283.93)</f>
        <v>1283.93</v>
      </c>
      <c r="E34" s="17" t="str">
        <f ca="1">IFERROR(__xludf.DUMMYFUNCTION("""COMPUTED_VALUE"""),"MXN")</f>
        <v>MXN</v>
      </c>
      <c r="F34" s="17" t="str">
        <f ca="1">IFERROR(__xludf.DUMMYFUNCTION("""COMPUTED_VALUE"""),"Jose Rosas Ortiz")</f>
        <v>Jose Rosas Ortiz</v>
      </c>
      <c r="G34" s="17" t="str">
        <f ca="1">IFERROR(__xludf.DUMMYFUNCTION("""COMPUTED_VALUE"""),"GASOL ESTAC MEXIQUEN 2 TOLUCA EM     MEX")</f>
        <v>GASOL ESTAC MEXIQUEN 2 TOLUCA EM     MEX</v>
      </c>
      <c r="H34" s="17" t="str">
        <f ca="1">IFERROR(__xludf.DUMMYFUNCTION("""COMPUTED_VALUE"""),"Gasol Estac Mexiquen 2 Toluca Em Mex")</f>
        <v>Gasol Estac Mexiquen 2 Toluca Em Mex</v>
      </c>
      <c r="I34" s="17" t="str">
        <f ca="1">IFERROR(__xludf.DUMMYFUNCTION("""COMPUTED_VALUE"""),"Sales")</f>
        <v>Sales</v>
      </c>
      <c r="J34" s="17" t="str">
        <f ca="1">IFERROR(__xludf.DUMMYFUNCTION("""COMPUTED_VALUE"""),"IMESA")</f>
        <v>IMESA</v>
      </c>
      <c r="K34" s="17" t="str">
        <f ca="1">IFERROR(__xludf.DUMMYFUNCTION("""COMPUTED_VALUE"""),"Invoice")</f>
        <v>Invoice</v>
      </c>
      <c r="L34" s="17"/>
      <c r="M34" s="17"/>
      <c r="N34" s="17"/>
      <c r="O34" s="17"/>
    </row>
    <row r="35" spans="1:15" ht="12.5">
      <c r="A35" s="17" t="str">
        <f ca="1">IFERROR(__xludf.DUMMYFUNCTION("""COMPUTED_VALUE"""),"TRX1010")</f>
        <v>TRX1010</v>
      </c>
      <c r="B35" s="86" t="str">
        <f ca="1">IFERROR(__xludf.DUMMYFUNCTION("""COMPUTED_VALUE"""),"#58")</f>
        <v>#58</v>
      </c>
      <c r="C35" s="63">
        <f ca="1">IFERROR(__xludf.DUMMYFUNCTION("""COMPUTED_VALUE"""),46064.4166666666)</f>
        <v>46064.416666666599</v>
      </c>
      <c r="D35" s="65">
        <f ca="1">IFERROR(__xludf.DUMMYFUNCTION("""COMPUTED_VALUE"""),1000)</f>
        <v>1000</v>
      </c>
      <c r="E35" s="17" t="str">
        <f ca="1">IFERROR(__xludf.DUMMYFUNCTION("""COMPUTED_VALUE"""),"MXN")</f>
        <v>MXN</v>
      </c>
      <c r="F35" s="17" t="str">
        <f ca="1">IFERROR(__xludf.DUMMYFUNCTION("""COMPUTED_VALUE"""),"Jose Rosas Ortiz")</f>
        <v>Jose Rosas Ortiz</v>
      </c>
      <c r="G35" s="17" t="str">
        <f ca="1">IFERROR(__xludf.DUMMYFUNCTION("""COMPUTED_VALUE"""),"RECARGA PASE TUTAG     CIUDAD DE MEX MEX")</f>
        <v>RECARGA PASE TUTAG     CIUDAD DE MEX MEX</v>
      </c>
      <c r="H35" s="17" t="str">
        <f ca="1">IFERROR(__xludf.DUMMYFUNCTION("""COMPUTED_VALUE"""),"Recarga Pase Tutag Ciudad De Mex Mex")</f>
        <v>Recarga Pase Tutag Ciudad De Mex Mex</v>
      </c>
      <c r="I35" s="17" t="str">
        <f ca="1">IFERROR(__xludf.DUMMYFUNCTION("""COMPUTED_VALUE"""),"Sales")</f>
        <v>Sales</v>
      </c>
      <c r="J35" s="17" t="str">
        <f ca="1">IFERROR(__xludf.DUMMYFUNCTION("""COMPUTED_VALUE"""),"IMESA")</f>
        <v>IMESA</v>
      </c>
      <c r="K35" s="17" t="str">
        <f ca="1">IFERROR(__xludf.DUMMYFUNCTION("""COMPUTED_VALUE"""),"NA")</f>
        <v>NA</v>
      </c>
      <c r="L35" s="17"/>
      <c r="M35" s="17"/>
      <c r="N35" s="17"/>
      <c r="O35" s="17"/>
    </row>
    <row r="36" spans="1:15" ht="12.5">
      <c r="A36" s="17" t="str">
        <f ca="1">IFERROR(__xludf.DUMMYFUNCTION("""COMPUTED_VALUE"""),"TRX1992")</f>
        <v>TRX1992</v>
      </c>
      <c r="B36" s="86" t="str">
        <f ca="1">IFERROR(__xludf.DUMMYFUNCTION("""COMPUTED_VALUE"""),"#58")</f>
        <v>#58</v>
      </c>
      <c r="C36" s="63">
        <f ca="1">IFERROR(__xludf.DUMMYFUNCTION("""COMPUTED_VALUE"""),46064.4173611111)</f>
        <v>46064.417361111096</v>
      </c>
      <c r="D36" s="65">
        <f ca="1">IFERROR(__xludf.DUMMYFUNCTION("""COMPUTED_VALUE"""),192.5)</f>
        <v>192.5</v>
      </c>
      <c r="E36" s="17" t="str">
        <f ca="1">IFERROR(__xludf.DUMMYFUNCTION("""COMPUTED_VALUE"""),"MXN")</f>
        <v>MXN</v>
      </c>
      <c r="F36" s="17" t="str">
        <f ca="1">IFERROR(__xludf.DUMMYFUNCTION("""COMPUTED_VALUE"""),"Jose Rosas Ortiz")</f>
        <v>Jose Rosas Ortiz</v>
      </c>
      <c r="G36" s="17" t="str">
        <f ca="1">IFERROR(__xludf.DUMMYFUNCTION("""COMPUTED_VALUE"""),"OLI CAFE NT            CIUDAD DE MEX MEX")</f>
        <v>OLI CAFE NT            CIUDAD DE MEX MEX</v>
      </c>
      <c r="H36" s="17" t="str">
        <f ca="1">IFERROR(__xludf.DUMMYFUNCTION("""COMPUTED_VALUE"""),"Oli Cafe Nt Ciudad De Mex Mex")</f>
        <v>Oli Cafe Nt Ciudad De Mex Mex</v>
      </c>
      <c r="I36" s="17" t="str">
        <f ca="1">IFERROR(__xludf.DUMMYFUNCTION("""COMPUTED_VALUE"""),"Sales")</f>
        <v>Sales</v>
      </c>
      <c r="J36" s="17" t="str">
        <f ca="1">IFERROR(__xludf.DUMMYFUNCTION("""COMPUTED_VALUE"""),"IMESA")</f>
        <v>IMESA</v>
      </c>
      <c r="K36" s="17" t="str">
        <f ca="1">IFERROR(__xludf.DUMMYFUNCTION("""COMPUTED_VALUE"""),"Invoice")</f>
        <v>Invoice</v>
      </c>
      <c r="L36" s="17"/>
      <c r="M36" s="17"/>
      <c r="N36" s="17"/>
      <c r="O36" s="17"/>
    </row>
    <row r="37" spans="1:15" ht="12.5">
      <c r="A37" s="17" t="str">
        <f ca="1">IFERROR(__xludf.DUMMYFUNCTION("""COMPUTED_VALUE"""),"TRX1922")</f>
        <v>TRX1922</v>
      </c>
      <c r="B37" s="86" t="str">
        <f ca="1">IFERROR(__xludf.DUMMYFUNCTION("""COMPUTED_VALUE"""),"#58")</f>
        <v>#58</v>
      </c>
      <c r="C37" s="63">
        <f ca="1">IFERROR(__xludf.DUMMYFUNCTION("""COMPUTED_VALUE"""),46065.4166666666)</f>
        <v>46065.416666666599</v>
      </c>
      <c r="D37" s="65">
        <f ca="1">IFERROR(__xludf.DUMMYFUNCTION("""COMPUTED_VALUE"""),213)</f>
        <v>213</v>
      </c>
      <c r="E37" s="17" t="str">
        <f ca="1">IFERROR(__xludf.DUMMYFUNCTION("""COMPUTED_VALUE"""),"MXN")</f>
        <v>MXN</v>
      </c>
      <c r="F37" s="17" t="str">
        <f ca="1">IFERROR(__xludf.DUMMYFUNCTION("""COMPUTED_VALUE"""),"Jose Rosas Ortiz")</f>
        <v>Jose Rosas Ortiz</v>
      </c>
      <c r="G37" s="17" t="str">
        <f ca="1">IFERROR(__xludf.DUMMYFUNCTION("""COMPUTED_VALUE"""),"SBX Atizapan           CMX           MEX")</f>
        <v>SBX Atizapan           CMX           MEX</v>
      </c>
      <c r="H37" s="17" t="str">
        <f ca="1">IFERROR(__xludf.DUMMYFUNCTION("""COMPUTED_VALUE"""),"Sbx Atizapan Cmx Mex")</f>
        <v>Sbx Atizapan Cmx Mex</v>
      </c>
      <c r="I37" s="17" t="str">
        <f ca="1">IFERROR(__xludf.DUMMYFUNCTION("""COMPUTED_VALUE"""),"Transaction cost")</f>
        <v>Transaction cost</v>
      </c>
      <c r="J37" s="17" t="str">
        <f ca="1">IFERROR(__xludf.DUMMYFUNCTION("""COMPUTED_VALUE"""),"IMESA")</f>
        <v>IMESA</v>
      </c>
      <c r="K37" s="17" t="str">
        <f ca="1">IFERROR(__xludf.DUMMYFUNCTION("""COMPUTED_VALUE"""),"Invoice")</f>
        <v>Invoice</v>
      </c>
      <c r="L37" s="17"/>
      <c r="M37" s="17"/>
      <c r="N37" s="17"/>
      <c r="O37" s="17"/>
    </row>
    <row r="38" spans="1:15" ht="12.5">
      <c r="A38" s="17" t="str">
        <f ca="1">IFERROR(__xludf.DUMMYFUNCTION("""COMPUTED_VALUE"""),"TRX1284")</f>
        <v>TRX1284</v>
      </c>
      <c r="B38" s="86" t="str">
        <f ca="1">IFERROR(__xludf.DUMMYFUNCTION("""COMPUTED_VALUE"""),"#58")</f>
        <v>#58</v>
      </c>
      <c r="C38" s="63">
        <f ca="1">IFERROR(__xludf.DUMMYFUNCTION("""COMPUTED_VALUE"""),46067.4166666666)</f>
        <v>46067.416666666599</v>
      </c>
      <c r="D38" s="65">
        <f ca="1">IFERROR(__xludf.DUMMYFUNCTION("""COMPUTED_VALUE"""),402)</f>
        <v>402</v>
      </c>
      <c r="E38" s="17" t="str">
        <f ca="1">IFERROR(__xludf.DUMMYFUNCTION("""COMPUTED_VALUE"""),"MXN")</f>
        <v>MXN</v>
      </c>
      <c r="F38" s="17" t="str">
        <f ca="1">IFERROR(__xludf.DUMMYFUNCTION("""COMPUTED_VALUE"""),"Jose Rosas Ortiz")</f>
        <v>Jose Rosas Ortiz</v>
      </c>
      <c r="G38" s="17" t="str">
        <f ca="1">IFERROR(__xludf.DUMMYFUNCTION("""COMPUTED_VALUE"""),"STARBUCKS CARR MEX QRO QUE           MEX")</f>
        <v>STARBUCKS CARR MEX QRO QUE           MEX</v>
      </c>
      <c r="H38" s="17" t="str">
        <f ca="1">IFERROR(__xludf.DUMMYFUNCTION("""COMPUTED_VALUE"""),"Starbucks")</f>
        <v>Starbucks</v>
      </c>
      <c r="I38" s="17" t="str">
        <f ca="1">IFERROR(__xludf.DUMMYFUNCTION("""COMPUTED_VALUE"""),"Transaction cost")</f>
        <v>Transaction cost</v>
      </c>
      <c r="J38" s="17" t="str">
        <f ca="1">IFERROR(__xludf.DUMMYFUNCTION("""COMPUTED_VALUE"""),"GAP")</f>
        <v>GAP</v>
      </c>
      <c r="K38" s="17" t="str">
        <f ca="1">IFERROR(__xludf.DUMMYFUNCTION("""COMPUTED_VALUE"""),"SCNBJB 8165")</f>
        <v>SCNBJB 8165</v>
      </c>
      <c r="L38" s="17"/>
      <c r="M38" s="17"/>
      <c r="N38" s="17"/>
      <c r="O38" s="17"/>
    </row>
    <row r="39" spans="1:15" ht="12.5">
      <c r="A39" s="17" t="str">
        <f ca="1">IFERROR(__xludf.DUMMYFUNCTION("""COMPUTED_VALUE"""),"TRX1065")</f>
        <v>TRX1065</v>
      </c>
      <c r="B39" s="86" t="str">
        <f ca="1">IFERROR(__xludf.DUMMYFUNCTION("""COMPUTED_VALUE"""),"#58")</f>
        <v>#58</v>
      </c>
      <c r="C39" s="63">
        <f ca="1">IFERROR(__xludf.DUMMYFUNCTION("""COMPUTED_VALUE"""),46067.4166666666)</f>
        <v>46067.416666666599</v>
      </c>
      <c r="D39" s="65">
        <f ca="1">IFERROR(__xludf.DUMMYFUNCTION("""COMPUTED_VALUE"""),1200)</f>
        <v>1200</v>
      </c>
      <c r="E39" s="17" t="str">
        <f ca="1">IFERROR(__xludf.DUMMYFUNCTION("""COMPUTED_VALUE"""),"MXN")</f>
        <v>MXN</v>
      </c>
      <c r="F39" s="17" t="str">
        <f ca="1">IFERROR(__xludf.DUMMYFUNCTION("""COMPUTED_VALUE"""),"Jose Rosas Ortiz")</f>
        <v>Jose Rosas Ortiz</v>
      </c>
      <c r="G39" s="17" t="str">
        <f ca="1">IFERROR(__xludf.DUMMYFUNCTION("""COMPUTED_VALUE"""),"RECARGA PASE TUTAG     CIUDAD DE MEX MEX")</f>
        <v>RECARGA PASE TUTAG     CIUDAD DE MEX MEX</v>
      </c>
      <c r="H39" s="17" t="str">
        <f ca="1">IFERROR(__xludf.DUMMYFUNCTION("""COMPUTED_VALUE"""),"Recarga Pase Tutag Ciudad De Mex Mex")</f>
        <v>Recarga Pase Tutag Ciudad De Mex Mex</v>
      </c>
      <c r="I39" s="17" t="str">
        <f ca="1">IFERROR(__xludf.DUMMYFUNCTION("""COMPUTED_VALUE"""),"Transaction cost")</f>
        <v>Transaction cost</v>
      </c>
      <c r="J39" s="17" t="str">
        <f ca="1">IFERROR(__xludf.DUMMYFUNCTION("""COMPUTED_VALUE"""),"GAP")</f>
        <v>GAP</v>
      </c>
      <c r="K39" s="17" t="str">
        <f ca="1">IFERROR(__xludf.DUMMYFUNCTION("""COMPUTED_VALUE"""),"SCTST 72509")</f>
        <v>SCTST 72509</v>
      </c>
      <c r="L39" s="17"/>
      <c r="M39" s="17"/>
      <c r="N39" s="17"/>
      <c r="O39" s="17"/>
    </row>
    <row r="40" spans="1:15" ht="12.5">
      <c r="A40" s="17" t="str">
        <f ca="1">IFERROR(__xludf.DUMMYFUNCTION("""COMPUTED_VALUE"""),"TRX1530")</f>
        <v>TRX1530</v>
      </c>
      <c r="B40" s="86" t="str">
        <f ca="1">IFERROR(__xludf.DUMMYFUNCTION("""COMPUTED_VALUE"""),"#58")</f>
        <v>#58</v>
      </c>
      <c r="C40" s="63">
        <f ca="1">IFERROR(__xludf.DUMMYFUNCTION("""COMPUTED_VALUE"""),46067.4173611111)</f>
        <v>46067.417361111096</v>
      </c>
      <c r="D40" s="65">
        <f ca="1">IFERROR(__xludf.DUMMYFUNCTION("""COMPUTED_VALUE"""),1130.05)</f>
        <v>1130.05</v>
      </c>
      <c r="E40" s="17" t="str">
        <f ca="1">IFERROR(__xludf.DUMMYFUNCTION("""COMPUTED_VALUE"""),"MXN")</f>
        <v>MXN</v>
      </c>
      <c r="F40" s="17" t="str">
        <f ca="1">IFERROR(__xludf.DUMMYFUNCTION("""COMPUTED_VALUE"""),"Jose Rosas Ortiz")</f>
        <v>Jose Rosas Ortiz</v>
      </c>
      <c r="G40" s="17" t="str">
        <f ca="1">IFERROR(__xludf.DUMMYFUNCTION("""COMPUTED_VALUE"""),"GASOL PARADOR MEX      HUEHUETOCA EM MEX")</f>
        <v>GASOL PARADOR MEX      HUEHUETOCA EM MEX</v>
      </c>
      <c r="H40" s="17" t="str">
        <f ca="1">IFERROR(__xludf.DUMMYFUNCTION("""COMPUTED_VALUE"""),"Gasol Parador Mex Huehuetoca Em Mex")</f>
        <v>Gasol Parador Mex Huehuetoca Em Mex</v>
      </c>
      <c r="I40" s="17" t="str">
        <f ca="1">IFERROR(__xludf.DUMMYFUNCTION("""COMPUTED_VALUE"""),"Transaction cost")</f>
        <v>Transaction cost</v>
      </c>
      <c r="J40" s="17" t="str">
        <f ca="1">IFERROR(__xludf.DUMMYFUNCTION("""COMPUTED_VALUE"""),"GAP")</f>
        <v>GAP</v>
      </c>
      <c r="K40" s="17" t="str">
        <f ca="1">IFERROR(__xludf.DUMMYFUNCTION("""COMPUTED_VALUE"""),"Y 204856")</f>
        <v>Y 204856</v>
      </c>
      <c r="L40" s="17"/>
      <c r="M40" s="17"/>
      <c r="N40" s="17"/>
      <c r="O40" s="17"/>
    </row>
    <row r="41" spans="1:15" ht="12.5">
      <c r="A41" s="17" t="str">
        <f ca="1">IFERROR(__xludf.DUMMYFUNCTION("""COMPUTED_VALUE"""),"TRX1803")</f>
        <v>TRX1803</v>
      </c>
      <c r="B41" s="86" t="str">
        <f ca="1">IFERROR(__xludf.DUMMYFUNCTION("""COMPUTED_VALUE"""),"#58")</f>
        <v>#58</v>
      </c>
      <c r="C41" s="63">
        <f ca="1">IFERROR(__xludf.DUMMYFUNCTION("""COMPUTED_VALUE"""),46069.4166666666)</f>
        <v>46069.416666666599</v>
      </c>
      <c r="D41" s="65">
        <f ca="1">IFERROR(__xludf.DUMMYFUNCTION("""COMPUTED_VALUE"""),47)</f>
        <v>47</v>
      </c>
      <c r="E41" s="17" t="str">
        <f ca="1">IFERROR(__xludf.DUMMYFUNCTION("""COMPUTED_VALUE"""),"MXN")</f>
        <v>MXN</v>
      </c>
      <c r="F41" s="17" t="str">
        <f ca="1">IFERROR(__xludf.DUMMYFUNCTION("""COMPUTED_VALUE"""),"Jose Rosas Ortiz")</f>
        <v>Jose Rosas Ortiz</v>
      </c>
      <c r="G41" s="17" t="str">
        <f ca="1">IFERROR(__xludf.DUMMYFUNCTION("""COMPUTED_VALUE"""),"PARCO                  ZAPOPAN JAL   MEX")</f>
        <v>PARCO                  ZAPOPAN JAL   MEX</v>
      </c>
      <c r="H41" s="17" t="str">
        <f ca="1">IFERROR(__xludf.DUMMYFUNCTION("""COMPUTED_VALUE"""),"Parco Zapopan Jal Mex")</f>
        <v>Parco Zapopan Jal Mex</v>
      </c>
      <c r="I41" s="17" t="str">
        <f ca="1">IFERROR(__xludf.DUMMYFUNCTION("""COMPUTED_VALUE"""),"Transaction cost")</f>
        <v>Transaction cost</v>
      </c>
      <c r="J41" s="17" t="str">
        <f ca="1">IFERROR(__xludf.DUMMYFUNCTION("""COMPUTED_VALUE"""),"VEOLIA - EDI MK5")</f>
        <v>VEOLIA - EDI MK5</v>
      </c>
      <c r="K41" s="17">
        <f ca="1">IFERROR(__xludf.DUMMYFUNCTION("""COMPUTED_VALUE"""),603513)</f>
        <v>603513</v>
      </c>
      <c r="L41" s="17"/>
      <c r="M41" s="17"/>
      <c r="N41" s="17"/>
      <c r="O41" s="17"/>
    </row>
    <row r="42" spans="1:15" ht="12.5">
      <c r="A42" s="17" t="str">
        <f ca="1">IFERROR(__xludf.DUMMYFUNCTION("""COMPUTED_VALUE"""),"TRX1211")</f>
        <v>TRX1211</v>
      </c>
      <c r="B42" s="86" t="str">
        <f ca="1">IFERROR(__xludf.DUMMYFUNCTION("""COMPUTED_VALUE"""),"#58")</f>
        <v>#58</v>
      </c>
      <c r="C42" s="63">
        <f ca="1">IFERROR(__xludf.DUMMYFUNCTION("""COMPUTED_VALUE"""),46072.4166666666)</f>
        <v>46072.416666666599</v>
      </c>
      <c r="D42" s="65">
        <f ca="1">IFERROR(__xludf.DUMMYFUNCTION("""COMPUTED_VALUE"""),1000)</f>
        <v>1000</v>
      </c>
      <c r="E42" s="17" t="str">
        <f ca="1">IFERROR(__xludf.DUMMYFUNCTION("""COMPUTED_VALUE"""),"MXN")</f>
        <v>MXN</v>
      </c>
      <c r="F42" s="17" t="str">
        <f ca="1">IFERROR(__xludf.DUMMYFUNCTION("""COMPUTED_VALUE"""),"Jose Rosas Ortiz")</f>
        <v>Jose Rosas Ortiz</v>
      </c>
      <c r="G42" s="17" t="str">
        <f ca="1">IFERROR(__xludf.DUMMYFUNCTION("""COMPUTED_VALUE"""),"RECARGA PASE TUTAG     CIUDAD DE MEX MEX")</f>
        <v>RECARGA PASE TUTAG     CIUDAD DE MEX MEX</v>
      </c>
      <c r="H42" s="17" t="str">
        <f ca="1">IFERROR(__xludf.DUMMYFUNCTION("""COMPUTED_VALUE"""),"Recarga Pase Tutag Ciudad De Mex Mex")</f>
        <v>Recarga Pase Tutag Ciudad De Mex Mex</v>
      </c>
      <c r="I42" s="17" t="str">
        <f ca="1">IFERROR(__xludf.DUMMYFUNCTION("""COMPUTED_VALUE"""),"Transaction cost")</f>
        <v>Transaction cost</v>
      </c>
      <c r="J42" s="17" t="str">
        <f ca="1">IFERROR(__xludf.DUMMYFUNCTION("""COMPUTED_VALUE"""),"VEOLIA - EDI MK5")</f>
        <v>VEOLIA - EDI MK5</v>
      </c>
      <c r="K42" s="17" t="str">
        <f ca="1">IFERROR(__xludf.DUMMYFUNCTION("""COMPUTED_VALUE"""),"NA")</f>
        <v>NA</v>
      </c>
      <c r="L42" s="17"/>
      <c r="M42" s="17"/>
      <c r="N42" s="17"/>
      <c r="O42" s="17"/>
    </row>
    <row r="43" spans="1:15" ht="12.5">
      <c r="A43" s="17" t="str">
        <f ca="1">IFERROR(__xludf.DUMMYFUNCTION("""COMPUTED_VALUE"""),"TRX1587")</f>
        <v>TRX1587</v>
      </c>
      <c r="B43" s="86" t="str">
        <f ca="1">IFERROR(__xludf.DUMMYFUNCTION("""COMPUTED_VALUE"""),"#58")</f>
        <v>#58</v>
      </c>
      <c r="C43" s="63">
        <f ca="1">IFERROR(__xludf.DUMMYFUNCTION("""COMPUTED_VALUE"""),46072.4166666666)</f>
        <v>46072.416666666599</v>
      </c>
      <c r="D43" s="65">
        <f ca="1">IFERROR(__xludf.DUMMYFUNCTION("""COMPUTED_VALUE"""),99.5)</f>
        <v>99.5</v>
      </c>
      <c r="E43" s="17" t="str">
        <f ca="1">IFERROR(__xludf.DUMMYFUNCTION("""COMPUTED_VALUE"""),"MXN")</f>
        <v>MXN</v>
      </c>
      <c r="F43" s="17" t="str">
        <f ca="1">IFERROR(__xludf.DUMMYFUNCTION("""COMPUTED_VALUE"""),"Jose Rosas Ortiz")</f>
        <v>Jose Rosas Ortiz</v>
      </c>
      <c r="G43" s="17" t="str">
        <f ca="1">IFERROR(__xludf.DUMMYFUNCTION("""COMPUTED_VALUE"""),"OXXORELOJ MEX          HUIXQUILUCAN  MEX")</f>
        <v>OXXORELOJ MEX          HUIXQUILUCAN  MEX</v>
      </c>
      <c r="H43" s="17" t="str">
        <f ca="1">IFERROR(__xludf.DUMMYFUNCTION("""COMPUTED_VALUE"""),"Oxxoreloj Mex Huixquilucan Mex")</f>
        <v>Oxxoreloj Mex Huixquilucan Mex</v>
      </c>
      <c r="I43" s="17" t="str">
        <f ca="1">IFERROR(__xludf.DUMMYFUNCTION("""COMPUTED_VALUE"""),"Transaction cost")</f>
        <v>Transaction cost</v>
      </c>
      <c r="J43" s="17" t="str">
        <f ca="1">IFERROR(__xludf.DUMMYFUNCTION("""COMPUTED_VALUE"""),"VEOLIA - UF/CEB")</f>
        <v>VEOLIA - UF/CEB</v>
      </c>
      <c r="K43" s="17" t="str">
        <f ca="1">IFERROR(__xludf.DUMMYFUNCTION("""COMPUTED_VALUE"""),"7515699260225052101625")</f>
        <v>7515699260225052101625</v>
      </c>
      <c r="L43" s="17"/>
      <c r="M43" s="17"/>
      <c r="N43" s="17"/>
      <c r="O43" s="17"/>
    </row>
    <row r="44" spans="1:15" ht="12.5">
      <c r="A44" s="17" t="str">
        <f ca="1">IFERROR(__xludf.DUMMYFUNCTION("""COMPUTED_VALUE"""),"TRX1750")</f>
        <v>TRX1750</v>
      </c>
      <c r="B44" s="86" t="str">
        <f ca="1">IFERROR(__xludf.DUMMYFUNCTION("""COMPUTED_VALUE"""),"#58")</f>
        <v>#58</v>
      </c>
      <c r="C44" s="63">
        <f ca="1">IFERROR(__xludf.DUMMYFUNCTION("""COMPUTED_VALUE"""),46072.4173611111)</f>
        <v>46072.417361111096</v>
      </c>
      <c r="D44" s="65">
        <f ca="1">IFERROR(__xludf.DUMMYFUNCTION("""COMPUTED_VALUE"""),151)</f>
        <v>151</v>
      </c>
      <c r="E44" s="17" t="str">
        <f ca="1">IFERROR(__xludf.DUMMYFUNCTION("""COMPUTED_VALUE"""),"MXN")</f>
        <v>MXN</v>
      </c>
      <c r="F44" s="17" t="str">
        <f ca="1">IFERROR(__xludf.DUMMYFUNCTION("""COMPUTED_VALUE"""),"Jose Rosas Ortiz")</f>
        <v>Jose Rosas Ortiz</v>
      </c>
      <c r="G44" s="17" t="str">
        <f ca="1">IFERROR(__xludf.DUMMYFUNCTION("""COMPUTED_VALUE"""),"SUBWAY INTERLOMAS      HUIXQUILUCAN  MEX")</f>
        <v>SUBWAY INTERLOMAS      HUIXQUILUCAN  MEX</v>
      </c>
      <c r="H44" s="17" t="str">
        <f ca="1">IFERROR(__xludf.DUMMYFUNCTION("""COMPUTED_VALUE"""),"Subway")</f>
        <v>Subway</v>
      </c>
      <c r="I44" s="17" t="str">
        <f ca="1">IFERROR(__xludf.DUMMYFUNCTION("""COMPUTED_VALUE"""),"Transaction cost")</f>
        <v>Transaction cost</v>
      </c>
      <c r="J44" s="17" t="str">
        <f ca="1">IFERROR(__xludf.DUMMYFUNCTION("""COMPUTED_VALUE"""),"VEOLIA - UF/CEB")</f>
        <v>VEOLIA - UF/CEB</v>
      </c>
      <c r="K44" s="17" t="str">
        <f ca="1">IFERROR(__xludf.DUMMYFUNCTION("""COMPUTED_VALUE"""),"BCLOMAS-2588")</f>
        <v>BCLOMAS-2588</v>
      </c>
      <c r="L44" s="17"/>
      <c r="M44" s="17"/>
      <c r="N44" s="17"/>
      <c r="O44" s="17"/>
    </row>
    <row r="45" spans="1:15" ht="12.5">
      <c r="A45" s="17" t="str">
        <f ca="1">IFERROR(__xludf.DUMMYFUNCTION("""COMPUTED_VALUE"""),"TRX1921")</f>
        <v>TRX1921</v>
      </c>
      <c r="B45" s="86" t="str">
        <f ca="1">IFERROR(__xludf.DUMMYFUNCTION("""COMPUTED_VALUE"""),"#58")</f>
        <v>#58</v>
      </c>
      <c r="C45" s="63">
        <f ca="1">IFERROR(__xludf.DUMMYFUNCTION("""COMPUTED_VALUE"""),46072.4173611111)</f>
        <v>46072.417361111096</v>
      </c>
      <c r="D45" s="65">
        <f ca="1">IFERROR(__xludf.DUMMYFUNCTION("""COMPUTED_VALUE"""),143.5)</f>
        <v>143.5</v>
      </c>
      <c r="E45" s="17" t="str">
        <f ca="1">IFERROR(__xludf.DUMMYFUNCTION("""COMPUTED_VALUE"""),"MXN")</f>
        <v>MXN</v>
      </c>
      <c r="F45" s="17" t="str">
        <f ca="1">IFERROR(__xludf.DUMMYFUNCTION("""COMPUTED_VALUE"""),"Jose Rosas Ortiz")</f>
        <v>Jose Rosas Ortiz</v>
      </c>
      <c r="G45" s="17" t="str">
        <f ca="1">IFERROR(__xludf.DUMMYFUNCTION("""COMPUTED_VALUE"""),"OXXOSAN ANTONIO 17 MEX CUAUTITLAN EM MEX")</f>
        <v>OXXOSAN ANTONIO 17 MEX CUAUTITLAN EM MEX</v>
      </c>
      <c r="H45" s="17" t="str">
        <f ca="1">IFERROR(__xludf.DUMMYFUNCTION("""COMPUTED_VALUE"""),"Oxxosan Antonio 17 Mex Cuautitlan Em Mex")</f>
        <v>Oxxosan Antonio 17 Mex Cuautitlan Em Mex</v>
      </c>
      <c r="I45" s="17" t="str">
        <f ca="1">IFERROR(__xludf.DUMMYFUNCTION("""COMPUTED_VALUE"""),"Transaction cost")</f>
        <v>Transaction cost</v>
      </c>
      <c r="J45" s="17" t="str">
        <f ca="1">IFERROR(__xludf.DUMMYFUNCTION("""COMPUTED_VALUE"""),"VEOLIA Baseframes")</f>
        <v>VEOLIA Baseframes</v>
      </c>
      <c r="K45" s="17" t="str">
        <f ca="1">IFERROR(__xludf.DUMMYFUNCTION("""COMPUTED_VALUE"""),"101042227042402269")</f>
        <v>101042227042402269</v>
      </c>
      <c r="L45" s="17"/>
      <c r="M45" s="17"/>
      <c r="N45" s="17"/>
      <c r="O45" s="17"/>
    </row>
    <row r="46" spans="1:15" ht="12.5">
      <c r="A46" s="17" t="str">
        <f ca="1">IFERROR(__xludf.DUMMYFUNCTION("""COMPUTED_VALUE"""),"TRX1612")</f>
        <v>TRX1612</v>
      </c>
      <c r="B46" s="86" t="str">
        <f ca="1">IFERROR(__xludf.DUMMYFUNCTION("""COMPUTED_VALUE"""),"#58")</f>
        <v>#58</v>
      </c>
      <c r="C46" s="63">
        <f ca="1">IFERROR(__xludf.DUMMYFUNCTION("""COMPUTED_VALUE"""),46074.4166666666)</f>
        <v>46074.416666666599</v>
      </c>
      <c r="D46" s="65">
        <f ca="1">IFERROR(__xludf.DUMMYFUNCTION("""COMPUTED_VALUE"""),115)</f>
        <v>115</v>
      </c>
      <c r="E46" s="17" t="str">
        <f ca="1">IFERROR(__xludf.DUMMYFUNCTION("""COMPUTED_VALUE"""),"MXN")</f>
        <v>MXN</v>
      </c>
      <c r="F46" s="17" t="str">
        <f ca="1">IFERROR(__xludf.DUMMYFUNCTION("""COMPUTED_VALUE"""),"Jose Rosas Ortiz")</f>
        <v>Jose Rosas Ortiz</v>
      </c>
      <c r="G46" s="17" t="str">
        <f ca="1">IFERROR(__xludf.DUMMYFUNCTION("""COMPUTED_VALUE"""),"ABTS G112 VEVEGA       HUIXQUILUCAN  MEX")</f>
        <v>ABTS G112 VEVEGA       HUIXQUILUCAN  MEX</v>
      </c>
      <c r="H46" s="17" t="str">
        <f ca="1">IFERROR(__xludf.DUMMYFUNCTION("""COMPUTED_VALUE"""),"Abts G112 Vevega Huixquilucan Mex")</f>
        <v>Abts G112 Vevega Huixquilucan Mex</v>
      </c>
      <c r="I46" s="17" t="str">
        <f ca="1">IFERROR(__xludf.DUMMYFUNCTION("""COMPUTED_VALUE"""),"Transaction cost")</f>
        <v>Transaction cost</v>
      </c>
      <c r="J46" s="17" t="str">
        <f ca="1">IFERROR(__xludf.DUMMYFUNCTION("""COMPUTED_VALUE"""),"VEOLIA Baseframes")</f>
        <v>VEOLIA Baseframes</v>
      </c>
      <c r="K46" s="17" t="str">
        <f ca="1">IFERROR(__xludf.DUMMYFUNCTION("""COMPUTED_VALUE"""),"PFCCTOAAAI 43713")</f>
        <v>PFCCTOAAAI 43713</v>
      </c>
      <c r="L46" s="17"/>
      <c r="M46" s="17"/>
      <c r="N46" s="17"/>
      <c r="O46" s="17"/>
    </row>
    <row r="47" spans="1:15" ht="12.5">
      <c r="A47" s="17" t="str">
        <f ca="1">IFERROR(__xludf.DUMMYFUNCTION("""COMPUTED_VALUE"""),"TRX1037")</f>
        <v>TRX1037</v>
      </c>
      <c r="B47" s="86" t="str">
        <f ca="1">IFERROR(__xludf.DUMMYFUNCTION("""COMPUTED_VALUE"""),"#58")</f>
        <v>#58</v>
      </c>
      <c r="C47" s="63">
        <f ca="1">IFERROR(__xludf.DUMMYFUNCTION("""COMPUTED_VALUE"""),46074.4173611111)</f>
        <v>46074.417361111096</v>
      </c>
      <c r="D47" s="65">
        <f ca="1">IFERROR(__xludf.DUMMYFUNCTION("""COMPUTED_VALUE"""),199)</f>
        <v>199</v>
      </c>
      <c r="E47" s="17" t="str">
        <f ca="1">IFERROR(__xludf.DUMMYFUNCTION("""COMPUTED_VALUE"""),"MXN")</f>
        <v>MXN</v>
      </c>
      <c r="F47" s="17" t="str">
        <f ca="1">IFERROR(__xludf.DUMMYFUNCTION("""COMPUTED_VALUE"""),"Jose Rosas Ortiz")</f>
        <v>Jose Rosas Ortiz</v>
      </c>
      <c r="G47" s="17" t="str">
        <f ca="1">IFERROR(__xludf.DUMMYFUNCTION("""COMPUTED_VALUE"""),"SUBWAY VEVEGA          HUIXQUILUCAN  MEX")</f>
        <v>SUBWAY VEVEGA          HUIXQUILUCAN  MEX</v>
      </c>
      <c r="H47" s="17" t="str">
        <f ca="1">IFERROR(__xludf.DUMMYFUNCTION("""COMPUTED_VALUE"""),"Subway")</f>
        <v>Subway</v>
      </c>
      <c r="I47" s="17" t="str">
        <f ca="1">IFERROR(__xludf.DUMMYFUNCTION("""COMPUTED_VALUE"""),"Transaction cost")</f>
        <v>Transaction cost</v>
      </c>
      <c r="J47" s="17" t="str">
        <f ca="1">IFERROR(__xludf.DUMMYFUNCTION("""COMPUTED_VALUE"""),"VEOLIA Baseframes")</f>
        <v>VEOLIA Baseframes</v>
      </c>
      <c r="K47" s="17" t="str">
        <f ca="1">IFERROR(__xludf.DUMMYFUNCTION("""COMPUTED_VALUE"""),"BFVG-4613")</f>
        <v>BFVG-4613</v>
      </c>
      <c r="L47" s="17"/>
      <c r="M47" s="17"/>
      <c r="N47" s="17"/>
      <c r="O47" s="17"/>
    </row>
    <row r="48" spans="1:15" ht="12.5">
      <c r="A48" s="17" t="str">
        <f ca="1">IFERROR(__xludf.DUMMYFUNCTION("""COMPUTED_VALUE"""),"TRX1047")</f>
        <v>TRX1047</v>
      </c>
      <c r="B48" s="86" t="str">
        <f ca="1">IFERROR(__xludf.DUMMYFUNCTION("""COMPUTED_VALUE"""),"#58")</f>
        <v>#58</v>
      </c>
      <c r="C48" s="63">
        <f ca="1">IFERROR(__xludf.DUMMYFUNCTION("""COMPUTED_VALUE"""),46075.4166666666)</f>
        <v>46075.416666666599</v>
      </c>
      <c r="D48" s="65">
        <f ca="1">IFERROR(__xludf.DUMMYFUNCTION("""COMPUTED_VALUE"""),844.85)</f>
        <v>844.85</v>
      </c>
      <c r="E48" s="17" t="str">
        <f ca="1">IFERROR(__xludf.DUMMYFUNCTION("""COMPUTED_VALUE"""),"MXN")</f>
        <v>MXN</v>
      </c>
      <c r="F48" s="17" t="str">
        <f ca="1">IFERROR(__xludf.DUMMYFUNCTION("""COMPUTED_VALUE"""),"Jose Rosas Ortiz")</f>
        <v>Jose Rosas Ortiz</v>
      </c>
      <c r="G48" s="17" t="str">
        <f ca="1">IFERROR(__xludf.DUMMYFUNCTION("""COMPUTED_VALUE"""),"SUPER SERVICIO CARRETE CIUDAD DE MEX MEX")</f>
        <v>SUPER SERVICIO CARRETE CIUDAD DE MEX MEX</v>
      </c>
      <c r="H48" s="17" t="str">
        <f ca="1">IFERROR(__xludf.DUMMYFUNCTION("""COMPUTED_VALUE"""),"Super Mex")</f>
        <v>Super Mex</v>
      </c>
      <c r="I48" s="17" t="str">
        <f ca="1">IFERROR(__xludf.DUMMYFUNCTION("""COMPUTED_VALUE"""),"Transaction cost")</f>
        <v>Transaction cost</v>
      </c>
      <c r="J48" s="17" t="str">
        <f ca="1">IFERROR(__xludf.DUMMYFUNCTION("""COMPUTED_VALUE"""),"VEOLIA Baseframes")</f>
        <v>VEOLIA Baseframes</v>
      </c>
      <c r="K48" s="17" t="str">
        <f ca="1">IFERROR(__xludf.DUMMYFUNCTION("""COMPUTED_VALUE"""),": 0000030461")</f>
        <v>: 0000030461</v>
      </c>
      <c r="L48" s="17"/>
      <c r="M48" s="17"/>
      <c r="N48" s="17"/>
      <c r="O48" s="17"/>
    </row>
    <row r="49" spans="1:15" ht="12.5">
      <c r="A49" s="17" t="str">
        <f ca="1">IFERROR(__xludf.DUMMYFUNCTION("""COMPUTED_VALUE"""),"TRX1070")</f>
        <v>TRX1070</v>
      </c>
      <c r="B49" s="86" t="str">
        <f ca="1">IFERROR(__xludf.DUMMYFUNCTION("""COMPUTED_VALUE"""),"#58")</f>
        <v>#58</v>
      </c>
      <c r="C49" s="63">
        <f ca="1">IFERROR(__xludf.DUMMYFUNCTION("""COMPUTED_VALUE"""),46075.4166666666)</f>
        <v>46075.416666666599</v>
      </c>
      <c r="D49" s="65">
        <f ca="1">IFERROR(__xludf.DUMMYFUNCTION("""COMPUTED_VALUE"""),67)</f>
        <v>67</v>
      </c>
      <c r="E49" s="17" t="str">
        <f ca="1">IFERROR(__xludf.DUMMYFUNCTION("""COMPUTED_VALUE"""),"MXN")</f>
        <v>MXN</v>
      </c>
      <c r="F49" s="17" t="str">
        <f ca="1">IFERROR(__xludf.DUMMYFUNCTION("""COMPUTED_VALUE"""),"Jose Rosas Ortiz")</f>
        <v>Jose Rosas Ortiz</v>
      </c>
      <c r="G49" s="17" t="str">
        <f ca="1">IFERROR(__xludf.DUMMYFUNCTION("""COMPUTED_VALUE"""),"PARCO                  ZAPOPAN JAL   MEX")</f>
        <v>PARCO                  ZAPOPAN JAL   MEX</v>
      </c>
      <c r="H49" s="17" t="str">
        <f ca="1">IFERROR(__xludf.DUMMYFUNCTION("""COMPUTED_VALUE"""),"Parco Zapopan Jal Mex")</f>
        <v>Parco Zapopan Jal Mex</v>
      </c>
      <c r="I49" s="17" t="str">
        <f ca="1">IFERROR(__xludf.DUMMYFUNCTION("""COMPUTED_VALUE"""),"Transaction cost")</f>
        <v>Transaction cost</v>
      </c>
      <c r="J49" s="17" t="str">
        <f ca="1">IFERROR(__xludf.DUMMYFUNCTION("""COMPUTED_VALUE"""),"VEOLIA - UF/CEB")</f>
        <v>VEOLIA - UF/CEB</v>
      </c>
      <c r="K49" s="17">
        <f ca="1">IFERROR(__xludf.DUMMYFUNCTION("""COMPUTED_VALUE"""),452105)</f>
        <v>452105</v>
      </c>
      <c r="L49" s="17"/>
      <c r="M49" s="17"/>
      <c r="N49" s="17"/>
      <c r="O49" s="17"/>
    </row>
    <row r="50" spans="1:15" ht="12.5">
      <c r="A50" s="17" t="str">
        <f ca="1">IFERROR(__xludf.DUMMYFUNCTION("""COMPUTED_VALUE"""),"TRX1072")</f>
        <v>TRX1072</v>
      </c>
      <c r="B50" s="86" t="str">
        <f ca="1">IFERROR(__xludf.DUMMYFUNCTION("""COMPUTED_VALUE"""),"#58")</f>
        <v>#58</v>
      </c>
      <c r="C50" s="63">
        <f ca="1">IFERROR(__xludf.DUMMYFUNCTION("""COMPUTED_VALUE"""),46075.4166666666)</f>
        <v>46075.416666666599</v>
      </c>
      <c r="D50" s="65">
        <f ca="1">IFERROR(__xludf.DUMMYFUNCTION("""COMPUTED_VALUE"""),190)</f>
        <v>190</v>
      </c>
      <c r="E50" s="17" t="str">
        <f ca="1">IFERROR(__xludf.DUMMYFUNCTION("""COMPUTED_VALUE"""),"MXN")</f>
        <v>MXN</v>
      </c>
      <c r="F50" s="17" t="str">
        <f ca="1">IFERROR(__xludf.DUMMYFUNCTION("""COMPUTED_VALUE"""),"Jose Rosas Ortiz")</f>
        <v>Jose Rosas Ortiz</v>
      </c>
      <c r="G50" s="17" t="str">
        <f ca="1">IFERROR(__xludf.DUMMYFUNCTION("""COMPUTED_VALUE"""),"CARL S JR TOWN         METEPEC EM    MEX")</f>
        <v>CARL S JR TOWN         METEPEC EM    MEX</v>
      </c>
      <c r="H50" s="17" t="str">
        <f ca="1">IFERROR(__xludf.DUMMYFUNCTION("""COMPUTED_VALUE"""),"Carls Jr.")</f>
        <v>Carls Jr.</v>
      </c>
      <c r="I50" s="17" t="str">
        <f ca="1">IFERROR(__xludf.DUMMYFUNCTION("""COMPUTED_VALUE"""),"Transaction cost")</f>
        <v>Transaction cost</v>
      </c>
      <c r="J50" s="17" t="str">
        <f ca="1">IFERROR(__xludf.DUMMYFUNCTION("""COMPUTED_VALUE"""),"VEOLIA - UF/CEB")</f>
        <v>VEOLIA - UF/CEB</v>
      </c>
      <c r="K50" s="17" t="str">
        <f ca="1">IFERROR(__xludf.DUMMYFUNCTION("""COMPUTED_VALUE"""),"NA")</f>
        <v>NA</v>
      </c>
      <c r="L50" s="17"/>
      <c r="M50" s="17"/>
      <c r="N50" s="17"/>
      <c r="O50" s="17"/>
    </row>
    <row r="51" spans="1:15" ht="12.5">
      <c r="A51" s="17" t="str">
        <f ca="1">IFERROR(__xludf.DUMMYFUNCTION("""COMPUTED_VALUE"""),"TRX1095")</f>
        <v>TRX1095</v>
      </c>
      <c r="B51" s="86" t="str">
        <f ca="1">IFERROR(__xludf.DUMMYFUNCTION("""COMPUTED_VALUE"""),"#58")</f>
        <v>#58</v>
      </c>
      <c r="C51" s="63">
        <f ca="1">IFERROR(__xludf.DUMMYFUNCTION("""COMPUTED_VALUE"""),46076.4166666666)</f>
        <v>46076.416666666599</v>
      </c>
      <c r="D51" s="65">
        <f ca="1">IFERROR(__xludf.DUMMYFUNCTION("""COMPUTED_VALUE"""),429.9)</f>
        <v>429.9</v>
      </c>
      <c r="E51" s="17" t="str">
        <f ca="1">IFERROR(__xludf.DUMMYFUNCTION("""COMPUTED_VALUE"""),"MXN")</f>
        <v>MXN</v>
      </c>
      <c r="F51" s="17" t="str">
        <f ca="1">IFERROR(__xludf.DUMMYFUNCTION("""COMPUTED_VALUE"""),"Jose Rosas Ortiz")</f>
        <v>Jose Rosas Ortiz</v>
      </c>
      <c r="G51" s="17" t="str">
        <f ca="1">IFERROR(__xludf.DUMMYFUNCTION("""COMPUTED_VALUE"""),"DLO*UBER RIDES         CIUDAD DE MEX MEX")</f>
        <v>DLO*UBER RIDES         CIUDAD DE MEX MEX</v>
      </c>
      <c r="H51" s="17" t="str">
        <f ca="1">IFERROR(__xludf.DUMMYFUNCTION("""COMPUTED_VALUE"""),"Uber")</f>
        <v>Uber</v>
      </c>
      <c r="I51" s="17" t="str">
        <f ca="1">IFERROR(__xludf.DUMMYFUNCTION("""COMPUTED_VALUE"""),"Transaction cost")</f>
        <v>Transaction cost</v>
      </c>
      <c r="J51" s="17" t="str">
        <f ca="1">IFERROR(__xludf.DUMMYFUNCTION("""COMPUTED_VALUE"""),"VEOLIA - UF/CEB")</f>
        <v>VEOLIA - UF/CEB</v>
      </c>
      <c r="K51" s="17" t="str">
        <f ca="1">IFERROR(__xludf.DUMMYFUNCTION("""COMPUTED_VALUE"""),"00001000000718655275")</f>
        <v>00001000000718655275</v>
      </c>
      <c r="L51" s="17"/>
      <c r="M51" s="17"/>
      <c r="N51" s="17"/>
      <c r="O51" s="17"/>
    </row>
    <row r="52" spans="1:15" ht="12.5">
      <c r="A52" s="17" t="str">
        <f ca="1">IFERROR(__xludf.DUMMYFUNCTION("""COMPUTED_VALUE"""),"TRX1177")</f>
        <v>TRX1177</v>
      </c>
      <c r="B52" s="86" t="str">
        <f ca="1">IFERROR(__xludf.DUMMYFUNCTION("""COMPUTED_VALUE"""),"#58")</f>
        <v>#58</v>
      </c>
      <c r="C52" s="63">
        <f ca="1">IFERROR(__xludf.DUMMYFUNCTION("""COMPUTED_VALUE"""),46079.4166666666)</f>
        <v>46079.416666666599</v>
      </c>
      <c r="D52" s="65">
        <f ca="1">IFERROR(__xludf.DUMMYFUNCTION("""COMPUTED_VALUE"""),1195.42)</f>
        <v>1195.42</v>
      </c>
      <c r="E52" s="17" t="str">
        <f ca="1">IFERROR(__xludf.DUMMYFUNCTION("""COMPUTED_VALUE"""),"MXN")</f>
        <v>MXN</v>
      </c>
      <c r="F52" s="17" t="str">
        <f ca="1">IFERROR(__xludf.DUMMYFUNCTION("""COMPUTED_VALUE"""),"Jose Rosas Ortiz")</f>
        <v>Jose Rosas Ortiz</v>
      </c>
      <c r="G52" s="17" t="str">
        <f ca="1">IFERROR(__xludf.DUMMYFUNCTION("""COMPUTED_VALUE"""),"GASOL VEVEGA           HUIXQUILUCAN  MEX")</f>
        <v>GASOL VEVEGA           HUIXQUILUCAN  MEX</v>
      </c>
      <c r="H52" s="17" t="str">
        <f ca="1">IFERROR(__xludf.DUMMYFUNCTION("""COMPUTED_VALUE"""),"Gasol Vevega Huixquilucan Mex")</f>
        <v>Gasol Vevega Huixquilucan Mex</v>
      </c>
      <c r="I52" s="17" t="str">
        <f ca="1">IFERROR(__xludf.DUMMYFUNCTION("""COMPUTED_VALUE"""),"Transaction cost")</f>
        <v>Transaction cost</v>
      </c>
      <c r="J52" s="17" t="str">
        <f ca="1">IFERROR(__xludf.DUMMYFUNCTION("""COMPUTED_VALUE"""),"VEOLIA - UF/CEB")</f>
        <v>VEOLIA - UF/CEB</v>
      </c>
      <c r="K52" s="17" t="str">
        <f ca="1">IFERROR(__xludf.DUMMYFUNCTION("""COMPUTED_VALUE"""),"BBA 535846")</f>
        <v>BBA 535846</v>
      </c>
      <c r="L52" s="17"/>
      <c r="M52" s="17"/>
      <c r="N52" s="17"/>
      <c r="O52" s="17"/>
    </row>
    <row r="53" spans="1:15" ht="12.5">
      <c r="A53" s="17" t="str">
        <f ca="1">IFERROR(__xludf.DUMMYFUNCTION("""COMPUTED_VALUE"""),"TRX1203")</f>
        <v>TRX1203</v>
      </c>
      <c r="B53" s="86" t="str">
        <f ca="1">IFERROR(__xludf.DUMMYFUNCTION("""COMPUTED_VALUE"""),"#58")</f>
        <v>#58</v>
      </c>
      <c r="C53" s="63">
        <f ca="1">IFERROR(__xludf.DUMMYFUNCTION("""COMPUTED_VALUE"""),46079.4166666666)</f>
        <v>46079.416666666599</v>
      </c>
      <c r="D53" s="65">
        <f ca="1">IFERROR(__xludf.DUMMYFUNCTION("""COMPUTED_VALUE"""),93.5)</f>
        <v>93.5</v>
      </c>
      <c r="E53" s="17" t="str">
        <f ca="1">IFERROR(__xludf.DUMMYFUNCTION("""COMPUTED_VALUE"""),"MXN")</f>
        <v>MXN</v>
      </c>
      <c r="F53" s="17" t="str">
        <f ca="1">IFERROR(__xludf.DUMMYFUNCTION("""COMPUTED_VALUE"""),"Jose Rosas Ortiz")</f>
        <v>Jose Rosas Ortiz</v>
      </c>
      <c r="G53" s="17" t="str">
        <f ca="1">IFERROR(__xludf.DUMMYFUNCTION("""COMPUTED_VALUE"""),"OXXORELOJ MEX          HUIXQUILUCAN  MEX")</f>
        <v>OXXORELOJ MEX          HUIXQUILUCAN  MEX</v>
      </c>
      <c r="H53" s="17" t="str">
        <f ca="1">IFERROR(__xludf.DUMMYFUNCTION("""COMPUTED_VALUE"""),"Oxxoreloj Mex Huixquilucan Mex")</f>
        <v>Oxxoreloj Mex Huixquilucan Mex</v>
      </c>
      <c r="I53" s="17" t="str">
        <f ca="1">IFERROR(__xludf.DUMMYFUNCTION("""COMPUTED_VALUE"""),"Transaction cost")</f>
        <v>Transaction cost</v>
      </c>
      <c r="J53" s="17" t="str">
        <f ca="1">IFERROR(__xludf.DUMMYFUNCTION("""COMPUTED_VALUE"""),"VEOLIA - UF/CEB")</f>
        <v>VEOLIA - UF/CEB</v>
      </c>
      <c r="K53" s="17" t="str">
        <f ca="1">IFERROR(__xludf.DUMMYFUNCTION("""COMPUTED_VALUE"""),"7536431260301050237191")</f>
        <v>7536431260301050237191</v>
      </c>
      <c r="L53" s="17"/>
      <c r="M53" s="17"/>
      <c r="N53" s="17"/>
      <c r="O53" s="17"/>
    </row>
    <row r="54" spans="1:15" ht="12.5">
      <c r="A54" s="17" t="str">
        <f ca="1">IFERROR(__xludf.DUMMYFUNCTION("""COMPUTED_VALUE"""),"TRX1233")</f>
        <v>TRX1233</v>
      </c>
      <c r="B54" s="86" t="str">
        <f ca="1">IFERROR(__xludf.DUMMYFUNCTION("""COMPUTED_VALUE"""),"#58")</f>
        <v>#58</v>
      </c>
      <c r="C54" s="63">
        <f ca="1">IFERROR(__xludf.DUMMYFUNCTION("""COMPUTED_VALUE"""),46080.4166666666)</f>
        <v>46080.416666666599</v>
      </c>
      <c r="D54" s="65">
        <f ca="1">IFERROR(__xludf.DUMMYFUNCTION("""COMPUTED_VALUE"""),137.05)</f>
        <v>137.05000000000001</v>
      </c>
      <c r="E54" s="17" t="str">
        <f ca="1">IFERROR(__xludf.DUMMYFUNCTION("""COMPUTED_VALUE"""),"MXN")</f>
        <v>MXN</v>
      </c>
      <c r="F54" s="17" t="str">
        <f ca="1">IFERROR(__xludf.DUMMYFUNCTION("""COMPUTED_VALUE"""),"Jose Rosas Ortiz")</f>
        <v>Jose Rosas Ortiz</v>
      </c>
      <c r="G54" s="17" t="str">
        <f ca="1">IFERROR(__xludf.DUMMYFUNCTION("""COMPUTED_VALUE"""),"COSTCO ATIZAPAN        ATIZAPAN DE Z MEX")</f>
        <v>COSTCO ATIZAPAN        ATIZAPAN DE Z MEX</v>
      </c>
      <c r="H54" s="17" t="str">
        <f ca="1">IFERROR(__xludf.DUMMYFUNCTION("""COMPUTED_VALUE"""),"Costco")</f>
        <v>Costco</v>
      </c>
      <c r="I54" s="17" t="str">
        <f ca="1">IFERROR(__xludf.DUMMYFUNCTION("""COMPUTED_VALUE"""),"Transaction cost")</f>
        <v>Transaction cost</v>
      </c>
      <c r="J54" s="17" t="str">
        <f ca="1">IFERROR(__xludf.DUMMYFUNCTION("""COMPUTED_VALUE"""),"VEOLIA - UF/CEB")</f>
        <v>VEOLIA - UF/CEB</v>
      </c>
      <c r="K54" s="17" t="str">
        <f ca="1">IFERROR(__xludf.DUMMYFUNCTION("""COMPUTED_VALUE"""),"00001000000718655275")</f>
        <v>00001000000718655275</v>
      </c>
      <c r="L54" s="17"/>
      <c r="M54" s="17"/>
      <c r="N54" s="17"/>
      <c r="O54" s="17"/>
    </row>
    <row r="55" spans="1:15" ht="12.5">
      <c r="A55" s="17" t="str">
        <f ca="1">IFERROR(__xludf.DUMMYFUNCTION("""COMPUTED_VALUE"""),"TRX1239")</f>
        <v>TRX1239</v>
      </c>
      <c r="B55" s="86" t="str">
        <f ca="1">IFERROR(__xludf.DUMMYFUNCTION("""COMPUTED_VALUE"""),"#58")</f>
        <v>#58</v>
      </c>
      <c r="C55" s="63">
        <f ca="1">IFERROR(__xludf.DUMMYFUNCTION("""COMPUTED_VALUE"""),46080.4173611111)</f>
        <v>46080.417361111096</v>
      </c>
      <c r="D55" s="65">
        <f ca="1">IFERROR(__xludf.DUMMYFUNCTION("""COMPUTED_VALUE"""),231)</f>
        <v>231</v>
      </c>
      <c r="E55" s="17" t="str">
        <f ca="1">IFERROR(__xludf.DUMMYFUNCTION("""COMPUTED_VALUE"""),"MXN")</f>
        <v>MXN</v>
      </c>
      <c r="F55" s="17" t="str">
        <f ca="1">IFERROR(__xludf.DUMMYFUNCTION("""COMPUTED_VALUE"""),"Jose Rosas Ortiz")</f>
        <v>Jose Rosas Ortiz</v>
      </c>
      <c r="G55" s="17" t="str">
        <f ca="1">IFERROR(__xludf.DUMMYFUNCTION("""COMPUTED_VALUE"""),"OLI CAFE NT            CIUDAD DE MEX MEX")</f>
        <v>OLI CAFE NT            CIUDAD DE MEX MEX</v>
      </c>
      <c r="H55" s="17" t="str">
        <f ca="1">IFERROR(__xludf.DUMMYFUNCTION("""COMPUTED_VALUE"""),"Oli Cafe Nt Ciudad De Mex Mex")</f>
        <v>Oli Cafe Nt Ciudad De Mex Mex</v>
      </c>
      <c r="I55" s="17" t="str">
        <f ca="1">IFERROR(__xludf.DUMMYFUNCTION("""COMPUTED_VALUE"""),"Sales")</f>
        <v>Sales</v>
      </c>
      <c r="J55" s="17" t="str">
        <f ca="1">IFERROR(__xludf.DUMMYFUNCTION("""COMPUTED_VALUE"""),"IMESA")</f>
        <v>IMESA</v>
      </c>
      <c r="K55" s="17" t="str">
        <f ca="1">IFERROR(__xludf.DUMMYFUNCTION("""COMPUTED_VALUE"""),"Invoice")</f>
        <v>Invoice</v>
      </c>
      <c r="L55" s="17"/>
      <c r="M55" s="17"/>
      <c r="N55" s="17"/>
      <c r="O55" s="17"/>
    </row>
    <row r="56" spans="1:15" ht="12.5">
      <c r="A56" s="17" t="str">
        <f ca="1">IFERROR(__xludf.DUMMYFUNCTION("""COMPUTED_VALUE"""),"TRX1260")</f>
        <v>TRX1260</v>
      </c>
      <c r="B56" s="86" t="str">
        <f ca="1">IFERROR(__xludf.DUMMYFUNCTION("""COMPUTED_VALUE"""),"#58")</f>
        <v>#58</v>
      </c>
      <c r="C56" s="63">
        <f ca="1">IFERROR(__xludf.DUMMYFUNCTION("""COMPUTED_VALUE"""),46081.4166666666)</f>
        <v>46081.416666666599</v>
      </c>
      <c r="D56" s="17">
        <f ca="1">IFERROR(__xludf.DUMMYFUNCTION("""COMPUTED_VALUE"""),800)</f>
        <v>800</v>
      </c>
      <c r="E56" s="17" t="str">
        <f ca="1">IFERROR(__xludf.DUMMYFUNCTION("""COMPUTED_VALUE"""),"MXN")</f>
        <v>MXN</v>
      </c>
      <c r="F56" s="17" t="str">
        <f ca="1">IFERROR(__xludf.DUMMYFUNCTION("""COMPUTED_VALUE"""),"Jose Rosas Ortiz")</f>
        <v>Jose Rosas Ortiz</v>
      </c>
      <c r="G56" s="17" t="str">
        <f ca="1">IFERROR(__xludf.DUMMYFUNCTION("""COMPUTED_VALUE"""),"RECARGA PASE TUTAG     CIUDAD DE MEX MEX")</f>
        <v>RECARGA PASE TUTAG     CIUDAD DE MEX MEX</v>
      </c>
      <c r="H56" s="17" t="str">
        <f ca="1">IFERROR(__xludf.DUMMYFUNCTION("""COMPUTED_VALUE"""),"Recarga Pase Tutag Ciudad De Mex Mex")</f>
        <v>Recarga Pase Tutag Ciudad De Mex Mex</v>
      </c>
      <c r="I56" s="17" t="str">
        <f ca="1">IFERROR(__xludf.DUMMYFUNCTION("""COMPUTED_VALUE"""),"Transaction cost")</f>
        <v>Transaction cost</v>
      </c>
      <c r="J56" s="17" t="str">
        <f ca="1">IFERROR(__xludf.DUMMYFUNCTION("""COMPUTED_VALUE"""),"IMESA")</f>
        <v>IMESA</v>
      </c>
      <c r="K56" s="17" t="str">
        <f ca="1">IFERROR(__xludf.DUMMYFUNCTION("""COMPUTED_VALUE"""),"NA")</f>
        <v>NA</v>
      </c>
      <c r="L56" s="17"/>
      <c r="M56" s="17"/>
      <c r="N56" s="17"/>
      <c r="O56" s="17"/>
    </row>
    <row r="57" spans="1:15" ht="12.5">
      <c r="A57" s="17" t="str">
        <f ca="1">IFERROR(__xludf.DUMMYFUNCTION("""COMPUTED_VALUE"""),"TRX1283")</f>
        <v>TRX1283</v>
      </c>
      <c r="B57" s="86" t="str">
        <f ca="1">IFERROR(__xludf.DUMMYFUNCTION("""COMPUTED_VALUE"""),"#58")</f>
        <v>#58</v>
      </c>
      <c r="C57" s="63">
        <f ca="1">IFERROR(__xludf.DUMMYFUNCTION("""COMPUTED_VALUE"""),46081.4173611111)</f>
        <v>46081.417361111096</v>
      </c>
      <c r="D57" s="17">
        <f ca="1">IFERROR(__xludf.DUMMYFUNCTION("""COMPUTED_VALUE"""),196)</f>
        <v>196</v>
      </c>
      <c r="E57" s="17" t="str">
        <f ca="1">IFERROR(__xludf.DUMMYFUNCTION("""COMPUTED_VALUE"""),"MXN")</f>
        <v>MXN</v>
      </c>
      <c r="F57" s="17" t="str">
        <f ca="1">IFERROR(__xludf.DUMMYFUNCTION("""COMPUTED_VALUE"""),"Jose Rosas Ortiz")</f>
        <v>Jose Rosas Ortiz</v>
      </c>
      <c r="G57" s="17" t="str">
        <f ca="1">IFERROR(__xludf.DUMMYFUNCTION("""COMPUTED_VALUE"""),"OXXO CIENTIFICOS MEX   NAUCALPAN DE  MEX")</f>
        <v>OXXO CIENTIFICOS MEX   NAUCALPAN DE  MEX</v>
      </c>
      <c r="H57" s="17" t="str">
        <f ca="1">IFERROR(__xludf.DUMMYFUNCTION("""COMPUTED_VALUE"""),"Oxxo")</f>
        <v>Oxxo</v>
      </c>
      <c r="I57" s="17" t="str">
        <f ca="1">IFERROR(__xludf.DUMMYFUNCTION("""COMPUTED_VALUE"""),"Transaction cost")</f>
        <v>Transaction cost</v>
      </c>
      <c r="J57" s="17" t="str">
        <f ca="1">IFERROR(__xludf.DUMMYFUNCTION("""COMPUTED_VALUE"""),"IMESA")</f>
        <v>IMESA</v>
      </c>
      <c r="K57" s="17" t="str">
        <f ca="1">IFERROR(__xludf.DUMMYFUNCTION("""COMPUTED_VALUE"""),"7536431260301050237191")</f>
        <v>7536431260301050237191</v>
      </c>
      <c r="L57" s="17"/>
      <c r="M57" s="17"/>
      <c r="N57" s="17"/>
      <c r="O57" s="17"/>
    </row>
    <row r="58" spans="1:15" ht="12.5">
      <c r="A58" s="17" t="str">
        <f ca="1">IFERROR(__xludf.DUMMYFUNCTION("""COMPUTED_VALUE"""),"TRX1288")</f>
        <v>TRX1288</v>
      </c>
      <c r="B58" s="86" t="str">
        <f ca="1">IFERROR(__xludf.DUMMYFUNCTION("""COMPUTED_VALUE"""),"#58")</f>
        <v>#58</v>
      </c>
      <c r="C58" s="63">
        <f ca="1">IFERROR(__xludf.DUMMYFUNCTION("""COMPUTED_VALUE"""),46081.4173611111)</f>
        <v>46081.417361111096</v>
      </c>
      <c r="D58" s="17">
        <f ca="1">IFERROR(__xludf.DUMMYFUNCTION("""COMPUTED_VALUE"""),561.23)</f>
        <v>561.23</v>
      </c>
      <c r="E58" s="17" t="str">
        <f ca="1">IFERROR(__xludf.DUMMYFUNCTION("""COMPUTED_VALUE"""),"MXN")</f>
        <v>MXN</v>
      </c>
      <c r="F58" s="17" t="str">
        <f ca="1">IFERROR(__xludf.DUMMYFUNCTION("""COMPUTED_VALUE"""),"Jose Rosas Ortiz")</f>
        <v>Jose Rosas Ortiz</v>
      </c>
      <c r="G58" s="17" t="str">
        <f ca="1">IFERROR(__xludf.DUMMYFUNCTION("""COMPUTED_VALUE"""),"WM EXPRESS FNTS DLASLO HUIXQUILUCAN  MEX")</f>
        <v>WM EXPRESS FNTS DLASLO HUIXQUILUCAN  MEX</v>
      </c>
      <c r="H58" s="17" t="str">
        <f ca="1">IFERROR(__xludf.DUMMYFUNCTION("""COMPUTED_VALUE"""),"Wm Express Fnts Dlaslo Huixquilucan Mex")</f>
        <v>Wm Express Fnts Dlaslo Huixquilucan Mex</v>
      </c>
      <c r="I58" s="17" t="str">
        <f ca="1">IFERROR(__xludf.DUMMYFUNCTION("""COMPUTED_VALUE"""),"Transaction cost")</f>
        <v>Transaction cost</v>
      </c>
      <c r="J58" s="17" t="str">
        <f ca="1">IFERROR(__xludf.DUMMYFUNCTION("""COMPUTED_VALUE"""),"IMESA")</f>
        <v>IMESA</v>
      </c>
      <c r="K58" s="17" t="str">
        <f ca="1">IFERROR(__xludf.DUMMYFUNCTION("""COMPUTED_VALUE"""),"Y 204856")</f>
        <v>Y 204856</v>
      </c>
      <c r="L58" s="17"/>
      <c r="M58" s="17"/>
      <c r="N58" s="17"/>
      <c r="O58" s="17"/>
    </row>
    <row r="59" spans="1:15" ht="12.5">
      <c r="A59" s="17"/>
      <c r="B59" s="24"/>
      <c r="C59" s="24"/>
      <c r="D59" s="17"/>
      <c r="E59" s="17"/>
      <c r="F59" s="17"/>
      <c r="G59" s="17"/>
      <c r="H59" s="17"/>
      <c r="I59" s="17"/>
      <c r="J59" s="17"/>
      <c r="K59" s="17"/>
      <c r="L59" s="17"/>
      <c r="M59" s="17"/>
      <c r="N59" s="17"/>
      <c r="O59" s="17"/>
    </row>
    <row r="60" spans="1:15" ht="12.5">
      <c r="A60" s="17"/>
      <c r="B60" s="24"/>
      <c r="C60" s="24"/>
      <c r="D60" s="17"/>
      <c r="E60" s="17"/>
      <c r="F60" s="17"/>
      <c r="G60" s="17"/>
      <c r="H60" s="17"/>
      <c r="I60" s="17"/>
      <c r="J60" s="17"/>
      <c r="K60" s="17"/>
      <c r="L60" s="17"/>
      <c r="M60" s="17"/>
      <c r="N60" s="17"/>
      <c r="O60" s="17"/>
    </row>
    <row r="61" spans="1:15" ht="12.5">
      <c r="A61" s="17"/>
      <c r="B61" s="24"/>
      <c r="C61" s="24"/>
      <c r="D61" s="17"/>
      <c r="E61" s="17"/>
      <c r="F61" s="17"/>
      <c r="G61" s="17"/>
      <c r="H61" s="17"/>
      <c r="I61" s="17"/>
      <c r="J61" s="17"/>
      <c r="K61" s="17"/>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c r="L77" s="17"/>
      <c r="M77" s="17"/>
      <c r="N77" s="17"/>
      <c r="O77" s="17"/>
    </row>
    <row r="78" spans="1:15" ht="12.5">
      <c r="A78" s="17"/>
      <c r="B78" s="24"/>
      <c r="C78" s="24"/>
      <c r="D78" s="17"/>
      <c r="E78" s="17"/>
      <c r="F78" s="17"/>
      <c r="G78" s="17"/>
      <c r="H78" s="17"/>
      <c r="I78" s="17"/>
      <c r="J78" s="17"/>
      <c r="K78" s="17"/>
      <c r="L78" s="17"/>
      <c r="M78" s="17"/>
      <c r="N78" s="17"/>
      <c r="O78" s="17"/>
    </row>
    <row r="79" spans="1:15" ht="12.5">
      <c r="A79" s="17"/>
      <c r="B79" s="24"/>
      <c r="C79" s="24"/>
      <c r="D79" s="17"/>
      <c r="E79" s="17"/>
      <c r="F79" s="17"/>
      <c r="G79" s="17"/>
      <c r="H79" s="17"/>
      <c r="I79" s="17"/>
      <c r="J79" s="17"/>
      <c r="K79" s="17"/>
      <c r="L79" s="17"/>
      <c r="M79" s="17"/>
      <c r="N79" s="17"/>
      <c r="O79" s="17"/>
    </row>
    <row r="80" spans="1:15" ht="12.5">
      <c r="A80" s="17"/>
      <c r="B80" s="24"/>
      <c r="C80" s="24"/>
      <c r="D80" s="17"/>
      <c r="E80" s="17"/>
      <c r="F80" s="17"/>
      <c r="G80" s="17"/>
      <c r="H80" s="17"/>
      <c r="I80" s="17"/>
      <c r="J80" s="17"/>
      <c r="K80" s="17"/>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D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51.0898437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1966</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IFERROR(__xludf.DUMMYFUNCTION("IMPORTRANGE(""https://docs.google.com/spreadsheets/d/1mJgAAKrCV4oAKzFu-Y3mLXJ1-hLdqnLqIf5eI0nKeZ8/edit?gid=1404531132#gid=1404531132"",""I12:K80"")"),"G&amp;A expenses")</f>
        <v>G&amp;A expenses</v>
      </c>
      <c r="J12" s="17" t="str">
        <f ca="1">IFERROR(__xludf.DUMMYFUNCTION("""COMPUTED_VALUE"""),"PO-1066 Recoleccion de Lavamanos en GAP Tlatelolco")</f>
        <v>PO-1066 Recoleccion de Lavamanos en GAP Tlatelolco</v>
      </c>
      <c r="K12" s="17" t="str">
        <f ca="1">IFERROR(__xludf.DUMMYFUNCTION("""COMPUTED_VALUE"""),"$190.0 reembolso realizado en Jeeves 01 nov 2024")</f>
        <v>$190.0 reembolso realizado en Jeeves 01 nov 2024</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IFERROR(__xludf.DUMMYFUNCTION("""COMPUTED_VALUE"""),"PO-1066 Envío de Lavamanos a GAP Tlatelolco")</f>
        <v>PO-1066 Envío de Lavamanos a GAP Tlatelolco</v>
      </c>
      <c r="K13" s="17" t="str">
        <f ca="1">IFERROR(__xludf.DUMMYFUNCTION("""COMPUTED_VALUE"""),"DIdi no factura")</f>
        <v>DIdi no factura</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IFERROR(__xludf.DUMMYFUNCTION("""COMPUTED_VALUE"""),"PO-1066 Envío de Lavamanos a GAP Tlatelolco")</f>
        <v>PO-1066 Envío de Lavamanos a GAP Tlatelolco</v>
      </c>
      <c r="K14" s="17" t="str">
        <f ca="1">IFERROR(__xludf.DUMMYFUNCTION("""COMPUTED_VALUE"""),"DIdi no factura")</f>
        <v>DIdi no factura</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IFERROR(__xludf.DUMMYFUNCTION("""COMPUTED_VALUE"""),"RFQ 2840 Coca Cola Carmona")</f>
        <v>RFQ 2840 Coca Cola Carmona</v>
      </c>
      <c r="K15" s="17" t="str">
        <f ca="1">IFERROR(__xludf.DUMMYFUNCTION("""COMPUTED_VALUE"""),"DIdi no factura")</f>
        <v>DIdi no factura</v>
      </c>
      <c r="L15" s="17"/>
      <c r="M15" s="17"/>
      <c r="N15" s="17"/>
      <c r="O15" s="17"/>
    </row>
    <row r="16" spans="1:15" ht="15.75" customHeight="1">
      <c r="A16" s="17"/>
      <c r="B16" s="24"/>
      <c r="C16" s="24"/>
      <c r="D16" s="17"/>
      <c r="E16" s="17"/>
      <c r="F16" s="17"/>
      <c r="G16" s="17"/>
      <c r="H16" s="17"/>
      <c r="I16" s="17" t="str">
        <f ca="1">IFERROR(__xludf.DUMMYFUNCTION("""COMPUTED_VALUE"""),"G&amp;A expenses")</f>
        <v>G&amp;A expenses</v>
      </c>
      <c r="J16" s="17" t="str">
        <f ca="1">IFERROR(__xludf.DUMMYFUNCTION("""COMPUTED_VALUE"""),"PO-1066 Comida visita a Escato")</f>
        <v>PO-1066 Comida visita a Escato</v>
      </c>
      <c r="K16" s="17" t="str">
        <f ca="1">IFERROR(__xludf.DUMMYFUNCTION("""COMPUTED_VALUE"""),"W473419")</f>
        <v>W473419</v>
      </c>
      <c r="L16" s="17"/>
      <c r="M16" s="17"/>
      <c r="N16" s="17"/>
      <c r="O16" s="17"/>
    </row>
    <row r="17" spans="1:15" ht="15.75" customHeight="1">
      <c r="A17" s="17"/>
      <c r="B17" s="24"/>
      <c r="C17" s="24"/>
      <c r="D17" s="17"/>
      <c r="E17" s="17"/>
      <c r="F17" s="17"/>
      <c r="G17" s="17"/>
      <c r="H17" s="17"/>
      <c r="I17" s="17" t="str">
        <f ca="1">IFERROR(__xludf.DUMMYFUNCTION("""COMPUTED_VALUE"""),"G&amp;A expenses")</f>
        <v>G&amp;A expenses</v>
      </c>
      <c r="J17" s="17" t="str">
        <f ca="1">IFERROR(__xludf.DUMMYFUNCTION("""COMPUTED_VALUE"""),"PO-1066 Envío de Muestras a GAP Tlatelolco")</f>
        <v>PO-1066 Envío de Muestras a GAP Tlatelolco</v>
      </c>
      <c r="K17" s="17" t="str">
        <f ca="1">IFERROR(__xludf.DUMMYFUNCTION("""COMPUTED_VALUE"""),"DIdi no factura")</f>
        <v>DIdi no factura</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IFERROR(__xludf.DUMMYFUNCTION("""COMPUTED_VALUE"""),"PO-1066 Envio de muestrario en GAP Tlatelolco")</f>
        <v>PO-1066 Envio de muestrario en GAP Tlatelolco</v>
      </c>
      <c r="K18" s="17" t="str">
        <f ca="1">IFERROR(__xludf.DUMMYFUNCTION("""COMPUTED_VALUE"""),"DIdi no factura")</f>
        <v>DIdi no factura</v>
      </c>
      <c r="L18" s="17"/>
      <c r="M18" s="17"/>
      <c r="N18" s="17"/>
      <c r="O18" s="17"/>
    </row>
    <row r="19" spans="1:15" ht="15.75" customHeight="1">
      <c r="A19" s="17"/>
      <c r="B19" s="24"/>
      <c r="C19" s="24"/>
      <c r="D19" s="17"/>
      <c r="E19" s="17"/>
      <c r="F19" s="17"/>
      <c r="G19" s="17"/>
      <c r="H19" s="17"/>
      <c r="I19" s="17"/>
      <c r="J19" s="17"/>
      <c r="K19" s="17"/>
      <c r="L19" s="17"/>
      <c r="M19" s="17"/>
      <c r="N19" s="17"/>
      <c r="O19" s="17"/>
    </row>
    <row r="20" spans="1:15" ht="12.5">
      <c r="A20" s="17"/>
      <c r="B20" s="24"/>
      <c r="C20" s="24"/>
      <c r="D20" s="17"/>
      <c r="E20" s="17"/>
      <c r="F20" s="17"/>
      <c r="G20" s="17"/>
      <c r="H20" s="17"/>
      <c r="I20" s="17"/>
      <c r="J20" s="17"/>
      <c r="K20" s="17"/>
      <c r="L20" s="17"/>
      <c r="M20" s="17"/>
      <c r="N20" s="17"/>
      <c r="O20" s="17"/>
    </row>
    <row r="21" spans="1:15" ht="12.5">
      <c r="A21" s="17"/>
      <c r="B21" s="24"/>
      <c r="C21" s="24"/>
      <c r="D21" s="17"/>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E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125</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111" t="str">
        <f ca="1">IFERROR(__xludf.DUMMYFUNCTION("FILTER('Edo Cta Jeeves Sept'!$A$12:$C$1003,'Edo Cta Jeeves Sept'!$J$12:$J$1003=$A$2)"),"#N/A")</f>
        <v>#N/A</v>
      </c>
      <c r="B12" s="112"/>
      <c r="C12" s="112"/>
      <c r="D12" s="90" t="str">
        <f ca="1">IFERROR(__xludf.DUMMYFUNCTION("FILTER('Edo Cta Jeeves Sept'!$G$12:$G$1003,'Edo Cta Jeeves Sept'!$J$12:$J$1003=$A$2)"),"#N/A")</f>
        <v>#N/A</v>
      </c>
      <c r="E12" s="90" t="str">
        <f ca="1">IFERROR(__xludf.DUMMYFUNCTION("FILTER('Edo Cta Jeeves Sept'!$I$12:$I$1003,'Edo Cta Jeeves Sept'!$J$12:$J$1003=$A$2)"),"#N/A")</f>
        <v>#N/A</v>
      </c>
      <c r="F12" s="90" t="str">
        <f ca="1">IFERROR(__xludf.DUMMYFUNCTION("FILTER('Edo Cta Jeeves Sept'!$J$12:$J$1003,'Edo Cta Jeeves Sept'!$J$12:$J$1003=$A$2)"),"#N/A")</f>
        <v>#N/A</v>
      </c>
      <c r="G12" s="90" t="str">
        <f ca="1">IFERROR(__xludf.DUMMYFUNCTION("FILTER('Edo Cta Jeeves Sept'!$K$12:$L$1003,'Edo Cta Jeeves Sept'!$J$12:$J$1003=$A$2)"),"#N/A")</f>
        <v>#N/A</v>
      </c>
      <c r="H12" s="90"/>
      <c r="I12" s="90" t="str">
        <f ca="1">IFERROR(__xludf.DUMMYFUNCTION("IMPORTRANGE(""https://docs.google.com/spreadsheets/d/1fQXPw3byDcmZse6vGCTPKivK3T8bkefo7fKb24m_XnE/edit?gid=1404531132#gid=1404531132"",""I12:K80"")"),"Transaction cost")</f>
        <v>Transaction cost</v>
      </c>
      <c r="J12" s="90" t="str">
        <f ca="1">IFERROR(__xludf.DUMMYFUNCTION("""COMPUTED_VALUE"""),"PO1137 - INTERNET OBRA")</f>
        <v>PO1137 - INTERNET OBRA</v>
      </c>
      <c r="K12" s="90">
        <f ca="1">IFERROR(__xludf.DUMMYFUNCTION("""COMPUTED_VALUE"""),151)</f>
        <v>151</v>
      </c>
      <c r="L12" s="17"/>
      <c r="M12" s="17"/>
      <c r="N12" s="17"/>
      <c r="O12" s="17"/>
    </row>
    <row r="13" spans="1:15" ht="15.75" customHeight="1">
      <c r="A13" s="111"/>
      <c r="B13" s="111"/>
      <c r="C13" s="111"/>
      <c r="D13" s="90"/>
      <c r="E13" s="90"/>
      <c r="F13" s="90"/>
      <c r="G13" s="90"/>
      <c r="H13" s="90"/>
      <c r="I13" s="90" t="str">
        <f ca="1">IFERROR(__xludf.DUMMYFUNCTION("""COMPUTED_VALUE"""),"Transaction cost")</f>
        <v>Transaction cost</v>
      </c>
      <c r="J13" s="90" t="str">
        <f ca="1">IFERROR(__xludf.DUMMYFUNCTION("""COMPUTED_VALUE"""),"PO1137 TRASLADOS OBRA- DOMICILIO EN HORARIOS QUE SE REQUIERE QUEDARSE MAS TIEMPO O ENTRAR MAS TEMPRANO")</f>
        <v>PO1137 TRASLADOS OBRA- DOMICILIO EN HORARIOS QUE SE REQUIERE QUEDARSE MAS TIEMPO O ENTRAR MAS TEMPRANO</v>
      </c>
      <c r="K13" s="90" t="str">
        <f ca="1">IFERROR(__xludf.DUMMYFUNCTION("""COMPUTED_VALUE"""),"N/A")</f>
        <v>N/A</v>
      </c>
      <c r="L13" s="17"/>
      <c r="M13" s="17"/>
      <c r="N13" s="17"/>
      <c r="O13" s="17"/>
    </row>
    <row r="14" spans="1:15" ht="15.75" customHeight="1">
      <c r="A14" s="111"/>
      <c r="B14" s="111"/>
      <c r="C14" s="111"/>
      <c r="D14" s="90"/>
      <c r="E14" s="90"/>
      <c r="F14" s="90"/>
      <c r="G14" s="90"/>
      <c r="H14" s="90"/>
      <c r="I14" s="90" t="str">
        <f ca="1">IFERROR(__xludf.DUMMYFUNCTION("""COMPUTED_VALUE"""),"Transaction cost")</f>
        <v>Transaction cost</v>
      </c>
      <c r="J14" s="90" t="str">
        <f ca="1">IFERROR(__xludf.DUMMYFUNCTION("""COMPUTED_VALUE"""),"PO1137 TRASLADOS OBRA- DOMICILIO EN HORARIOS QUE SE REQUIERE QUEDARSE MAS TIEMPO O ENTRAR MAS TEMPRANO")</f>
        <v>PO1137 TRASLADOS OBRA- DOMICILIO EN HORARIOS QUE SE REQUIERE QUEDARSE MAS TIEMPO O ENTRAR MAS TEMPRANO</v>
      </c>
      <c r="K14" s="90" t="str">
        <f ca="1">IFERROR(__xludf.DUMMYFUNCTION("""COMPUTED_VALUE"""),"N/A")</f>
        <v>N/A</v>
      </c>
      <c r="L14" s="17"/>
      <c r="M14" s="17"/>
      <c r="N14" s="17"/>
      <c r="O14" s="17"/>
    </row>
    <row r="15" spans="1:15" ht="15.75" customHeight="1">
      <c r="A15" s="111"/>
      <c r="B15" s="111"/>
      <c r="C15" s="111"/>
      <c r="D15" s="90"/>
      <c r="E15" s="90"/>
      <c r="F15" s="90"/>
      <c r="G15" s="90"/>
      <c r="H15" s="90"/>
      <c r="I15" s="90" t="str">
        <f ca="1">IFERROR(__xludf.DUMMYFUNCTION("""COMPUTED_VALUE"""),"Transaction cost")</f>
        <v>Transaction cost</v>
      </c>
      <c r="J15" s="90" t="str">
        <f ca="1">IFERROR(__xludf.DUMMYFUNCTION("""COMPUTED_VALUE"""),"PO1137 TRASLADOS OBRA- DOMICILIO EN HORARIOS QUE SE REQUIERE QUEDARSE MAS TIEMPO O ENTRAR MAS TEMPRANO")</f>
        <v>PO1137 TRASLADOS OBRA- DOMICILIO EN HORARIOS QUE SE REQUIERE QUEDARSE MAS TIEMPO O ENTRAR MAS TEMPRANO</v>
      </c>
      <c r="K15" s="90" t="str">
        <f ca="1">IFERROR(__xludf.DUMMYFUNCTION("""COMPUTED_VALUE"""),"N/A")</f>
        <v>N/A</v>
      </c>
      <c r="L15" s="17"/>
      <c r="M15" s="17"/>
      <c r="N15" s="17"/>
      <c r="O15" s="17"/>
    </row>
    <row r="16" spans="1:15" ht="15.75" customHeight="1">
      <c r="A16" s="90"/>
      <c r="B16" s="111"/>
      <c r="C16" s="111"/>
      <c r="D16" s="90"/>
      <c r="E16" s="90"/>
      <c r="F16" s="90"/>
      <c r="G16" s="90"/>
      <c r="H16" s="90"/>
      <c r="I16" s="90" t="str">
        <f ca="1">IFERROR(__xludf.DUMMYFUNCTION("""COMPUTED_VALUE"""),"Transaction cost")</f>
        <v>Transaction cost</v>
      </c>
      <c r="J16" s="90" t="str">
        <f ca="1">IFERROR(__xludf.DUMMYFUNCTION("""COMPUTED_VALUE"""),"PO1137 TRASLADOS OBRA- DOMICILIO EN HORARIOS QUE SE REQUIERE QUEDARSE MAS TIEMPO O ENTRAR MAS TEMPRANO")</f>
        <v>PO1137 TRASLADOS OBRA- DOMICILIO EN HORARIOS QUE SE REQUIERE QUEDARSE MAS TIEMPO O ENTRAR MAS TEMPRANO</v>
      </c>
      <c r="K16" s="90" t="str">
        <f ca="1">IFERROR(__xludf.DUMMYFUNCTION("""COMPUTED_VALUE"""),"N/A")</f>
        <v>N/A</v>
      </c>
      <c r="L16" s="17"/>
      <c r="M16" s="17"/>
      <c r="N16" s="17"/>
      <c r="O16" s="17"/>
    </row>
    <row r="17" spans="1:15" ht="15.75" customHeight="1">
      <c r="A17" s="90"/>
      <c r="B17" s="111"/>
      <c r="C17" s="111"/>
      <c r="D17" s="90"/>
      <c r="E17" s="90"/>
      <c r="F17" s="90"/>
      <c r="G17" s="90"/>
      <c r="H17" s="90"/>
      <c r="I17" s="90" t="str">
        <f ca="1">IFERROR(__xludf.DUMMYFUNCTION("""COMPUTED_VALUE"""),"Transaction cost")</f>
        <v>Transaction cost</v>
      </c>
      <c r="J17" s="90" t="str">
        <f ca="1">IFERROR(__xludf.DUMMYFUNCTION("""COMPUTED_VALUE"""),"PO1137 TRASLADOS OBRA- DOMICILIO EN HORARIOS QUE SE REQUIERE QUEDARSE MAS TIEMPO O ENTRAR MAS TEMPRANO")</f>
        <v>PO1137 TRASLADOS OBRA- DOMICILIO EN HORARIOS QUE SE REQUIERE QUEDARSE MAS TIEMPO O ENTRAR MAS TEMPRANO</v>
      </c>
      <c r="K17" s="90" t="str">
        <f ca="1">IFERROR(__xludf.DUMMYFUNCTION("""COMPUTED_VALUE"""),"N/A")</f>
        <v>N/A</v>
      </c>
      <c r="L17" s="17"/>
      <c r="M17" s="17"/>
      <c r="N17" s="17"/>
      <c r="O17" s="17"/>
    </row>
    <row r="18" spans="1:15" ht="15.75" customHeight="1">
      <c r="A18" s="90"/>
      <c r="B18" s="111"/>
      <c r="C18" s="111"/>
      <c r="D18" s="90"/>
      <c r="E18" s="90"/>
      <c r="F18" s="90"/>
      <c r="G18" s="90"/>
      <c r="H18" s="90"/>
      <c r="I18" s="90" t="str">
        <f ca="1">IFERROR(__xludf.DUMMYFUNCTION("""COMPUTED_VALUE"""),"Transaction cost")</f>
        <v>Transaction cost</v>
      </c>
      <c r="J18" s="90" t="str">
        <f ca="1">IFERROR(__xludf.DUMMYFUNCTION("""COMPUTED_VALUE"""),"PO1137 TRASLADOS OBRA- DOMICILIO EN HORARIOS QUE SE REQUIERE QUEDARSE MAS TIEMPO O ENTRAR MAS TEMPRANO")</f>
        <v>PO1137 TRASLADOS OBRA- DOMICILIO EN HORARIOS QUE SE REQUIERE QUEDARSE MAS TIEMPO O ENTRAR MAS TEMPRANO</v>
      </c>
      <c r="K18" s="90" t="str">
        <f ca="1">IFERROR(__xludf.DUMMYFUNCTION("""COMPUTED_VALUE"""),"N/A")</f>
        <v>N/A</v>
      </c>
      <c r="L18" s="17"/>
      <c r="M18" s="17"/>
      <c r="N18" s="17"/>
      <c r="O18" s="17"/>
    </row>
    <row r="19" spans="1:15" ht="15.75" customHeight="1">
      <c r="A19" s="90"/>
      <c r="B19" s="111"/>
      <c r="C19" s="111"/>
      <c r="D19" s="90"/>
      <c r="E19" s="90"/>
      <c r="F19" s="90"/>
      <c r="G19" s="90"/>
      <c r="H19" s="90"/>
      <c r="I19" s="90" t="str">
        <f ca="1">IFERROR(__xludf.DUMMYFUNCTION("""COMPUTED_VALUE"""),"Office expenses")</f>
        <v>Office expenses</v>
      </c>
      <c r="J19" s="90" t="str">
        <f ca="1">IFERROR(__xludf.DUMMYFUNCTION("""COMPUTED_VALUE"""),"PO1137 INTERNET OFICINA OBRA")</f>
        <v>PO1137 INTERNET OFICINA OBRA</v>
      </c>
      <c r="K19" s="90">
        <f ca="1">IFERROR(__xludf.DUMMYFUNCTION("""COMPUTED_VALUE"""),158)</f>
        <v>158</v>
      </c>
      <c r="L19" s="17"/>
      <c r="M19" s="17"/>
      <c r="N19" s="17"/>
      <c r="O19" s="17"/>
    </row>
    <row r="20" spans="1:15" ht="12.5">
      <c r="A20" s="90"/>
      <c r="B20" s="111"/>
      <c r="C20" s="111"/>
      <c r="D20" s="90"/>
      <c r="E20" s="90"/>
      <c r="F20" s="90"/>
      <c r="G20" s="90"/>
      <c r="H20" s="90"/>
      <c r="I20" s="90" t="str">
        <f ca="1">IFERROR(__xludf.DUMMYFUNCTION("""COMPUTED_VALUE"""),"Transaction cost")</f>
        <v>Transaction cost</v>
      </c>
      <c r="J20" s="90" t="str">
        <f ca="1">IFERROR(__xludf.DUMMYFUNCTION("""COMPUTED_VALUE"""),"PO1137 TRASLADOS OBRA- DOMICILIO EN HORARIOS QUE SE REQUIERE QUEDARSE MAS TIEMPO O ENTRAR MAS TEMPRANO")</f>
        <v>PO1137 TRASLADOS OBRA- DOMICILIO EN HORARIOS QUE SE REQUIERE QUEDARSE MAS TIEMPO O ENTRAR MAS TEMPRANO</v>
      </c>
      <c r="K20" s="90" t="str">
        <f ca="1">IFERROR(__xludf.DUMMYFUNCTION("""COMPUTED_VALUE"""),"N/A")</f>
        <v>N/A</v>
      </c>
      <c r="L20" s="17"/>
      <c r="M20" s="17"/>
      <c r="N20" s="17"/>
      <c r="O20" s="17"/>
    </row>
    <row r="21" spans="1:15" ht="12.5">
      <c r="A21" s="90"/>
      <c r="B21" s="111"/>
      <c r="C21" s="111"/>
      <c r="D21" s="90"/>
      <c r="E21" s="90"/>
      <c r="F21" s="90"/>
      <c r="G21" s="90"/>
      <c r="H21" s="90"/>
      <c r="I21" s="90" t="str">
        <f ca="1">IFERROR(__xludf.DUMMYFUNCTION("""COMPUTED_VALUE"""),"Office expenses")</f>
        <v>Office expenses</v>
      </c>
      <c r="J21" s="90" t="str">
        <f ca="1">IFERROR(__xludf.DUMMYFUNCTION("""COMPUTED_VALUE"""),"PO1137 BOTIQUIN OFICINA OBRA")</f>
        <v>PO1137 BOTIQUIN OFICINA OBRA</v>
      </c>
      <c r="K21" s="90" t="str">
        <f ca="1">IFERROR(__xludf.DUMMYFUNCTION("""COMPUTED_VALUE"""),"N/A")</f>
        <v>N/A</v>
      </c>
      <c r="L21" s="17"/>
      <c r="M21" s="17"/>
      <c r="N21" s="17"/>
      <c r="O21" s="17"/>
    </row>
    <row r="22" spans="1:15" ht="12.5">
      <c r="A22" s="90"/>
      <c r="B22" s="111"/>
      <c r="C22" s="111"/>
      <c r="D22" s="90"/>
      <c r="E22" s="90"/>
      <c r="F22" s="90"/>
      <c r="G22" s="90"/>
      <c r="H22" s="90"/>
      <c r="I22" s="90" t="str">
        <f ca="1">IFERROR(__xludf.DUMMYFUNCTION("""COMPUTED_VALUE"""),"Transaction cost")</f>
        <v>Transaction cost</v>
      </c>
      <c r="J22" s="90" t="str">
        <f ca="1">IFERROR(__xludf.DUMMYFUNCTION("""COMPUTED_VALUE"""),"PO1137 TRASLADOS OBRA- DOMICILIO EN HORARIOS QUE SE REQUIERE QUEDARSE MAS TIEMPO O ENTRAR MAS TEMPRANO")</f>
        <v>PO1137 TRASLADOS OBRA- DOMICILIO EN HORARIOS QUE SE REQUIERE QUEDARSE MAS TIEMPO O ENTRAR MAS TEMPRANO</v>
      </c>
      <c r="K22" s="90" t="str">
        <f ca="1">IFERROR(__xludf.DUMMYFUNCTION("""COMPUTED_VALUE"""),"N/A")</f>
        <v>N/A</v>
      </c>
      <c r="L22" s="17"/>
      <c r="M22" s="17"/>
      <c r="N22" s="17"/>
      <c r="O22" s="17"/>
    </row>
    <row r="23" spans="1:15" ht="12.5">
      <c r="A23" s="90"/>
      <c r="B23" s="111"/>
      <c r="C23" s="111"/>
      <c r="D23" s="90"/>
      <c r="E23" s="90"/>
      <c r="F23" s="90"/>
      <c r="G23" s="90"/>
      <c r="H23" s="90"/>
      <c r="I23" s="90" t="str">
        <f ca="1">IFERROR(__xludf.DUMMYFUNCTION("""COMPUTED_VALUE"""),"Transaction cost")</f>
        <v>Transaction cost</v>
      </c>
      <c r="J23" s="90" t="str">
        <f ca="1">IFERROR(__xludf.DUMMYFUNCTION("""COMPUTED_VALUE"""),"PO1137 ARTICULOS LIMPIEZA OFICINA OBRA")</f>
        <v>PO1137 ARTICULOS LIMPIEZA OFICINA OBRA</v>
      </c>
      <c r="K23" s="90" t="str">
        <f ca="1">IFERROR(__xludf.DUMMYFUNCTION("""COMPUTED_VALUE"""),"IWAAG790422")</f>
        <v>IWAAG790422</v>
      </c>
      <c r="L23" s="17"/>
      <c r="M23" s="17"/>
      <c r="N23" s="17"/>
      <c r="O23" s="17"/>
    </row>
    <row r="24" spans="1:15" ht="12.5">
      <c r="A24" s="90"/>
      <c r="B24" s="111"/>
      <c r="C24" s="111"/>
      <c r="D24" s="90"/>
      <c r="E24" s="90"/>
      <c r="F24" s="90"/>
      <c r="G24" s="90"/>
      <c r="H24" s="90"/>
      <c r="I24" s="90" t="str">
        <f ca="1">IFERROR(__xludf.DUMMYFUNCTION("""COMPUTED_VALUE"""),"Transaction cost")</f>
        <v>Transaction cost</v>
      </c>
      <c r="J24" s="90" t="str">
        <f ca="1">IFERROR(__xludf.DUMMYFUNCTION("""COMPUTED_VALUE"""),"PO1137 PAPELERIA OBRA")</f>
        <v>PO1137 PAPELERIA OBRA</v>
      </c>
      <c r="K24" s="90" t="str">
        <f ca="1">IFERROR(__xludf.DUMMYFUNCTION("""COMPUTED_VALUE"""),"fff537ce-220f-49ab-9742-e488190ee94b")</f>
        <v>fff537ce-220f-49ab-9742-e488190ee94b</v>
      </c>
      <c r="L24" s="17"/>
      <c r="M24" s="17"/>
      <c r="N24" s="17"/>
      <c r="O24" s="17"/>
    </row>
    <row r="25" spans="1:15" ht="12.5">
      <c r="A25" s="90"/>
      <c r="B25" s="111"/>
      <c r="C25" s="111"/>
      <c r="D25" s="90"/>
      <c r="E25" s="90"/>
      <c r="F25" s="90"/>
      <c r="G25" s="90"/>
      <c r="H25" s="90"/>
      <c r="I25" s="90" t="str">
        <f ca="1">IFERROR(__xludf.DUMMYFUNCTION("""COMPUTED_VALUE"""),"Transaction cost")</f>
        <v>Transaction cost</v>
      </c>
      <c r="J25" s="90" t="str">
        <f ca="1">IFERROR(__xludf.DUMMYFUNCTION("""COMPUTED_VALUE"""),"PO1137 TRASLADOS OBRA- DOMICILIO EN HORARIOS QUE SE REQUIERE QUEDARSE MAS TIEMPO O ENTRAR MAS TEMPRANO")</f>
        <v>PO1137 TRASLADOS OBRA- DOMICILIO EN HORARIOS QUE SE REQUIERE QUEDARSE MAS TIEMPO O ENTRAR MAS TEMPRANO</v>
      </c>
      <c r="K25" s="90" t="str">
        <f ca="1">IFERROR(__xludf.DUMMYFUNCTION("""COMPUTED_VALUE"""),"6a8a7e26-af40-430c-8d6e-b2dc3ced794d")</f>
        <v>6a8a7e26-af40-430c-8d6e-b2dc3ced794d</v>
      </c>
      <c r="L25" s="17"/>
      <c r="M25" s="17"/>
      <c r="N25" s="17"/>
      <c r="O25" s="17"/>
    </row>
    <row r="26" spans="1:15" ht="12.5">
      <c r="A26" s="90"/>
      <c r="B26" s="111"/>
      <c r="C26" s="111"/>
      <c r="D26" s="90"/>
      <c r="E26" s="90"/>
      <c r="F26" s="90"/>
      <c r="G26" s="90"/>
      <c r="H26" s="90"/>
      <c r="I26" s="90" t="str">
        <f ca="1">IFERROR(__xludf.DUMMYFUNCTION("""COMPUTED_VALUE"""),"Transaction cost")</f>
        <v>Transaction cost</v>
      </c>
      <c r="J26" s="90" t="str">
        <f ca="1">IFERROR(__xludf.DUMMYFUNCTION("""COMPUTED_VALUE"""),"PO1137 TRASLADOS OBRA- DOMICILIO EN HORARIOS QUE SE REQUIERE QUEDARSE MAS TIEMPO O ENTRAR MAS TEMPRANO")</f>
        <v>PO1137 TRASLADOS OBRA- DOMICILIO EN HORARIOS QUE SE REQUIERE QUEDARSE MAS TIEMPO O ENTRAR MAS TEMPRANO</v>
      </c>
      <c r="K26" s="90" t="str">
        <f ca="1">IFERROR(__xludf.DUMMYFUNCTION("""COMPUTED_VALUE"""),"N/A")</f>
        <v>N/A</v>
      </c>
      <c r="L26" s="17"/>
      <c r="M26" s="17"/>
      <c r="N26" s="17"/>
      <c r="O26" s="17"/>
    </row>
    <row r="27" spans="1:15" ht="12.5">
      <c r="A27" s="90"/>
      <c r="B27" s="111"/>
      <c r="C27" s="111"/>
      <c r="D27" s="90"/>
      <c r="E27" s="90"/>
      <c r="F27" s="90"/>
      <c r="G27" s="90"/>
      <c r="H27" s="90"/>
      <c r="I27" s="90" t="str">
        <f ca="1">IFERROR(__xludf.DUMMYFUNCTION("""COMPUTED_VALUE"""),"Transaction cost")</f>
        <v>Transaction cost</v>
      </c>
      <c r="J27" s="90" t="str">
        <f ca="1">IFERROR(__xludf.DUMMYFUNCTION("""COMPUTED_VALUE"""),"PO1137 TRASLADOS OBRA- DOMICILIO EN HORARIOS QUE SE REQUIERE QUEDARSE MAS TIEMPO O ENTRAR MAS TEMPRANO")</f>
        <v>PO1137 TRASLADOS OBRA- DOMICILIO EN HORARIOS QUE SE REQUIERE QUEDARSE MAS TIEMPO O ENTRAR MAS TEMPRANO</v>
      </c>
      <c r="K27" s="90" t="str">
        <f ca="1">IFERROR(__xludf.DUMMYFUNCTION("""COMPUTED_VALUE"""),"N/A")</f>
        <v>N/A</v>
      </c>
      <c r="L27" s="17"/>
      <c r="M27" s="17"/>
      <c r="N27" s="17"/>
      <c r="O27" s="17"/>
    </row>
    <row r="28" spans="1:15" ht="12.5">
      <c r="A28" s="90"/>
      <c r="B28" s="111"/>
      <c r="C28" s="111"/>
      <c r="D28" s="90"/>
      <c r="E28" s="90"/>
      <c r="F28" s="90"/>
      <c r="G28" s="90"/>
      <c r="H28" s="90"/>
      <c r="I28" s="90" t="str">
        <f ca="1">IFERROR(__xludf.DUMMYFUNCTION("""COMPUTED_VALUE"""),"Transaction cost")</f>
        <v>Transaction cost</v>
      </c>
      <c r="J28" s="90" t="str">
        <f ca="1">IFERROR(__xludf.DUMMYFUNCTION("""COMPUTED_VALUE"""),"PO1137  INTERNET OBRA")</f>
        <v>PO1137  INTERNET OBRA</v>
      </c>
      <c r="K28" s="90">
        <f ca="1">IFERROR(__xludf.DUMMYFUNCTION("""COMPUTED_VALUE"""),162)</f>
        <v>162</v>
      </c>
      <c r="L28" s="17"/>
      <c r="M28" s="17"/>
      <c r="N28" s="17"/>
      <c r="O28" s="17"/>
    </row>
    <row r="29" spans="1:15" ht="12.5">
      <c r="A29" s="90"/>
      <c r="B29" s="111"/>
      <c r="C29" s="111"/>
      <c r="D29" s="90"/>
      <c r="E29" s="90"/>
      <c r="F29" s="90"/>
      <c r="G29" s="90"/>
      <c r="H29" s="90"/>
      <c r="I29" s="90" t="str">
        <f ca="1">IFERROR(__xludf.DUMMYFUNCTION("""COMPUTED_VALUE"""),"Transaction cost")</f>
        <v>Transaction cost</v>
      </c>
      <c r="J29" s="90" t="str">
        <f ca="1">IFERROR(__xludf.DUMMYFUNCTION("""COMPUTED_VALUE"""),"PO1137 - GASOLINA")</f>
        <v>PO1137 - GASOLINA</v>
      </c>
      <c r="K29" s="90" t="str">
        <f ca="1">IFERROR(__xludf.DUMMYFUNCTION("""COMPUTED_VALUE"""),"174108E3-387C-4AAA-8C89-0E359C4354E0")</f>
        <v>174108E3-387C-4AAA-8C89-0E359C4354E0</v>
      </c>
      <c r="L29" s="17"/>
      <c r="M29" s="17"/>
      <c r="N29" s="17"/>
      <c r="O29" s="17"/>
    </row>
    <row r="30" spans="1:15" ht="12.5">
      <c r="A30" s="17"/>
      <c r="B30" s="24"/>
      <c r="C30" s="24"/>
      <c r="D30" s="17"/>
      <c r="E30" s="17"/>
      <c r="F30" s="17"/>
      <c r="G30" s="17"/>
      <c r="H30" s="17"/>
      <c r="I30" s="17" t="str">
        <f ca="1">IFERROR(__xludf.DUMMYFUNCTION("""COMPUTED_VALUE"""),"Transaction cost")</f>
        <v>Transaction cost</v>
      </c>
      <c r="J30" s="17" t="str">
        <f ca="1">IFERROR(__xludf.DUMMYFUNCTION("""COMPUTED_VALUE"""),"PO1137 TRASLADOS OBRA- DOMICILIO EN HORARIOS QUE SE REQUIERE QUEDARSE MAS TIEMPO O ENTRAR MAS TEMPRANO")</f>
        <v>PO1137 TRASLADOS OBRA- DOMICILIO EN HORARIOS QUE SE REQUIERE QUEDARSE MAS TIEMPO O ENTRAR MAS TEMPRANO</v>
      </c>
      <c r="K30" s="17" t="str">
        <f ca="1">IFERROR(__xludf.DUMMYFUNCTION("""COMPUTED_VALUE"""),"N/A")</f>
        <v>N/A</v>
      </c>
      <c r="L30" s="17"/>
      <c r="M30" s="17"/>
      <c r="N30" s="17"/>
      <c r="O30" s="17"/>
    </row>
    <row r="31" spans="1:15" ht="12.5">
      <c r="A31" s="17"/>
      <c r="B31" s="24"/>
      <c r="C31" s="24"/>
      <c r="D31" s="17"/>
      <c r="E31" s="17"/>
      <c r="F31" s="17"/>
      <c r="G31" s="17"/>
      <c r="H31" s="17"/>
      <c r="I31" s="17" t="str">
        <f ca="1">IFERROR(__xludf.DUMMYFUNCTION("""COMPUTED_VALUE"""),"Office expenses")</f>
        <v>Office expenses</v>
      </c>
      <c r="J31" s="17" t="str">
        <f ca="1">IFERROR(__xludf.DUMMYFUNCTION("""COMPUTED_VALUE"""),"PO1137 PAPELERIA OFICINA OBRA")</f>
        <v>PO1137 PAPELERIA OFICINA OBRA</v>
      </c>
      <c r="K31" s="17" t="str">
        <f ca="1">IFERROR(__xludf.DUMMYFUNCTION("""COMPUTED_VALUE"""),"25b4fd83-0f9d-4a5f-a932-117bd0f0ce53")</f>
        <v>25b4fd83-0f9d-4a5f-a932-117bd0f0ce53</v>
      </c>
      <c r="L31" s="17"/>
      <c r="M31" s="17"/>
      <c r="N31" s="17"/>
      <c r="O31" s="17"/>
    </row>
    <row r="32" spans="1:15" ht="12.5">
      <c r="A32" s="17"/>
      <c r="B32" s="24"/>
      <c r="C32" s="24"/>
      <c r="D32" s="17"/>
      <c r="E32" s="17"/>
      <c r="F32" s="17"/>
      <c r="G32" s="17"/>
      <c r="H32" s="17"/>
      <c r="I32" s="17" t="str">
        <f ca="1">IFERROR(__xludf.DUMMYFUNCTION("""COMPUTED_VALUE"""),"Transaction cost")</f>
        <v>Transaction cost</v>
      </c>
      <c r="J32" s="17"/>
      <c r="K32" s="17"/>
      <c r="L32" s="17"/>
      <c r="M32" s="17"/>
      <c r="N32" s="17"/>
      <c r="O32" s="17"/>
    </row>
    <row r="33" spans="1:15" ht="12.5">
      <c r="A33" s="17"/>
      <c r="B33" s="24"/>
      <c r="C33" s="24"/>
      <c r="D33" s="17">
        <f ca="1">SUM(D12:D32)</f>
        <v>0</v>
      </c>
      <c r="E33" s="17"/>
      <c r="F33" s="17"/>
      <c r="G33" s="17"/>
      <c r="H33" s="17"/>
      <c r="I33" s="17" t="str">
        <f ca="1">IFERROR(__xludf.DUMMYFUNCTION("""COMPUTED_VALUE"""),"Transaction cost")</f>
        <v>Transaction cost</v>
      </c>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3F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132</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IFERROR(__xludf.DUMMYFUNCTION("IMPORTRANGE(""https://docs.google.com/spreadsheets/d/13VgiMuDOWeni1dRYWRAvOieuWne3VHEJWBGBpTSroWU/edit?gid=1404531132#gid=1404531132"",""I12:K80"")"),"")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0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139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Sept'!$J$12:$J$1700=$A$2)"),"TRX1296")</f>
        <v>TRX1296</v>
      </c>
      <c r="B12" s="86" t="str">
        <f ca="1">IFERROR(__xludf.DUMMYFUNCTION("""COMPUTED_VALUE"""),"#64")</f>
        <v>#64</v>
      </c>
      <c r="C12" s="86">
        <f ca="1">IFERROR(__xludf.DUMMYFUNCTION("""COMPUTED_VALUE"""),46055.4166666666)</f>
        <v>46055.416666666599</v>
      </c>
      <c r="D12" s="65">
        <f ca="1">IFERROR(__xludf.DUMMYFUNCTION("FILTER('Edo Cta Jeeves Sept'!$G$12:$G$1700,'Edo Cta Jeeves Sept'!$J$12:$J$1700=$A$2)"),12000)</f>
        <v>12000</v>
      </c>
      <c r="E12" s="17" t="str">
        <f ca="1">IFERROR(__xludf.DUMMYFUNCTION("FILTER('Edo Cta Jeeves Sept'!$I$12:$I$1700,'Edo Cta Jeeves Sept'!$J$12:$J$1700=$A$2)"),"MXN")</f>
        <v>MXN</v>
      </c>
      <c r="F12" s="17" t="str">
        <f ca="1">IFERROR(__xludf.DUMMYFUNCTION("FILTER('Edo Cta Jeeves Sept'!$J$12:$J$1700,'Edo Cta Jeeves Sept'!$J$12:$J$1700=$A$2)"),"Jorge Rojas")</f>
        <v>Jorge Rojas</v>
      </c>
      <c r="G12" s="17" t="str">
        <f ca="1">IFERROR(__xludf.DUMMYFUNCTION("FILTER('Edo Cta Jeeves Sept'!$K$12:$L$1700,'Edo Cta Jeeves Sept'!$J$12:$J$1700=$A$2)"),"EUROPCAR WEB 2         BENITO JUAREZ MEX")</f>
        <v>EUROPCAR WEB 2         BENITO JUAREZ MEX</v>
      </c>
      <c r="H12" s="17" t="str">
        <f ca="1">IFERROR(__xludf.DUMMYFUNCTION("""COMPUTED_VALUE"""),"Europcar")</f>
        <v>Europcar</v>
      </c>
      <c r="I12" s="17" t="str">
        <f ca="1">IFERROR(__xludf.DUMMYFUNCTION("IMPORTRANGE(""https://docs.google.com/spreadsheets/d/17zVock4GW596GS_QJUEekcEdC-g-lIMmnlKE8u-mHmc/edit?gid=1404531132#gid=1404531132"",""I12:K80"")"),"Europcar")</f>
        <v>Europcar</v>
      </c>
      <c r="J12" s="17" t="str">
        <f ca="1">IFERROR(__xludf.DUMMYFUNCTION("""COMPUTED_VALUE"""),"G&amp;A expenses")</f>
        <v>G&amp;A expenses</v>
      </c>
      <c r="K12" s="17" t="str">
        <f ca="1">IFERROR(__xludf.DUMMYFUNCTION("""COMPUTED_VALUE"""),"Alimentos")</f>
        <v>Alimentos</v>
      </c>
      <c r="L12" s="17"/>
      <c r="M12" s="17"/>
      <c r="N12" s="17"/>
      <c r="O12" s="17"/>
    </row>
    <row r="13" spans="1:15" ht="15.75" customHeight="1">
      <c r="A13" s="24" t="str">
        <f ca="1">IFERROR(__xludf.DUMMYFUNCTION("""COMPUTED_VALUE"""),"TRX1295")</f>
        <v>TRX1295</v>
      </c>
      <c r="B13" s="86" t="str">
        <f ca="1">IFERROR(__xludf.DUMMYFUNCTION("""COMPUTED_VALUE"""),"#64")</f>
        <v>#64</v>
      </c>
      <c r="C13" s="86">
        <f ca="1">IFERROR(__xludf.DUMMYFUNCTION("""COMPUTED_VALUE"""),46055.4166666666)</f>
        <v>46055.416666666599</v>
      </c>
      <c r="D13" s="65">
        <f ca="1">IFERROR(__xludf.DUMMYFUNCTION("""COMPUTED_VALUE"""),128.7)</f>
        <v>128.69999999999999</v>
      </c>
      <c r="E13" s="17" t="str">
        <f ca="1">IFERROR(__xludf.DUMMYFUNCTION("""COMPUTED_VALUE"""),"MXN")</f>
        <v>MXN</v>
      </c>
      <c r="F13" s="17" t="str">
        <f ca="1">IFERROR(__xludf.DUMMYFUNCTION("""COMPUTED_VALUE"""),"Jorge Rojas")</f>
        <v>Jorge Rojas</v>
      </c>
      <c r="G13" s="17" t="str">
        <f ca="1">IFERROR(__xludf.DUMMYFUNCTION("""COMPUTED_VALUE"""),"WALMART LOMAS STA FE   TIJUANA BCN   MEX")</f>
        <v>WALMART LOMAS STA FE   TIJUANA BCN   MEX</v>
      </c>
      <c r="H13" s="17" t="str">
        <f ca="1">IFERROR(__xludf.DUMMYFUNCTION("""COMPUTED_VALUE"""),"Walmart")</f>
        <v>Walmart</v>
      </c>
      <c r="I13" s="17" t="str">
        <f ca="1">IFERROR(__xludf.DUMMYFUNCTION("""COMPUTED_VALUE"""),"Walmart")</f>
        <v>Walmart</v>
      </c>
      <c r="J13" s="17" t="str">
        <f ca="1">IFERROR(__xludf.DUMMYFUNCTION("""COMPUTED_VALUE"""),"G&amp;A expenses")</f>
        <v>G&amp;A expenses</v>
      </c>
      <c r="K13" s="17" t="str">
        <f ca="1">IFERROR(__xludf.DUMMYFUNCTION("""COMPUTED_VALUE"""),"Consumibles")</f>
        <v>Consumibles</v>
      </c>
      <c r="L13" s="17"/>
      <c r="M13" s="17"/>
      <c r="N13" s="17"/>
      <c r="O13" s="17"/>
    </row>
    <row r="14" spans="1:15" ht="15.75" customHeight="1">
      <c r="A14" s="24" t="str">
        <f ca="1">IFERROR(__xludf.DUMMYFUNCTION("""COMPUTED_VALUE"""),"TRX1293")</f>
        <v>TRX1293</v>
      </c>
      <c r="B14" s="86" t="str">
        <f ca="1">IFERROR(__xludf.DUMMYFUNCTION("""COMPUTED_VALUE"""),"#64")</f>
        <v>#64</v>
      </c>
      <c r="C14" s="86">
        <f ca="1">IFERROR(__xludf.DUMMYFUNCTION("""COMPUTED_VALUE"""),46055.4166666666)</f>
        <v>46055.416666666599</v>
      </c>
      <c r="D14" s="65">
        <f ca="1">IFERROR(__xludf.DUMMYFUNCTION("""COMPUTED_VALUE"""),1537)</f>
        <v>1537</v>
      </c>
      <c r="E14" s="17" t="str">
        <f ca="1">IFERROR(__xludf.DUMMYFUNCTION("""COMPUTED_VALUE"""),"MXN")</f>
        <v>MXN</v>
      </c>
      <c r="F14" s="17" t="str">
        <f ca="1">IFERROR(__xludf.DUMMYFUNCTION("""COMPUTED_VALUE"""),"Jorge Rojas")</f>
        <v>Jorge Rojas</v>
      </c>
      <c r="G14" s="17" t="str">
        <f ca="1">IFERROR(__xludf.DUMMYFUNCTION("""COMPUTED_VALUE"""),"SUPERCENTER TIJUANA HI TIJUANA BCN   MEX")</f>
        <v>SUPERCENTER TIJUANA HI TIJUANA BCN   MEX</v>
      </c>
      <c r="H14" s="17" t="str">
        <f ca="1">IFERROR(__xludf.DUMMYFUNCTION("""COMPUTED_VALUE"""),"Supercenter Tijuana Hi Tijuana Bcn Mex")</f>
        <v>Supercenter Tijuana Hi Tijuana Bcn Mex</v>
      </c>
      <c r="I14" s="17" t="str">
        <f ca="1">IFERROR(__xludf.DUMMYFUNCTION("""COMPUTED_VALUE"""),"Supercenter Tijuana Hi Tijuana Bcn Mex")</f>
        <v>Supercenter Tijuana Hi Tijuana Bcn Mex</v>
      </c>
      <c r="J14" s="17" t="str">
        <f ca="1">IFERROR(__xludf.DUMMYFUNCTION("""COMPUTED_VALUE"""),"G&amp;A expenses")</f>
        <v>G&amp;A expenses</v>
      </c>
      <c r="K14" s="17" t="str">
        <f ca="1">IFERROR(__xludf.DUMMYFUNCTION("""COMPUTED_VALUE"""),"Agua")</f>
        <v>Agua</v>
      </c>
      <c r="L14" s="17"/>
      <c r="M14" s="17"/>
      <c r="N14" s="17"/>
      <c r="O14" s="17"/>
    </row>
    <row r="15" spans="1:15" ht="15.75" customHeight="1">
      <c r="A15" s="24" t="str">
        <f ca="1">IFERROR(__xludf.DUMMYFUNCTION("""COMPUTED_VALUE"""),"TRX1290")</f>
        <v>TRX1290</v>
      </c>
      <c r="B15" s="86" t="str">
        <f ca="1">IFERROR(__xludf.DUMMYFUNCTION("""COMPUTED_VALUE"""),"#64")</f>
        <v>#64</v>
      </c>
      <c r="C15" s="86">
        <f ca="1">IFERROR(__xludf.DUMMYFUNCTION("""COMPUTED_VALUE"""),46056.4166666666)</f>
        <v>46056.416666666599</v>
      </c>
      <c r="D15" s="65">
        <f ca="1">IFERROR(__xludf.DUMMYFUNCTION("""COMPUTED_VALUE"""),175)</f>
        <v>175</v>
      </c>
      <c r="E15" s="17" t="str">
        <f ca="1">IFERROR(__xludf.DUMMYFUNCTION("""COMPUTED_VALUE"""),"MXN")</f>
        <v>MXN</v>
      </c>
      <c r="F15" s="17" t="str">
        <f ca="1">IFERROR(__xludf.DUMMYFUNCTION("""COMPUTED_VALUE"""),"Jorge Rojas")</f>
        <v>Jorge Rojas</v>
      </c>
      <c r="G15" s="17" t="str">
        <f ca="1">IFERROR(__xludf.DUMMYFUNCTION("""COMPUTED_VALUE"""),"CLIP MX*SUPER BARRA LI TIJUANA       MEX")</f>
        <v>CLIP MX*SUPER BARRA LI TIJUANA       MEX</v>
      </c>
      <c r="H15" s="17" t="str">
        <f ca="1">IFERROR(__xludf.DUMMYFUNCTION("""COMPUTED_VALUE"""),"Super Mex")</f>
        <v>Super Mex</v>
      </c>
      <c r="I15" s="17" t="str">
        <f ca="1">IFERROR(__xludf.DUMMYFUNCTION("""COMPUTED_VALUE"""),"Super Mex")</f>
        <v>Super Mex</v>
      </c>
      <c r="J15" s="17" t="str">
        <f ca="1">IFERROR(__xludf.DUMMYFUNCTION("""COMPUTED_VALUE"""),"G&amp;A expenses")</f>
        <v>G&amp;A expenses</v>
      </c>
      <c r="K15" s="17" t="str">
        <f ca="1">IFERROR(__xludf.DUMMYFUNCTION("""COMPUTED_VALUE"""),"Alimentos")</f>
        <v>Alimentos</v>
      </c>
      <c r="L15" s="17"/>
      <c r="M15" s="17"/>
      <c r="N15" s="17"/>
      <c r="O15" s="17"/>
    </row>
    <row r="16" spans="1:15" ht="15.75" customHeight="1">
      <c r="A16" s="24" t="str">
        <f ca="1">IFERROR(__xludf.DUMMYFUNCTION("""COMPUTED_VALUE"""),"TRX1287")</f>
        <v>TRX1287</v>
      </c>
      <c r="B16" s="86" t="str">
        <f ca="1">IFERROR(__xludf.DUMMYFUNCTION("""COMPUTED_VALUE"""),"#64")</f>
        <v>#64</v>
      </c>
      <c r="C16" s="86">
        <f ca="1">IFERROR(__xludf.DUMMYFUNCTION("""COMPUTED_VALUE"""),46056.4166666666)</f>
        <v>46056.416666666599</v>
      </c>
      <c r="D16" s="65">
        <f ca="1">IFERROR(__xludf.DUMMYFUNCTION("""COMPUTED_VALUE"""),538.63)</f>
        <v>538.63</v>
      </c>
      <c r="E16" s="17" t="str">
        <f ca="1">IFERROR(__xludf.DUMMYFUNCTION("""COMPUTED_VALUE"""),"MXN")</f>
        <v>MXN</v>
      </c>
      <c r="F16" s="17" t="str">
        <f ca="1">IFERROR(__xludf.DUMMYFUNCTION("""COMPUTED_VALUE"""),"Jorge Rojas")</f>
        <v>Jorge Rojas</v>
      </c>
      <c r="G16" s="17" t="str">
        <f ca="1">IFERROR(__xludf.DUMMYFUNCTION("""COMPUTED_VALUE"""),"DLO*Uber eats          CDMX          MEX")</f>
        <v>DLO*Uber eats          CDMX          MEX</v>
      </c>
      <c r="H16" s="17" t="str">
        <f ca="1">IFERROR(__xludf.DUMMYFUNCTION("""COMPUTED_VALUE"""),"Uber Eats")</f>
        <v>Uber Eats</v>
      </c>
      <c r="I16" s="17" t="str">
        <f ca="1">IFERROR(__xludf.DUMMYFUNCTION("""COMPUTED_VALUE"""),"Uber Eats")</f>
        <v>Uber Eats</v>
      </c>
      <c r="J16" s="17" t="str">
        <f ca="1">IFERROR(__xludf.DUMMYFUNCTION("""COMPUTED_VALUE"""),"G&amp;A expenses")</f>
        <v>G&amp;A expenses</v>
      </c>
      <c r="K16" s="17" t="str">
        <f ca="1">IFERROR(__xludf.DUMMYFUNCTION("""COMPUTED_VALUE"""),"Alimentos")</f>
        <v>Alimentos</v>
      </c>
      <c r="L16" s="17"/>
      <c r="M16" s="17"/>
      <c r="N16" s="17"/>
      <c r="O16" s="17"/>
    </row>
    <row r="17" spans="1:15" ht="15.75" customHeight="1">
      <c r="A17" s="24" t="str">
        <f ca="1">IFERROR(__xludf.DUMMYFUNCTION("""COMPUTED_VALUE"""),"TRX1284")</f>
        <v>TRX1284</v>
      </c>
      <c r="B17" s="86" t="str">
        <f ca="1">IFERROR(__xludf.DUMMYFUNCTION("""COMPUTED_VALUE"""),"#64")</f>
        <v>#64</v>
      </c>
      <c r="C17" s="86">
        <f ca="1">IFERROR(__xludf.DUMMYFUNCTION("""COMPUTED_VALUE"""),46056.4166666666)</f>
        <v>46056.416666666599</v>
      </c>
      <c r="D17" s="65">
        <f ca="1">IFERROR(__xludf.DUMMYFUNCTION("""COMPUTED_VALUE"""),3626.74)</f>
        <v>3626.74</v>
      </c>
      <c r="E17" s="17" t="str">
        <f ca="1">IFERROR(__xludf.DUMMYFUNCTION("""COMPUTED_VALUE"""),"MXN")</f>
        <v>MXN</v>
      </c>
      <c r="F17" s="17" t="str">
        <f ca="1">IFERROR(__xludf.DUMMYFUNCTION("""COMPUTED_VALUE"""),"Jorge Rojas")</f>
        <v>Jorge Rojas</v>
      </c>
      <c r="G17" s="17" t="str">
        <f ca="1">IFERROR(__xludf.DUMMYFUNCTION("""COMPUTED_VALUE"""),"AIRBNB * HM4BMJSNK4    LONDON        GBR")</f>
        <v>AIRBNB * HM4BMJSNK4    LONDON        GBR</v>
      </c>
      <c r="H17" s="17" t="str">
        <f ca="1">IFERROR(__xludf.DUMMYFUNCTION("""COMPUTED_VALUE"""),"Airbnb")</f>
        <v>Airbnb</v>
      </c>
      <c r="I17" s="17" t="str">
        <f ca="1">IFERROR(__xludf.DUMMYFUNCTION("""COMPUTED_VALUE"""),"Airbnb")</f>
        <v>Airbnb</v>
      </c>
      <c r="J17" s="17" t="str">
        <f ca="1">IFERROR(__xludf.DUMMYFUNCTION("""COMPUTED_VALUE"""),"Recruiting")</f>
        <v>Recruiting</v>
      </c>
      <c r="K17" s="17" t="str">
        <f ca="1">IFERROR(__xludf.DUMMYFUNCTION("""COMPUTED_VALUE"""),"Consumibles")</f>
        <v>Consumibles</v>
      </c>
      <c r="L17" s="17"/>
      <c r="M17" s="17"/>
      <c r="N17" s="17"/>
      <c r="O17" s="17"/>
    </row>
    <row r="18" spans="1:15" ht="15.75" customHeight="1">
      <c r="A18" s="24" t="str">
        <f ca="1">IFERROR(__xludf.DUMMYFUNCTION("""COMPUTED_VALUE"""),"TRX1276")</f>
        <v>TRX1276</v>
      </c>
      <c r="B18" s="86" t="str">
        <f ca="1">IFERROR(__xludf.DUMMYFUNCTION("""COMPUTED_VALUE"""),"#64")</f>
        <v>#64</v>
      </c>
      <c r="C18" s="86">
        <f ca="1">IFERROR(__xludf.DUMMYFUNCTION("""COMPUTED_VALUE"""),46057.4166666666)</f>
        <v>46057.416666666599</v>
      </c>
      <c r="D18" s="65">
        <f ca="1">IFERROR(__xludf.DUMMYFUNCTION("""COMPUTED_VALUE"""),529.97)</f>
        <v>529.97</v>
      </c>
      <c r="E18" s="17" t="str">
        <f ca="1">IFERROR(__xludf.DUMMYFUNCTION("""COMPUTED_VALUE"""),"MXN")</f>
        <v>MXN</v>
      </c>
      <c r="F18" s="17" t="str">
        <f ca="1">IFERROR(__xludf.DUMMYFUNCTION("""COMPUTED_VALUE"""),"Jorge Rojas")</f>
        <v>Jorge Rojas</v>
      </c>
      <c r="G18" s="17" t="str">
        <f ca="1">IFERROR(__xludf.DUMMYFUNCTION("""COMPUTED_VALUE"""),"UBER * EATS PENDING    CMX           MEX")</f>
        <v>UBER * EATS PENDING    CMX           MEX</v>
      </c>
      <c r="H18" s="17" t="str">
        <f ca="1">IFERROR(__xludf.DUMMYFUNCTION("""COMPUTED_VALUE"""),"Uber Eats")</f>
        <v>Uber Eats</v>
      </c>
      <c r="I18" s="17" t="str">
        <f ca="1">IFERROR(__xludf.DUMMYFUNCTION("""COMPUTED_VALUE"""),"Uber Eats")</f>
        <v>Uber Eats</v>
      </c>
      <c r="J18" s="17" t="str">
        <f ca="1">IFERROR(__xludf.DUMMYFUNCTION("""COMPUTED_VALUE"""),"Recruiting")</f>
        <v>Recruiting</v>
      </c>
      <c r="K18" s="17" t="str">
        <f ca="1">IFERROR(__xludf.DUMMYFUNCTION("""COMPUTED_VALUE"""),"Alimentos")</f>
        <v>Alimentos</v>
      </c>
      <c r="L18" s="17"/>
      <c r="M18" s="17"/>
      <c r="N18" s="17"/>
      <c r="O18" s="17"/>
    </row>
    <row r="19" spans="1:15" ht="15.75" customHeight="1">
      <c r="A19" s="24" t="str">
        <f ca="1">IFERROR(__xludf.DUMMYFUNCTION("""COMPUTED_VALUE"""),"TRX1218")</f>
        <v>TRX1218</v>
      </c>
      <c r="B19" s="86" t="str">
        <f ca="1">IFERROR(__xludf.DUMMYFUNCTION("""COMPUTED_VALUE"""),"#64")</f>
        <v>#64</v>
      </c>
      <c r="C19" s="86">
        <f ca="1">IFERROR(__xludf.DUMMYFUNCTION("""COMPUTED_VALUE"""),46058.4173611111)</f>
        <v>46058.417361111096</v>
      </c>
      <c r="D19" s="65">
        <f ca="1">IFERROR(__xludf.DUMMYFUNCTION("""COMPUTED_VALUE"""),380)</f>
        <v>380</v>
      </c>
      <c r="E19" s="17" t="str">
        <f ca="1">IFERROR(__xludf.DUMMYFUNCTION("""COMPUTED_VALUE"""),"MXN")</f>
        <v>MXN</v>
      </c>
      <c r="F19" s="17" t="str">
        <f ca="1">IFERROR(__xludf.DUMMYFUNCTION("""COMPUTED_VALUE"""),"Jorge Rojas")</f>
        <v>Jorge Rojas</v>
      </c>
      <c r="G19" s="17" t="str">
        <f ca="1">IFERROR(__xludf.DUMMYFUNCTION("""COMPUTED_VALUE"""),"CLIP MX*SUPER BARRA LI TIJUANA       MEX")</f>
        <v>CLIP MX*SUPER BARRA LI TIJUANA       MEX</v>
      </c>
      <c r="H19" s="17" t="str">
        <f ca="1">IFERROR(__xludf.DUMMYFUNCTION("""COMPUTED_VALUE"""),"Super Mex")</f>
        <v>Super Mex</v>
      </c>
      <c r="I19" s="17" t="str">
        <f ca="1">IFERROR(__xludf.DUMMYFUNCTION("""COMPUTED_VALUE"""),"Super Mex")</f>
        <v>Super Mex</v>
      </c>
      <c r="J19" s="17" t="str">
        <f ca="1">IFERROR(__xludf.DUMMYFUNCTION("""COMPUTED_VALUE"""),"Recruiting")</f>
        <v>Recruiting</v>
      </c>
      <c r="K19" s="17" t="str">
        <f ca="1">IFERROR(__xludf.DUMMYFUNCTION("""COMPUTED_VALUE"""),"Consumibles")</f>
        <v>Consumibles</v>
      </c>
      <c r="L19" s="17"/>
      <c r="M19" s="17"/>
      <c r="N19" s="17"/>
      <c r="O19" s="17"/>
    </row>
    <row r="20" spans="1:15" ht="12.5">
      <c r="A20" s="24" t="str">
        <f ca="1">IFERROR(__xludf.DUMMYFUNCTION("""COMPUTED_VALUE"""),"TRX1215")</f>
        <v>TRX1215</v>
      </c>
      <c r="B20" s="86" t="str">
        <f ca="1">IFERROR(__xludf.DUMMYFUNCTION("""COMPUTED_VALUE"""),"#64")</f>
        <v>#64</v>
      </c>
      <c r="C20" s="86">
        <f ca="1">IFERROR(__xludf.DUMMYFUNCTION("""COMPUTED_VALUE"""),46058.4173611111)</f>
        <v>46058.417361111096</v>
      </c>
      <c r="D20" s="65">
        <f ca="1">IFERROR(__xludf.DUMMYFUNCTION("""COMPUTED_VALUE"""),233.15)</f>
        <v>233.15</v>
      </c>
      <c r="E20" s="17" t="str">
        <f ca="1">IFERROR(__xludf.DUMMYFUNCTION("""COMPUTED_VALUE"""),"MXN")</f>
        <v>MXN</v>
      </c>
      <c r="F20" s="17" t="str">
        <f ca="1">IFERROR(__xludf.DUMMYFUNCTION("""COMPUTED_VALUE"""),"Jorge Rojas")</f>
        <v>Jorge Rojas</v>
      </c>
      <c r="G20" s="17" t="str">
        <f ca="1">IFERROR(__xludf.DUMMYFUNCTION("""COMPUTED_VALUE"""),"WALMART LOMAS STA FE   TIJUANA BCN   MEX")</f>
        <v>WALMART LOMAS STA FE   TIJUANA BCN   MEX</v>
      </c>
      <c r="H20" s="17" t="str">
        <f ca="1">IFERROR(__xludf.DUMMYFUNCTION("""COMPUTED_VALUE"""),"Walmart")</f>
        <v>Walmart</v>
      </c>
      <c r="I20" s="17" t="str">
        <f ca="1">IFERROR(__xludf.DUMMYFUNCTION("""COMPUTED_VALUE"""),"Walmart")</f>
        <v>Walmart</v>
      </c>
      <c r="J20" s="17" t="str">
        <f ca="1">IFERROR(__xludf.DUMMYFUNCTION("""COMPUTED_VALUE"""),"Recruiting")</f>
        <v>Recruiting</v>
      </c>
      <c r="K20" s="17" t="str">
        <f ca="1">IFERROR(__xludf.DUMMYFUNCTION("""COMPUTED_VALUE"""),"Alimentos")</f>
        <v>Alimentos</v>
      </c>
      <c r="L20" s="17"/>
      <c r="M20" s="17"/>
      <c r="N20" s="17"/>
      <c r="O20" s="17"/>
    </row>
    <row r="21" spans="1:15" ht="12.5">
      <c r="A21" s="24" t="str">
        <f ca="1">IFERROR(__xludf.DUMMYFUNCTION("""COMPUTED_VALUE"""),"TRX1205")</f>
        <v>TRX1205</v>
      </c>
      <c r="B21" s="86" t="str">
        <f ca="1">IFERROR(__xludf.DUMMYFUNCTION("""COMPUTED_VALUE"""),"#64")</f>
        <v>#64</v>
      </c>
      <c r="C21" s="86">
        <f ca="1">IFERROR(__xludf.DUMMYFUNCTION("""COMPUTED_VALUE"""),46058.4173611111)</f>
        <v>46058.417361111096</v>
      </c>
      <c r="D21" s="65">
        <f ca="1">IFERROR(__xludf.DUMMYFUNCTION("""COMPUTED_VALUE"""),54)</f>
        <v>54</v>
      </c>
      <c r="E21" s="17" t="str">
        <f ca="1">IFERROR(__xludf.DUMMYFUNCTION("""COMPUTED_VALUE"""),"MXN")</f>
        <v>MXN</v>
      </c>
      <c r="F21" s="17" t="str">
        <f ca="1">IFERROR(__xludf.DUMMYFUNCTION("""COMPUTED_VALUE"""),"Jorge Rojas")</f>
        <v>Jorge Rojas</v>
      </c>
      <c r="G21" s="17" t="str">
        <f ca="1">IFERROR(__xludf.DUMMYFUNCTION("""COMPUTED_VALUE"""),"WALMART LOMAS STA FE   TIJUANA BCN   MEX")</f>
        <v>WALMART LOMAS STA FE   TIJUANA BCN   MEX</v>
      </c>
      <c r="H21" s="17" t="str">
        <f ca="1">IFERROR(__xludf.DUMMYFUNCTION("""COMPUTED_VALUE"""),"Walmart")</f>
        <v>Walmart</v>
      </c>
      <c r="I21" s="17" t="str">
        <f ca="1">IFERROR(__xludf.DUMMYFUNCTION("""COMPUTED_VALUE"""),"Walmart")</f>
        <v>Walmart</v>
      </c>
      <c r="J21" s="17" t="str">
        <f ca="1">IFERROR(__xludf.DUMMYFUNCTION("""COMPUTED_VALUE"""),"Recruiting")</f>
        <v>Recruiting</v>
      </c>
      <c r="K21" s="17" t="str">
        <f ca="1">IFERROR(__xludf.DUMMYFUNCTION("""COMPUTED_VALUE"""),"Transporte")</f>
        <v>Transporte</v>
      </c>
      <c r="L21" s="17"/>
      <c r="M21" s="17"/>
      <c r="N21" s="17"/>
      <c r="O21" s="17"/>
    </row>
    <row r="22" spans="1:15" ht="12.5">
      <c r="A22" s="24" t="str">
        <f ca="1">IFERROR(__xludf.DUMMYFUNCTION("""COMPUTED_VALUE"""),"TRX1196")</f>
        <v>TRX1196</v>
      </c>
      <c r="B22" s="86" t="str">
        <f ca="1">IFERROR(__xludf.DUMMYFUNCTION("""COMPUTED_VALUE"""),"#64")</f>
        <v>#64</v>
      </c>
      <c r="C22" s="86">
        <f ca="1">IFERROR(__xludf.DUMMYFUNCTION("""COMPUTED_VALUE"""),46058.4173611111)</f>
        <v>46058.417361111096</v>
      </c>
      <c r="D22" s="65">
        <f ca="1">IFERROR(__xludf.DUMMYFUNCTION("""COMPUTED_VALUE"""),2290)</f>
        <v>2290</v>
      </c>
      <c r="E22" s="17" t="str">
        <f ca="1">IFERROR(__xludf.DUMMYFUNCTION("""COMPUTED_VALUE"""),"MXN")</f>
        <v>MXN</v>
      </c>
      <c r="F22" s="17" t="str">
        <f ca="1">IFERROR(__xludf.DUMMYFUNCTION("""COMPUTED_VALUE"""),"Jorge Rojas")</f>
        <v>Jorge Rojas</v>
      </c>
      <c r="G22" s="17" t="str">
        <f ca="1">IFERROR(__xludf.DUMMYFUNCTION("""COMPUTED_VALUE"""),"FERR EXPRESS CEDROS    TIJUANA BCN   MEX")</f>
        <v>FERR EXPRESS CEDROS    TIJUANA BCN   MEX</v>
      </c>
      <c r="H22" s="17" t="str">
        <f ca="1">IFERROR(__xludf.DUMMYFUNCTION("""COMPUTED_VALUE"""),"Ferr Express Cedros Tijuana Bcn Mex")</f>
        <v>Ferr Express Cedros Tijuana Bcn Mex</v>
      </c>
      <c r="I22" s="17" t="str">
        <f ca="1">IFERROR(__xludf.DUMMYFUNCTION("""COMPUTED_VALUE"""),"Ferr Express Cedros Tijuana Bcn Mex")</f>
        <v>Ferr Express Cedros Tijuana Bcn Mex</v>
      </c>
      <c r="J22" s="17" t="str">
        <f ca="1">IFERROR(__xludf.DUMMYFUNCTION("""COMPUTED_VALUE"""),"Capex")</f>
        <v>Capex</v>
      </c>
      <c r="K22" s="17" t="str">
        <f ca="1">IFERROR(__xludf.DUMMYFUNCTION("""COMPUTED_VALUE"""),"Alimentos")</f>
        <v>Alimentos</v>
      </c>
      <c r="L22" s="17"/>
      <c r="M22" s="17"/>
      <c r="N22" s="17"/>
      <c r="O22" s="17"/>
    </row>
    <row r="23" spans="1:15" ht="12.5">
      <c r="A23" s="24" t="str">
        <f ca="1">IFERROR(__xludf.DUMMYFUNCTION("""COMPUTED_VALUE"""),"TRX1153")</f>
        <v>TRX1153</v>
      </c>
      <c r="B23" s="86" t="str">
        <f ca="1">IFERROR(__xludf.DUMMYFUNCTION("""COMPUTED_VALUE"""),"#64")</f>
        <v>#64</v>
      </c>
      <c r="C23" s="86">
        <f ca="1">IFERROR(__xludf.DUMMYFUNCTION("""COMPUTED_VALUE"""),46059.4173611111)</f>
        <v>46059.417361111096</v>
      </c>
      <c r="D23" s="65">
        <f ca="1">IFERROR(__xludf.DUMMYFUNCTION("""COMPUTED_VALUE"""),300)</f>
        <v>300</v>
      </c>
      <c r="E23" s="17" t="str">
        <f ca="1">IFERROR(__xludf.DUMMYFUNCTION("""COMPUTED_VALUE"""),"MXN")</f>
        <v>MXN</v>
      </c>
      <c r="F23" s="17" t="str">
        <f ca="1">IFERROR(__xludf.DUMMYFUNCTION("""COMPUTED_VALUE"""),"Jorge Rojas")</f>
        <v>Jorge Rojas</v>
      </c>
      <c r="G23" s="17" t="str">
        <f ca="1">IFERROR(__xludf.DUMMYFUNCTION("""COMPUTED_VALUE"""),"CLIP MX*SUPER BARRA LI TIJUANA       MEX")</f>
        <v>CLIP MX*SUPER BARRA LI TIJUANA       MEX</v>
      </c>
      <c r="H23" s="17" t="str">
        <f ca="1">IFERROR(__xludf.DUMMYFUNCTION("""COMPUTED_VALUE"""),"Super Mex")</f>
        <v>Super Mex</v>
      </c>
      <c r="I23" s="17" t="str">
        <f ca="1">IFERROR(__xludf.DUMMYFUNCTION("""COMPUTED_VALUE"""),"Super Mex")</f>
        <v>Super Mex</v>
      </c>
      <c r="J23" s="17" t="str">
        <f ca="1">IFERROR(__xludf.DUMMYFUNCTION("""COMPUTED_VALUE"""),"Recruiting")</f>
        <v>Recruiting</v>
      </c>
      <c r="K23" s="17" t="str">
        <f ca="1">IFERROR(__xludf.DUMMYFUNCTION("""COMPUTED_VALUE"""),"Comida con equipo emacsa")</f>
        <v>Comida con equipo emacsa</v>
      </c>
      <c r="L23" s="17"/>
      <c r="M23" s="17"/>
      <c r="N23" s="17"/>
      <c r="O23" s="17"/>
    </row>
    <row r="24" spans="1:15" ht="12.5">
      <c r="A24" s="24" t="str">
        <f ca="1">IFERROR(__xludf.DUMMYFUNCTION("""COMPUTED_VALUE"""),"TRX1547")</f>
        <v>TRX1547</v>
      </c>
      <c r="B24" s="86" t="str">
        <f ca="1">IFERROR(__xludf.DUMMYFUNCTION("""COMPUTED_VALUE"""),"#64")</f>
        <v>#64</v>
      </c>
      <c r="C24" s="86">
        <f ca="1">IFERROR(__xludf.DUMMYFUNCTION("""COMPUTED_VALUE"""),46059.4173611111)</f>
        <v>46059.417361111096</v>
      </c>
      <c r="D24" s="65">
        <f ca="1">IFERROR(__xludf.DUMMYFUNCTION("""COMPUTED_VALUE"""),37.9)</f>
        <v>37.9</v>
      </c>
      <c r="E24" s="17" t="str">
        <f ca="1">IFERROR(__xludf.DUMMYFUNCTION("""COMPUTED_VALUE"""),"MXN")</f>
        <v>MXN</v>
      </c>
      <c r="F24" s="17" t="str">
        <f ca="1">IFERROR(__xludf.DUMMYFUNCTION("""COMPUTED_VALUE"""),"Jorge Rojas")</f>
        <v>Jorge Rojas</v>
      </c>
      <c r="G24" s="17" t="str">
        <f ca="1">IFERROR(__xludf.DUMMYFUNCTION("""COMPUTED_VALUE"""),"WALMART LOMAS STA FE   TIJUANA BCN   MEX")</f>
        <v>WALMART LOMAS STA FE   TIJUANA BCN   MEX</v>
      </c>
      <c r="H24" s="17" t="str">
        <f ca="1">IFERROR(__xludf.DUMMYFUNCTION("""COMPUTED_VALUE"""),"Walmart")</f>
        <v>Walmart</v>
      </c>
      <c r="I24" s="17" t="str">
        <f ca="1">IFERROR(__xludf.DUMMYFUNCTION("""COMPUTED_VALUE"""),"Walmart")</f>
        <v>Walmart</v>
      </c>
      <c r="J24" s="17" t="str">
        <f ca="1">IFERROR(__xludf.DUMMYFUNCTION("""COMPUTED_VALUE"""),"Recruiting")</f>
        <v>Recruiting</v>
      </c>
      <c r="K24" s="17" t="str">
        <f ca="1">IFERROR(__xludf.DUMMYFUNCTION("""COMPUTED_VALUE"""),"Alimentos")</f>
        <v>Alimentos</v>
      </c>
      <c r="L24" s="17"/>
      <c r="M24" s="17"/>
      <c r="N24" s="17"/>
      <c r="O24" s="17"/>
    </row>
    <row r="25" spans="1:15" ht="12.5">
      <c r="A25" s="17" t="str">
        <f ca="1">IFERROR(__xludf.DUMMYFUNCTION("""COMPUTED_VALUE"""),"TRX1470")</f>
        <v>TRX1470</v>
      </c>
      <c r="B25" s="86" t="str">
        <f ca="1">IFERROR(__xludf.DUMMYFUNCTION("""COMPUTED_VALUE"""),"#64")</f>
        <v>#64</v>
      </c>
      <c r="C25" s="63">
        <f ca="1">IFERROR(__xludf.DUMMYFUNCTION("""COMPUTED_VALUE"""),46059.4173611111)</f>
        <v>46059.417361111096</v>
      </c>
      <c r="D25" s="65">
        <f ca="1">IFERROR(__xludf.DUMMYFUNCTION("""COMPUTED_VALUE"""),110)</f>
        <v>110</v>
      </c>
      <c r="E25" s="17" t="str">
        <f ca="1">IFERROR(__xludf.DUMMYFUNCTION("""COMPUTED_VALUE"""),"MXN")</f>
        <v>MXN</v>
      </c>
      <c r="F25" s="17" t="str">
        <f ca="1">IFERROR(__xludf.DUMMYFUNCTION("""COMPUTED_VALUE"""),"Jorge Rojas")</f>
        <v>Jorge Rojas</v>
      </c>
      <c r="G25" s="17" t="str">
        <f ca="1">IFERROR(__xludf.DUMMYFUNCTION("""COMPUTED_VALUE"""),"WALMART LOMAS STA FE   TIJUANA BCN   MEX")</f>
        <v>WALMART LOMAS STA FE   TIJUANA BCN   MEX</v>
      </c>
      <c r="H25" s="17" t="str">
        <f ca="1">IFERROR(__xludf.DUMMYFUNCTION("""COMPUTED_VALUE"""),"Walmart")</f>
        <v>Walmart</v>
      </c>
      <c r="I25" s="17" t="str">
        <f ca="1">IFERROR(__xludf.DUMMYFUNCTION("""COMPUTED_VALUE"""),"Walmart")</f>
        <v>Walmart</v>
      </c>
      <c r="J25" s="17" t="str">
        <f ca="1">IFERROR(__xludf.DUMMYFUNCTION("""COMPUTED_VALUE"""),"G&amp;A expenses")</f>
        <v>G&amp;A expenses</v>
      </c>
      <c r="K25" s="17" t="str">
        <f ca="1">IFERROR(__xludf.DUMMYFUNCTION("""COMPUTED_VALUE"""),"Alimentos")</f>
        <v>Alimentos</v>
      </c>
      <c r="L25" s="17"/>
      <c r="M25" s="17"/>
      <c r="N25" s="17"/>
      <c r="O25" s="17"/>
    </row>
    <row r="26" spans="1:15" ht="12.5">
      <c r="A26" s="17" t="str">
        <f ca="1">IFERROR(__xludf.DUMMYFUNCTION("""COMPUTED_VALUE"""),"TRX1950")</f>
        <v>TRX1950</v>
      </c>
      <c r="B26" s="86" t="str">
        <f ca="1">IFERROR(__xludf.DUMMYFUNCTION("""COMPUTED_VALUE"""),"#64")</f>
        <v>#64</v>
      </c>
      <c r="C26" s="63">
        <f ca="1">IFERROR(__xludf.DUMMYFUNCTION("""COMPUTED_VALUE"""),46060.4166666666)</f>
        <v>46060.416666666599</v>
      </c>
      <c r="D26" s="65">
        <f ca="1">IFERROR(__xludf.DUMMYFUNCTION("""COMPUTED_VALUE"""),627.73)</f>
        <v>627.73</v>
      </c>
      <c r="E26" s="17" t="str">
        <f ca="1">IFERROR(__xludf.DUMMYFUNCTION("""COMPUTED_VALUE"""),"MXN")</f>
        <v>MXN</v>
      </c>
      <c r="F26" s="17" t="str">
        <f ca="1">IFERROR(__xludf.DUMMYFUNCTION("""COMPUTED_VALUE"""),"Jorge Rojas")</f>
        <v>Jorge Rojas</v>
      </c>
      <c r="G26" s="17" t="str">
        <f ca="1">IFERROR(__xludf.DUMMYFUNCTION("""COMPUTED_VALUE"""),"UBER * EATS PENDING    CMX           MEX")</f>
        <v>UBER * EATS PENDING    CMX           MEX</v>
      </c>
      <c r="H26" s="17" t="str">
        <f ca="1">IFERROR(__xludf.DUMMYFUNCTION("""COMPUTED_VALUE"""),"Uber Eats")</f>
        <v>Uber Eats</v>
      </c>
      <c r="I26" s="17" t="str">
        <f ca="1">IFERROR(__xludf.DUMMYFUNCTION("""COMPUTED_VALUE"""),"Uber Eats")</f>
        <v>Uber Eats</v>
      </c>
      <c r="J26" s="17" t="str">
        <f ca="1">IFERROR(__xludf.DUMMYFUNCTION("""COMPUTED_VALUE"""),"Office expenses")</f>
        <v>Office expenses</v>
      </c>
      <c r="K26" s="17" t="str">
        <f ca="1">IFERROR(__xludf.DUMMYFUNCTION("""COMPUTED_VALUE"""),"Alimentos")</f>
        <v>Alimentos</v>
      </c>
      <c r="L26" s="17"/>
      <c r="M26" s="17"/>
      <c r="N26" s="17"/>
      <c r="O26" s="17"/>
    </row>
    <row r="27" spans="1:15" ht="12.5">
      <c r="A27" s="17" t="str">
        <f ca="1">IFERROR(__xludf.DUMMYFUNCTION("""COMPUTED_VALUE"""),"TRX1528")</f>
        <v>TRX1528</v>
      </c>
      <c r="B27" s="86" t="str">
        <f ca="1">IFERROR(__xludf.DUMMYFUNCTION("""COMPUTED_VALUE"""),"#64")</f>
        <v>#64</v>
      </c>
      <c r="C27" s="63">
        <f ca="1">IFERROR(__xludf.DUMMYFUNCTION("""COMPUTED_VALUE"""),46060.4173611111)</f>
        <v>46060.417361111096</v>
      </c>
      <c r="D27" s="65">
        <f ca="1">IFERROR(__xludf.DUMMYFUNCTION("""COMPUTED_VALUE"""),408.1)</f>
        <v>408.1</v>
      </c>
      <c r="E27" s="17" t="str">
        <f ca="1">IFERROR(__xludf.DUMMYFUNCTION("""COMPUTED_VALUE"""),"MXN")</f>
        <v>MXN</v>
      </c>
      <c r="F27" s="17" t="str">
        <f ca="1">IFERROR(__xludf.DUMMYFUNCTION("""COMPUTED_VALUE"""),"Jorge Rojas")</f>
        <v>Jorge Rojas</v>
      </c>
      <c r="G27" s="17" t="str">
        <f ca="1">IFERROR(__xludf.DUMMYFUNCTION("""COMPUTED_VALUE"""),"VIPS MACROPLAZA TIJUAN TIJUANA BCN   MEX")</f>
        <v>VIPS MACROPLAZA TIJUAN TIJUANA BCN   MEX</v>
      </c>
      <c r="H27" s="17" t="str">
        <f ca="1">IFERROR(__xludf.DUMMYFUNCTION("""COMPUTED_VALUE"""),"Vips Macroplaza Tijuan Tijuana Bcn Mex")</f>
        <v>Vips Macroplaza Tijuan Tijuana Bcn Mex</v>
      </c>
      <c r="I27" s="17" t="str">
        <f ca="1">IFERROR(__xludf.DUMMYFUNCTION("""COMPUTED_VALUE"""),"Vips Macroplaza Tijuan Tijuana Bcn Mex")</f>
        <v>Vips Macroplaza Tijuan Tijuana Bcn Mex</v>
      </c>
      <c r="J27" s="17" t="str">
        <f ca="1">IFERROR(__xludf.DUMMYFUNCTION("""COMPUTED_VALUE"""),"Recruiting")</f>
        <v>Recruiting</v>
      </c>
      <c r="K27" s="17" t="str">
        <f ca="1">IFERROR(__xludf.DUMMYFUNCTION("""COMPUTED_VALUE"""),"Comida con equipo emacsa")</f>
        <v>Comida con equipo emacsa</v>
      </c>
      <c r="L27" s="17"/>
      <c r="M27" s="17"/>
      <c r="N27" s="17"/>
      <c r="O27" s="17"/>
    </row>
    <row r="28" spans="1:15" ht="12.5">
      <c r="A28" s="17" t="str">
        <f ca="1">IFERROR(__xludf.DUMMYFUNCTION("""COMPUTED_VALUE"""),"TRX1571")</f>
        <v>TRX1571</v>
      </c>
      <c r="B28" s="86" t="str">
        <f ca="1">IFERROR(__xludf.DUMMYFUNCTION("""COMPUTED_VALUE"""),"#64")</f>
        <v>#64</v>
      </c>
      <c r="C28" s="63">
        <f ca="1">IFERROR(__xludf.DUMMYFUNCTION("""COMPUTED_VALUE"""),46060.4173611111)</f>
        <v>46060.417361111096</v>
      </c>
      <c r="D28" s="65">
        <f ca="1">IFERROR(__xludf.DUMMYFUNCTION("""COMPUTED_VALUE"""),1050)</f>
        <v>1050</v>
      </c>
      <c r="E28" s="17" t="str">
        <f ca="1">IFERROR(__xludf.DUMMYFUNCTION("""COMPUTED_VALUE"""),"MXN")</f>
        <v>MXN</v>
      </c>
      <c r="F28" s="17" t="str">
        <f ca="1">IFERROR(__xludf.DUMMYFUNCTION("""COMPUTED_VALUE"""),"Jorge Rojas")</f>
        <v>Jorge Rojas</v>
      </c>
      <c r="G28" s="17" t="str">
        <f ca="1">IFERROR(__xludf.DUMMYFUNCTION("""COMPUTED_VALUE"""),"ESTACION PORTICOS      TIJUANA BCN   MEX")</f>
        <v>ESTACION PORTICOS      TIJUANA BCN   MEX</v>
      </c>
      <c r="H28" s="17" t="str">
        <f ca="1">IFERROR(__xludf.DUMMYFUNCTION("""COMPUTED_VALUE"""),"Estacion Porticos Tijuana Bcn Mex")</f>
        <v>Estacion Porticos Tijuana Bcn Mex</v>
      </c>
      <c r="I28" s="17" t="str">
        <f ca="1">IFERROR(__xludf.DUMMYFUNCTION("""COMPUTED_VALUE"""),"Estacion Porticos Tijuana Bcn Mex")</f>
        <v>Estacion Porticos Tijuana Bcn Mex</v>
      </c>
      <c r="J28" s="17" t="str">
        <f ca="1">IFERROR(__xludf.DUMMYFUNCTION("""COMPUTED_VALUE"""),"Recruiting")</f>
        <v>Recruiting</v>
      </c>
      <c r="K28" s="17" t="str">
        <f ca="1">IFERROR(__xludf.DUMMYFUNCTION("""COMPUTED_VALUE"""),"Gasolina")</f>
        <v>Gasolina</v>
      </c>
      <c r="L28" s="17"/>
      <c r="M28" s="17"/>
      <c r="N28" s="17"/>
      <c r="O28" s="17"/>
    </row>
    <row r="29" spans="1:15" ht="12.5">
      <c r="A29" s="17" t="str">
        <f ca="1">IFERROR(__xludf.DUMMYFUNCTION("""COMPUTED_VALUE"""),"TRX1260")</f>
        <v>TRX1260</v>
      </c>
      <c r="B29" s="86" t="str">
        <f ca="1">IFERROR(__xludf.DUMMYFUNCTION("""COMPUTED_VALUE"""),"#64")</f>
        <v>#64</v>
      </c>
      <c r="C29" s="63">
        <f ca="1">IFERROR(__xludf.DUMMYFUNCTION("""COMPUTED_VALUE"""),46060.4173611111)</f>
        <v>46060.417361111096</v>
      </c>
      <c r="D29" s="65">
        <f ca="1">IFERROR(__xludf.DUMMYFUNCTION("""COMPUTED_VALUE"""),16155.48)</f>
        <v>16155.48</v>
      </c>
      <c r="E29" s="17" t="str">
        <f ca="1">IFERROR(__xludf.DUMMYFUNCTION("""COMPUTED_VALUE"""),"MXN")</f>
        <v>MXN</v>
      </c>
      <c r="F29" s="17" t="str">
        <f ca="1">IFERROR(__xludf.DUMMYFUNCTION("""COMPUTED_VALUE"""),"Jorge Rojas")</f>
        <v>Jorge Rojas</v>
      </c>
      <c r="G29" s="17" t="str">
        <f ca="1">IFERROR(__xludf.DUMMYFUNCTION("""COMPUTED_VALUE"""),"AIRBNB * HM4BMJSNK4    LONDON        GBR")</f>
        <v>AIRBNB * HM4BMJSNK4    LONDON        GBR</v>
      </c>
      <c r="H29" s="17" t="str">
        <f ca="1">IFERROR(__xludf.DUMMYFUNCTION("""COMPUTED_VALUE"""),"Airbnb")</f>
        <v>Airbnb</v>
      </c>
      <c r="I29" s="17" t="str">
        <f ca="1">IFERROR(__xludf.DUMMYFUNCTION("""COMPUTED_VALUE"""),"Airbnb")</f>
        <v>Airbnb</v>
      </c>
      <c r="J29" s="17" t="str">
        <f ca="1">IFERROR(__xludf.DUMMYFUNCTION("""COMPUTED_VALUE"""),"G&amp;A expenses")</f>
        <v>G&amp;A expenses</v>
      </c>
      <c r="K29" s="17" t="str">
        <f ca="1">IFERROR(__xludf.DUMMYFUNCTION("""COMPUTED_VALUE"""),"Comida con equipo emacsa")</f>
        <v>Comida con equipo emacsa</v>
      </c>
      <c r="L29" s="17"/>
      <c r="M29" s="17"/>
      <c r="N29" s="17"/>
      <c r="O29" s="17"/>
    </row>
    <row r="30" spans="1:15" ht="12.5">
      <c r="A30" s="17" t="str">
        <f ca="1">IFERROR(__xludf.DUMMYFUNCTION("""COMPUTED_VALUE"""),"TRX1687")</f>
        <v>TRX1687</v>
      </c>
      <c r="B30" s="86" t="str">
        <f ca="1">IFERROR(__xludf.DUMMYFUNCTION("""COMPUTED_VALUE"""),"#64")</f>
        <v>#64</v>
      </c>
      <c r="C30" s="63">
        <f ca="1">IFERROR(__xludf.DUMMYFUNCTION("""COMPUTED_VALUE"""),46061.4166666666)</f>
        <v>46061.416666666599</v>
      </c>
      <c r="D30" s="65">
        <f ca="1">IFERROR(__xludf.DUMMYFUNCTION("""COMPUTED_VALUE"""),223.18)</f>
        <v>223.18</v>
      </c>
      <c r="E30" s="17" t="str">
        <f ca="1">IFERROR(__xludf.DUMMYFUNCTION("""COMPUTED_VALUE"""),"MXN")</f>
        <v>MXN</v>
      </c>
      <c r="F30" s="17" t="str">
        <f ca="1">IFERROR(__xludf.DUMMYFUNCTION("""COMPUTED_VALUE"""),"Jorge Rojas")</f>
        <v>Jorge Rojas</v>
      </c>
      <c r="G30" s="17" t="str">
        <f ca="1">IFERROR(__xludf.DUMMYFUNCTION("""COMPUTED_VALUE"""),"UBER * EATS PENDING    CMX           MEX")</f>
        <v>UBER * EATS PENDING    CMX           MEX</v>
      </c>
      <c r="H30" s="17" t="str">
        <f ca="1">IFERROR(__xludf.DUMMYFUNCTION("""COMPUTED_VALUE"""),"Uber Eats")</f>
        <v>Uber Eats</v>
      </c>
      <c r="I30" s="17" t="str">
        <f ca="1">IFERROR(__xludf.DUMMYFUNCTION("""COMPUTED_VALUE"""),"Uber Eats")</f>
        <v>Uber Eats</v>
      </c>
      <c r="J30" s="17" t="str">
        <f ca="1">IFERROR(__xludf.DUMMYFUNCTION("""COMPUTED_VALUE"""),"Recruiting")</f>
        <v>Recruiting</v>
      </c>
      <c r="K30" s="17" t="str">
        <f ca="1">IFERROR(__xludf.DUMMYFUNCTION("""COMPUTED_VALUE"""),"Agua")</f>
        <v>Agua</v>
      </c>
      <c r="L30" s="17"/>
      <c r="M30" s="17"/>
      <c r="N30" s="17"/>
      <c r="O30" s="17"/>
    </row>
    <row r="31" spans="1:15" ht="12.5">
      <c r="A31" s="17" t="str">
        <f ca="1">IFERROR(__xludf.DUMMYFUNCTION("""COMPUTED_VALUE"""),"TRX1651")</f>
        <v>TRX1651</v>
      </c>
      <c r="B31" s="86" t="str">
        <f ca="1">IFERROR(__xludf.DUMMYFUNCTION("""COMPUTED_VALUE"""),"#64")</f>
        <v>#64</v>
      </c>
      <c r="C31" s="63">
        <f ca="1">IFERROR(__xludf.DUMMYFUNCTION("""COMPUTED_VALUE"""),46061.4166666666)</f>
        <v>46061.416666666599</v>
      </c>
      <c r="D31" s="65">
        <f ca="1">IFERROR(__xludf.DUMMYFUNCTION("""COMPUTED_VALUE"""),179)</f>
        <v>179</v>
      </c>
      <c r="E31" s="17" t="str">
        <f ca="1">IFERROR(__xludf.DUMMYFUNCTION("""COMPUTED_VALUE"""),"MXN")</f>
        <v>MXN</v>
      </c>
      <c r="F31" s="17" t="str">
        <f ca="1">IFERROR(__xludf.DUMMYFUNCTION("""COMPUTED_VALUE"""),"Jorge Rojas")</f>
        <v>Jorge Rojas</v>
      </c>
      <c r="G31" s="17" t="str">
        <f ca="1">IFERROR(__xludf.DUMMYFUNCTION("""COMPUTED_VALUE"""),"MERCADOPAGO *ELANTOJO  Tijuana       MEX")</f>
        <v>MERCADOPAGO *ELANTOJO  Tijuana       MEX</v>
      </c>
      <c r="H31" s="17" t="str">
        <f ca="1">IFERROR(__xludf.DUMMYFUNCTION("""COMPUTED_VALUE"""),"Mercadopago")</f>
        <v>Mercadopago</v>
      </c>
      <c r="I31" s="17" t="str">
        <f ca="1">IFERROR(__xludf.DUMMYFUNCTION("""COMPUTED_VALUE"""),"Mercadopago")</f>
        <v>Mercadopago</v>
      </c>
      <c r="J31" s="17" t="str">
        <f ca="1">IFERROR(__xludf.DUMMYFUNCTION("""COMPUTED_VALUE"""),"Capex")</f>
        <v>Capex</v>
      </c>
      <c r="K31" s="17" t="str">
        <f ca="1">IFERROR(__xludf.DUMMYFUNCTION("""COMPUTED_VALUE"""),"Alimentos")</f>
        <v>Alimentos</v>
      </c>
      <c r="L31" s="17"/>
      <c r="M31" s="17"/>
      <c r="N31" s="17"/>
      <c r="O31" s="17"/>
    </row>
    <row r="32" spans="1:15" ht="12.5">
      <c r="A32" s="17" t="str">
        <f ca="1">IFERROR(__xludf.DUMMYFUNCTION("""COMPUTED_VALUE"""),"TRX1221")</f>
        <v>TRX1221</v>
      </c>
      <c r="B32" s="86" t="str">
        <f ca="1">IFERROR(__xludf.DUMMYFUNCTION("""COMPUTED_VALUE"""),"#64")</f>
        <v>#64</v>
      </c>
      <c r="C32" s="63">
        <f ca="1">IFERROR(__xludf.DUMMYFUNCTION("""COMPUTED_VALUE"""),46061.4173611111)</f>
        <v>46061.417361111096</v>
      </c>
      <c r="D32" s="65">
        <f ca="1">IFERROR(__xludf.DUMMYFUNCTION("""COMPUTED_VALUE"""),44)</f>
        <v>44</v>
      </c>
      <c r="E32" s="17" t="str">
        <f ca="1">IFERROR(__xludf.DUMMYFUNCTION("""COMPUTED_VALUE"""),"MXN")</f>
        <v>MXN</v>
      </c>
      <c r="F32" s="17" t="str">
        <f ca="1">IFERROR(__xludf.DUMMYFUNCTION("""COMPUTED_VALUE"""),"Jorge Rojas")</f>
        <v>Jorge Rojas</v>
      </c>
      <c r="G32" s="17" t="str">
        <f ca="1">IFERROR(__xludf.DUMMYFUNCTION("""COMPUTED_VALUE"""),"FERR EXPRESS CEDROS    TIJUANA BCN   MEX")</f>
        <v>FERR EXPRESS CEDROS    TIJUANA BCN   MEX</v>
      </c>
      <c r="H32" s="17" t="str">
        <f ca="1">IFERROR(__xludf.DUMMYFUNCTION("""COMPUTED_VALUE"""),"Ferr Express Cedros Tijuana Bcn Mex")</f>
        <v>Ferr Express Cedros Tijuana Bcn Mex</v>
      </c>
      <c r="I32" s="17" t="str">
        <f ca="1">IFERROR(__xludf.DUMMYFUNCTION("""COMPUTED_VALUE"""),"Ferr Express Cedros Tijuana Bcn Mex")</f>
        <v>Ferr Express Cedros Tijuana Bcn Mex</v>
      </c>
      <c r="J32" s="17" t="str">
        <f ca="1">IFERROR(__xludf.DUMMYFUNCTION("""COMPUTED_VALUE"""),"Recruiting")</f>
        <v>Recruiting</v>
      </c>
      <c r="K32" s="17" t="str">
        <f ca="1">IFERROR(__xludf.DUMMYFUNCTION("""COMPUTED_VALUE"""),"Comida ocn residente y segurista emacsa")</f>
        <v>Comida ocn residente y segurista emacsa</v>
      </c>
      <c r="L32" s="17"/>
      <c r="M32" s="17"/>
      <c r="N32" s="17"/>
      <c r="O32" s="17"/>
    </row>
    <row r="33" spans="1:15" ht="12.5">
      <c r="A33" s="17" t="str">
        <f ca="1">IFERROR(__xludf.DUMMYFUNCTION("""COMPUTED_VALUE"""),"TRX1383")</f>
        <v>TRX1383</v>
      </c>
      <c r="B33" s="86" t="str">
        <f ca="1">IFERROR(__xludf.DUMMYFUNCTION("""COMPUTED_VALUE"""),"#64")</f>
        <v>#64</v>
      </c>
      <c r="C33" s="63">
        <f ca="1">IFERROR(__xludf.DUMMYFUNCTION("""COMPUTED_VALUE"""),46061.4173611111)</f>
        <v>46061.417361111096</v>
      </c>
      <c r="D33" s="65">
        <f ca="1">IFERROR(__xludf.DUMMYFUNCTION("""COMPUTED_VALUE"""),37.9)</f>
        <v>37.9</v>
      </c>
      <c r="E33" s="17" t="str">
        <f ca="1">IFERROR(__xludf.DUMMYFUNCTION("""COMPUTED_VALUE"""),"MXN")</f>
        <v>MXN</v>
      </c>
      <c r="F33" s="17" t="str">
        <f ca="1">IFERROR(__xludf.DUMMYFUNCTION("""COMPUTED_VALUE"""),"Jorge Rojas")</f>
        <v>Jorge Rojas</v>
      </c>
      <c r="G33" s="17" t="str">
        <f ca="1">IFERROR(__xludf.DUMMYFUNCTION("""COMPUTED_VALUE"""),"WALMART LOMAS STA FE   TIJUANA BCN   MEX")</f>
        <v>WALMART LOMAS STA FE   TIJUANA BCN   MEX</v>
      </c>
      <c r="H33" s="17" t="str">
        <f ca="1">IFERROR(__xludf.DUMMYFUNCTION("""COMPUTED_VALUE"""),"Walmart")</f>
        <v>Walmart</v>
      </c>
      <c r="I33" s="17" t="str">
        <f ca="1">IFERROR(__xludf.DUMMYFUNCTION("""COMPUTED_VALUE"""),"Walmart")</f>
        <v>Walmart</v>
      </c>
      <c r="J33" s="17" t="str">
        <f ca="1">IFERROR(__xludf.DUMMYFUNCTION("""COMPUTED_VALUE"""),"Recruiting")</f>
        <v>Recruiting</v>
      </c>
      <c r="K33" s="17" t="str">
        <f ca="1">IFERROR(__xludf.DUMMYFUNCTION("""COMPUTED_VALUE"""),"Comida con equipo operativo")</f>
        <v>Comida con equipo operativo</v>
      </c>
      <c r="L33" s="17"/>
      <c r="M33" s="17"/>
      <c r="N33" s="17"/>
      <c r="O33" s="17"/>
    </row>
    <row r="34" spans="1:15" ht="12.5">
      <c r="A34" s="17" t="str">
        <f ca="1">IFERROR(__xludf.DUMMYFUNCTION("""COMPUTED_VALUE"""),"TRX1995")</f>
        <v>TRX1995</v>
      </c>
      <c r="B34" s="86" t="str">
        <f ca="1">IFERROR(__xludf.DUMMYFUNCTION("""COMPUTED_VALUE"""),"#64")</f>
        <v>#64</v>
      </c>
      <c r="C34" s="63">
        <f ca="1">IFERROR(__xludf.DUMMYFUNCTION("""COMPUTED_VALUE"""),46061.4173611111)</f>
        <v>46061.417361111096</v>
      </c>
      <c r="D34" s="65">
        <f ca="1">IFERROR(__xludf.DUMMYFUNCTION("""COMPUTED_VALUE"""),803)</f>
        <v>803</v>
      </c>
      <c r="E34" s="17" t="str">
        <f ca="1">IFERROR(__xludf.DUMMYFUNCTION("""COMPUTED_VALUE"""),"MXN")</f>
        <v>MXN</v>
      </c>
      <c r="F34" s="17" t="str">
        <f ca="1">IFERROR(__xludf.DUMMYFUNCTION("""COMPUTED_VALUE"""),"Jorge Rojas")</f>
        <v>Jorge Rojas</v>
      </c>
      <c r="G34" s="17" t="str">
        <f ca="1">IFERROR(__xludf.DUMMYFUNCTION("""COMPUTED_VALUE"""),"AGUACHILES CULICHI     TIJUANA BCN   MEX")</f>
        <v>AGUACHILES CULICHI     TIJUANA BCN   MEX</v>
      </c>
      <c r="H34" s="17" t="str">
        <f ca="1">IFERROR(__xludf.DUMMYFUNCTION("""COMPUTED_VALUE"""),"Aguachiles Culichi Tijuana Bcn Mex")</f>
        <v>Aguachiles Culichi Tijuana Bcn Mex</v>
      </c>
      <c r="I34" s="17" t="str">
        <f ca="1">IFERROR(__xludf.DUMMYFUNCTION("""COMPUTED_VALUE"""),"Aguachiles Culichi Tijuana Bcn Mex")</f>
        <v>Aguachiles Culichi Tijuana Bcn Mex</v>
      </c>
      <c r="J34" s="17" t="str">
        <f ca="1">IFERROR(__xludf.DUMMYFUNCTION("""COMPUTED_VALUE"""),"Recruiting")</f>
        <v>Recruiting</v>
      </c>
      <c r="K34" s="17" t="str">
        <f ca="1">IFERROR(__xludf.DUMMYFUNCTION("""COMPUTED_VALUE"""),"Agua")</f>
        <v>Agua</v>
      </c>
      <c r="L34" s="17"/>
      <c r="M34" s="17"/>
      <c r="N34" s="17"/>
      <c r="O34" s="17"/>
    </row>
    <row r="35" spans="1:15" ht="12.5">
      <c r="A35" s="17" t="str">
        <f ca="1">IFERROR(__xludf.DUMMYFUNCTION("""COMPUTED_VALUE"""),"TRX1573")</f>
        <v>TRX1573</v>
      </c>
      <c r="B35" s="86" t="str">
        <f ca="1">IFERROR(__xludf.DUMMYFUNCTION("""COMPUTED_VALUE"""),"#64")</f>
        <v>#64</v>
      </c>
      <c r="C35" s="63">
        <f ca="1">IFERROR(__xludf.DUMMYFUNCTION("""COMPUTED_VALUE"""),46062.4166666666)</f>
        <v>46062.416666666599</v>
      </c>
      <c r="D35" s="65">
        <f ca="1">IFERROR(__xludf.DUMMYFUNCTION("""COMPUTED_VALUE"""),402.22)</f>
        <v>402.22</v>
      </c>
      <c r="E35" s="17" t="str">
        <f ca="1">IFERROR(__xludf.DUMMYFUNCTION("""COMPUTED_VALUE"""),"MXN")</f>
        <v>MXN</v>
      </c>
      <c r="F35" s="17" t="str">
        <f ca="1">IFERROR(__xludf.DUMMYFUNCTION("""COMPUTED_VALUE"""),"Jorge Rojas")</f>
        <v>Jorge Rojas</v>
      </c>
      <c r="G35" s="17" t="str">
        <f ca="1">IFERROR(__xludf.DUMMYFUNCTION("""COMPUTED_VALUE"""),"UBER * EATS PENDING    CMX           MEX")</f>
        <v>UBER * EATS PENDING    CMX           MEX</v>
      </c>
      <c r="H35" s="17" t="str">
        <f ca="1">IFERROR(__xludf.DUMMYFUNCTION("""COMPUTED_VALUE"""),"Uber Eats")</f>
        <v>Uber Eats</v>
      </c>
      <c r="I35" s="17" t="str">
        <f ca="1">IFERROR(__xludf.DUMMYFUNCTION("""COMPUTED_VALUE"""),"Uber Eats")</f>
        <v>Uber Eats</v>
      </c>
      <c r="J35" s="17" t="str">
        <f ca="1">IFERROR(__xludf.DUMMYFUNCTION("""COMPUTED_VALUE"""),"G&amp;A expenses")</f>
        <v>G&amp;A expenses</v>
      </c>
      <c r="K35" s="17" t="str">
        <f ca="1">IFERROR(__xludf.DUMMYFUNCTION("""COMPUTED_VALUE"""),"Alimentos")</f>
        <v>Alimentos</v>
      </c>
      <c r="L35" s="17"/>
      <c r="M35" s="17"/>
      <c r="N35" s="17"/>
      <c r="O35" s="17"/>
    </row>
    <row r="36" spans="1:15" ht="12.5">
      <c r="A36" s="17" t="str">
        <f ca="1">IFERROR(__xludf.DUMMYFUNCTION("""COMPUTED_VALUE"""),"TRX1545")</f>
        <v>TRX1545</v>
      </c>
      <c r="B36" s="86" t="str">
        <f ca="1">IFERROR(__xludf.DUMMYFUNCTION("""COMPUTED_VALUE"""),"#64")</f>
        <v>#64</v>
      </c>
      <c r="C36" s="63">
        <f ca="1">IFERROR(__xludf.DUMMYFUNCTION("""COMPUTED_VALUE"""),46062.4166666666)</f>
        <v>46062.416666666599</v>
      </c>
      <c r="D36" s="65">
        <f ca="1">IFERROR(__xludf.DUMMYFUNCTION("""COMPUTED_VALUE"""),354.98)</f>
        <v>354.98</v>
      </c>
      <c r="E36" s="17" t="str">
        <f ca="1">IFERROR(__xludf.DUMMYFUNCTION("""COMPUTED_VALUE"""),"MXN")</f>
        <v>MXN</v>
      </c>
      <c r="F36" s="17" t="str">
        <f ca="1">IFERROR(__xludf.DUMMYFUNCTION("""COMPUTED_VALUE"""),"Jorge Rojas")</f>
        <v>Jorge Rojas</v>
      </c>
      <c r="G36" s="17" t="str">
        <f ca="1">IFERROR(__xludf.DUMMYFUNCTION("""COMPUTED_VALUE"""),"UBER * EATS PENDING    CMX           MEX")</f>
        <v>UBER * EATS PENDING    CMX           MEX</v>
      </c>
      <c r="H36" s="17" t="str">
        <f ca="1">IFERROR(__xludf.DUMMYFUNCTION("""COMPUTED_VALUE"""),"Uber Eats")</f>
        <v>Uber Eats</v>
      </c>
      <c r="I36" s="17" t="str">
        <f ca="1">IFERROR(__xludf.DUMMYFUNCTION("""COMPUTED_VALUE"""),"Uber Eats")</f>
        <v>Uber Eats</v>
      </c>
      <c r="J36" s="17" t="str">
        <f ca="1">IFERROR(__xludf.DUMMYFUNCTION("""COMPUTED_VALUE"""),"G&amp;A expenses")</f>
        <v>G&amp;A expenses</v>
      </c>
      <c r="K36" s="17" t="str">
        <f ca="1">IFERROR(__xludf.DUMMYFUNCTION("""COMPUTED_VALUE"""),"Alimentos")</f>
        <v>Alimentos</v>
      </c>
      <c r="L36" s="17"/>
      <c r="M36" s="17"/>
      <c r="N36" s="17"/>
      <c r="O36" s="17"/>
    </row>
    <row r="37" spans="1:15" ht="12.5">
      <c r="A37" s="17" t="str">
        <f ca="1">IFERROR(__xludf.DUMMYFUNCTION("""COMPUTED_VALUE"""),"TRX1929")</f>
        <v>TRX1929</v>
      </c>
      <c r="B37" s="86" t="str">
        <f ca="1">IFERROR(__xludf.DUMMYFUNCTION("""COMPUTED_VALUE"""),"#64")</f>
        <v>#64</v>
      </c>
      <c r="C37" s="63">
        <f ca="1">IFERROR(__xludf.DUMMYFUNCTION("""COMPUTED_VALUE"""),46062.4166666666)</f>
        <v>46062.416666666599</v>
      </c>
      <c r="D37" s="65">
        <f ca="1">IFERROR(__xludf.DUMMYFUNCTION("""COMPUTED_VALUE"""),333)</f>
        <v>333</v>
      </c>
      <c r="E37" s="17" t="str">
        <f ca="1">IFERROR(__xludf.DUMMYFUNCTION("""COMPUTED_VALUE"""),"MXN")</f>
        <v>MXN</v>
      </c>
      <c r="F37" s="17" t="str">
        <f ca="1">IFERROR(__xludf.DUMMYFUNCTION("""COMPUTED_VALUE"""),"Jorge Rojas")</f>
        <v>Jorge Rojas</v>
      </c>
      <c r="G37" s="17" t="str">
        <f ca="1">IFERROR(__xludf.DUMMYFUNCTION("""COMPUTED_VALUE"""),"7ELEVEN T2843 BANDERAS TIJUANA BCN   MEX")</f>
        <v>7ELEVEN T2843 BANDERAS TIJUANA BCN   MEX</v>
      </c>
      <c r="H37" s="17" t="str">
        <f ca="1">IFERROR(__xludf.DUMMYFUNCTION("""COMPUTED_VALUE"""),"7 Eleven")</f>
        <v>7 Eleven</v>
      </c>
      <c r="I37" s="17" t="str">
        <f ca="1">IFERROR(__xludf.DUMMYFUNCTION("""COMPUTED_VALUE"""),"7 Eleven")</f>
        <v>7 Eleven</v>
      </c>
      <c r="J37" s="17" t="str">
        <f ca="1">IFERROR(__xludf.DUMMYFUNCTION("""COMPUTED_VALUE"""),"Recruiting")</f>
        <v>Recruiting</v>
      </c>
      <c r="K37" s="17" t="str">
        <f ca="1">IFERROR(__xludf.DUMMYFUNCTION("""COMPUTED_VALUE"""),"Pastillas dolor de estomago")</f>
        <v>Pastillas dolor de estomago</v>
      </c>
      <c r="L37" s="17"/>
      <c r="M37" s="17"/>
      <c r="N37" s="17"/>
      <c r="O37" s="17"/>
    </row>
    <row r="38" spans="1:15" ht="12.5">
      <c r="A38" s="17" t="str">
        <f ca="1">IFERROR(__xludf.DUMMYFUNCTION("""COMPUTED_VALUE"""),"TRX1720")</f>
        <v>TRX1720</v>
      </c>
      <c r="B38" s="86" t="str">
        <f ca="1">IFERROR(__xludf.DUMMYFUNCTION("""COMPUTED_VALUE"""),"#64")</f>
        <v>#64</v>
      </c>
      <c r="C38" s="63">
        <f ca="1">IFERROR(__xludf.DUMMYFUNCTION("""COMPUTED_VALUE"""),46063.4166666666)</f>
        <v>46063.416666666599</v>
      </c>
      <c r="D38" s="65">
        <f ca="1">IFERROR(__xludf.DUMMYFUNCTION("""COMPUTED_VALUE"""),1912.17)</f>
        <v>1912.17</v>
      </c>
      <c r="E38" s="17" t="str">
        <f ca="1">IFERROR(__xludf.DUMMYFUNCTION("""COMPUTED_VALUE"""),"MXN")</f>
        <v>MXN</v>
      </c>
      <c r="F38" s="17" t="str">
        <f ca="1">IFERROR(__xludf.DUMMYFUNCTION("""COMPUTED_VALUE"""),"Jorge Rojas")</f>
        <v>Jorge Rojas</v>
      </c>
      <c r="G38" s="17" t="str">
        <f ca="1">IFERROR(__xludf.DUMMYFUNCTION("""COMPUTED_VALUE"""),"MERPAGO*MERCADOLIBRE   Ciudad de Mex MEX")</f>
        <v>MERPAGO*MERCADOLIBRE   Ciudad de Mex MEX</v>
      </c>
      <c r="H38" s="17" t="str">
        <f ca="1">IFERROR(__xludf.DUMMYFUNCTION("""COMPUTED_VALUE"""),"Merpago Mercadolibre Ciudad De Mex Mex")</f>
        <v>Merpago Mercadolibre Ciudad De Mex Mex</v>
      </c>
      <c r="I38" s="17" t="str">
        <f ca="1">IFERROR(__xludf.DUMMYFUNCTION("""COMPUTED_VALUE"""),"Merpago Mercadolibre Ciudad De Mex Mex")</f>
        <v>Merpago Mercadolibre Ciudad De Mex Mex</v>
      </c>
      <c r="J38" s="17" t="str">
        <f ca="1">IFERROR(__xludf.DUMMYFUNCTION("""COMPUTED_VALUE"""),"Recruiting")</f>
        <v>Recruiting</v>
      </c>
      <c r="K38" s="17" t="str">
        <f ca="1">IFERROR(__xludf.DUMMYFUNCTION("""COMPUTED_VALUE"""),"Alimentos")</f>
        <v>Alimentos</v>
      </c>
      <c r="L38" s="17"/>
      <c r="M38" s="17"/>
      <c r="N38" s="17"/>
      <c r="O38" s="17"/>
    </row>
    <row r="39" spans="1:15" ht="12.5">
      <c r="A39" s="17" t="str">
        <f ca="1">IFERROR(__xludf.DUMMYFUNCTION("""COMPUTED_VALUE"""),"TRX1186")</f>
        <v>TRX1186</v>
      </c>
      <c r="B39" s="86" t="str">
        <f ca="1">IFERROR(__xludf.DUMMYFUNCTION("""COMPUTED_VALUE"""),"#64")</f>
        <v>#64</v>
      </c>
      <c r="C39" s="63">
        <f ca="1">IFERROR(__xludf.DUMMYFUNCTION("""COMPUTED_VALUE"""),46063.4166666666)</f>
        <v>46063.416666666599</v>
      </c>
      <c r="D39" s="65">
        <f ca="1">IFERROR(__xludf.DUMMYFUNCTION("""COMPUTED_VALUE"""),571.15)</f>
        <v>571.15</v>
      </c>
      <c r="E39" s="17" t="str">
        <f ca="1">IFERROR(__xludf.DUMMYFUNCTION("""COMPUTED_VALUE"""),"MXN")</f>
        <v>MXN</v>
      </c>
      <c r="F39" s="17" t="str">
        <f ca="1">IFERROR(__xludf.DUMMYFUNCTION("""COMPUTED_VALUE"""),"Jorge Rojas")</f>
        <v>Jorge Rojas</v>
      </c>
      <c r="G39" s="17" t="str">
        <f ca="1">IFERROR(__xludf.DUMMYFUNCTION("""COMPUTED_VALUE"""),"UBER * EATS PENDING    CMX           MEX")</f>
        <v>UBER * EATS PENDING    CMX           MEX</v>
      </c>
      <c r="H39" s="17" t="str">
        <f ca="1">IFERROR(__xludf.DUMMYFUNCTION("""COMPUTED_VALUE"""),"Uber Eats")</f>
        <v>Uber Eats</v>
      </c>
      <c r="I39" s="17" t="str">
        <f ca="1">IFERROR(__xludf.DUMMYFUNCTION("""COMPUTED_VALUE"""),"Uber Eats")</f>
        <v>Uber Eats</v>
      </c>
      <c r="J39" s="17" t="str">
        <f ca="1">IFERROR(__xludf.DUMMYFUNCTION("""COMPUTED_VALUE"""),"G&amp;A expenses")</f>
        <v>G&amp;A expenses</v>
      </c>
      <c r="K39" s="17" t="str">
        <f ca="1">IFERROR(__xludf.DUMMYFUNCTION("""COMPUTED_VALUE"""),"Hospedaje en TJ")</f>
        <v>Hospedaje en TJ</v>
      </c>
      <c r="L39" s="17"/>
      <c r="M39" s="17"/>
      <c r="N39" s="17"/>
      <c r="O39" s="17"/>
    </row>
    <row r="40" spans="1:15" ht="12.5">
      <c r="A40" s="17" t="str">
        <f ca="1">IFERROR(__xludf.DUMMYFUNCTION("""COMPUTED_VALUE"""),"TRX1107")</f>
        <v>TRX1107</v>
      </c>
      <c r="B40" s="86" t="str">
        <f ca="1">IFERROR(__xludf.DUMMYFUNCTION("""COMPUTED_VALUE"""),"#64")</f>
        <v>#64</v>
      </c>
      <c r="C40" s="63">
        <f ca="1">IFERROR(__xludf.DUMMYFUNCTION("""COMPUTED_VALUE"""),46063.4166666666)</f>
        <v>46063.416666666599</v>
      </c>
      <c r="D40" s="65">
        <f ca="1">IFERROR(__xludf.DUMMYFUNCTION("""COMPUTED_VALUE"""),722.85)</f>
        <v>722.85</v>
      </c>
      <c r="E40" s="17" t="str">
        <f ca="1">IFERROR(__xludf.DUMMYFUNCTION("""COMPUTED_VALUE"""),"MXN")</f>
        <v>MXN</v>
      </c>
      <c r="F40" s="17" t="str">
        <f ca="1">IFERROR(__xludf.DUMMYFUNCTION("""COMPUTED_VALUE"""),"Jorge Rojas")</f>
        <v>Jorge Rojas</v>
      </c>
      <c r="G40" s="17" t="str">
        <f ca="1">IFERROR(__xludf.DUMMYFUNCTION("""COMPUTED_VALUE"""),"UBER * EATS PENDING    CMX           MEX")</f>
        <v>UBER * EATS PENDING    CMX           MEX</v>
      </c>
      <c r="H40" s="17" t="str">
        <f ca="1">IFERROR(__xludf.DUMMYFUNCTION("""COMPUTED_VALUE"""),"Uber Eats")</f>
        <v>Uber Eats</v>
      </c>
      <c r="I40" s="17" t="str">
        <f ca="1">IFERROR(__xludf.DUMMYFUNCTION("""COMPUTED_VALUE"""),"Uber Eats")</f>
        <v>Uber Eats</v>
      </c>
      <c r="J40" s="17" t="str">
        <f ca="1">IFERROR(__xludf.DUMMYFUNCTION("""COMPUTED_VALUE"""),"Recruiting")</f>
        <v>Recruiting</v>
      </c>
      <c r="K40" s="17" t="str">
        <f ca="1">IFERROR(__xludf.DUMMYFUNCTION("""COMPUTED_VALUE"""),"Agua")</f>
        <v>Agua</v>
      </c>
      <c r="L40" s="17"/>
      <c r="M40" s="17"/>
      <c r="N40" s="17"/>
      <c r="O40" s="17"/>
    </row>
    <row r="41" spans="1:15" ht="12.5">
      <c r="A41" s="17" t="str">
        <f ca="1">IFERROR(__xludf.DUMMYFUNCTION("""COMPUTED_VALUE"""),"TRX1805")</f>
        <v>TRX1805</v>
      </c>
      <c r="B41" s="86" t="str">
        <f ca="1">IFERROR(__xludf.DUMMYFUNCTION("""COMPUTED_VALUE"""),"#64")</f>
        <v>#64</v>
      </c>
      <c r="C41" s="63">
        <f ca="1">IFERROR(__xludf.DUMMYFUNCTION("""COMPUTED_VALUE"""),46063.4166666666)</f>
        <v>46063.416666666599</v>
      </c>
      <c r="D41" s="65">
        <f ca="1">IFERROR(__xludf.DUMMYFUNCTION("""COMPUTED_VALUE"""),248)</f>
        <v>248</v>
      </c>
      <c r="E41" s="17" t="str">
        <f ca="1">IFERROR(__xludf.DUMMYFUNCTION("""COMPUTED_VALUE"""),"MXN")</f>
        <v>MXN</v>
      </c>
      <c r="F41" s="17" t="str">
        <f ca="1">IFERROR(__xludf.DUMMYFUNCTION("""COMPUTED_VALUE"""),"Jorge Rojas")</f>
        <v>Jorge Rojas</v>
      </c>
      <c r="G41" s="17" t="str">
        <f ca="1">IFERROR(__xludf.DUMMYFUNCTION("""COMPUTED_VALUE"""),"7ELEVEN T2843 BANDERAS TIJUANA BCN   MEX")</f>
        <v>7ELEVEN T2843 BANDERAS TIJUANA BCN   MEX</v>
      </c>
      <c r="H41" s="17" t="str">
        <f ca="1">IFERROR(__xludf.DUMMYFUNCTION("""COMPUTED_VALUE"""),"7 Eleven")</f>
        <v>7 Eleven</v>
      </c>
      <c r="I41" s="17" t="str">
        <f ca="1">IFERROR(__xludf.DUMMYFUNCTION("""COMPUTED_VALUE"""),"7 Eleven")</f>
        <v>7 Eleven</v>
      </c>
      <c r="J41" s="17" t="str">
        <f ca="1">IFERROR(__xludf.DUMMYFUNCTION("""COMPUTED_VALUE"""),"G&amp;A expenses")</f>
        <v>G&amp;A expenses</v>
      </c>
      <c r="K41" s="17" t="str">
        <f ca="1">IFERROR(__xludf.DUMMYFUNCTION("""COMPUTED_VALUE"""),"Alimentos")</f>
        <v>Alimentos</v>
      </c>
      <c r="L41" s="17"/>
      <c r="M41" s="17"/>
      <c r="N41" s="17"/>
      <c r="O41" s="17"/>
    </row>
    <row r="42" spans="1:15" ht="12.5">
      <c r="A42" s="17" t="str">
        <f ca="1">IFERROR(__xludf.DUMMYFUNCTION("""COMPUTED_VALUE"""),"TRX2023")</f>
        <v>TRX2023</v>
      </c>
      <c r="B42" s="86" t="str">
        <f ca="1">IFERROR(__xludf.DUMMYFUNCTION("""COMPUTED_VALUE"""),"#64")</f>
        <v>#64</v>
      </c>
      <c r="C42" s="63">
        <f ca="1">IFERROR(__xludf.DUMMYFUNCTION("""COMPUTED_VALUE"""),46064.4166666666)</f>
        <v>46064.416666666599</v>
      </c>
      <c r="D42" s="17">
        <f ca="1">IFERROR(__xludf.DUMMYFUNCTION("""COMPUTED_VALUE"""),259.22)</f>
        <v>259.22000000000003</v>
      </c>
      <c r="E42" s="17" t="str">
        <f ca="1">IFERROR(__xludf.DUMMYFUNCTION("""COMPUTED_VALUE"""),"MXN")</f>
        <v>MXN</v>
      </c>
      <c r="F42" s="17" t="str">
        <f ca="1">IFERROR(__xludf.DUMMYFUNCTION("""COMPUTED_VALUE"""),"Jorge Rojas")</f>
        <v>Jorge Rojas</v>
      </c>
      <c r="G42" s="17" t="str">
        <f ca="1">IFERROR(__xludf.DUMMYFUNCTION("""COMPUTED_VALUE"""),"UBER * EATS PENDING    CMX           MEX")</f>
        <v>UBER * EATS PENDING    CMX           MEX</v>
      </c>
      <c r="H42" s="17" t="str">
        <f ca="1">IFERROR(__xludf.DUMMYFUNCTION("""COMPUTED_VALUE"""),"Uber Eats")</f>
        <v>Uber Eats</v>
      </c>
      <c r="I42" s="17" t="str">
        <f ca="1">IFERROR(__xludf.DUMMYFUNCTION("""COMPUTED_VALUE"""),"Uber Eats")</f>
        <v>Uber Eats</v>
      </c>
      <c r="J42" s="17" t="str">
        <f ca="1">IFERROR(__xludf.DUMMYFUNCTION("""COMPUTED_VALUE"""),"Recruiting")</f>
        <v>Recruiting</v>
      </c>
      <c r="K42" s="17" t="str">
        <f ca="1">IFERROR(__xludf.DUMMYFUNCTION("""COMPUTED_VALUE"""),"alimentos")</f>
        <v>alimentos</v>
      </c>
      <c r="L42" s="17"/>
      <c r="M42" s="17"/>
      <c r="N42" s="17"/>
      <c r="O42" s="17"/>
    </row>
    <row r="43" spans="1:15" ht="12.5">
      <c r="A43" s="17" t="str">
        <f ca="1">IFERROR(__xludf.DUMMYFUNCTION("""COMPUTED_VALUE"""),"TRX1419")</f>
        <v>TRX1419</v>
      </c>
      <c r="B43" s="86" t="str">
        <f ca="1">IFERROR(__xludf.DUMMYFUNCTION("""COMPUTED_VALUE"""),"#64")</f>
        <v>#64</v>
      </c>
      <c r="C43" s="63">
        <f ca="1">IFERROR(__xludf.DUMMYFUNCTION("""COMPUTED_VALUE"""),46064.4166666666)</f>
        <v>46064.416666666599</v>
      </c>
      <c r="D43" s="65">
        <f ca="1">IFERROR(__xludf.DUMMYFUNCTION("""COMPUTED_VALUE"""),158.3)</f>
        <v>158.30000000000001</v>
      </c>
      <c r="E43" s="17" t="str">
        <f ca="1">IFERROR(__xludf.DUMMYFUNCTION("""COMPUTED_VALUE"""),"MXN")</f>
        <v>MXN</v>
      </c>
      <c r="F43" s="17" t="str">
        <f ca="1">IFERROR(__xludf.DUMMYFUNCTION("""COMPUTED_VALUE"""),"Jorge Rojas")</f>
        <v>Jorge Rojas</v>
      </c>
      <c r="G43" s="17" t="str">
        <f ca="1">IFERROR(__xludf.DUMMYFUNCTION("""COMPUTED_VALUE"""),"WALMART LOMAS STA FE   TIJUANA BCN   MEX")</f>
        <v>WALMART LOMAS STA FE   TIJUANA BCN   MEX</v>
      </c>
      <c r="H43" s="17" t="str">
        <f ca="1">IFERROR(__xludf.DUMMYFUNCTION("""COMPUTED_VALUE"""),"Walmart")</f>
        <v>Walmart</v>
      </c>
      <c r="I43" s="17" t="str">
        <f ca="1">IFERROR(__xludf.DUMMYFUNCTION("""COMPUTED_VALUE"""),"Walmart")</f>
        <v>Walmart</v>
      </c>
      <c r="J43" s="17"/>
      <c r="K43" s="17" t="str">
        <f ca="1">IFERROR(__xludf.DUMMYFUNCTION("""COMPUTED_VALUE"""),"Comida para trabajadores")</f>
        <v>Comida para trabajadores</v>
      </c>
      <c r="L43" s="17"/>
      <c r="M43" s="17"/>
      <c r="N43" s="17"/>
      <c r="O43" s="17"/>
    </row>
    <row r="44" spans="1:15" ht="12.5">
      <c r="A44" s="17" t="str">
        <f ca="1">IFERROR(__xludf.DUMMYFUNCTION("""COMPUTED_VALUE"""),"TRX1159")</f>
        <v>TRX1159</v>
      </c>
      <c r="B44" s="86" t="str">
        <f ca="1">IFERROR(__xludf.DUMMYFUNCTION("""COMPUTED_VALUE"""),"#64")</f>
        <v>#64</v>
      </c>
      <c r="C44" s="63">
        <f ca="1">IFERROR(__xludf.DUMMYFUNCTION("""COMPUTED_VALUE"""),46064.4173611111)</f>
        <v>46064.417361111096</v>
      </c>
      <c r="D44" s="65">
        <f ca="1">IFERROR(__xludf.DUMMYFUNCTION("""COMPUTED_VALUE"""),27)</f>
        <v>27</v>
      </c>
      <c r="E44" s="17" t="str">
        <f ca="1">IFERROR(__xludf.DUMMYFUNCTION("""COMPUTED_VALUE"""),"MXN")</f>
        <v>MXN</v>
      </c>
      <c r="F44" s="17" t="str">
        <f ca="1">IFERROR(__xludf.DUMMYFUNCTION("""COMPUTED_VALUE"""),"Jorge Rojas")</f>
        <v>Jorge Rojas</v>
      </c>
      <c r="G44" s="17" t="str">
        <f ca="1">IFERROR(__xludf.DUMMYFUNCTION("""COMPUTED_VALUE"""),"7ELEVEN T2843 BANDERAS TIJUANA BCN   MEX")</f>
        <v>7ELEVEN T2843 BANDERAS TIJUANA BCN   MEX</v>
      </c>
      <c r="H44" s="17" t="str">
        <f ca="1">IFERROR(__xludf.DUMMYFUNCTION("""COMPUTED_VALUE"""),"7 Eleven")</f>
        <v>7 Eleven</v>
      </c>
      <c r="I44" s="17" t="str">
        <f ca="1">IFERROR(__xludf.DUMMYFUNCTION("""COMPUTED_VALUE"""),"7 Eleven")</f>
        <v>7 Eleven</v>
      </c>
      <c r="J44" s="17"/>
      <c r="K44" s="17" t="str">
        <f ca="1">IFERROR(__xludf.DUMMYFUNCTION("""COMPUTED_VALUE"""),"Alimentos")</f>
        <v>Alimentos</v>
      </c>
      <c r="L44" s="17"/>
      <c r="M44" s="17"/>
      <c r="N44" s="17"/>
      <c r="O44" s="17"/>
    </row>
    <row r="45" spans="1:15" ht="12.5">
      <c r="A45" s="17" t="str">
        <f ca="1">IFERROR(__xludf.DUMMYFUNCTION("""COMPUTED_VALUE"""),"TRX1581")</f>
        <v>TRX1581</v>
      </c>
      <c r="B45" s="86" t="str">
        <f ca="1">IFERROR(__xludf.DUMMYFUNCTION("""COMPUTED_VALUE"""),"#64")</f>
        <v>#64</v>
      </c>
      <c r="C45" s="63">
        <f ca="1">IFERROR(__xludf.DUMMYFUNCTION("""COMPUTED_VALUE"""),46064.4173611111)</f>
        <v>46064.417361111096</v>
      </c>
      <c r="D45" s="65">
        <f ca="1">IFERROR(__xludf.DUMMYFUNCTION("""COMPUTED_VALUE"""),200.29)</f>
        <v>200.29</v>
      </c>
      <c r="E45" s="17" t="str">
        <f ca="1">IFERROR(__xludf.DUMMYFUNCTION("""COMPUTED_VALUE"""),"MXN")</f>
        <v>MXN</v>
      </c>
      <c r="F45" s="17" t="str">
        <f ca="1">IFERROR(__xludf.DUMMYFUNCTION("""COMPUTED_VALUE"""),"Jorge Rojas")</f>
        <v>Jorge Rojas</v>
      </c>
      <c r="G45" s="17" t="str">
        <f ca="1">IFERROR(__xludf.DUMMYFUNCTION("""COMPUTED_VALUE"""),"WALMART LOMAS STA FE   TIJUANA BCN   MEX")</f>
        <v>WALMART LOMAS STA FE   TIJUANA BCN   MEX</v>
      </c>
      <c r="H45" s="17" t="str">
        <f ca="1">IFERROR(__xludf.DUMMYFUNCTION("""COMPUTED_VALUE"""),"Walmart")</f>
        <v>Walmart</v>
      </c>
      <c r="I45" s="17" t="str">
        <f ca="1">IFERROR(__xludf.DUMMYFUNCTION("""COMPUTED_VALUE"""),"Walmart")</f>
        <v>Walmart</v>
      </c>
      <c r="J45" s="17"/>
      <c r="K45" s="17" t="str">
        <f ca="1">IFERROR(__xludf.DUMMYFUNCTION("""COMPUTED_VALUE"""),"Herramienta menor para obra")</f>
        <v>Herramienta menor para obra</v>
      </c>
      <c r="L45" s="17"/>
      <c r="M45" s="17"/>
      <c r="N45" s="17"/>
      <c r="O45" s="17"/>
    </row>
    <row r="46" spans="1:15" ht="12.5">
      <c r="A46" s="17" t="str">
        <f ca="1">IFERROR(__xludf.DUMMYFUNCTION("""COMPUTED_VALUE"""),"TRX1569")</f>
        <v>TRX1569</v>
      </c>
      <c r="B46" s="86" t="str">
        <f ca="1">IFERROR(__xludf.DUMMYFUNCTION("""COMPUTED_VALUE"""),"#64")</f>
        <v>#64</v>
      </c>
      <c r="C46" s="63">
        <f ca="1">IFERROR(__xludf.DUMMYFUNCTION("""COMPUTED_VALUE"""),46064.4173611111)</f>
        <v>46064.417361111096</v>
      </c>
      <c r="D46" s="65">
        <f ca="1">IFERROR(__xludf.DUMMYFUNCTION("""COMPUTED_VALUE"""),96.16)</f>
        <v>96.16</v>
      </c>
      <c r="E46" s="17" t="str">
        <f ca="1">IFERROR(__xludf.DUMMYFUNCTION("""COMPUTED_VALUE"""),"MXN")</f>
        <v>MXN</v>
      </c>
      <c r="F46" s="17" t="str">
        <f ca="1">IFERROR(__xludf.DUMMYFUNCTION("""COMPUTED_VALUE"""),"Jorge Rojas")</f>
        <v>Jorge Rojas</v>
      </c>
      <c r="G46" s="17" t="str">
        <f ca="1">IFERROR(__xludf.DUMMYFUNCTION("""COMPUTED_VALUE"""),"WALMART LOMAS STA FE   TIJUANA BCN   MEX")</f>
        <v>WALMART LOMAS STA FE   TIJUANA BCN   MEX</v>
      </c>
      <c r="H46" s="17" t="str">
        <f ca="1">IFERROR(__xludf.DUMMYFUNCTION("""COMPUTED_VALUE"""),"Walmart")</f>
        <v>Walmart</v>
      </c>
      <c r="I46" s="17" t="str">
        <f ca="1">IFERROR(__xludf.DUMMYFUNCTION("""COMPUTED_VALUE"""),"Walmart")</f>
        <v>Walmart</v>
      </c>
      <c r="J46" s="17"/>
      <c r="K46" s="17" t="str">
        <f ca="1">IFERROR(__xludf.DUMMYFUNCTION("""COMPUTED_VALUE"""),"alimentos")</f>
        <v>alimentos</v>
      </c>
      <c r="L46" s="17"/>
      <c r="M46" s="17"/>
      <c r="N46" s="17"/>
      <c r="O46" s="17"/>
    </row>
    <row r="47" spans="1:15" ht="12.5">
      <c r="A47" s="17" t="str">
        <f ca="1">IFERROR(__xludf.DUMMYFUNCTION("""COMPUTED_VALUE"""),"TRX1267")</f>
        <v>TRX1267</v>
      </c>
      <c r="B47" s="86" t="str">
        <f ca="1">IFERROR(__xludf.DUMMYFUNCTION("""COMPUTED_VALUE"""),"#64")</f>
        <v>#64</v>
      </c>
      <c r="C47" s="63">
        <f ca="1">IFERROR(__xludf.DUMMYFUNCTION("""COMPUTED_VALUE"""),46065.4166666666)</f>
        <v>46065.416666666599</v>
      </c>
      <c r="D47" s="65">
        <f ca="1">IFERROR(__xludf.DUMMYFUNCTION("""COMPUTED_VALUE"""),338.46)</f>
        <v>338.46</v>
      </c>
      <c r="E47" s="17" t="str">
        <f ca="1">IFERROR(__xludf.DUMMYFUNCTION("""COMPUTED_VALUE"""),"MXN")</f>
        <v>MXN</v>
      </c>
      <c r="F47" s="17" t="str">
        <f ca="1">IFERROR(__xludf.DUMMYFUNCTION("""COMPUTED_VALUE"""),"Jorge Rojas")</f>
        <v>Jorge Rojas</v>
      </c>
      <c r="G47" s="17" t="str">
        <f ca="1">IFERROR(__xludf.DUMMYFUNCTION("""COMPUTED_VALUE"""),"UBER * EATS PENDING    CMX           MEX")</f>
        <v>UBER * EATS PENDING    CMX           MEX</v>
      </c>
      <c r="H47" s="17" t="str">
        <f ca="1">IFERROR(__xludf.DUMMYFUNCTION("""COMPUTED_VALUE"""),"Uber Eats")</f>
        <v>Uber Eats</v>
      </c>
      <c r="I47" s="17" t="str">
        <f ca="1">IFERROR(__xludf.DUMMYFUNCTION("""COMPUTED_VALUE"""),"Uber Eats")</f>
        <v>Uber Eats</v>
      </c>
      <c r="J47" s="17"/>
      <c r="K47" s="17" t="str">
        <f ca="1">IFERROR(__xludf.DUMMYFUNCTION("""COMPUTED_VALUE"""),"Traslados")</f>
        <v>Traslados</v>
      </c>
      <c r="L47" s="17"/>
      <c r="M47" s="17"/>
      <c r="N47" s="17"/>
      <c r="O47" s="17"/>
    </row>
    <row r="48" spans="1:15" ht="12.5">
      <c r="A48" s="17" t="str">
        <f ca="1">IFERROR(__xludf.DUMMYFUNCTION("""COMPUTED_VALUE"""),"TRX2012")</f>
        <v>TRX2012</v>
      </c>
      <c r="B48" s="86" t="str">
        <f ca="1">IFERROR(__xludf.DUMMYFUNCTION("""COMPUTED_VALUE"""),"#64")</f>
        <v>#64</v>
      </c>
      <c r="C48" s="63">
        <f ca="1">IFERROR(__xludf.DUMMYFUNCTION("""COMPUTED_VALUE"""),46065.4166666666)</f>
        <v>46065.416666666599</v>
      </c>
      <c r="D48" s="17">
        <f ca="1">IFERROR(__xludf.DUMMYFUNCTION("""COMPUTED_VALUE"""),266)</f>
        <v>266</v>
      </c>
      <c r="E48" s="17" t="str">
        <f ca="1">IFERROR(__xludf.DUMMYFUNCTION("""COMPUTED_VALUE"""),"MXN")</f>
        <v>MXN</v>
      </c>
      <c r="F48" s="17" t="str">
        <f ca="1">IFERROR(__xludf.DUMMYFUNCTION("""COMPUTED_VALUE"""),"Jorge Rojas")</f>
        <v>Jorge Rojas</v>
      </c>
      <c r="G48" s="17" t="str">
        <f ca="1">IFERROR(__xludf.DUMMYFUNCTION("""COMPUTED_VALUE"""),"CINEPOLIS DULCERIA     MORELIA MICH  MEX")</f>
        <v>CINEPOLIS DULCERIA     MORELIA MICH  MEX</v>
      </c>
      <c r="H48" s="17" t="str">
        <f ca="1">IFERROR(__xludf.DUMMYFUNCTION("""COMPUTED_VALUE"""),"CinÃ©polis")</f>
        <v>CinÃ©polis</v>
      </c>
      <c r="I48" s="17" t="str">
        <f ca="1">IFERROR(__xludf.DUMMYFUNCTION("""COMPUTED_VALUE"""),"CinÃ©polis")</f>
        <v>CinÃ©polis</v>
      </c>
      <c r="J48" s="17" t="str">
        <f ca="1">IFERROR(__xludf.DUMMYFUNCTION("""COMPUTED_VALUE"""),"Recruiting")</f>
        <v>Recruiting</v>
      </c>
      <c r="K48" s="17" t="str">
        <f ca="1">IFERROR(__xludf.DUMMYFUNCTION("""COMPUTED_VALUE"""),"EPP")</f>
        <v>EPP</v>
      </c>
      <c r="L48" s="17"/>
      <c r="M48" s="17"/>
      <c r="N48" s="17"/>
      <c r="O48" s="17"/>
    </row>
    <row r="49" spans="1:15" ht="12.5">
      <c r="A49" s="17" t="str">
        <f ca="1">IFERROR(__xludf.DUMMYFUNCTION("""COMPUTED_VALUE"""),"TRX1626")</f>
        <v>TRX1626</v>
      </c>
      <c r="B49" s="86" t="str">
        <f ca="1">IFERROR(__xludf.DUMMYFUNCTION("""COMPUTED_VALUE"""),"#64")</f>
        <v>#64</v>
      </c>
      <c r="C49" s="63">
        <f ca="1">IFERROR(__xludf.DUMMYFUNCTION("""COMPUTED_VALUE"""),46065.4173611111)</f>
        <v>46065.417361111096</v>
      </c>
      <c r="D49" s="65">
        <f ca="1">IFERROR(__xludf.DUMMYFUNCTION("""COMPUTED_VALUE"""),22.9)</f>
        <v>22.9</v>
      </c>
      <c r="E49" s="17" t="str">
        <f ca="1">IFERROR(__xludf.DUMMYFUNCTION("""COMPUTED_VALUE"""),"MXN")</f>
        <v>MXN</v>
      </c>
      <c r="F49" s="17" t="str">
        <f ca="1">IFERROR(__xludf.DUMMYFUNCTION("""COMPUTED_VALUE"""),"Jorge Rojas")</f>
        <v>Jorge Rojas</v>
      </c>
      <c r="G49" s="17" t="str">
        <f ca="1">IFERROR(__xludf.DUMMYFUNCTION("""COMPUTED_VALUE"""),"WALMART LOMAS STA FE   TIJUANA BCN   MEX")</f>
        <v>WALMART LOMAS STA FE   TIJUANA BCN   MEX</v>
      </c>
      <c r="H49" s="17" t="str">
        <f ca="1">IFERROR(__xludf.DUMMYFUNCTION("""COMPUTED_VALUE"""),"Walmart")</f>
        <v>Walmart</v>
      </c>
      <c r="I49" s="17" t="str">
        <f ca="1">IFERROR(__xludf.DUMMYFUNCTION("""COMPUTED_VALUE"""),"Walmart")</f>
        <v>Walmart</v>
      </c>
      <c r="J49" s="17"/>
      <c r="K49" s="17" t="str">
        <f ca="1">IFERROR(__xludf.DUMMYFUNCTION("""COMPUTED_VALUE"""),"Impermeable para obra")</f>
        <v>Impermeable para obra</v>
      </c>
      <c r="L49" s="17"/>
      <c r="M49" s="17"/>
      <c r="N49" s="17"/>
      <c r="O49" s="17"/>
    </row>
    <row r="50" spans="1:15" ht="12.5">
      <c r="A50" s="17" t="str">
        <f ca="1">IFERROR(__xludf.DUMMYFUNCTION("""COMPUTED_VALUE"""),"TRX1428")</f>
        <v>TRX1428</v>
      </c>
      <c r="B50" s="86" t="str">
        <f ca="1">IFERROR(__xludf.DUMMYFUNCTION("""COMPUTED_VALUE"""),"#64")</f>
        <v>#64</v>
      </c>
      <c r="C50" s="63">
        <f ca="1">IFERROR(__xludf.DUMMYFUNCTION("""COMPUTED_VALUE"""),46065.4173611111)</f>
        <v>46065.417361111096</v>
      </c>
      <c r="D50" s="65">
        <f ca="1">IFERROR(__xludf.DUMMYFUNCTION("""COMPUTED_VALUE"""),320.82)</f>
        <v>320.82</v>
      </c>
      <c r="E50" s="17" t="str">
        <f ca="1">IFERROR(__xludf.DUMMYFUNCTION("""COMPUTED_VALUE"""),"MXN")</f>
        <v>MXN</v>
      </c>
      <c r="F50" s="17" t="str">
        <f ca="1">IFERROR(__xludf.DUMMYFUNCTION("""COMPUTED_VALUE"""),"Jorge Rojas")</f>
        <v>Jorge Rojas</v>
      </c>
      <c r="G50" s="17" t="str">
        <f ca="1">IFERROR(__xludf.DUMMYFUNCTION("""COMPUTED_VALUE"""),"DLO*Uber eats          CDMX          MEX")</f>
        <v>DLO*Uber eats          CDMX          MEX</v>
      </c>
      <c r="H50" s="17" t="str">
        <f ca="1">IFERROR(__xludf.DUMMYFUNCTION("""COMPUTED_VALUE"""),"Uber Eats")</f>
        <v>Uber Eats</v>
      </c>
      <c r="I50" s="17" t="str">
        <f ca="1">IFERROR(__xludf.DUMMYFUNCTION("""COMPUTED_VALUE"""),"Uber Eats")</f>
        <v>Uber Eats</v>
      </c>
      <c r="J50" s="17"/>
      <c r="K50" s="17" t="str">
        <f ca="1">IFERROR(__xludf.DUMMYFUNCTION("""COMPUTED_VALUE"""),"Bandana")</f>
        <v>Bandana</v>
      </c>
      <c r="L50" s="17"/>
      <c r="M50" s="17"/>
      <c r="N50" s="17"/>
      <c r="O50" s="17"/>
    </row>
    <row r="51" spans="1:15" ht="12.5">
      <c r="A51" s="17" t="str">
        <f ca="1">IFERROR(__xludf.DUMMYFUNCTION("""COMPUTED_VALUE"""),"TRX1239")</f>
        <v>TRX1239</v>
      </c>
      <c r="B51" s="86" t="str">
        <f ca="1">IFERROR(__xludf.DUMMYFUNCTION("""COMPUTED_VALUE"""),"#64")</f>
        <v>#64</v>
      </c>
      <c r="C51" s="63">
        <f ca="1">IFERROR(__xludf.DUMMYFUNCTION("""COMPUTED_VALUE"""),46065.4173611111)</f>
        <v>46065.417361111096</v>
      </c>
      <c r="D51" s="65">
        <f ca="1">IFERROR(__xludf.DUMMYFUNCTION("""COMPUTED_VALUE"""),819)</f>
        <v>819</v>
      </c>
      <c r="E51" s="17" t="str">
        <f ca="1">IFERROR(__xludf.DUMMYFUNCTION("""COMPUTED_VALUE"""),"MXN")</f>
        <v>MXN</v>
      </c>
      <c r="F51" s="17" t="str">
        <f ca="1">IFERROR(__xludf.DUMMYFUNCTION("""COMPUTED_VALUE"""),"Jorge Rojas")</f>
        <v>Jorge Rojas</v>
      </c>
      <c r="G51" s="17" t="str">
        <f ca="1">IFERROR(__xludf.DUMMYFUNCTION("""COMPUTED_VALUE"""),"DAX LA PAJARITA        TIJUANA BCN   MEX")</f>
        <v>DAX LA PAJARITA        TIJUANA BCN   MEX</v>
      </c>
      <c r="H51" s="17" t="str">
        <f ca="1">IFERROR(__xludf.DUMMYFUNCTION("""COMPUTED_VALUE"""),"Dax La Pajarita Tijuana Bcn Mex")</f>
        <v>Dax La Pajarita Tijuana Bcn Mex</v>
      </c>
      <c r="I51" s="17" t="str">
        <f ca="1">IFERROR(__xludf.DUMMYFUNCTION("""COMPUTED_VALUE"""),"Dax La Pajarita Tijuana Bcn Mex")</f>
        <v>Dax La Pajarita Tijuana Bcn Mex</v>
      </c>
      <c r="J51" s="17" t="str">
        <f ca="1">IFERROR(__xludf.DUMMYFUNCTION("""COMPUTED_VALUE"""),"Recruiting")</f>
        <v>Recruiting</v>
      </c>
      <c r="K51" s="17" t="str">
        <f ca="1">IFERROR(__xludf.DUMMYFUNCTION("""COMPUTED_VALUE"""),"Alimentos")</f>
        <v>Alimentos</v>
      </c>
      <c r="L51" s="17"/>
      <c r="M51" s="17"/>
      <c r="N51" s="17"/>
      <c r="O51" s="17"/>
    </row>
    <row r="52" spans="1:15" ht="12.5">
      <c r="A52" s="17" t="str">
        <f ca="1">IFERROR(__xludf.DUMMYFUNCTION("""COMPUTED_VALUE"""),"TRX1769")</f>
        <v>TRX1769</v>
      </c>
      <c r="B52" s="86" t="str">
        <f ca="1">IFERROR(__xludf.DUMMYFUNCTION("""COMPUTED_VALUE"""),"#64")</f>
        <v>#64</v>
      </c>
      <c r="C52" s="63">
        <f ca="1">IFERROR(__xludf.DUMMYFUNCTION("""COMPUTED_VALUE"""),46066.4173611111)</f>
        <v>46066.417361111096</v>
      </c>
      <c r="D52" s="65">
        <f ca="1">IFERROR(__xludf.DUMMYFUNCTION("""COMPUTED_VALUE"""),460)</f>
        <v>460</v>
      </c>
      <c r="E52" s="17" t="str">
        <f ca="1">IFERROR(__xludf.DUMMYFUNCTION("""COMPUTED_VALUE"""),"MXN")</f>
        <v>MXN</v>
      </c>
      <c r="F52" s="17" t="str">
        <f ca="1">IFERROR(__xludf.DUMMYFUNCTION("""COMPUTED_VALUE"""),"Jorge Rojas")</f>
        <v>Jorge Rojas</v>
      </c>
      <c r="G52" s="17" t="str">
        <f ca="1">IFERROR(__xludf.DUMMYFUNCTION("""COMPUTED_VALUE"""),"CLIP MX*SUPER BARRA LI TIJUANA       MEX")</f>
        <v>CLIP MX*SUPER BARRA LI TIJUANA       MEX</v>
      </c>
      <c r="H52" s="17" t="str">
        <f ca="1">IFERROR(__xludf.DUMMYFUNCTION("""COMPUTED_VALUE"""),"Super Mex")</f>
        <v>Super Mex</v>
      </c>
      <c r="I52" s="17" t="str">
        <f ca="1">IFERROR(__xludf.DUMMYFUNCTION("""COMPUTED_VALUE"""),"Super Mex")</f>
        <v>Super Mex</v>
      </c>
      <c r="J52" s="17"/>
      <c r="K52" s="17" t="str">
        <f ca="1">IFERROR(__xludf.DUMMYFUNCTION("""COMPUTED_VALUE"""),"Consumibles")</f>
        <v>Consumibles</v>
      </c>
      <c r="L52" s="17"/>
      <c r="M52" s="17"/>
      <c r="N52" s="17"/>
      <c r="O52" s="17"/>
    </row>
    <row r="53" spans="1:15" ht="12.5">
      <c r="A53" s="17" t="str">
        <f ca="1">IFERROR(__xludf.DUMMYFUNCTION("""COMPUTED_VALUE"""),"TRX1646")</f>
        <v>TRX1646</v>
      </c>
      <c r="B53" s="86" t="str">
        <f ca="1">IFERROR(__xludf.DUMMYFUNCTION("""COMPUTED_VALUE"""),"#64")</f>
        <v>#64</v>
      </c>
      <c r="C53" s="63">
        <f ca="1">IFERROR(__xludf.DUMMYFUNCTION("""COMPUTED_VALUE"""),46066.4173611111)</f>
        <v>46066.417361111096</v>
      </c>
      <c r="D53" s="65">
        <f ca="1">IFERROR(__xludf.DUMMYFUNCTION("""COMPUTED_VALUE"""),92.9)</f>
        <v>92.9</v>
      </c>
      <c r="E53" s="17" t="str">
        <f ca="1">IFERROR(__xludf.DUMMYFUNCTION("""COMPUTED_VALUE"""),"MXN")</f>
        <v>MXN</v>
      </c>
      <c r="F53" s="17" t="str">
        <f ca="1">IFERROR(__xludf.DUMMYFUNCTION("""COMPUTED_VALUE"""),"Jorge Rojas")</f>
        <v>Jorge Rojas</v>
      </c>
      <c r="G53" s="17" t="str">
        <f ca="1">IFERROR(__xludf.DUMMYFUNCTION("""COMPUTED_VALUE"""),"WALMART LOMAS STA FE   TIJUANA BCN   MEX")</f>
        <v>WALMART LOMAS STA FE   TIJUANA BCN   MEX</v>
      </c>
      <c r="H53" s="17" t="str">
        <f ca="1">IFERROR(__xludf.DUMMYFUNCTION("""COMPUTED_VALUE"""),"Walmart")</f>
        <v>Walmart</v>
      </c>
      <c r="I53" s="17" t="str">
        <f ca="1">IFERROR(__xludf.DUMMYFUNCTION("""COMPUTED_VALUE"""),"Walmart")</f>
        <v>Walmart</v>
      </c>
      <c r="J53" s="17"/>
      <c r="K53" s="17" t="str">
        <f ca="1">IFERROR(__xludf.DUMMYFUNCTION("""COMPUTED_VALUE"""),"Misceláneos para trabajadores")</f>
        <v>Misceláneos para trabajadores</v>
      </c>
      <c r="L53" s="17"/>
      <c r="M53" s="17"/>
      <c r="N53" s="17"/>
      <c r="O53" s="17"/>
    </row>
    <row r="54" spans="1:15" ht="12.5">
      <c r="A54" s="17" t="str">
        <f ca="1">IFERROR(__xludf.DUMMYFUNCTION("""COMPUTED_VALUE"""),"TRX1780")</f>
        <v>TRX1780</v>
      </c>
      <c r="B54" s="86" t="str">
        <f ca="1">IFERROR(__xludf.DUMMYFUNCTION("""COMPUTED_VALUE"""),"#64")</f>
        <v>#64</v>
      </c>
      <c r="C54" s="63">
        <f ca="1">IFERROR(__xludf.DUMMYFUNCTION("""COMPUTED_VALUE"""),46067.4166666666)</f>
        <v>46067.416666666599</v>
      </c>
      <c r="D54" s="65">
        <f ca="1">IFERROR(__xludf.DUMMYFUNCTION("""COMPUTED_VALUE"""),621.87)</f>
        <v>621.87</v>
      </c>
      <c r="E54" s="17" t="str">
        <f ca="1">IFERROR(__xludf.DUMMYFUNCTION("""COMPUTED_VALUE"""),"MXN")</f>
        <v>MXN</v>
      </c>
      <c r="F54" s="17" t="str">
        <f ca="1">IFERROR(__xludf.DUMMYFUNCTION("""COMPUTED_VALUE"""),"Jorge Rojas")</f>
        <v>Jorge Rojas</v>
      </c>
      <c r="G54" s="17" t="str">
        <f ca="1">IFERROR(__xludf.DUMMYFUNCTION("""COMPUTED_VALUE"""),"UBER * EATS PENDING    CMX           MEX")</f>
        <v>UBER * EATS PENDING    CMX           MEX</v>
      </c>
      <c r="H54" s="17" t="str">
        <f ca="1">IFERROR(__xludf.DUMMYFUNCTION("""COMPUTED_VALUE"""),"Uber Eats")</f>
        <v>Uber Eats</v>
      </c>
      <c r="I54" s="17" t="str">
        <f ca="1">IFERROR(__xludf.DUMMYFUNCTION("""COMPUTED_VALUE"""),"Uber Eats")</f>
        <v>Uber Eats</v>
      </c>
      <c r="J54" s="17"/>
      <c r="K54" s="17" t="str">
        <f ca="1">IFERROR(__xludf.DUMMYFUNCTION("""COMPUTED_VALUE"""),"Comida equipo ")</f>
        <v xml:space="preserve">Comida equipo </v>
      </c>
      <c r="L54" s="17"/>
      <c r="M54" s="17"/>
      <c r="N54" s="17"/>
      <c r="O54" s="17"/>
    </row>
    <row r="55" spans="1:15" ht="12.5">
      <c r="A55" s="17" t="str">
        <f ca="1">IFERROR(__xludf.DUMMYFUNCTION("""COMPUTED_VALUE"""),"TRX1374")</f>
        <v>TRX1374</v>
      </c>
      <c r="B55" s="86" t="str">
        <f ca="1">IFERROR(__xludf.DUMMYFUNCTION("""COMPUTED_VALUE"""),"#64")</f>
        <v>#64</v>
      </c>
      <c r="C55" s="63">
        <f ca="1">IFERROR(__xludf.DUMMYFUNCTION("""COMPUTED_VALUE"""),46067.4166666666)</f>
        <v>46067.416666666599</v>
      </c>
      <c r="D55" s="65">
        <f ca="1">IFERROR(__xludf.DUMMYFUNCTION("""COMPUTED_VALUE"""),199.95)</f>
        <v>199.95</v>
      </c>
      <c r="E55" s="17" t="str">
        <f ca="1">IFERROR(__xludf.DUMMYFUNCTION("""COMPUTED_VALUE"""),"MXN")</f>
        <v>MXN</v>
      </c>
      <c r="F55" s="17" t="str">
        <f ca="1">IFERROR(__xludf.DUMMYFUNCTION("""COMPUTED_VALUE"""),"Jorge Rojas")</f>
        <v>Jorge Rojas</v>
      </c>
      <c r="G55" s="17" t="str">
        <f ca="1">IFERROR(__xludf.DUMMYFUNCTION("""COMPUTED_VALUE"""),"UBER * PENDING         CMX           MEX")</f>
        <v>UBER * PENDING         CMX           MEX</v>
      </c>
      <c r="H55" s="17" t="str">
        <f ca="1">IFERROR(__xludf.DUMMYFUNCTION("""COMPUTED_VALUE"""),"Uber")</f>
        <v>Uber</v>
      </c>
      <c r="I55" s="17" t="str">
        <f ca="1">IFERROR(__xludf.DUMMYFUNCTION("""COMPUTED_VALUE"""),"Uber")</f>
        <v>Uber</v>
      </c>
      <c r="J55" s="17"/>
      <c r="K55" s="17" t="str">
        <f ca="1">IFERROR(__xludf.DUMMYFUNCTION("""COMPUTED_VALUE"""),"alimentos")</f>
        <v>alimentos</v>
      </c>
      <c r="L55" s="17"/>
      <c r="M55" s="17"/>
      <c r="N55" s="17"/>
      <c r="O55" s="17"/>
    </row>
    <row r="56" spans="1:15" ht="12.5">
      <c r="A56" s="17" t="str">
        <f ca="1">IFERROR(__xludf.DUMMYFUNCTION("""COMPUTED_VALUE"""),"TRX1236")</f>
        <v>TRX1236</v>
      </c>
      <c r="B56" s="86" t="str">
        <f ca="1">IFERROR(__xludf.DUMMYFUNCTION("""COMPUTED_VALUE"""),"#64")</f>
        <v>#64</v>
      </c>
      <c r="C56" s="63">
        <f ca="1">IFERROR(__xludf.DUMMYFUNCTION("""COMPUTED_VALUE"""),46067.4173611111)</f>
        <v>46067.417361111096</v>
      </c>
      <c r="D56" s="65">
        <f ca="1">IFERROR(__xludf.DUMMYFUNCTION("""COMPUTED_VALUE"""),590.7)</f>
        <v>590.70000000000005</v>
      </c>
      <c r="E56" s="17" t="str">
        <f ca="1">IFERROR(__xludf.DUMMYFUNCTION("""COMPUTED_VALUE"""),"MXN")</f>
        <v>MXN</v>
      </c>
      <c r="F56" s="17" t="str">
        <f ca="1">IFERROR(__xludf.DUMMYFUNCTION("""COMPUTED_VALUE"""),"Jorge Rojas")</f>
        <v>Jorge Rojas</v>
      </c>
      <c r="G56" s="17" t="str">
        <f ca="1">IFERROR(__xludf.DUMMYFUNCTION("""COMPUTED_VALUE"""),"VIPS TIJUANA 81121     TIJUANA BCN   MEX")</f>
        <v>VIPS TIJUANA 81121     TIJUANA BCN   MEX</v>
      </c>
      <c r="H56" s="17" t="str">
        <f ca="1">IFERROR(__xludf.DUMMYFUNCTION("""COMPUTED_VALUE"""),"Vips Tijuana Tijuana Bcn Mex")</f>
        <v>Vips Tijuana Tijuana Bcn Mex</v>
      </c>
      <c r="I56" s="17" t="str">
        <f ca="1">IFERROR(__xludf.DUMMYFUNCTION("""COMPUTED_VALUE"""),"Vips Tijuana Tijuana Bcn Mex")</f>
        <v>Vips Tijuana Tijuana Bcn Mex</v>
      </c>
      <c r="J56" s="17" t="str">
        <f ca="1">IFERROR(__xludf.DUMMYFUNCTION("""COMPUTED_VALUE"""),"Recruiting")</f>
        <v>Recruiting</v>
      </c>
      <c r="K56" s="17" t="str">
        <f ca="1">IFERROR(__xludf.DUMMYFUNCTION("""COMPUTED_VALUE"""),"Combustibles para equipos operativos")</f>
        <v>Combustibles para equipos operativos</v>
      </c>
      <c r="L56" s="17"/>
      <c r="M56" s="17"/>
      <c r="N56" s="17"/>
      <c r="O56" s="17"/>
    </row>
    <row r="57" spans="1:15" ht="12.5">
      <c r="A57" s="17" t="str">
        <f ca="1">IFERROR(__xludf.DUMMYFUNCTION("""COMPUTED_VALUE"""),"TRX2020")</f>
        <v>TRX2020</v>
      </c>
      <c r="B57" s="86" t="str">
        <f ca="1">IFERROR(__xludf.DUMMYFUNCTION("""COMPUTED_VALUE"""),"#64")</f>
        <v>#64</v>
      </c>
      <c r="C57" s="63">
        <f ca="1">IFERROR(__xludf.DUMMYFUNCTION("""COMPUTED_VALUE"""),46067.4173611111)</f>
        <v>46067.417361111096</v>
      </c>
      <c r="D57" s="17">
        <f ca="1">IFERROR(__xludf.DUMMYFUNCTION("""COMPUTED_VALUE"""),301.27)</f>
        <v>301.27</v>
      </c>
      <c r="E57" s="17" t="str">
        <f ca="1">IFERROR(__xludf.DUMMYFUNCTION("""COMPUTED_VALUE"""),"MXN")</f>
        <v>MXN</v>
      </c>
      <c r="F57" s="17" t="str">
        <f ca="1">IFERROR(__xludf.DUMMYFUNCTION("""COMPUTED_VALUE"""),"Jorge Rojas")</f>
        <v>Jorge Rojas</v>
      </c>
      <c r="G57" s="17" t="str">
        <f ca="1">IFERROR(__xludf.DUMMYFUNCTION("""COMPUTED_VALUE"""),"WALMART LOMAS STA FE   TIJUANA BCN   MEX")</f>
        <v>WALMART LOMAS STA FE   TIJUANA BCN   MEX</v>
      </c>
      <c r="H57" s="17" t="str">
        <f ca="1">IFERROR(__xludf.DUMMYFUNCTION("""COMPUTED_VALUE"""),"Walmart")</f>
        <v>Walmart</v>
      </c>
      <c r="I57" s="17" t="str">
        <f ca="1">IFERROR(__xludf.DUMMYFUNCTION("""COMPUTED_VALUE"""),"Walmart")</f>
        <v>Walmart</v>
      </c>
      <c r="J57" s="17" t="str">
        <f ca="1">IFERROR(__xludf.DUMMYFUNCTION("""COMPUTED_VALUE"""),"Recruiting")</f>
        <v>Recruiting</v>
      </c>
      <c r="K57" s="17" t="str">
        <f ca="1">IFERROR(__xludf.DUMMYFUNCTION("""COMPUTED_VALUE"""),"Cena equipo PRIMA")</f>
        <v>Cena equipo PRIMA</v>
      </c>
      <c r="L57" s="17"/>
      <c r="M57" s="17"/>
      <c r="N57" s="17"/>
      <c r="O57" s="17"/>
    </row>
    <row r="58" spans="1:15" ht="12.5">
      <c r="A58" s="17" t="str">
        <f ca="1">IFERROR(__xludf.DUMMYFUNCTION("""COMPUTED_VALUE"""),"TRX1933")</f>
        <v>TRX1933</v>
      </c>
      <c r="B58" s="86" t="str">
        <f ca="1">IFERROR(__xludf.DUMMYFUNCTION("""COMPUTED_VALUE"""),"#64")</f>
        <v>#64</v>
      </c>
      <c r="C58" s="63">
        <f ca="1">IFERROR(__xludf.DUMMYFUNCTION("""COMPUTED_VALUE"""),46068.4166666666)</f>
        <v>46068.416666666599</v>
      </c>
      <c r="D58" s="65">
        <f ca="1">IFERROR(__xludf.DUMMYFUNCTION("""COMPUTED_VALUE"""),266.42)</f>
        <v>266.42</v>
      </c>
      <c r="E58" s="17" t="str">
        <f ca="1">IFERROR(__xludf.DUMMYFUNCTION("""COMPUTED_VALUE"""),"MXN")</f>
        <v>MXN</v>
      </c>
      <c r="F58" s="17" t="str">
        <f ca="1">IFERROR(__xludf.DUMMYFUNCTION("""COMPUTED_VALUE"""),"Jorge Rojas")</f>
        <v>Jorge Rojas</v>
      </c>
      <c r="G58" s="17" t="str">
        <f ca="1">IFERROR(__xludf.DUMMYFUNCTION("""COMPUTED_VALUE"""),"UBER * EATS PENDING    CMX           MEX")</f>
        <v>UBER * EATS PENDING    CMX           MEX</v>
      </c>
      <c r="H58" s="17" t="str">
        <f ca="1">IFERROR(__xludf.DUMMYFUNCTION("""COMPUTED_VALUE"""),"Uber Eats")</f>
        <v>Uber Eats</v>
      </c>
      <c r="I58" s="17" t="str">
        <f ca="1">IFERROR(__xludf.DUMMYFUNCTION("""COMPUTED_VALUE"""),"Uber Eats")</f>
        <v>Uber Eats</v>
      </c>
      <c r="J58" s="17" t="str">
        <f ca="1">IFERROR(__xludf.DUMMYFUNCTION("""COMPUTED_VALUE"""),"G&amp;A expenses")</f>
        <v>G&amp;A expenses</v>
      </c>
      <c r="K58" s="17" t="str">
        <f ca="1">IFERROR(__xludf.DUMMYFUNCTION("""COMPUTED_VALUE"""),"Cancelacion")</f>
        <v>Cancelacion</v>
      </c>
      <c r="L58" s="17"/>
      <c r="M58" s="17"/>
      <c r="N58" s="17"/>
      <c r="O58" s="17"/>
    </row>
    <row r="59" spans="1:15" ht="12.5">
      <c r="A59" s="17" t="str">
        <f ca="1">IFERROR(__xludf.DUMMYFUNCTION("""COMPUTED_VALUE"""),"TRX1657")</f>
        <v>TRX1657</v>
      </c>
      <c r="B59" s="86" t="str">
        <f ca="1">IFERROR(__xludf.DUMMYFUNCTION("""COMPUTED_VALUE"""),"#64")</f>
        <v>#64</v>
      </c>
      <c r="C59" s="63">
        <f ca="1">IFERROR(__xludf.DUMMYFUNCTION("""COMPUTED_VALUE"""),46068.4166666666)</f>
        <v>46068.416666666599</v>
      </c>
      <c r="D59" s="65">
        <f ca="1">IFERROR(__xludf.DUMMYFUNCTION("""COMPUTED_VALUE"""),836)</f>
        <v>836</v>
      </c>
      <c r="E59" s="17" t="str">
        <f ca="1">IFERROR(__xludf.DUMMYFUNCTION("""COMPUTED_VALUE"""),"MXN")</f>
        <v>MXN</v>
      </c>
      <c r="F59" s="17" t="str">
        <f ca="1">IFERROR(__xludf.DUMMYFUNCTION("""COMPUTED_VALUE"""),"Jorge Rojas")</f>
        <v>Jorge Rojas</v>
      </c>
      <c r="G59" s="17" t="str">
        <f ca="1">IFERROR(__xludf.DUMMYFUNCTION("""COMPUTED_VALUE"""),"MERCADOPAGO *ITALIA    Tijuana       MEX")</f>
        <v>MERCADOPAGO *ITALIA    Tijuana       MEX</v>
      </c>
      <c r="H59" s="17" t="str">
        <f ca="1">IFERROR(__xludf.DUMMYFUNCTION("""COMPUTED_VALUE"""),"Mercadopago")</f>
        <v>Mercadopago</v>
      </c>
      <c r="I59" s="17" t="str">
        <f ca="1">IFERROR(__xludf.DUMMYFUNCTION("""COMPUTED_VALUE"""),"Mercadopago")</f>
        <v>Mercadopago</v>
      </c>
      <c r="J59" s="17"/>
      <c r="K59" s="17" t="str">
        <f ca="1">IFERROR(__xludf.DUMMYFUNCTION("""COMPUTED_VALUE"""),"Traslados")</f>
        <v>Traslados</v>
      </c>
      <c r="L59" s="17"/>
      <c r="M59" s="17"/>
      <c r="N59" s="17"/>
      <c r="O59" s="17"/>
    </row>
    <row r="60" spans="1:15" ht="12.5">
      <c r="A60" s="17" t="str">
        <f ca="1">IFERROR(__xludf.DUMMYFUNCTION("""COMPUTED_VALUE"""),"TRX1048")</f>
        <v>TRX1048</v>
      </c>
      <c r="B60" s="86" t="str">
        <f ca="1">IFERROR(__xludf.DUMMYFUNCTION("""COMPUTED_VALUE"""),"#64")</f>
        <v>#64</v>
      </c>
      <c r="C60" s="63">
        <f ca="1">IFERROR(__xludf.DUMMYFUNCTION("""COMPUTED_VALUE"""),46068.4166666666)</f>
        <v>46068.416666666599</v>
      </c>
      <c r="D60" s="65">
        <f ca="1">IFERROR(__xludf.DUMMYFUNCTION("""COMPUTED_VALUE"""),970)</f>
        <v>970</v>
      </c>
      <c r="E60" s="17" t="str">
        <f ca="1">IFERROR(__xludf.DUMMYFUNCTION("""COMPUTED_VALUE"""),"MXN")</f>
        <v>MXN</v>
      </c>
      <c r="F60" s="17" t="str">
        <f ca="1">IFERROR(__xludf.DUMMYFUNCTION("""COMPUTED_VALUE"""),"Jorge Rojas")</f>
        <v>Jorge Rojas</v>
      </c>
      <c r="G60" s="17" t="str">
        <f ca="1">IFERROR(__xludf.DUMMYFUNCTION("""COMPUTED_VALUE"""),"RCH SANTA FE           TIJUANA BCN   MEX")</f>
        <v>RCH SANTA FE           TIJUANA BCN   MEX</v>
      </c>
      <c r="H60" s="17" t="str">
        <f ca="1">IFERROR(__xludf.DUMMYFUNCTION("""COMPUTED_VALUE"""),"Rch Santa Fe Tijuana Bcn Mex")</f>
        <v>Rch Santa Fe Tijuana Bcn Mex</v>
      </c>
      <c r="I60" s="17" t="str">
        <f ca="1">IFERROR(__xludf.DUMMYFUNCTION("""COMPUTED_VALUE"""),"Rch Santa Fe Tijuana Bcn Mex")</f>
        <v>Rch Santa Fe Tijuana Bcn Mex</v>
      </c>
      <c r="J60" s="17"/>
      <c r="K60" s="17" t="str">
        <f ca="1">IFERROR(__xludf.DUMMYFUNCTION("""COMPUTED_VALUE"""),"Traslados")</f>
        <v>Traslados</v>
      </c>
      <c r="L60" s="17"/>
      <c r="M60" s="17"/>
      <c r="N60" s="17"/>
      <c r="O60" s="17"/>
    </row>
    <row r="61" spans="1:15" ht="12.5">
      <c r="A61" s="17" t="str">
        <f ca="1">IFERROR(__xludf.DUMMYFUNCTION("""COMPUTED_VALUE"""),"TRX1609")</f>
        <v>TRX1609</v>
      </c>
      <c r="B61" s="86" t="str">
        <f ca="1">IFERROR(__xludf.DUMMYFUNCTION("""COMPUTED_VALUE"""),"#64")</f>
        <v>#64</v>
      </c>
      <c r="C61" s="63">
        <f ca="1">IFERROR(__xludf.DUMMYFUNCTION("""COMPUTED_VALUE"""),46068.4173611111)</f>
        <v>46068.417361111096</v>
      </c>
      <c r="D61" s="65">
        <f ca="1">IFERROR(__xludf.DUMMYFUNCTION("""COMPUTED_VALUE"""),717)</f>
        <v>717</v>
      </c>
      <c r="E61" s="17" t="str">
        <f ca="1">IFERROR(__xludf.DUMMYFUNCTION("""COMPUTED_VALUE"""),"MXN")</f>
        <v>MXN</v>
      </c>
      <c r="F61" s="17" t="str">
        <f ca="1">IFERROR(__xludf.DUMMYFUNCTION("""COMPUTED_VALUE"""),"Jorge Rojas")</f>
        <v>Jorge Rojas</v>
      </c>
      <c r="G61" s="17" t="str">
        <f ca="1">IFERROR(__xludf.DUMMYFUNCTION("""COMPUTED_VALUE"""),"TACOS EL CHINO 2       ROSARITO BCN  MEX")</f>
        <v>TACOS EL CHINO 2       ROSARITO BCN  MEX</v>
      </c>
      <c r="H61" s="17" t="str">
        <f ca="1">IFERROR(__xludf.DUMMYFUNCTION("""COMPUTED_VALUE"""),"Tacos El Chino 2 Rosarito Bcn Mex")</f>
        <v>Tacos El Chino 2 Rosarito Bcn Mex</v>
      </c>
      <c r="I61" s="17" t="str">
        <f ca="1">IFERROR(__xludf.DUMMYFUNCTION("""COMPUTED_VALUE"""),"Tacos El Chino 2 Rosarito Bcn Mex")</f>
        <v>Tacos El Chino 2 Rosarito Bcn Mex</v>
      </c>
      <c r="J61" s="17" t="str">
        <f ca="1">IFERROR(__xludf.DUMMYFUNCTION("""COMPUTED_VALUE"""),"Recruiting")</f>
        <v>Recruiting</v>
      </c>
      <c r="K61" s="17" t="str">
        <f ca="1">IFERROR(__xludf.DUMMYFUNCTION("""COMPUTED_VALUE"""),"Renta auto equipo PRIMA")</f>
        <v>Renta auto equipo PRIMA</v>
      </c>
      <c r="L61" s="17"/>
      <c r="M61" s="17"/>
      <c r="N61" s="17"/>
      <c r="O61" s="17"/>
    </row>
    <row r="62" spans="1:15" ht="12.5">
      <c r="A62" s="17" t="str">
        <f ca="1">IFERROR(__xludf.DUMMYFUNCTION("""COMPUTED_VALUE"""),"TRX1204")</f>
        <v>TRX1204</v>
      </c>
      <c r="B62" s="86" t="str">
        <f ca="1">IFERROR(__xludf.DUMMYFUNCTION("""COMPUTED_VALUE"""),"#64")</f>
        <v>#64</v>
      </c>
      <c r="C62" s="63">
        <f ca="1">IFERROR(__xludf.DUMMYFUNCTION("""COMPUTED_VALUE"""),46068.4173611111)</f>
        <v>46068.417361111096</v>
      </c>
      <c r="D62" s="65">
        <f ca="1">IFERROR(__xludf.DUMMYFUNCTION("""COMPUTED_VALUE"""),2214.85)</f>
        <v>2214.85</v>
      </c>
      <c r="E62" s="17" t="str">
        <f ca="1">IFERROR(__xludf.DUMMYFUNCTION("""COMPUTED_VALUE"""),"MXN")</f>
        <v>MXN</v>
      </c>
      <c r="F62" s="17" t="str">
        <f ca="1">IFERROR(__xludf.DUMMYFUNCTION("""COMPUTED_VALUE"""),"Jorge Rojas")</f>
        <v>Jorge Rojas</v>
      </c>
      <c r="G62" s="17" t="str">
        <f ca="1">IFERROR(__xludf.DUMMYFUNCTION("""COMPUTED_VALUE"""),"LIV TIJUANA            TIJUANA BCN   MEX")</f>
        <v>LIV TIJUANA            TIJUANA BCN   MEX</v>
      </c>
      <c r="H62" s="17" t="str">
        <f ca="1">IFERROR(__xludf.DUMMYFUNCTION("""COMPUTED_VALUE"""),"Liv Tijuana Tijuana Bcn Mex")</f>
        <v>Liv Tijuana Tijuana Bcn Mex</v>
      </c>
      <c r="I62" s="17" t="str">
        <f ca="1">IFERROR(__xludf.DUMMYFUNCTION("""COMPUTED_VALUE"""),"Liv Tijuana Tijuana Bcn Mex")</f>
        <v>Liv Tijuana Tijuana Bcn Mex</v>
      </c>
      <c r="J62" s="17"/>
      <c r="K62" s="17" t="str">
        <f ca="1">IFERROR(__xludf.DUMMYFUNCTION("""COMPUTED_VALUE"""),"Alimentos")</f>
        <v>Alimentos</v>
      </c>
      <c r="L62" s="17"/>
      <c r="M62" s="17"/>
      <c r="N62" s="17"/>
      <c r="O62" s="17"/>
    </row>
    <row r="63" spans="1:15" ht="12.5">
      <c r="A63" s="17" t="str">
        <f ca="1">IFERROR(__xludf.DUMMYFUNCTION("""COMPUTED_VALUE"""),"TRX1539")</f>
        <v>TRX1539</v>
      </c>
      <c r="B63" s="86" t="str">
        <f ca="1">IFERROR(__xludf.DUMMYFUNCTION("""COMPUTED_VALUE"""),"#64")</f>
        <v>#64</v>
      </c>
      <c r="C63" s="63">
        <f ca="1">IFERROR(__xludf.DUMMYFUNCTION("""COMPUTED_VALUE"""),46069.4166666666)</f>
        <v>46069.416666666599</v>
      </c>
      <c r="D63" s="65">
        <f ca="1">IFERROR(__xludf.DUMMYFUNCTION("""COMPUTED_VALUE"""),304)</f>
        <v>304</v>
      </c>
      <c r="E63" s="17" t="str">
        <f ca="1">IFERROR(__xludf.DUMMYFUNCTION("""COMPUTED_VALUE"""),"MXN")</f>
        <v>MXN</v>
      </c>
      <c r="F63" s="17" t="str">
        <f ca="1">IFERROR(__xludf.DUMMYFUNCTION("""COMPUTED_VALUE"""),"Jorge Rojas")</f>
        <v>Jorge Rojas</v>
      </c>
      <c r="G63" s="17" t="str">
        <f ca="1">IFERROR(__xludf.DUMMYFUNCTION("""COMPUTED_VALUE"""),"7ELEVEN T2843 BANDERAS TIJUANA BCN   MEX")</f>
        <v>7ELEVEN T2843 BANDERAS TIJUANA BCN   MEX</v>
      </c>
      <c r="H63" s="17" t="str">
        <f ca="1">IFERROR(__xludf.DUMMYFUNCTION("""COMPUTED_VALUE"""),"7 Eleven")</f>
        <v>7 Eleven</v>
      </c>
      <c r="I63" s="17" t="str">
        <f ca="1">IFERROR(__xludf.DUMMYFUNCTION("""COMPUTED_VALUE"""),"7 Eleven")</f>
        <v>7 Eleven</v>
      </c>
      <c r="J63" s="17" t="str">
        <f ca="1">IFERROR(__xludf.DUMMYFUNCTION("""COMPUTED_VALUE"""),"Recruiting")</f>
        <v>Recruiting</v>
      </c>
      <c r="K63" s="17" t="str">
        <f ca="1">IFERROR(__xludf.DUMMYFUNCTION("""COMPUTED_VALUE"""),"Oxigeno para equipo de oxicorte")</f>
        <v>Oxigeno para equipo de oxicorte</v>
      </c>
      <c r="L63" s="17"/>
      <c r="M63" s="17"/>
      <c r="N63" s="17"/>
      <c r="O63" s="17"/>
    </row>
    <row r="64" spans="1:15" ht="12.5">
      <c r="A64" s="17" t="str">
        <f ca="1">IFERROR(__xludf.DUMMYFUNCTION("""COMPUTED_VALUE"""),"TRX1685")</f>
        <v>TRX1685</v>
      </c>
      <c r="B64" s="86" t="str">
        <f ca="1">IFERROR(__xludf.DUMMYFUNCTION("""COMPUTED_VALUE"""),"#64")</f>
        <v>#64</v>
      </c>
      <c r="C64" s="63">
        <f ca="1">IFERROR(__xludf.DUMMYFUNCTION("""COMPUTED_VALUE"""),46069.4166666666)</f>
        <v>46069.416666666599</v>
      </c>
      <c r="D64" s="65">
        <f ca="1">IFERROR(__xludf.DUMMYFUNCTION("""COMPUTED_VALUE"""),522.34)</f>
        <v>522.34</v>
      </c>
      <c r="E64" s="17" t="str">
        <f ca="1">IFERROR(__xludf.DUMMYFUNCTION("""COMPUTED_VALUE"""),"USD")</f>
        <v>USD</v>
      </c>
      <c r="F64" s="17" t="str">
        <f ca="1">IFERROR(__xludf.DUMMYFUNCTION("""COMPUTED_VALUE"""),"Jorge Rojas")</f>
        <v>Jorge Rojas</v>
      </c>
      <c r="G64" s="17" t="str">
        <f ca="1">IFERROR(__xludf.DUMMYFUNCTION("""COMPUTED_VALUE"""),"MCDONALD'S F32595      LAS VEGAS     USA")</f>
        <v>MCDONALD'S F32595      LAS VEGAS     USA</v>
      </c>
      <c r="H64" s="17" t="str">
        <f ca="1">IFERROR(__xludf.DUMMYFUNCTION("""COMPUTED_VALUE"""),"McDonald's")</f>
        <v>McDonald's</v>
      </c>
      <c r="I64" s="17" t="str">
        <f ca="1">IFERROR(__xludf.DUMMYFUNCTION("""COMPUTED_VALUE"""),"McDonald's")</f>
        <v>McDonald's</v>
      </c>
      <c r="J64" s="17" t="str">
        <f ca="1">IFERROR(__xludf.DUMMYFUNCTION("""COMPUTED_VALUE"""),"Recruiting")</f>
        <v>Recruiting</v>
      </c>
      <c r="K64" s="17" t="str">
        <f ca="1">IFERROR(__xludf.DUMMYFUNCTION("""COMPUTED_VALUE"""),"Hospedaje de dos personas TJ")</f>
        <v>Hospedaje de dos personas TJ</v>
      </c>
      <c r="L64" s="17"/>
      <c r="M64" s="17"/>
      <c r="N64" s="17"/>
      <c r="O64" s="17"/>
    </row>
    <row r="65" spans="1:15" ht="12.5">
      <c r="A65" s="17" t="str">
        <f ca="1">IFERROR(__xludf.DUMMYFUNCTION("""COMPUTED_VALUE"""),"TRX1506")</f>
        <v>TRX1506</v>
      </c>
      <c r="B65" s="86" t="str">
        <f ca="1">IFERROR(__xludf.DUMMYFUNCTION("""COMPUTED_VALUE"""),"#64")</f>
        <v>#64</v>
      </c>
      <c r="C65" s="63">
        <f ca="1">IFERROR(__xludf.DUMMYFUNCTION("""COMPUTED_VALUE"""),46069.4166666666)</f>
        <v>46069.416666666599</v>
      </c>
      <c r="D65" s="65">
        <f ca="1">IFERROR(__xludf.DUMMYFUNCTION("""COMPUTED_VALUE"""),5442.41)</f>
        <v>5442.41</v>
      </c>
      <c r="E65" s="17" t="str">
        <f ca="1">IFERROR(__xludf.DUMMYFUNCTION("""COMPUTED_VALUE"""),"MXN")</f>
        <v>MXN</v>
      </c>
      <c r="F65" s="17" t="str">
        <f ca="1">IFERROR(__xludf.DUMMYFUNCTION("""COMPUTED_VALUE"""),"Jorge Rojas")</f>
        <v>Jorge Rojas</v>
      </c>
      <c r="G65" s="17" t="str">
        <f ca="1">IFERROR(__xludf.DUMMYFUNCTION("""COMPUTED_VALUE"""),"AIRBNB * HMR2YBXSEE    LONDON        GBR")</f>
        <v>AIRBNB * HMR2YBXSEE    LONDON        GBR</v>
      </c>
      <c r="H65" s="17" t="str">
        <f ca="1">IFERROR(__xludf.DUMMYFUNCTION("""COMPUTED_VALUE"""),"Airbnb")</f>
        <v>Airbnb</v>
      </c>
      <c r="I65" s="17" t="str">
        <f ca="1">IFERROR(__xludf.DUMMYFUNCTION("""COMPUTED_VALUE"""),"Airbnb")</f>
        <v>Airbnb</v>
      </c>
      <c r="J65" s="17" t="str">
        <f ca="1">IFERROR(__xludf.DUMMYFUNCTION("""COMPUTED_VALUE"""),"Recruiting")</f>
        <v>Recruiting</v>
      </c>
      <c r="K65" s="17" t="str">
        <f ca="1">IFERROR(__xludf.DUMMYFUNCTION("""COMPUTED_VALUE"""),"Materiales para ejecución")</f>
        <v>Materiales para ejecución</v>
      </c>
      <c r="L65" s="17"/>
      <c r="M65" s="17"/>
      <c r="N65" s="17"/>
      <c r="O65" s="17"/>
    </row>
    <row r="66" spans="1:15" ht="12.5">
      <c r="A66" s="17" t="str">
        <f ca="1">IFERROR(__xludf.DUMMYFUNCTION("""COMPUTED_VALUE"""),"TRX1348")</f>
        <v>TRX1348</v>
      </c>
      <c r="B66" s="86" t="str">
        <f ca="1">IFERROR(__xludf.DUMMYFUNCTION("""COMPUTED_VALUE"""),"#64")</f>
        <v>#64</v>
      </c>
      <c r="C66" s="63">
        <f ca="1">IFERROR(__xludf.DUMMYFUNCTION("""COMPUTED_VALUE"""),46069.4166666666)</f>
        <v>46069.416666666599</v>
      </c>
      <c r="D66" s="65">
        <f ca="1">IFERROR(__xludf.DUMMYFUNCTION("""COMPUTED_VALUE"""),5215.38)</f>
        <v>5215.38</v>
      </c>
      <c r="E66" s="17" t="str">
        <f ca="1">IFERROR(__xludf.DUMMYFUNCTION("""COMPUTED_VALUE"""),"MXN")</f>
        <v>MXN</v>
      </c>
      <c r="F66" s="17" t="str">
        <f ca="1">IFERROR(__xludf.DUMMYFUNCTION("""COMPUTED_VALUE"""),"Jorge Rojas")</f>
        <v>Jorge Rojas</v>
      </c>
      <c r="G66" s="17" t="str">
        <f ca="1">IFERROR(__xludf.DUMMYFUNCTION("""COMPUTED_VALUE"""),"AIRBNB * HMN35WN38E    LONDON        GBR")</f>
        <v>AIRBNB * HMN35WN38E    LONDON        GBR</v>
      </c>
      <c r="H66" s="17" t="str">
        <f ca="1">IFERROR(__xludf.DUMMYFUNCTION("""COMPUTED_VALUE"""),"Airbnb")</f>
        <v>Airbnb</v>
      </c>
      <c r="I66" s="17" t="str">
        <f ca="1">IFERROR(__xludf.DUMMYFUNCTION("""COMPUTED_VALUE"""),"Airbnb")</f>
        <v>Airbnb</v>
      </c>
      <c r="J66" s="17"/>
      <c r="K66" s="17"/>
      <c r="L66" s="17"/>
      <c r="M66" s="17"/>
      <c r="N66" s="17"/>
      <c r="O66" s="17"/>
    </row>
    <row r="67" spans="1:15" ht="12.5">
      <c r="A67" s="17" t="str">
        <f ca="1">IFERROR(__xludf.DUMMYFUNCTION("""COMPUTED_VALUE"""),"TRX1633")</f>
        <v>TRX1633</v>
      </c>
      <c r="B67" s="86" t="str">
        <f ca="1">IFERROR(__xludf.DUMMYFUNCTION("""COMPUTED_VALUE"""),"#64")</f>
        <v>#64</v>
      </c>
      <c r="C67" s="63">
        <f ca="1">IFERROR(__xludf.DUMMYFUNCTION("""COMPUTED_VALUE"""),46070.4166666666)</f>
        <v>46070.416666666599</v>
      </c>
      <c r="D67" s="65">
        <f ca="1">IFERROR(__xludf.DUMMYFUNCTION("""COMPUTED_VALUE"""),562.1)</f>
        <v>562.1</v>
      </c>
      <c r="E67" s="17" t="str">
        <f ca="1">IFERROR(__xludf.DUMMYFUNCTION("""COMPUTED_VALUE"""),"MXN")</f>
        <v>MXN</v>
      </c>
      <c r="F67" s="17" t="str">
        <f ca="1">IFERROR(__xludf.DUMMYFUNCTION("""COMPUTED_VALUE"""),"Jorge Rojas")</f>
        <v>Jorge Rojas</v>
      </c>
      <c r="G67" s="17" t="str">
        <f ca="1">IFERROR(__xludf.DUMMYFUNCTION("""COMPUTED_VALUE"""),"REST TIJUANAZO RIO     TIJUANA BCN   MEX")</f>
        <v>REST TIJUANAZO RIO     TIJUANA BCN   MEX</v>
      </c>
      <c r="H67" s="17" t="str">
        <f ca="1">IFERROR(__xludf.DUMMYFUNCTION("""COMPUTED_VALUE"""),"Rest Tijuanazo Rio Tijuana Bcn Mex")</f>
        <v>Rest Tijuanazo Rio Tijuana Bcn Mex</v>
      </c>
      <c r="I67" s="17" t="str">
        <f ca="1">IFERROR(__xludf.DUMMYFUNCTION("""COMPUTED_VALUE"""),"Rest Tijuanazo Rio Tijuana Bcn Mex")</f>
        <v>Rest Tijuanazo Rio Tijuana Bcn Mex</v>
      </c>
      <c r="J67" s="17"/>
      <c r="K67" s="17"/>
      <c r="L67" s="17"/>
      <c r="M67" s="17"/>
      <c r="N67" s="17"/>
      <c r="O67" s="17"/>
    </row>
    <row r="68" spans="1:15" ht="12.5">
      <c r="A68" s="17" t="str">
        <f ca="1">IFERROR(__xludf.DUMMYFUNCTION("""COMPUTED_VALUE"""),"TRX1163")</f>
        <v>TRX1163</v>
      </c>
      <c r="B68" s="86" t="str">
        <f ca="1">IFERROR(__xludf.DUMMYFUNCTION("""COMPUTED_VALUE"""),"#64")</f>
        <v>#64</v>
      </c>
      <c r="C68" s="63">
        <f ca="1">IFERROR(__xludf.DUMMYFUNCTION("""COMPUTED_VALUE"""),46071.4166666666)</f>
        <v>46071.416666666599</v>
      </c>
      <c r="D68" s="65">
        <f ca="1">IFERROR(__xludf.DUMMYFUNCTION("""COMPUTED_VALUE"""),531.81)</f>
        <v>531.80999999999995</v>
      </c>
      <c r="E68" s="17" t="str">
        <f ca="1">IFERROR(__xludf.DUMMYFUNCTION("""COMPUTED_VALUE"""),"MXN")</f>
        <v>MXN</v>
      </c>
      <c r="F68" s="17" t="str">
        <f ca="1">IFERROR(__xludf.DUMMYFUNCTION("""COMPUTED_VALUE"""),"Jorge Rojas")</f>
        <v>Jorge Rojas</v>
      </c>
      <c r="G68" s="17" t="str">
        <f ca="1">IFERROR(__xludf.DUMMYFUNCTION("""COMPUTED_VALUE"""),"UBER * EATS PENDING    CMX           MEX")</f>
        <v>UBER * EATS PENDING    CMX           MEX</v>
      </c>
      <c r="H68" s="17" t="str">
        <f ca="1">IFERROR(__xludf.DUMMYFUNCTION("""COMPUTED_VALUE"""),"Uber Eats")</f>
        <v>Uber Eats</v>
      </c>
      <c r="I68" s="17" t="str">
        <f ca="1">IFERROR(__xludf.DUMMYFUNCTION("""COMPUTED_VALUE"""),"Uber Eats")</f>
        <v>Uber Eats</v>
      </c>
      <c r="J68" s="17"/>
      <c r="K68" s="17"/>
      <c r="L68" s="17"/>
      <c r="M68" s="17"/>
      <c r="N68" s="17"/>
      <c r="O68" s="17"/>
    </row>
    <row r="69" spans="1:15" ht="12.5">
      <c r="A69" s="17" t="str">
        <f ca="1">IFERROR(__xludf.DUMMYFUNCTION("""COMPUTED_VALUE"""),"TRX1607")</f>
        <v>TRX1607</v>
      </c>
      <c r="B69" s="86" t="str">
        <f ca="1">IFERROR(__xludf.DUMMYFUNCTION("""COMPUTED_VALUE"""),"#64")</f>
        <v>#64</v>
      </c>
      <c r="C69" s="63">
        <f ca="1">IFERROR(__xludf.DUMMYFUNCTION("""COMPUTED_VALUE"""),46071.4166666666)</f>
        <v>46071.416666666599</v>
      </c>
      <c r="D69" s="65">
        <f ca="1">IFERROR(__xludf.DUMMYFUNCTION("""COMPUTED_VALUE"""),800)</f>
        <v>800</v>
      </c>
      <c r="E69" s="17" t="str">
        <f ca="1">IFERROR(__xludf.DUMMYFUNCTION("""COMPUTED_VALUE"""),"MXN")</f>
        <v>MXN</v>
      </c>
      <c r="F69" s="17" t="str">
        <f ca="1">IFERROR(__xludf.DUMMYFUNCTION("""COMPUTED_VALUE"""),"Jorge Rojas")</f>
        <v>Jorge Rojas</v>
      </c>
      <c r="G69" s="17" t="str">
        <f ca="1">IFERROR(__xludf.DUMMYFUNCTION("""COMPUTED_VALUE"""),"EUROPCAR WEB 2         BENITO JUAREZ MEX")</f>
        <v>EUROPCAR WEB 2         BENITO JUAREZ MEX</v>
      </c>
      <c r="H69" s="17" t="str">
        <f ca="1">IFERROR(__xludf.DUMMYFUNCTION("""COMPUTED_VALUE"""),"Europcar")</f>
        <v>Europcar</v>
      </c>
      <c r="I69" s="17" t="str">
        <f ca="1">IFERROR(__xludf.DUMMYFUNCTION("""COMPUTED_VALUE"""),"Europcar")</f>
        <v>Europcar</v>
      </c>
      <c r="J69" s="17"/>
      <c r="K69" s="17"/>
      <c r="L69" s="17"/>
      <c r="M69" s="17"/>
      <c r="N69" s="17"/>
      <c r="O69" s="17"/>
    </row>
    <row r="70" spans="1:15" ht="12.5">
      <c r="A70" s="17" t="str">
        <f ca="1">IFERROR(__xludf.DUMMYFUNCTION("""COMPUTED_VALUE"""),"TRX1868")</f>
        <v>TRX1868</v>
      </c>
      <c r="B70" s="86" t="str">
        <f ca="1">IFERROR(__xludf.DUMMYFUNCTION("""COMPUTED_VALUE"""),"#64")</f>
        <v>#64</v>
      </c>
      <c r="C70" s="63">
        <f ca="1">IFERROR(__xludf.DUMMYFUNCTION("""COMPUTED_VALUE"""),46071.4166666666)</f>
        <v>46071.416666666599</v>
      </c>
      <c r="D70" s="65">
        <f ca="1">IFERROR(__xludf.DUMMYFUNCTION("""COMPUTED_VALUE"""),4800)</f>
        <v>4800</v>
      </c>
      <c r="E70" s="17" t="str">
        <f ca="1">IFERROR(__xludf.DUMMYFUNCTION("""COMPUTED_VALUE"""),"MXN")</f>
        <v>MXN</v>
      </c>
      <c r="F70" s="17" t="str">
        <f ca="1">IFERROR(__xludf.DUMMYFUNCTION("""COMPUTED_VALUE"""),"Jorge Rojas")</f>
        <v>Jorge Rojas</v>
      </c>
      <c r="G70" s="17" t="str">
        <f ca="1">IFERROR(__xludf.DUMMYFUNCTION("""COMPUTED_VALUE"""),"EUROPCAR WEB 2         BENITO JUAREZ MEX")</f>
        <v>EUROPCAR WEB 2         BENITO JUAREZ MEX</v>
      </c>
      <c r="H70" s="17" t="str">
        <f ca="1">IFERROR(__xludf.DUMMYFUNCTION("""COMPUTED_VALUE"""),"Europcar")</f>
        <v>Europcar</v>
      </c>
      <c r="I70" s="17" t="str">
        <f ca="1">IFERROR(__xludf.DUMMYFUNCTION("""COMPUTED_VALUE"""),"Europcar")</f>
        <v>Europcar</v>
      </c>
      <c r="J70" s="17"/>
      <c r="K70" s="17"/>
      <c r="L70" s="17"/>
      <c r="M70" s="17"/>
      <c r="N70" s="17"/>
      <c r="O70" s="17"/>
    </row>
    <row r="71" spans="1:15" ht="12.5">
      <c r="A71" s="17" t="str">
        <f ca="1">IFERROR(__xludf.DUMMYFUNCTION("""COMPUTED_VALUE"""),"TRX1020")</f>
        <v>TRX1020</v>
      </c>
      <c r="B71" s="86" t="str">
        <f ca="1">IFERROR(__xludf.DUMMYFUNCTION("""COMPUTED_VALUE"""),"#64")</f>
        <v>#64</v>
      </c>
      <c r="C71" s="63">
        <f ca="1">IFERROR(__xludf.DUMMYFUNCTION("""COMPUTED_VALUE"""),46071.4173611111)</f>
        <v>46071.417361111096</v>
      </c>
      <c r="D71" s="65">
        <f ca="1">IFERROR(__xludf.DUMMYFUNCTION("""COMPUTED_VALUE"""),90)</f>
        <v>90</v>
      </c>
      <c r="E71" s="17" t="str">
        <f ca="1">IFERROR(__xludf.DUMMYFUNCTION("""COMPUTED_VALUE"""),"MXN")</f>
        <v>MXN</v>
      </c>
      <c r="F71" s="17" t="str">
        <f ca="1">IFERROR(__xludf.DUMMYFUNCTION("""COMPUTED_VALUE"""),"Jorge Rojas")</f>
        <v>Jorge Rojas</v>
      </c>
      <c r="G71" s="17" t="str">
        <f ca="1">IFERROR(__xludf.DUMMYFUNCTION("""COMPUTED_VALUE"""),"7ELEVEN T2843 BANDERAS TIJUANA BCN   MEX")</f>
        <v>7ELEVEN T2843 BANDERAS TIJUANA BCN   MEX</v>
      </c>
      <c r="H71" s="17" t="str">
        <f ca="1">IFERROR(__xludf.DUMMYFUNCTION("""COMPUTED_VALUE"""),"7 Eleven")</f>
        <v>7 Eleven</v>
      </c>
      <c r="I71" s="17" t="str">
        <f ca="1">IFERROR(__xludf.DUMMYFUNCTION("""COMPUTED_VALUE"""),"7 Eleven")</f>
        <v>7 Eleven</v>
      </c>
      <c r="J71" s="17"/>
      <c r="K71" s="17"/>
      <c r="L71" s="17"/>
      <c r="M71" s="17"/>
      <c r="N71" s="17"/>
      <c r="O71" s="17"/>
    </row>
    <row r="72" spans="1:15" ht="12.5">
      <c r="A72" s="17" t="str">
        <f ca="1">IFERROR(__xludf.DUMMYFUNCTION("""COMPUTED_VALUE"""),"TRX1475")</f>
        <v>TRX1475</v>
      </c>
      <c r="B72" s="86" t="str">
        <f ca="1">IFERROR(__xludf.DUMMYFUNCTION("""COMPUTED_VALUE"""),"#64")</f>
        <v>#64</v>
      </c>
      <c r="C72" s="63">
        <f ca="1">IFERROR(__xludf.DUMMYFUNCTION("""COMPUTED_VALUE"""),46071.4173611111)</f>
        <v>46071.417361111096</v>
      </c>
      <c r="D72" s="65">
        <f ca="1">IFERROR(__xludf.DUMMYFUNCTION("""COMPUTED_VALUE"""),540)</f>
        <v>540</v>
      </c>
      <c r="E72" s="17" t="str">
        <f ca="1">IFERROR(__xludf.DUMMYFUNCTION("""COMPUTED_VALUE"""),"MXN")</f>
        <v>MXN</v>
      </c>
      <c r="F72" s="17" t="str">
        <f ca="1">IFERROR(__xludf.DUMMYFUNCTION("""COMPUTED_VALUE"""),"Jorge Rojas")</f>
        <v>Jorge Rojas</v>
      </c>
      <c r="G72" s="17" t="str">
        <f ca="1">IFERROR(__xludf.DUMMYFUNCTION("""COMPUTED_VALUE"""),"EUROPCAR WEB 2         BENITO JUAREZ MEX")</f>
        <v>EUROPCAR WEB 2         BENITO JUAREZ MEX</v>
      </c>
      <c r="H72" s="17" t="str">
        <f ca="1">IFERROR(__xludf.DUMMYFUNCTION("""COMPUTED_VALUE"""),"Europcar")</f>
        <v>Europcar</v>
      </c>
      <c r="I72" s="17" t="str">
        <f ca="1">IFERROR(__xludf.DUMMYFUNCTION("""COMPUTED_VALUE"""),"Europcar")</f>
        <v>Europcar</v>
      </c>
      <c r="J72" s="17"/>
      <c r="K72" s="17"/>
      <c r="L72" s="17"/>
      <c r="M72" s="17"/>
      <c r="N72" s="17"/>
      <c r="O72" s="17"/>
    </row>
    <row r="73" spans="1:15" ht="12.5">
      <c r="A73" s="17" t="str">
        <f ca="1">IFERROR(__xludf.DUMMYFUNCTION("""COMPUTED_VALUE"""),"TRX1524")</f>
        <v>TRX1524</v>
      </c>
      <c r="B73" s="86" t="str">
        <f ca="1">IFERROR(__xludf.DUMMYFUNCTION("""COMPUTED_VALUE"""),"#64")</f>
        <v>#64</v>
      </c>
      <c r="C73" s="63">
        <f ca="1">IFERROR(__xludf.DUMMYFUNCTION("""COMPUTED_VALUE"""),46071.4173611111)</f>
        <v>46071.417361111096</v>
      </c>
      <c r="D73" s="65">
        <f ca="1">IFERROR(__xludf.DUMMYFUNCTION("""COMPUTED_VALUE"""),184.36)</f>
        <v>184.36</v>
      </c>
      <c r="E73" s="17" t="str">
        <f ca="1">IFERROR(__xludf.DUMMYFUNCTION("""COMPUTED_VALUE"""),"MXN")</f>
        <v>MXN</v>
      </c>
      <c r="F73" s="17" t="str">
        <f ca="1">IFERROR(__xludf.DUMMYFUNCTION("""COMPUTED_VALUE"""),"Jorge Rojas")</f>
        <v>Jorge Rojas</v>
      </c>
      <c r="G73" s="17" t="str">
        <f ca="1">IFERROR(__xludf.DUMMYFUNCTION("""COMPUTED_VALUE"""),"FERR EXPRESS CEDROS    TIJUANA BCN   MEX")</f>
        <v>FERR EXPRESS CEDROS    TIJUANA BCN   MEX</v>
      </c>
      <c r="H73" s="17" t="str">
        <f ca="1">IFERROR(__xludf.DUMMYFUNCTION("""COMPUTED_VALUE"""),"Ferr Express Cedros Tijuana Bcn Mex")</f>
        <v>Ferr Express Cedros Tijuana Bcn Mex</v>
      </c>
      <c r="I73" s="17" t="str">
        <f ca="1">IFERROR(__xludf.DUMMYFUNCTION("""COMPUTED_VALUE"""),"Ferr Express Cedros Tijuana Bcn Mex")</f>
        <v>Ferr Express Cedros Tijuana Bcn Mex</v>
      </c>
      <c r="J73" s="17"/>
      <c r="K73" s="17"/>
      <c r="L73" s="17"/>
      <c r="M73" s="17"/>
      <c r="N73" s="17"/>
      <c r="O73" s="17"/>
    </row>
    <row r="74" spans="1:15" ht="12.5">
      <c r="A74" s="17" t="str">
        <f ca="1">IFERROR(__xludf.DUMMYFUNCTION("""COMPUTED_VALUE"""),"TRX1962")</f>
        <v>TRX1962</v>
      </c>
      <c r="B74" s="86" t="str">
        <f ca="1">IFERROR(__xludf.DUMMYFUNCTION("""COMPUTED_VALUE"""),"#64")</f>
        <v>#64</v>
      </c>
      <c r="C74" s="63">
        <f ca="1">IFERROR(__xludf.DUMMYFUNCTION("""COMPUTED_VALUE"""),46071.4173611111)</f>
        <v>46071.417361111096</v>
      </c>
      <c r="D74" s="65">
        <f ca="1">IFERROR(__xludf.DUMMYFUNCTION("""COMPUTED_VALUE"""),1084.28)</f>
        <v>1084.28</v>
      </c>
      <c r="E74" s="17" t="str">
        <f ca="1">IFERROR(__xludf.DUMMYFUNCTION("""COMPUTED_VALUE"""),"USD")</f>
        <v>USD</v>
      </c>
      <c r="F74" s="17" t="str">
        <f ca="1">IFERROR(__xludf.DUMMYFUNCTION("""COMPUTED_VALUE"""),"Jorge Rojas")</f>
        <v>Jorge Rojas</v>
      </c>
      <c r="G74" s="17" t="str">
        <f ca="1">IFERROR(__xludf.DUMMYFUNCTION("""COMPUTED_VALUE"""),"IHOP 3684              LAS VEGAS     USA")</f>
        <v>IHOP 3684              LAS VEGAS     USA</v>
      </c>
      <c r="H74" s="17" t="str">
        <f ca="1">IFERROR(__xludf.DUMMYFUNCTION("""COMPUTED_VALUE"""),"Ihop")</f>
        <v>Ihop</v>
      </c>
      <c r="I74" s="17" t="str">
        <f ca="1">IFERROR(__xludf.DUMMYFUNCTION("""COMPUTED_VALUE"""),"Ihop")</f>
        <v>Ihop</v>
      </c>
      <c r="J74" s="17"/>
      <c r="K74" s="17"/>
      <c r="L74" s="17"/>
      <c r="M74" s="17"/>
      <c r="N74" s="17"/>
      <c r="O74" s="17"/>
    </row>
    <row r="75" spans="1:15" ht="12.5">
      <c r="A75" s="17" t="str">
        <f ca="1">IFERROR(__xludf.DUMMYFUNCTION("""COMPUTED_VALUE"""),"TRX1200")</f>
        <v>TRX1200</v>
      </c>
      <c r="B75" s="86" t="str">
        <f ca="1">IFERROR(__xludf.DUMMYFUNCTION("""COMPUTED_VALUE"""),"#64")</f>
        <v>#64</v>
      </c>
      <c r="C75" s="63">
        <f ca="1">IFERROR(__xludf.DUMMYFUNCTION("""COMPUTED_VALUE"""),46072.4166666666)</f>
        <v>46072.416666666599</v>
      </c>
      <c r="D75" s="65">
        <f ca="1">IFERROR(__xludf.DUMMYFUNCTION("""COMPUTED_VALUE"""),536.01)</f>
        <v>536.01</v>
      </c>
      <c r="E75" s="17" t="str">
        <f ca="1">IFERROR(__xludf.DUMMYFUNCTION("""COMPUTED_VALUE"""),"MXN")</f>
        <v>MXN</v>
      </c>
      <c r="F75" s="17" t="str">
        <f ca="1">IFERROR(__xludf.DUMMYFUNCTION("""COMPUTED_VALUE"""),"Jorge Rojas")</f>
        <v>Jorge Rojas</v>
      </c>
      <c r="G75" s="17" t="str">
        <f ca="1">IFERROR(__xludf.DUMMYFUNCTION("""COMPUTED_VALUE"""),"UBER * EATS PENDING    CMX           MEX")</f>
        <v>UBER * EATS PENDING    CMX           MEX</v>
      </c>
      <c r="H75" s="17" t="str">
        <f ca="1">IFERROR(__xludf.DUMMYFUNCTION("""COMPUTED_VALUE"""),"Uber Eats")</f>
        <v>Uber Eats</v>
      </c>
      <c r="I75" s="17" t="str">
        <f ca="1">IFERROR(__xludf.DUMMYFUNCTION("""COMPUTED_VALUE"""),"Uber Eats")</f>
        <v>Uber Eats</v>
      </c>
      <c r="J75" s="17"/>
      <c r="K75" s="17"/>
      <c r="L75" s="17"/>
      <c r="M75" s="17"/>
      <c r="N75" s="17"/>
      <c r="O75" s="17"/>
    </row>
    <row r="76" spans="1:15" ht="12.5">
      <c r="A76" s="17" t="str">
        <f ca="1">IFERROR(__xludf.DUMMYFUNCTION("""COMPUTED_VALUE"""),"TRX1652")</f>
        <v>TRX1652</v>
      </c>
      <c r="B76" s="86" t="str">
        <f ca="1">IFERROR(__xludf.DUMMYFUNCTION("""COMPUTED_VALUE"""),"#64")</f>
        <v>#64</v>
      </c>
      <c r="C76" s="63">
        <f ca="1">IFERROR(__xludf.DUMMYFUNCTION("""COMPUTED_VALUE"""),46072.4166666666)</f>
        <v>46072.416666666599</v>
      </c>
      <c r="D76" s="65">
        <f ca="1">IFERROR(__xludf.DUMMYFUNCTION("""COMPUTED_VALUE"""),292.37)</f>
        <v>292.37</v>
      </c>
      <c r="E76" s="17" t="str">
        <f ca="1">IFERROR(__xludf.DUMMYFUNCTION("""COMPUTED_VALUE"""),"MXN")</f>
        <v>MXN</v>
      </c>
      <c r="F76" s="17" t="str">
        <f ca="1">IFERROR(__xludf.DUMMYFUNCTION("""COMPUTED_VALUE"""),"Jorge Rojas")</f>
        <v>Jorge Rojas</v>
      </c>
      <c r="G76" s="17" t="str">
        <f ca="1">IFERROR(__xludf.DUMMYFUNCTION("""COMPUTED_VALUE"""),"UBER * EATS PENDING    CMX           MEX")</f>
        <v>UBER * EATS PENDING    CMX           MEX</v>
      </c>
      <c r="H76" s="17" t="str">
        <f ca="1">IFERROR(__xludf.DUMMYFUNCTION("""COMPUTED_VALUE"""),"Uber Eats")</f>
        <v>Uber Eats</v>
      </c>
      <c r="I76" s="17" t="str">
        <f ca="1">IFERROR(__xludf.DUMMYFUNCTION("""COMPUTED_VALUE"""),"Uber Eats")</f>
        <v>Uber Eats</v>
      </c>
      <c r="J76" s="17"/>
      <c r="K76" s="17"/>
      <c r="L76" s="17"/>
      <c r="M76" s="17"/>
      <c r="N76" s="17"/>
      <c r="O76" s="17"/>
    </row>
    <row r="77" spans="1:15" ht="12.5">
      <c r="A77" s="17" t="str">
        <f ca="1">IFERROR(__xludf.DUMMYFUNCTION("""COMPUTED_VALUE"""),"TRX1898")</f>
        <v>TRX1898</v>
      </c>
      <c r="B77" s="86" t="str">
        <f ca="1">IFERROR(__xludf.DUMMYFUNCTION("""COMPUTED_VALUE"""),"#64")</f>
        <v>#64</v>
      </c>
      <c r="C77" s="63">
        <f ca="1">IFERROR(__xludf.DUMMYFUNCTION("""COMPUTED_VALUE"""),46072.4166666666)</f>
        <v>46072.416666666599</v>
      </c>
      <c r="D77" s="65">
        <f ca="1">IFERROR(__xludf.DUMMYFUNCTION("""COMPUTED_VALUE"""),249)</f>
        <v>249</v>
      </c>
      <c r="E77" s="17" t="str">
        <f ca="1">IFERROR(__xludf.DUMMYFUNCTION("""COMPUTED_VALUE"""),"MXN")</f>
        <v>MXN</v>
      </c>
      <c r="F77" s="17" t="str">
        <f ca="1">IFERROR(__xludf.DUMMYFUNCTION("""COMPUTED_VALUE"""),"Jorge Rojas")</f>
        <v>Jorge Rojas</v>
      </c>
      <c r="G77" s="17" t="str">
        <f ca="1">IFERROR(__xludf.DUMMYFUNCTION("""COMPUTED_VALUE"""),"KFC 837 TIJUANA SANTA  TIJUANA BCN   MEX")</f>
        <v>KFC 837 TIJUANA SANTA  TIJUANA BCN   MEX</v>
      </c>
      <c r="H77" s="17" t="str">
        <f ca="1">IFERROR(__xludf.DUMMYFUNCTION("""COMPUTED_VALUE"""),"Kentucky Fried Chicken")</f>
        <v>Kentucky Fried Chicken</v>
      </c>
      <c r="I77" s="17" t="str">
        <f ca="1">IFERROR(__xludf.DUMMYFUNCTION("""COMPUTED_VALUE"""),"Kentucky Fried Chicken")</f>
        <v>Kentucky Fried Chicken</v>
      </c>
      <c r="J77" s="17"/>
      <c r="K77" s="17"/>
      <c r="L77" s="17"/>
      <c r="M77" s="17"/>
      <c r="N77" s="17"/>
      <c r="O77" s="17"/>
    </row>
    <row r="78" spans="1:15" ht="12.5">
      <c r="A78" s="17" t="str">
        <f ca="1">IFERROR(__xludf.DUMMYFUNCTION("""COMPUTED_VALUE"""),"TRX1344")</f>
        <v>TRX1344</v>
      </c>
      <c r="B78" s="86" t="str">
        <f ca="1">IFERROR(__xludf.DUMMYFUNCTION("""COMPUTED_VALUE"""),"#64")</f>
        <v>#64</v>
      </c>
      <c r="C78" s="63">
        <f ca="1">IFERROR(__xludf.DUMMYFUNCTION("""COMPUTED_VALUE"""),46073.4166666666)</f>
        <v>46073.416666666599</v>
      </c>
      <c r="D78" s="65">
        <f ca="1">IFERROR(__xludf.DUMMYFUNCTION("""COMPUTED_VALUE"""),981.22)</f>
        <v>981.22</v>
      </c>
      <c r="E78" s="17" t="str">
        <f ca="1">IFERROR(__xludf.DUMMYFUNCTION("""COMPUTED_VALUE"""),"MXN")</f>
        <v>MXN</v>
      </c>
      <c r="F78" s="17" t="str">
        <f ca="1">IFERROR(__xludf.DUMMYFUNCTION("""COMPUTED_VALUE"""),"Jorge Rojas")</f>
        <v>Jorge Rojas</v>
      </c>
      <c r="G78" s="17" t="str">
        <f ca="1">IFERROR(__xludf.DUMMYFUNCTION("""COMPUTED_VALUE"""),"RCH SANTA FE           TIJUANA BCN   MEX")</f>
        <v>RCH SANTA FE           TIJUANA BCN   MEX</v>
      </c>
      <c r="H78" s="17" t="str">
        <f ca="1">IFERROR(__xludf.DUMMYFUNCTION("""COMPUTED_VALUE"""),"Rch Santa Fe Tijuana Bcn Mex")</f>
        <v>Rch Santa Fe Tijuana Bcn Mex</v>
      </c>
      <c r="I78" s="17" t="str">
        <f ca="1">IFERROR(__xludf.DUMMYFUNCTION("""COMPUTED_VALUE"""),"Rch Santa Fe Tijuana Bcn Mex")</f>
        <v>Rch Santa Fe Tijuana Bcn Mex</v>
      </c>
      <c r="J78" s="17"/>
      <c r="K78" s="17"/>
      <c r="L78" s="17"/>
      <c r="M78" s="17"/>
      <c r="N78" s="17"/>
      <c r="O78" s="17"/>
    </row>
    <row r="79" spans="1:15" ht="12.5">
      <c r="A79" s="17" t="str">
        <f ca="1">IFERROR(__xludf.DUMMYFUNCTION("""COMPUTED_VALUE"""),"TRX1572")</f>
        <v>TRX1572</v>
      </c>
      <c r="B79" s="86" t="str">
        <f ca="1">IFERROR(__xludf.DUMMYFUNCTION("""COMPUTED_VALUE"""),"#64")</f>
        <v>#64</v>
      </c>
      <c r="C79" s="63">
        <f ca="1">IFERROR(__xludf.DUMMYFUNCTION("""COMPUTED_VALUE"""),46073.4166666666)</f>
        <v>46073.416666666599</v>
      </c>
      <c r="D79" s="65">
        <f ca="1">IFERROR(__xludf.DUMMYFUNCTION("""COMPUTED_VALUE"""),321.92)</f>
        <v>321.92</v>
      </c>
      <c r="E79" s="17" t="str">
        <f ca="1">IFERROR(__xludf.DUMMYFUNCTION("""COMPUTED_VALUE"""),"MXN")</f>
        <v>MXN</v>
      </c>
      <c r="F79" s="17" t="str">
        <f ca="1">IFERROR(__xludf.DUMMYFUNCTION("""COMPUTED_VALUE"""),"Jorge Rojas")</f>
        <v>Jorge Rojas</v>
      </c>
      <c r="G79" s="17" t="str">
        <f ca="1">IFERROR(__xludf.DUMMYFUNCTION("""COMPUTED_VALUE"""),"UBER * EATS PENDING    CMX           MEX")</f>
        <v>UBER * EATS PENDING    CMX           MEX</v>
      </c>
      <c r="H79" s="17" t="str">
        <f ca="1">IFERROR(__xludf.DUMMYFUNCTION("""COMPUTED_VALUE"""),"Uber Eats")</f>
        <v>Uber Eats</v>
      </c>
      <c r="I79" s="17" t="str">
        <f ca="1">IFERROR(__xludf.DUMMYFUNCTION("""COMPUTED_VALUE"""),"Uber Eats")</f>
        <v>Uber Eats</v>
      </c>
      <c r="J79" s="17"/>
      <c r="K79" s="17"/>
      <c r="L79" s="17"/>
      <c r="M79" s="17"/>
      <c r="N79" s="17"/>
      <c r="O79" s="17"/>
    </row>
    <row r="80" spans="1:15" ht="12.5">
      <c r="A80" s="17" t="str">
        <f ca="1">IFERROR(__xludf.DUMMYFUNCTION("""COMPUTED_VALUE"""),"TRX1171")</f>
        <v>TRX1171</v>
      </c>
      <c r="B80" s="86" t="str">
        <f ca="1">IFERROR(__xludf.DUMMYFUNCTION("""COMPUTED_VALUE"""),"#64")</f>
        <v>#64</v>
      </c>
      <c r="C80" s="63">
        <f ca="1">IFERROR(__xludf.DUMMYFUNCTION("""COMPUTED_VALUE"""),46073.4173611111)</f>
        <v>46073.417361111096</v>
      </c>
      <c r="D80" s="65">
        <f ca="1">IFERROR(__xludf.DUMMYFUNCTION("""COMPUTED_VALUE"""),500)</f>
        <v>500</v>
      </c>
      <c r="E80" s="17" t="str">
        <f ca="1">IFERROR(__xludf.DUMMYFUNCTION("""COMPUTED_VALUE"""),"MXN")</f>
        <v>MXN</v>
      </c>
      <c r="F80" s="17" t="str">
        <f ca="1">IFERROR(__xludf.DUMMYFUNCTION("""COMPUTED_VALUE"""),"Jorge Rojas")</f>
        <v>Jorge Rojas</v>
      </c>
      <c r="G80" s="17" t="str">
        <f ca="1">IFERROR(__xludf.DUMMYFUNCTION("""COMPUTED_VALUE"""),"REST IHOP MINARETE     TIJUANA BCN   MEX")</f>
        <v>REST IHOP MINARETE     TIJUANA BCN   MEX</v>
      </c>
      <c r="H80" s="17" t="str">
        <f ca="1">IFERROR(__xludf.DUMMYFUNCTION("""COMPUTED_VALUE"""),"Ihop")</f>
        <v>Ihop</v>
      </c>
      <c r="I80" s="17" t="str">
        <f ca="1">IFERROR(__xludf.DUMMYFUNCTION("""COMPUTED_VALUE"""),"Ihop")</f>
        <v>Ihop</v>
      </c>
      <c r="J80" s="17"/>
      <c r="K80" s="17"/>
      <c r="L80" s="17"/>
      <c r="M80" s="17"/>
      <c r="N80" s="17"/>
      <c r="O80" s="17"/>
    </row>
    <row r="81" spans="1:15" ht="12.5">
      <c r="A81" s="17" t="str">
        <f ca="1">IFERROR(__xludf.DUMMYFUNCTION("""COMPUTED_VALUE"""),"TRX1391")</f>
        <v>TRX1391</v>
      </c>
      <c r="B81" s="86" t="str">
        <f ca="1">IFERROR(__xludf.DUMMYFUNCTION("""COMPUTED_VALUE"""),"#64")</f>
        <v>#64</v>
      </c>
      <c r="C81" s="63">
        <f ca="1">IFERROR(__xludf.DUMMYFUNCTION("""COMPUTED_VALUE"""),46073.4173611111)</f>
        <v>46073.417361111096</v>
      </c>
      <c r="D81" s="65">
        <f ca="1">IFERROR(__xludf.DUMMYFUNCTION("""COMPUTED_VALUE"""),89)</f>
        <v>89</v>
      </c>
      <c r="E81" s="17" t="str">
        <f ca="1">IFERROR(__xludf.DUMMYFUNCTION("""COMPUTED_VALUE"""),"MXN")</f>
        <v>MXN</v>
      </c>
      <c r="F81" s="17" t="str">
        <f ca="1">IFERROR(__xludf.DUMMYFUNCTION("""COMPUTED_VALUE"""),"Jorge Rojas")</f>
        <v>Jorge Rojas</v>
      </c>
      <c r="G81" s="17" t="str">
        <f ca="1">IFERROR(__xludf.DUMMYFUNCTION("""COMPUTED_VALUE"""),"4038 TIJUANA SUR       TIJUANA BCN   MEX")</f>
        <v>4038 TIJUANA SUR       TIJUANA BCN   MEX</v>
      </c>
      <c r="H81" s="17" t="str">
        <f ca="1">IFERROR(__xludf.DUMMYFUNCTION("""COMPUTED_VALUE"""),"4038 Tijuana Sur Tijuana Bcn Mex")</f>
        <v>4038 Tijuana Sur Tijuana Bcn Mex</v>
      </c>
      <c r="I81" s="17"/>
      <c r="J81" s="17"/>
      <c r="K81" s="17"/>
      <c r="L81" s="17"/>
      <c r="M81" s="17"/>
      <c r="N81" s="17"/>
      <c r="O81" s="17"/>
    </row>
    <row r="82" spans="1:15" ht="12.5">
      <c r="A82" s="17" t="str">
        <f ca="1">IFERROR(__xludf.DUMMYFUNCTION("""COMPUTED_VALUE"""),"TRX1867")</f>
        <v>TRX1867</v>
      </c>
      <c r="B82" s="86" t="str">
        <f ca="1">IFERROR(__xludf.DUMMYFUNCTION("""COMPUTED_VALUE"""),"#64")</f>
        <v>#64</v>
      </c>
      <c r="C82" s="63">
        <f ca="1">IFERROR(__xludf.DUMMYFUNCTION("""COMPUTED_VALUE"""),46073.4173611111)</f>
        <v>46073.417361111096</v>
      </c>
      <c r="D82" s="65">
        <f ca="1">IFERROR(__xludf.DUMMYFUNCTION("""COMPUTED_VALUE"""),58)</f>
        <v>58</v>
      </c>
      <c r="E82" s="17" t="str">
        <f ca="1">IFERROR(__xludf.DUMMYFUNCTION("""COMPUTED_VALUE"""),"MXN")</f>
        <v>MXN</v>
      </c>
      <c r="F82" s="17" t="str">
        <f ca="1">IFERROR(__xludf.DUMMYFUNCTION("""COMPUTED_VALUE"""),"Jorge Rojas")</f>
        <v>Jorge Rojas</v>
      </c>
      <c r="G82" s="17" t="str">
        <f ca="1">IFERROR(__xludf.DUMMYFUNCTION("""COMPUTED_VALUE"""),"7ELEVEN T2724 VINAS    TIJUANA BCN   MEX")</f>
        <v>7ELEVEN T2724 VINAS    TIJUANA BCN   MEX</v>
      </c>
      <c r="H82" s="17" t="str">
        <f ca="1">IFERROR(__xludf.DUMMYFUNCTION("""COMPUTED_VALUE"""),"7 Eleven")</f>
        <v>7 Eleven</v>
      </c>
      <c r="I82" s="17"/>
      <c r="J82" s="17"/>
      <c r="K82" s="17"/>
      <c r="L82" s="17"/>
      <c r="M82" s="17"/>
      <c r="N82" s="17"/>
      <c r="O82" s="17"/>
    </row>
    <row r="83" spans="1:15" ht="12.5">
      <c r="A83" s="17" t="str">
        <f ca="1">IFERROR(__xludf.DUMMYFUNCTION("""COMPUTED_VALUE"""),"TRX1782")</f>
        <v>TRX1782</v>
      </c>
      <c r="B83" s="86" t="str">
        <f ca="1">IFERROR(__xludf.DUMMYFUNCTION("""COMPUTED_VALUE"""),"#64")</f>
        <v>#64</v>
      </c>
      <c r="C83" s="63">
        <f ca="1">IFERROR(__xludf.DUMMYFUNCTION("""COMPUTED_VALUE"""),46074.4173611111)</f>
        <v>46074.417361111096</v>
      </c>
      <c r="D83" s="65">
        <f ca="1">IFERROR(__xludf.DUMMYFUNCTION("""COMPUTED_VALUE"""),211)</f>
        <v>211</v>
      </c>
      <c r="E83" s="17" t="str">
        <f ca="1">IFERROR(__xludf.DUMMYFUNCTION("""COMPUTED_VALUE"""),"MXN")</f>
        <v>MXN</v>
      </c>
      <c r="F83" s="17" t="str">
        <f ca="1">IFERROR(__xludf.DUMMYFUNCTION("""COMPUTED_VALUE"""),"Jorge Rojas")</f>
        <v>Jorge Rojas</v>
      </c>
      <c r="G83" s="17" t="str">
        <f ca="1">IFERROR(__xludf.DUMMYFUNCTION("""COMPUTED_VALUE"""),"CARLS JR P ALONDRAS    TIJUANA BCN   MEX")</f>
        <v>CARLS JR P ALONDRAS    TIJUANA BCN   MEX</v>
      </c>
      <c r="H83" s="17" t="str">
        <f ca="1">IFERROR(__xludf.DUMMYFUNCTION("""COMPUTED_VALUE"""),"Carls Jr.")</f>
        <v>Carls Jr.</v>
      </c>
      <c r="I83" s="17"/>
      <c r="J83" s="17"/>
      <c r="K83" s="17"/>
      <c r="L83" s="17"/>
      <c r="M83" s="17"/>
      <c r="N83" s="17"/>
      <c r="O83" s="17"/>
    </row>
    <row r="84" spans="1:15" ht="12.5">
      <c r="A84" s="17" t="str">
        <f ca="1">IFERROR(__xludf.DUMMYFUNCTION("""COMPUTED_VALUE"""),"TRX1029")</f>
        <v>TRX1029</v>
      </c>
      <c r="B84" s="86" t="str">
        <f ca="1">IFERROR(__xludf.DUMMYFUNCTION("""COMPUTED_VALUE"""),"#64")</f>
        <v>#64</v>
      </c>
      <c r="C84" s="63">
        <f ca="1">IFERROR(__xludf.DUMMYFUNCTION("""COMPUTED_VALUE"""),46074.4173611111)</f>
        <v>46074.417361111096</v>
      </c>
      <c r="D84" s="65">
        <f ca="1">IFERROR(__xludf.DUMMYFUNCTION("""COMPUTED_VALUE"""),299)</f>
        <v>299</v>
      </c>
      <c r="E84" s="17" t="str">
        <f ca="1">IFERROR(__xludf.DUMMYFUNCTION("""COMPUTED_VALUE"""),"MXN")</f>
        <v>MXN</v>
      </c>
      <c r="F84" s="17" t="str">
        <f ca="1">IFERROR(__xludf.DUMMYFUNCTION("""COMPUTED_VALUE"""),"Jorge Rojas")</f>
        <v>Jorge Rojas</v>
      </c>
      <c r="G84" s="17" t="str">
        <f ca="1">IFERROR(__xludf.DUMMYFUNCTION("""COMPUTED_VALUE"""),"APPLE.COM/BILL         CUPERTINO     USA")</f>
        <v>APPLE.COM/BILL         CUPERTINO     USA</v>
      </c>
      <c r="H84" s="17" t="str">
        <f ca="1">IFERROR(__xludf.DUMMYFUNCTION("""COMPUTED_VALUE"""),"Apple")</f>
        <v>Apple</v>
      </c>
      <c r="I84" s="17"/>
      <c r="J84" s="17"/>
      <c r="K84" s="17"/>
      <c r="L84" s="17"/>
      <c r="M84" s="17"/>
      <c r="N84" s="17"/>
      <c r="O84" s="17"/>
    </row>
    <row r="85" spans="1:15" ht="12.5">
      <c r="A85" s="17" t="str">
        <f ca="1">IFERROR(__xludf.DUMMYFUNCTION("""COMPUTED_VALUE"""),"TRX1036")</f>
        <v>TRX1036</v>
      </c>
      <c r="B85" s="86" t="str">
        <f ca="1">IFERROR(__xludf.DUMMYFUNCTION("""COMPUTED_VALUE"""),"#64")</f>
        <v>#64</v>
      </c>
      <c r="C85" s="63">
        <f ca="1">IFERROR(__xludf.DUMMYFUNCTION("""COMPUTED_VALUE"""),46074.4173611111)</f>
        <v>46074.417361111096</v>
      </c>
      <c r="D85" s="65">
        <f ca="1">IFERROR(__xludf.DUMMYFUNCTION("""COMPUTED_VALUE"""),61)</f>
        <v>61</v>
      </c>
      <c r="E85" s="17" t="str">
        <f ca="1">IFERROR(__xludf.DUMMYFUNCTION("""COMPUTED_VALUE"""),"MXN")</f>
        <v>MXN</v>
      </c>
      <c r="F85" s="17" t="str">
        <f ca="1">IFERROR(__xludf.DUMMYFUNCTION("""COMPUTED_VALUE"""),"Jorge Rojas")</f>
        <v>Jorge Rojas</v>
      </c>
      <c r="G85" s="17" t="str">
        <f ca="1">IFERROR(__xludf.DUMMYFUNCTION("""COMPUTED_VALUE"""),"7ELEVEN T2843 BANDERAS TIJUANA BCN   MEX")</f>
        <v>7ELEVEN T2843 BANDERAS TIJUANA BCN   MEX</v>
      </c>
      <c r="H85" s="17" t="str">
        <f ca="1">IFERROR(__xludf.DUMMYFUNCTION("""COMPUTED_VALUE"""),"7 Eleven")</f>
        <v>7 Eleven</v>
      </c>
      <c r="I85" s="17"/>
      <c r="J85" s="17"/>
      <c r="K85" s="17"/>
      <c r="L85" s="17"/>
      <c r="M85" s="17"/>
      <c r="N85" s="17"/>
      <c r="O85" s="17"/>
    </row>
    <row r="86" spans="1:15" ht="12.5">
      <c r="A86" s="17" t="str">
        <f ca="1">IFERROR(__xludf.DUMMYFUNCTION("""COMPUTED_VALUE"""),"TRX1056")</f>
        <v>TRX1056</v>
      </c>
      <c r="B86" s="86" t="str">
        <f ca="1">IFERROR(__xludf.DUMMYFUNCTION("""COMPUTED_VALUE"""),"#64")</f>
        <v>#64</v>
      </c>
      <c r="C86" s="63">
        <f ca="1">IFERROR(__xludf.DUMMYFUNCTION("""COMPUTED_VALUE"""),46075.4166666666)</f>
        <v>46075.416666666599</v>
      </c>
      <c r="D86" s="65">
        <f ca="1">IFERROR(__xludf.DUMMYFUNCTION("""COMPUTED_VALUE"""),275.43)</f>
        <v>275.43</v>
      </c>
      <c r="E86" s="17" t="str">
        <f ca="1">IFERROR(__xludf.DUMMYFUNCTION("""COMPUTED_VALUE"""),"MXN")</f>
        <v>MXN</v>
      </c>
      <c r="F86" s="17" t="str">
        <f ca="1">IFERROR(__xludf.DUMMYFUNCTION("""COMPUTED_VALUE"""),"Jorge Rojas")</f>
        <v>Jorge Rojas</v>
      </c>
      <c r="G86" s="17" t="str">
        <f ca="1">IFERROR(__xludf.DUMMYFUNCTION("""COMPUTED_VALUE"""),"UBER * EATS PENDING    CMX           MEX")</f>
        <v>UBER * EATS PENDING    CMX           MEX</v>
      </c>
      <c r="H86" s="17" t="str">
        <f ca="1">IFERROR(__xludf.DUMMYFUNCTION("""COMPUTED_VALUE"""),"Uber Eats")</f>
        <v>Uber Eats</v>
      </c>
      <c r="I86" s="17"/>
      <c r="J86" s="17"/>
      <c r="K86" s="17"/>
      <c r="L86" s="17"/>
      <c r="M86" s="17"/>
      <c r="N86" s="17"/>
      <c r="O86" s="17"/>
    </row>
    <row r="87" spans="1:15" ht="12.5">
      <c r="A87" s="17" t="str">
        <f ca="1">IFERROR(__xludf.DUMMYFUNCTION("""COMPUTED_VALUE"""),"TRX1071")</f>
        <v>TRX1071</v>
      </c>
      <c r="B87" s="86" t="str">
        <f ca="1">IFERROR(__xludf.DUMMYFUNCTION("""COMPUTED_VALUE"""),"#64")</f>
        <v>#64</v>
      </c>
      <c r="C87" s="63">
        <f ca="1">IFERROR(__xludf.DUMMYFUNCTION("""COMPUTED_VALUE"""),46075.4166666666)</f>
        <v>46075.416666666599</v>
      </c>
      <c r="D87" s="65">
        <f ca="1">IFERROR(__xludf.DUMMYFUNCTION("""COMPUTED_VALUE"""),307.41)</f>
        <v>307.41000000000003</v>
      </c>
      <c r="E87" s="17" t="str">
        <f ca="1">IFERROR(__xludf.DUMMYFUNCTION("""COMPUTED_VALUE"""),"MXN")</f>
        <v>MXN</v>
      </c>
      <c r="F87" s="17" t="str">
        <f ca="1">IFERROR(__xludf.DUMMYFUNCTION("""COMPUTED_VALUE"""),"Jorge Rojas")</f>
        <v>Jorge Rojas</v>
      </c>
      <c r="G87" s="17" t="str">
        <f ca="1">IFERROR(__xludf.DUMMYFUNCTION("""COMPUTED_VALUE"""),"DLO*UBER               CIUDAD DE MEX MEX")</f>
        <v>DLO*UBER               CIUDAD DE MEX MEX</v>
      </c>
      <c r="H87" s="17" t="str">
        <f ca="1">IFERROR(__xludf.DUMMYFUNCTION("""COMPUTED_VALUE"""),"Uber")</f>
        <v>Uber</v>
      </c>
      <c r="I87" s="17"/>
      <c r="J87" s="17"/>
      <c r="K87" s="17"/>
      <c r="L87" s="17"/>
      <c r="M87" s="17"/>
      <c r="N87" s="17"/>
      <c r="O87" s="17"/>
    </row>
    <row r="88" spans="1:15" ht="12.5">
      <c r="A88" s="17" t="str">
        <f ca="1">IFERROR(__xludf.DUMMYFUNCTION("""COMPUTED_VALUE"""),"TRX1079")</f>
        <v>TRX1079</v>
      </c>
      <c r="B88" s="86" t="str">
        <f ca="1">IFERROR(__xludf.DUMMYFUNCTION("""COMPUTED_VALUE"""),"#64")</f>
        <v>#64</v>
      </c>
      <c r="C88" s="63">
        <f ca="1">IFERROR(__xludf.DUMMYFUNCTION("""COMPUTED_VALUE"""),46075.4173611111)</f>
        <v>46075.417361111096</v>
      </c>
      <c r="D88" s="65">
        <f ca="1">IFERROR(__xludf.DUMMYFUNCTION("""COMPUTED_VALUE"""),352.3)</f>
        <v>352.3</v>
      </c>
      <c r="E88" s="17" t="str">
        <f ca="1">IFERROR(__xludf.DUMMYFUNCTION("""COMPUTED_VALUE"""),"MXN")</f>
        <v>MXN</v>
      </c>
      <c r="F88" s="17" t="str">
        <f ca="1">IFERROR(__xludf.DUMMYFUNCTION("""COMPUTED_VALUE"""),"Jorge Rojas")</f>
        <v>Jorge Rojas</v>
      </c>
      <c r="G88" s="17" t="str">
        <f ca="1">IFERROR(__xludf.DUMMYFUNCTION("""COMPUTED_VALUE"""),"WALMART LOMAS STA FE   TIJUANA BCN   MEX")</f>
        <v>WALMART LOMAS STA FE   TIJUANA BCN   MEX</v>
      </c>
      <c r="H88" s="17" t="str">
        <f ca="1">IFERROR(__xludf.DUMMYFUNCTION("""COMPUTED_VALUE"""),"Walmart")</f>
        <v>Walmart</v>
      </c>
      <c r="I88" s="17"/>
      <c r="J88" s="17"/>
      <c r="K88" s="17"/>
      <c r="L88" s="17"/>
      <c r="M88" s="17"/>
      <c r="N88" s="17"/>
      <c r="O88" s="17"/>
    </row>
    <row r="89" spans="1:15" ht="12.5">
      <c r="A89" s="17" t="str">
        <f ca="1">IFERROR(__xludf.DUMMYFUNCTION("""COMPUTED_VALUE"""),"TRX1096")</f>
        <v>TRX1096</v>
      </c>
      <c r="B89" s="86" t="str">
        <f ca="1">IFERROR(__xludf.DUMMYFUNCTION("""COMPUTED_VALUE"""),"#64")</f>
        <v>#64</v>
      </c>
      <c r="C89" s="63">
        <f ca="1">IFERROR(__xludf.DUMMYFUNCTION("""COMPUTED_VALUE"""),46076.4166666666)</f>
        <v>46076.416666666599</v>
      </c>
      <c r="D89" s="65">
        <f ca="1">IFERROR(__xludf.DUMMYFUNCTION("""COMPUTED_VALUE"""),37.9)</f>
        <v>37.9</v>
      </c>
      <c r="E89" s="17" t="str">
        <f ca="1">IFERROR(__xludf.DUMMYFUNCTION("""COMPUTED_VALUE"""),"MXN")</f>
        <v>MXN</v>
      </c>
      <c r="F89" s="17" t="str">
        <f ca="1">IFERROR(__xludf.DUMMYFUNCTION("""COMPUTED_VALUE"""),"Jorge Rojas")</f>
        <v>Jorge Rojas</v>
      </c>
      <c r="G89" s="17" t="str">
        <f ca="1">IFERROR(__xludf.DUMMYFUNCTION("""COMPUTED_VALUE"""),"WALMART LOMAS STA FE   TIJUANA BCN   MEX")</f>
        <v>WALMART LOMAS STA FE   TIJUANA BCN   MEX</v>
      </c>
      <c r="H89" s="17" t="str">
        <f ca="1">IFERROR(__xludf.DUMMYFUNCTION("""COMPUTED_VALUE"""),"Walmart")</f>
        <v>Walmart</v>
      </c>
      <c r="I89" s="17"/>
      <c r="J89" s="17"/>
      <c r="K89" s="17"/>
      <c r="L89" s="17"/>
      <c r="M89" s="17"/>
      <c r="N89" s="17"/>
      <c r="O89" s="17"/>
    </row>
    <row r="90" spans="1:15" ht="12.5">
      <c r="A90" s="17" t="str">
        <f ca="1">IFERROR(__xludf.DUMMYFUNCTION("""COMPUTED_VALUE"""),"TRX1099")</f>
        <v>TRX1099</v>
      </c>
      <c r="B90" s="86" t="str">
        <f ca="1">IFERROR(__xludf.DUMMYFUNCTION("""COMPUTED_VALUE"""),"#64")</f>
        <v>#64</v>
      </c>
      <c r="C90" s="63">
        <f ca="1">IFERROR(__xludf.DUMMYFUNCTION("""COMPUTED_VALUE"""),46076.4166666666)</f>
        <v>46076.416666666599</v>
      </c>
      <c r="D90" s="65">
        <f ca="1">IFERROR(__xludf.DUMMYFUNCTION("""COMPUTED_VALUE"""),174)</f>
        <v>174</v>
      </c>
      <c r="E90" s="17" t="str">
        <f ca="1">IFERROR(__xludf.DUMMYFUNCTION("""COMPUTED_VALUE"""),"MXN")</f>
        <v>MXN</v>
      </c>
      <c r="F90" s="17" t="str">
        <f ca="1">IFERROR(__xludf.DUMMYFUNCTION("""COMPUTED_VALUE"""),"Jorge Rojas")</f>
        <v>Jorge Rojas</v>
      </c>
      <c r="G90" s="17" t="str">
        <f ca="1">IFERROR(__xludf.DUMMYFUNCTION("""COMPUTED_VALUE"""),"7 ELEVEN T3038 OCEANOS TIJUANA BCN   MEX")</f>
        <v>7 ELEVEN T3038 OCEANOS TIJUANA BCN   MEX</v>
      </c>
      <c r="H90" s="17" t="str">
        <f ca="1">IFERROR(__xludf.DUMMYFUNCTION("""COMPUTED_VALUE"""),"7 Eleven")</f>
        <v>7 Eleven</v>
      </c>
      <c r="I90" s="17"/>
      <c r="J90" s="17"/>
      <c r="K90" s="17"/>
      <c r="L90" s="17"/>
      <c r="M90" s="17"/>
      <c r="N90" s="17"/>
      <c r="O90" s="17"/>
    </row>
    <row r="91" spans="1:15" ht="12.5">
      <c r="A91" s="17" t="str">
        <f ca="1">IFERROR(__xludf.DUMMYFUNCTION("""COMPUTED_VALUE"""),"TRX1106")</f>
        <v>TRX1106</v>
      </c>
      <c r="B91" s="86" t="str">
        <f ca="1">IFERROR(__xludf.DUMMYFUNCTION("""COMPUTED_VALUE"""),"#64")</f>
        <v>#64</v>
      </c>
      <c r="C91" s="63">
        <f ca="1">IFERROR(__xludf.DUMMYFUNCTION("""COMPUTED_VALUE"""),46076.4166666666)</f>
        <v>46076.416666666599</v>
      </c>
      <c r="D91" s="65">
        <f ca="1">IFERROR(__xludf.DUMMYFUNCTION("""COMPUTED_VALUE"""),7068.03)</f>
        <v>7068.03</v>
      </c>
      <c r="E91" s="17" t="str">
        <f ca="1">IFERROR(__xludf.DUMMYFUNCTION("""COMPUTED_VALUE"""),"MXN")</f>
        <v>MXN</v>
      </c>
      <c r="F91" s="17" t="str">
        <f ca="1">IFERROR(__xludf.DUMMYFUNCTION("""COMPUTED_VALUE"""),"Jorge Rojas")</f>
        <v>Jorge Rojas</v>
      </c>
      <c r="G91" s="17" t="str">
        <f ca="1">IFERROR(__xludf.DUMMYFUNCTION("""COMPUTED_VALUE"""),"AIRBNB * HM4BMJSNK4    LONDON        GBR")</f>
        <v>AIRBNB * HM4BMJSNK4    LONDON        GBR</v>
      </c>
      <c r="H91" s="17" t="str">
        <f ca="1">IFERROR(__xludf.DUMMYFUNCTION("""COMPUTED_VALUE"""),"Airbnb")</f>
        <v>Airbnb</v>
      </c>
      <c r="I91" s="17"/>
      <c r="J91" s="17"/>
      <c r="K91" s="17"/>
      <c r="L91" s="17"/>
      <c r="M91" s="17"/>
      <c r="N91" s="17"/>
      <c r="O91" s="17"/>
    </row>
    <row r="92" spans="1:15" ht="12.5">
      <c r="A92" s="17" t="str">
        <f ca="1">IFERROR(__xludf.DUMMYFUNCTION("""COMPUTED_VALUE"""),"TRX1116")</f>
        <v>TRX1116</v>
      </c>
      <c r="B92" s="86" t="str">
        <f ca="1">IFERROR(__xludf.DUMMYFUNCTION("""COMPUTED_VALUE"""),"#64")</f>
        <v>#64</v>
      </c>
      <c r="C92" s="63">
        <f ca="1">IFERROR(__xludf.DUMMYFUNCTION("""COMPUTED_VALUE"""),46077.4166666666)</f>
        <v>46077.416666666599</v>
      </c>
      <c r="D92" s="65">
        <f ca="1">IFERROR(__xludf.DUMMYFUNCTION("""COMPUTED_VALUE"""),1122.18)</f>
        <v>1122.18</v>
      </c>
      <c r="E92" s="17" t="str">
        <f ca="1">IFERROR(__xludf.DUMMYFUNCTION("""COMPUTED_VALUE"""),"MXN")</f>
        <v>MXN</v>
      </c>
      <c r="F92" s="17" t="str">
        <f ca="1">IFERROR(__xludf.DUMMYFUNCTION("""COMPUTED_VALUE"""),"Jorge Rojas")</f>
        <v>Jorge Rojas</v>
      </c>
      <c r="G92" s="17" t="str">
        <f ca="1">IFERROR(__xludf.DUMMYFUNCTION("""COMPUTED_VALUE"""),"COSTCO TIJUANA II      TIJUANA BCN   MEX")</f>
        <v>COSTCO TIJUANA II      TIJUANA BCN   MEX</v>
      </c>
      <c r="H92" s="17" t="str">
        <f ca="1">IFERROR(__xludf.DUMMYFUNCTION("""COMPUTED_VALUE"""),"Costco")</f>
        <v>Costco</v>
      </c>
      <c r="I92" s="17"/>
      <c r="J92" s="17"/>
      <c r="K92" s="17"/>
      <c r="L92" s="17"/>
      <c r="M92" s="17"/>
      <c r="N92" s="17"/>
      <c r="O92" s="17"/>
    </row>
    <row r="93" spans="1:15" ht="12.5">
      <c r="A93" s="17" t="str">
        <f ca="1">IFERROR(__xludf.DUMMYFUNCTION("""COMPUTED_VALUE"""),"TRX1117")</f>
        <v>TRX1117</v>
      </c>
      <c r="B93" s="86" t="str">
        <f ca="1">IFERROR(__xludf.DUMMYFUNCTION("""COMPUTED_VALUE"""),"#64")</f>
        <v>#64</v>
      </c>
      <c r="C93" s="63">
        <f ca="1">IFERROR(__xludf.DUMMYFUNCTION("""COMPUTED_VALUE"""),46077.4166666666)</f>
        <v>46077.416666666599</v>
      </c>
      <c r="D93" s="65">
        <f ca="1">IFERROR(__xludf.DUMMYFUNCTION("""COMPUTED_VALUE"""),138.05)</f>
        <v>138.05000000000001</v>
      </c>
      <c r="E93" s="17" t="str">
        <f ca="1">IFERROR(__xludf.DUMMYFUNCTION("""COMPUTED_VALUE"""),"MXN")</f>
        <v>MXN</v>
      </c>
      <c r="F93" s="17" t="str">
        <f ca="1">IFERROR(__xludf.DUMMYFUNCTION("""COMPUTED_VALUE"""),"Jorge Rojas")</f>
        <v>Jorge Rojas</v>
      </c>
      <c r="G93" s="17" t="str">
        <f ca="1">IFERROR(__xludf.DUMMYFUNCTION("""COMPUTED_VALUE"""),"COSTCO TIJUANA II      TIJUANA BCN   MEX")</f>
        <v>COSTCO TIJUANA II      TIJUANA BCN   MEX</v>
      </c>
      <c r="H93" s="17" t="str">
        <f ca="1">IFERROR(__xludf.DUMMYFUNCTION("""COMPUTED_VALUE"""),"Costco")</f>
        <v>Costco</v>
      </c>
      <c r="I93" s="17"/>
      <c r="J93" s="17"/>
      <c r="K93" s="17"/>
      <c r="L93" s="17"/>
      <c r="M93" s="17"/>
      <c r="N93" s="17"/>
      <c r="O93" s="17"/>
    </row>
    <row r="94" spans="1:15" ht="12.5">
      <c r="A94" s="17" t="str">
        <f ca="1">IFERROR(__xludf.DUMMYFUNCTION("""COMPUTED_VALUE"""),"TRX1120")</f>
        <v>TRX1120</v>
      </c>
      <c r="B94" s="86" t="str">
        <f ca="1">IFERROR(__xludf.DUMMYFUNCTION("""COMPUTED_VALUE"""),"#64")</f>
        <v>#64</v>
      </c>
      <c r="C94" s="63">
        <f ca="1">IFERROR(__xludf.DUMMYFUNCTION("""COMPUTED_VALUE"""),46077.4166666666)</f>
        <v>46077.416666666599</v>
      </c>
      <c r="D94" s="65">
        <f ca="1">IFERROR(__xludf.DUMMYFUNCTION("""COMPUTED_VALUE"""),5600)</f>
        <v>5600</v>
      </c>
      <c r="E94" s="17" t="str">
        <f ca="1">IFERROR(__xludf.DUMMYFUNCTION("""COMPUTED_VALUE"""),"MXN")</f>
        <v>MXN</v>
      </c>
      <c r="F94" s="17" t="str">
        <f ca="1">IFERROR(__xludf.DUMMYFUNCTION("""COMPUTED_VALUE"""),"Jorge Rojas")</f>
        <v>Jorge Rojas</v>
      </c>
      <c r="G94" s="17" t="str">
        <f ca="1">IFERROR(__xludf.DUMMYFUNCTION("""COMPUTED_VALUE"""),"EUROPCAR WEB 2         BENITO JUAREZ MEX")</f>
        <v>EUROPCAR WEB 2         BENITO JUAREZ MEX</v>
      </c>
      <c r="H94" s="17" t="str">
        <f ca="1">IFERROR(__xludf.DUMMYFUNCTION("""COMPUTED_VALUE"""),"Europcar")</f>
        <v>Europcar</v>
      </c>
      <c r="I94" s="17"/>
      <c r="J94" s="17"/>
      <c r="K94" s="17"/>
      <c r="L94" s="17"/>
      <c r="M94" s="17"/>
      <c r="N94" s="17"/>
      <c r="O94" s="17"/>
    </row>
    <row r="95" spans="1:15" ht="12.5">
      <c r="A95" s="17" t="str">
        <f ca="1">IFERROR(__xludf.DUMMYFUNCTION("""COMPUTED_VALUE"""),"TRX1121")</f>
        <v>TRX1121</v>
      </c>
      <c r="B95" s="86" t="str">
        <f ca="1">IFERROR(__xludf.DUMMYFUNCTION("""COMPUTED_VALUE"""),"#64")</f>
        <v>#64</v>
      </c>
      <c r="C95" s="63">
        <f ca="1">IFERROR(__xludf.DUMMYFUNCTION("""COMPUTED_VALUE"""),46077.4166666666)</f>
        <v>46077.416666666599</v>
      </c>
      <c r="D95" s="65">
        <f ca="1">IFERROR(__xludf.DUMMYFUNCTION("""COMPUTED_VALUE"""),380)</f>
        <v>380</v>
      </c>
      <c r="E95" s="17" t="str">
        <f ca="1">IFERROR(__xludf.DUMMYFUNCTION("""COMPUTED_VALUE"""),"MXN")</f>
        <v>MXN</v>
      </c>
      <c r="F95" s="17" t="str">
        <f ca="1">IFERROR(__xludf.DUMMYFUNCTION("""COMPUTED_VALUE"""),"Jorge Rojas")</f>
        <v>Jorge Rojas</v>
      </c>
      <c r="G95" s="17" t="str">
        <f ca="1">IFERROR(__xludf.DUMMYFUNCTION("""COMPUTED_VALUE"""),"AGUACHILES CULICHI     TIJUANA BCN   MEX")</f>
        <v>AGUACHILES CULICHI     TIJUANA BCN   MEX</v>
      </c>
      <c r="H95" s="17" t="str">
        <f ca="1">IFERROR(__xludf.DUMMYFUNCTION("""COMPUTED_VALUE"""),"Aguachiles Culichi Tijuana Bcn Mex")</f>
        <v>Aguachiles Culichi Tijuana Bcn Mex</v>
      </c>
      <c r="I95" s="17"/>
      <c r="J95" s="17"/>
      <c r="K95" s="17"/>
      <c r="L95" s="17"/>
      <c r="M95" s="17"/>
      <c r="N95" s="17"/>
      <c r="O95" s="17"/>
    </row>
    <row r="96" spans="1:15" ht="12.5">
      <c r="A96" s="17" t="str">
        <f ca="1">IFERROR(__xludf.DUMMYFUNCTION("""COMPUTED_VALUE"""),"TRX1123")</f>
        <v>TRX1123</v>
      </c>
      <c r="B96" s="86" t="str">
        <f ca="1">IFERROR(__xludf.DUMMYFUNCTION("""COMPUTED_VALUE"""),"#64")</f>
        <v>#64</v>
      </c>
      <c r="C96" s="63">
        <f ca="1">IFERROR(__xludf.DUMMYFUNCTION("""COMPUTED_VALUE"""),46077.4166666666)</f>
        <v>46077.416666666599</v>
      </c>
      <c r="D96" s="65">
        <f ca="1">IFERROR(__xludf.DUMMYFUNCTION("""COMPUTED_VALUE"""),380)</f>
        <v>380</v>
      </c>
      <c r="E96" s="17" t="str">
        <f ca="1">IFERROR(__xludf.DUMMYFUNCTION("""COMPUTED_VALUE"""),"MXN")</f>
        <v>MXN</v>
      </c>
      <c r="F96" s="17" t="str">
        <f ca="1">IFERROR(__xludf.DUMMYFUNCTION("""COMPUTED_VALUE"""),"Jorge Rojas")</f>
        <v>Jorge Rojas</v>
      </c>
      <c r="G96" s="17" t="str">
        <f ca="1">IFERROR(__xludf.DUMMYFUNCTION("""COMPUTED_VALUE"""),"CLIP MX*SUPER BARRA LI TIJUANA       MEX")</f>
        <v>CLIP MX*SUPER BARRA LI TIJUANA       MEX</v>
      </c>
      <c r="H96" s="17" t="str">
        <f ca="1">IFERROR(__xludf.DUMMYFUNCTION("""COMPUTED_VALUE"""),"Super Mex")</f>
        <v>Super Mex</v>
      </c>
      <c r="I96" s="17"/>
      <c r="J96" s="17"/>
      <c r="K96" s="17"/>
      <c r="L96" s="17"/>
      <c r="M96" s="17"/>
      <c r="N96" s="17"/>
      <c r="O96" s="17"/>
    </row>
    <row r="97" spans="1:15" ht="12.5">
      <c r="A97" s="17" t="str">
        <f ca="1">IFERROR(__xludf.DUMMYFUNCTION("""COMPUTED_VALUE"""),"TRX1125")</f>
        <v>TRX1125</v>
      </c>
      <c r="B97" s="86" t="str">
        <f ca="1">IFERROR(__xludf.DUMMYFUNCTION("""COMPUTED_VALUE"""),"#64")</f>
        <v>#64</v>
      </c>
      <c r="C97" s="63">
        <f ca="1">IFERROR(__xludf.DUMMYFUNCTION("""COMPUTED_VALUE"""),46077.4166666666)</f>
        <v>46077.416666666599</v>
      </c>
      <c r="D97" s="65">
        <f ca="1">IFERROR(__xludf.DUMMYFUNCTION("""COMPUTED_VALUE"""),4800)</f>
        <v>4800</v>
      </c>
      <c r="E97" s="17" t="str">
        <f ca="1">IFERROR(__xludf.DUMMYFUNCTION("""COMPUTED_VALUE"""),"MXN")</f>
        <v>MXN</v>
      </c>
      <c r="F97" s="17" t="str">
        <f ca="1">IFERROR(__xludf.DUMMYFUNCTION("""COMPUTED_VALUE"""),"Jorge Rojas")</f>
        <v>Jorge Rojas</v>
      </c>
      <c r="G97" s="17" t="str">
        <f ca="1">IFERROR(__xludf.DUMMYFUNCTION("""COMPUTED_VALUE"""),"EUROPCAR WEB 2         BENITO JUAREZ MEX")</f>
        <v>EUROPCAR WEB 2         BENITO JUAREZ MEX</v>
      </c>
      <c r="H97" s="17" t="str">
        <f ca="1">IFERROR(__xludf.DUMMYFUNCTION("""COMPUTED_VALUE"""),"Europcar")</f>
        <v>Europcar</v>
      </c>
      <c r="I97" s="17"/>
      <c r="J97" s="17"/>
      <c r="K97" s="17"/>
      <c r="L97" s="17"/>
      <c r="M97" s="17"/>
      <c r="N97" s="17"/>
      <c r="O97" s="17"/>
    </row>
    <row r="98" spans="1:15" ht="12.5">
      <c r="A98" s="17" t="str">
        <f ca="1">IFERROR(__xludf.DUMMYFUNCTION("""COMPUTED_VALUE"""),"TRX1126")</f>
        <v>TRX1126</v>
      </c>
      <c r="B98" s="86" t="str">
        <f ca="1">IFERROR(__xludf.DUMMYFUNCTION("""COMPUTED_VALUE"""),"#64")</f>
        <v>#64</v>
      </c>
      <c r="C98" s="63">
        <f ca="1">IFERROR(__xludf.DUMMYFUNCTION("""COMPUTED_VALUE"""),46077.4166666666)</f>
        <v>46077.416666666599</v>
      </c>
      <c r="D98" s="65">
        <f ca="1">IFERROR(__xludf.DUMMYFUNCTION("""COMPUTED_VALUE"""),385)</f>
        <v>385</v>
      </c>
      <c r="E98" s="17" t="str">
        <f ca="1">IFERROR(__xludf.DUMMYFUNCTION("""COMPUTED_VALUE"""),"MXN")</f>
        <v>MXN</v>
      </c>
      <c r="F98" s="17" t="str">
        <f ca="1">IFERROR(__xludf.DUMMYFUNCTION("""COMPUTED_VALUE"""),"Jorge Rojas")</f>
        <v>Jorge Rojas</v>
      </c>
      <c r="G98" s="17" t="str">
        <f ca="1">IFERROR(__xludf.DUMMYFUNCTION("""COMPUTED_VALUE"""),"SUPERCENTER PACIFICO   TIJUANA BCN   MEX")</f>
        <v>SUPERCENTER PACIFICO   TIJUANA BCN   MEX</v>
      </c>
      <c r="H98" s="17" t="str">
        <f ca="1">IFERROR(__xludf.DUMMYFUNCTION("""COMPUTED_VALUE"""),"Supercenter Pacifico Tijuana Bcn Mex")</f>
        <v>Supercenter Pacifico Tijuana Bcn Mex</v>
      </c>
      <c r="I98" s="17"/>
      <c r="J98" s="17"/>
      <c r="K98" s="17"/>
      <c r="L98" s="17"/>
      <c r="M98" s="17"/>
      <c r="N98" s="17"/>
      <c r="O98" s="17"/>
    </row>
    <row r="99" spans="1:15" ht="12.5">
      <c r="A99" s="17" t="str">
        <f ca="1">IFERROR(__xludf.DUMMYFUNCTION("""COMPUTED_VALUE"""),"TRX1133")</f>
        <v>TRX1133</v>
      </c>
      <c r="B99" s="86" t="str">
        <f ca="1">IFERROR(__xludf.DUMMYFUNCTION("""COMPUTED_VALUE"""),"#64")</f>
        <v>#64</v>
      </c>
      <c r="C99" s="63">
        <f ca="1">IFERROR(__xludf.DUMMYFUNCTION("""COMPUTED_VALUE"""),46078.4166666666)</f>
        <v>46078.416666666599</v>
      </c>
      <c r="D99" s="65">
        <f ca="1">IFERROR(__xludf.DUMMYFUNCTION("""COMPUTED_VALUE"""),48.62)</f>
        <v>48.62</v>
      </c>
      <c r="E99" s="17" t="str">
        <f ca="1">IFERROR(__xludf.DUMMYFUNCTION("""COMPUTED_VALUE"""),"MXN")</f>
        <v>MXN</v>
      </c>
      <c r="F99" s="17" t="str">
        <f ca="1">IFERROR(__xludf.DUMMYFUNCTION("""COMPUTED_VALUE"""),"Jorge Rojas")</f>
        <v>Jorge Rojas</v>
      </c>
      <c r="G99" s="17" t="str">
        <f ca="1">IFERROR(__xludf.DUMMYFUNCTION("""COMPUTED_VALUE"""),"UBER *TRIP HELP.UBER.C CMX           MEX")</f>
        <v>UBER *TRIP HELP.UBER.C CMX           MEX</v>
      </c>
      <c r="H99" s="17" t="str">
        <f ca="1">IFERROR(__xludf.DUMMYFUNCTION("""COMPUTED_VALUE"""),"Uber")</f>
        <v>Uber</v>
      </c>
      <c r="I99" s="17"/>
      <c r="J99" s="17"/>
      <c r="K99" s="17"/>
      <c r="L99" s="17"/>
      <c r="M99" s="17"/>
      <c r="N99" s="17"/>
      <c r="O99" s="17"/>
    </row>
    <row r="100" spans="1:15" ht="12.5">
      <c r="A100" s="17" t="str">
        <f ca="1">IFERROR(__xludf.DUMMYFUNCTION("""COMPUTED_VALUE"""),"TRX1135")</f>
        <v>TRX1135</v>
      </c>
      <c r="B100" s="86" t="str">
        <f ca="1">IFERROR(__xludf.DUMMYFUNCTION("""COMPUTED_VALUE"""),"#64")</f>
        <v>#64</v>
      </c>
      <c r="C100" s="63">
        <f ca="1">IFERROR(__xludf.DUMMYFUNCTION("""COMPUTED_VALUE"""),46078.4166666666)</f>
        <v>46078.416666666599</v>
      </c>
      <c r="D100" s="65">
        <f ca="1">IFERROR(__xludf.DUMMYFUNCTION("""COMPUTED_VALUE"""),475.43)</f>
        <v>475.43</v>
      </c>
      <c r="E100" s="17" t="str">
        <f ca="1">IFERROR(__xludf.DUMMYFUNCTION("""COMPUTED_VALUE"""),"MXN")</f>
        <v>MXN</v>
      </c>
      <c r="F100" s="17" t="str">
        <f ca="1">IFERROR(__xludf.DUMMYFUNCTION("""COMPUTED_VALUE"""),"Jorge Rojas")</f>
        <v>Jorge Rojas</v>
      </c>
      <c r="G100" s="17" t="str">
        <f ca="1">IFERROR(__xludf.DUMMYFUNCTION("""COMPUTED_VALUE"""),"UBER * EATS PENDING    CMX           MEX")</f>
        <v>UBER * EATS PENDING    CMX           MEX</v>
      </c>
      <c r="H100" s="17" t="str">
        <f ca="1">IFERROR(__xludf.DUMMYFUNCTION("""COMPUTED_VALUE"""),"Uber Eats")</f>
        <v>Uber Eats</v>
      </c>
      <c r="I100" s="17"/>
      <c r="J100" s="17"/>
      <c r="K100" s="17"/>
      <c r="L100" s="17"/>
      <c r="M100" s="17"/>
      <c r="N100" s="17"/>
      <c r="O100" s="17"/>
    </row>
    <row r="101" spans="1:15" ht="12.5">
      <c r="A101" s="17" t="str">
        <f ca="1">IFERROR(__xludf.DUMMYFUNCTION("""COMPUTED_VALUE"""),"TRX1146")</f>
        <v>TRX1146</v>
      </c>
      <c r="B101" s="86" t="str">
        <f ca="1">IFERROR(__xludf.DUMMYFUNCTION("""COMPUTED_VALUE"""),"#64")</f>
        <v>#64</v>
      </c>
      <c r="C101" s="63">
        <f ca="1">IFERROR(__xludf.DUMMYFUNCTION("""COMPUTED_VALUE"""),46078.4166666666)</f>
        <v>46078.416666666599</v>
      </c>
      <c r="D101" s="65">
        <f ca="1">IFERROR(__xludf.DUMMYFUNCTION("""COMPUTED_VALUE"""),184.99)</f>
        <v>184.99</v>
      </c>
      <c r="E101" s="17" t="str">
        <f ca="1">IFERROR(__xludf.DUMMYFUNCTION("""COMPUTED_VALUE"""),"MXN")</f>
        <v>MXN</v>
      </c>
      <c r="F101" s="17" t="str">
        <f ca="1">IFERROR(__xludf.DUMMYFUNCTION("""COMPUTED_VALUE"""),"Jorge Rojas")</f>
        <v>Jorge Rojas</v>
      </c>
      <c r="G101" s="17" t="str">
        <f ca="1">IFERROR(__xludf.DUMMYFUNCTION("""COMPUTED_VALUE"""),"Microsoft*Microsoft 36 CMX           MEX")</f>
        <v>Microsoft*Microsoft 36 CMX           MEX</v>
      </c>
      <c r="H101" s="17" t="str">
        <f ca="1">IFERROR(__xludf.DUMMYFUNCTION("""COMPUTED_VALUE"""),"Microsoft")</f>
        <v>Microsoft</v>
      </c>
      <c r="I101" s="17"/>
      <c r="J101" s="17"/>
      <c r="K101" s="17"/>
      <c r="L101" s="17"/>
      <c r="M101" s="17"/>
      <c r="N101" s="17"/>
      <c r="O101" s="17"/>
    </row>
    <row r="102" spans="1:15" ht="12.5">
      <c r="A102" s="17" t="str">
        <f ca="1">IFERROR(__xludf.DUMMYFUNCTION("""COMPUTED_VALUE"""),"TRX1157")</f>
        <v>TRX1157</v>
      </c>
      <c r="B102" s="86" t="str">
        <f ca="1">IFERROR(__xludf.DUMMYFUNCTION("""COMPUTED_VALUE"""),"#64")</f>
        <v>#64</v>
      </c>
      <c r="C102" s="63">
        <f ca="1">IFERROR(__xludf.DUMMYFUNCTION("""COMPUTED_VALUE"""),46078.4173611111)</f>
        <v>46078.417361111096</v>
      </c>
      <c r="D102" s="65">
        <f ca="1">IFERROR(__xludf.DUMMYFUNCTION("""COMPUTED_VALUE"""),444)</f>
        <v>444</v>
      </c>
      <c r="E102" s="17" t="str">
        <f ca="1">IFERROR(__xludf.DUMMYFUNCTION("""COMPUTED_VALUE"""),"MXN")</f>
        <v>MXN</v>
      </c>
      <c r="F102" s="17" t="str">
        <f ca="1">IFERROR(__xludf.DUMMYFUNCTION("""COMPUTED_VALUE"""),"Jorge Rojas")</f>
        <v>Jorge Rojas</v>
      </c>
      <c r="G102" s="17" t="str">
        <f ca="1">IFERROR(__xludf.DUMMYFUNCTION("""COMPUTED_VALUE"""),"VIPS TIJUANA 81121     TIJUANA BCN   MEX")</f>
        <v>VIPS TIJUANA 81121     TIJUANA BCN   MEX</v>
      </c>
      <c r="H102" s="17" t="str">
        <f ca="1">IFERROR(__xludf.DUMMYFUNCTION("""COMPUTED_VALUE"""),"Vips Tijuana Tijuana Bcn Mex")</f>
        <v>Vips Tijuana Tijuana Bcn Mex</v>
      </c>
      <c r="I102" s="17"/>
      <c r="J102" s="17"/>
      <c r="K102" s="17"/>
      <c r="L102" s="17"/>
      <c r="M102" s="17"/>
      <c r="N102" s="17"/>
      <c r="O102" s="17"/>
    </row>
    <row r="103" spans="1:15" ht="12.5">
      <c r="A103" s="17" t="str">
        <f ca="1">IFERROR(__xludf.DUMMYFUNCTION("""COMPUTED_VALUE"""),"TRX1160")</f>
        <v>TRX1160</v>
      </c>
      <c r="B103" s="86" t="str">
        <f ca="1">IFERROR(__xludf.DUMMYFUNCTION("""COMPUTED_VALUE"""),"#64")</f>
        <v>#64</v>
      </c>
      <c r="C103" s="63">
        <f ca="1">IFERROR(__xludf.DUMMYFUNCTION("""COMPUTED_VALUE"""),46078.4173611111)</f>
        <v>46078.417361111096</v>
      </c>
      <c r="D103" s="65">
        <f ca="1">IFERROR(__xludf.DUMMYFUNCTION("""COMPUTED_VALUE"""),53.5)</f>
        <v>53.5</v>
      </c>
      <c r="E103" s="17" t="str">
        <f ca="1">IFERROR(__xludf.DUMMYFUNCTION("""COMPUTED_VALUE"""),"MXN")</f>
        <v>MXN</v>
      </c>
      <c r="F103" s="17" t="str">
        <f ca="1">IFERROR(__xludf.DUMMYFUNCTION("""COMPUTED_VALUE"""),"Jorge Rojas")</f>
        <v>Jorge Rojas</v>
      </c>
      <c r="G103" s="17" t="str">
        <f ca="1">IFERROR(__xludf.DUMMYFUNCTION("""COMPUTED_VALUE"""),"7ELEVEN T2843 BANDERAS TIJUANA BCN   MEX")</f>
        <v>7ELEVEN T2843 BANDERAS TIJUANA BCN   MEX</v>
      </c>
      <c r="H103" s="17" t="str">
        <f ca="1">IFERROR(__xludf.DUMMYFUNCTION("""COMPUTED_VALUE"""),"7 Eleven")</f>
        <v>7 Eleven</v>
      </c>
      <c r="I103" s="17"/>
      <c r="J103" s="17"/>
      <c r="K103" s="17"/>
      <c r="L103" s="17"/>
      <c r="M103" s="17"/>
      <c r="N103" s="17"/>
      <c r="O103" s="17"/>
    </row>
    <row r="104" spans="1:15" ht="12.5">
      <c r="A104" s="17" t="str">
        <f ca="1">IFERROR(__xludf.DUMMYFUNCTION("""COMPUTED_VALUE"""),"TRX1194")</f>
        <v>TRX1194</v>
      </c>
      <c r="B104" s="86" t="str">
        <f ca="1">IFERROR(__xludf.DUMMYFUNCTION("""COMPUTED_VALUE"""),"#64")</f>
        <v>#64</v>
      </c>
      <c r="C104" s="63">
        <f ca="1">IFERROR(__xludf.DUMMYFUNCTION("""COMPUTED_VALUE"""),46079.4166666666)</f>
        <v>46079.416666666599</v>
      </c>
      <c r="D104" s="65">
        <f ca="1">IFERROR(__xludf.DUMMYFUNCTION("""COMPUTED_VALUE"""),278)</f>
        <v>278</v>
      </c>
      <c r="E104" s="17" t="str">
        <f ca="1">IFERROR(__xludf.DUMMYFUNCTION("""COMPUTED_VALUE"""),"MXN")</f>
        <v>MXN</v>
      </c>
      <c r="F104" s="17" t="str">
        <f ca="1">IFERROR(__xludf.DUMMYFUNCTION("""COMPUTED_VALUE"""),"Jorge Rojas")</f>
        <v>Jorge Rojas</v>
      </c>
      <c r="G104" s="17" t="str">
        <f ca="1">IFERROR(__xludf.DUMMYFUNCTION("""COMPUTED_VALUE"""),"CARLS JR P ALONDRAS    TIJUANA BCN   MEX")</f>
        <v>CARLS JR P ALONDRAS    TIJUANA BCN   MEX</v>
      </c>
      <c r="H104" s="17" t="str">
        <f ca="1">IFERROR(__xludf.DUMMYFUNCTION("""COMPUTED_VALUE"""),"Carls Jr.")</f>
        <v>Carls Jr.</v>
      </c>
      <c r="I104" s="17"/>
      <c r="J104" s="17"/>
      <c r="K104" s="17"/>
      <c r="L104" s="17"/>
      <c r="M104" s="17"/>
      <c r="N104" s="17"/>
      <c r="O104" s="17"/>
    </row>
    <row r="105" spans="1:15" ht="12.5">
      <c r="A105" s="17" t="str">
        <f ca="1">IFERROR(__xludf.DUMMYFUNCTION("""COMPUTED_VALUE"""),"TRX1198")</f>
        <v>TRX1198</v>
      </c>
      <c r="B105" s="86" t="str">
        <f ca="1">IFERROR(__xludf.DUMMYFUNCTION("""COMPUTED_VALUE"""),"#64")</f>
        <v>#64</v>
      </c>
      <c r="C105" s="63">
        <f ca="1">IFERROR(__xludf.DUMMYFUNCTION("""COMPUTED_VALUE"""),46079.4166666666)</f>
        <v>46079.416666666599</v>
      </c>
      <c r="D105" s="65">
        <f ca="1">IFERROR(__xludf.DUMMYFUNCTION("""COMPUTED_VALUE"""),470.18)</f>
        <v>470.18</v>
      </c>
      <c r="E105" s="17" t="str">
        <f ca="1">IFERROR(__xludf.DUMMYFUNCTION("""COMPUTED_VALUE"""),"MXN")</f>
        <v>MXN</v>
      </c>
      <c r="F105" s="17" t="str">
        <f ca="1">IFERROR(__xludf.DUMMYFUNCTION("""COMPUTED_VALUE"""),"Jorge Rojas")</f>
        <v>Jorge Rojas</v>
      </c>
      <c r="G105" s="17" t="str">
        <f ca="1">IFERROR(__xludf.DUMMYFUNCTION("""COMPUTED_VALUE"""),"DLO*UBER               CIUDAD DE MEX MEX")</f>
        <v>DLO*UBER               CIUDAD DE MEX MEX</v>
      </c>
      <c r="H105" s="17" t="str">
        <f ca="1">IFERROR(__xludf.DUMMYFUNCTION("""COMPUTED_VALUE"""),"Uber")</f>
        <v>Uber</v>
      </c>
      <c r="I105" s="17"/>
      <c r="J105" s="17"/>
      <c r="K105" s="17"/>
      <c r="L105" s="17"/>
      <c r="M105" s="17"/>
      <c r="N105" s="17"/>
      <c r="O105" s="17"/>
    </row>
    <row r="106" spans="1:15" ht="12.5">
      <c r="A106" s="17" t="str">
        <f ca="1">IFERROR(__xludf.DUMMYFUNCTION("""COMPUTED_VALUE"""),"TRX1199")</f>
        <v>TRX1199</v>
      </c>
      <c r="B106" s="86" t="str">
        <f ca="1">IFERROR(__xludf.DUMMYFUNCTION("""COMPUTED_VALUE"""),"#64")</f>
        <v>#64</v>
      </c>
      <c r="C106" s="63">
        <f ca="1">IFERROR(__xludf.DUMMYFUNCTION("""COMPUTED_VALUE"""),46079.4166666666)</f>
        <v>46079.416666666599</v>
      </c>
      <c r="D106" s="65">
        <f ca="1">IFERROR(__xludf.DUMMYFUNCTION("""COMPUTED_VALUE"""),38)</f>
        <v>38</v>
      </c>
      <c r="E106" s="17" t="str">
        <f ca="1">IFERROR(__xludf.DUMMYFUNCTION("""COMPUTED_VALUE"""),"MXN")</f>
        <v>MXN</v>
      </c>
      <c r="F106" s="17" t="str">
        <f ca="1">IFERROR(__xludf.DUMMYFUNCTION("""COMPUTED_VALUE"""),"Jorge Rojas")</f>
        <v>Jorge Rojas</v>
      </c>
      <c r="G106" s="17" t="str">
        <f ca="1">IFERROR(__xludf.DUMMYFUNCTION("""COMPUTED_VALUE"""),"7 ELEVEN T3038 OCEANOS TIJUANA BCN   MEX")</f>
        <v>7 ELEVEN T3038 OCEANOS TIJUANA BCN   MEX</v>
      </c>
      <c r="H106" s="17" t="str">
        <f ca="1">IFERROR(__xludf.DUMMYFUNCTION("""COMPUTED_VALUE"""),"7 Eleven")</f>
        <v>7 Eleven</v>
      </c>
      <c r="I106" s="17"/>
      <c r="J106" s="17"/>
      <c r="K106" s="17"/>
      <c r="L106" s="17"/>
      <c r="M106" s="17"/>
      <c r="N106" s="17"/>
      <c r="O106" s="17"/>
    </row>
    <row r="107" spans="1:15" ht="12.5">
      <c r="A107" s="17" t="str">
        <f ca="1">IFERROR(__xludf.DUMMYFUNCTION("""COMPUTED_VALUE"""),"TRX1217")</f>
        <v>TRX1217</v>
      </c>
      <c r="B107" s="86" t="str">
        <f ca="1">IFERROR(__xludf.DUMMYFUNCTION("""COMPUTED_VALUE"""),"#64")</f>
        <v>#64</v>
      </c>
      <c r="C107" s="63">
        <f ca="1">IFERROR(__xludf.DUMMYFUNCTION("""COMPUTED_VALUE"""),46079.4173611111)</f>
        <v>46079.417361111096</v>
      </c>
      <c r="D107" s="65">
        <f ca="1">IFERROR(__xludf.DUMMYFUNCTION("""COMPUTED_VALUE"""),1705.08)</f>
        <v>1705.08</v>
      </c>
      <c r="E107" s="17" t="str">
        <f ca="1">IFERROR(__xludf.DUMMYFUNCTION("""COMPUTED_VALUE"""),"USD")</f>
        <v>USD</v>
      </c>
      <c r="F107" s="17" t="str">
        <f ca="1">IFERROR(__xludf.DUMMYFUNCTION("""COMPUTED_VALUE"""),"Jorge Rojas")</f>
        <v>Jorge Rojas</v>
      </c>
      <c r="G107" s="17" t="str">
        <f ca="1">IFERROR(__xludf.DUMMYFUNCTION("""COMPUTED_VALUE"""),"WAL-MART #5023         NATIONAL CITY USA")</f>
        <v>WAL-MART #5023         NATIONAL CITY USA</v>
      </c>
      <c r="H107" s="17" t="str">
        <f ca="1">IFERROR(__xludf.DUMMYFUNCTION("""COMPUTED_VALUE"""),"Walmart")</f>
        <v>Walmart</v>
      </c>
      <c r="I107" s="17"/>
      <c r="J107" s="17"/>
      <c r="K107" s="17"/>
      <c r="L107" s="17"/>
      <c r="M107" s="17"/>
      <c r="N107" s="17"/>
      <c r="O107" s="17"/>
    </row>
    <row r="108" spans="1:15" ht="12.5">
      <c r="A108" s="17" t="str">
        <f ca="1">IFERROR(__xludf.DUMMYFUNCTION("""COMPUTED_VALUE"""),"TRX1245")</f>
        <v>TRX1245</v>
      </c>
      <c r="B108" s="86" t="str">
        <f ca="1">IFERROR(__xludf.DUMMYFUNCTION("""COMPUTED_VALUE"""),"#64")</f>
        <v>#64</v>
      </c>
      <c r="C108" s="63">
        <f ca="1">IFERROR(__xludf.DUMMYFUNCTION("""COMPUTED_VALUE"""),46080.4173611111)</f>
        <v>46080.417361111096</v>
      </c>
      <c r="D108" s="65">
        <f ca="1">IFERROR(__xludf.DUMMYFUNCTION("""COMPUTED_VALUE"""),143)</f>
        <v>143</v>
      </c>
      <c r="E108" s="17" t="str">
        <f ca="1">IFERROR(__xludf.DUMMYFUNCTION("""COMPUTED_VALUE"""),"MXN")</f>
        <v>MXN</v>
      </c>
      <c r="F108" s="17" t="str">
        <f ca="1">IFERROR(__xludf.DUMMYFUNCTION("""COMPUTED_VALUE"""),"Jorge Rojas")</f>
        <v>Jorge Rojas</v>
      </c>
      <c r="G108" s="17" t="str">
        <f ca="1">IFERROR(__xludf.DUMMYFUNCTION("""COMPUTED_VALUE"""),"WALMART LOMAS STA FE   TIJUANA BCN   MEX")</f>
        <v>WALMART LOMAS STA FE   TIJUANA BCN   MEX</v>
      </c>
      <c r="H108" s="17" t="str">
        <f ca="1">IFERROR(__xludf.DUMMYFUNCTION("""COMPUTED_VALUE"""),"Walmart")</f>
        <v>Walmart</v>
      </c>
      <c r="I108" s="17"/>
      <c r="J108" s="17"/>
      <c r="K108" s="17"/>
      <c r="L108" s="17"/>
      <c r="M108" s="17"/>
      <c r="N108" s="17"/>
      <c r="O108" s="17"/>
    </row>
    <row r="109" spans="1:15" ht="12.5">
      <c r="A109" s="17" t="str">
        <f ca="1">IFERROR(__xludf.DUMMYFUNCTION("""COMPUTED_VALUE"""),"TRX1246")</f>
        <v>TRX1246</v>
      </c>
      <c r="B109" s="86" t="str">
        <f ca="1">IFERROR(__xludf.DUMMYFUNCTION("""COMPUTED_VALUE"""),"#64")</f>
        <v>#64</v>
      </c>
      <c r="C109" s="63">
        <f ca="1">IFERROR(__xludf.DUMMYFUNCTION("""COMPUTED_VALUE"""),46080.4173611111)</f>
        <v>46080.417361111096</v>
      </c>
      <c r="D109" s="65">
        <f ca="1">IFERROR(__xludf.DUMMYFUNCTION("""COMPUTED_VALUE"""),285)</f>
        <v>285</v>
      </c>
      <c r="E109" s="17" t="str">
        <f ca="1">IFERROR(__xludf.DUMMYFUNCTION("""COMPUTED_VALUE"""),"MXN")</f>
        <v>MXN</v>
      </c>
      <c r="F109" s="17" t="str">
        <f ca="1">IFERROR(__xludf.DUMMYFUNCTION("""COMPUTED_VALUE"""),"Jorge Rojas")</f>
        <v>Jorge Rojas</v>
      </c>
      <c r="G109" s="17" t="str">
        <f ca="1">IFERROR(__xludf.DUMMYFUNCTION("""COMPUTED_VALUE"""),"CLIP MX*SUPER BARRA LI TIJUANA       MEX")</f>
        <v>CLIP MX*SUPER BARRA LI TIJUANA       MEX</v>
      </c>
      <c r="H109" s="17" t="str">
        <f ca="1">IFERROR(__xludf.DUMMYFUNCTION("""COMPUTED_VALUE"""),"Super Mex")</f>
        <v>Super Mex</v>
      </c>
      <c r="I109" s="17"/>
      <c r="J109" s="17"/>
      <c r="K109" s="17"/>
      <c r="L109" s="17"/>
      <c r="M109" s="17"/>
      <c r="N109" s="17"/>
      <c r="O109" s="17"/>
    </row>
    <row r="110" spans="1:15" ht="12.5">
      <c r="A110" s="17" t="str">
        <f ca="1">IFERROR(__xludf.DUMMYFUNCTION("""COMPUTED_VALUE"""),"TRX1275")</f>
        <v>TRX1275</v>
      </c>
      <c r="B110" s="86" t="str">
        <f ca="1">IFERROR(__xludf.DUMMYFUNCTION("""COMPUTED_VALUE"""),"#64")</f>
        <v>#64</v>
      </c>
      <c r="C110" s="63">
        <f ca="1">IFERROR(__xludf.DUMMYFUNCTION("""COMPUTED_VALUE"""),46081.4166666666)</f>
        <v>46081.416666666599</v>
      </c>
      <c r="D110" s="17">
        <f ca="1">IFERROR(__xludf.DUMMYFUNCTION("""COMPUTED_VALUE"""),452.96)</f>
        <v>452.96</v>
      </c>
      <c r="E110" s="17" t="str">
        <f ca="1">IFERROR(__xludf.DUMMYFUNCTION("""COMPUTED_VALUE"""),"MXN")</f>
        <v>MXN</v>
      </c>
      <c r="F110" s="17" t="str">
        <f ca="1">IFERROR(__xludf.DUMMYFUNCTION("""COMPUTED_VALUE"""),"Jorge Rojas")</f>
        <v>Jorge Rojas</v>
      </c>
      <c r="G110" s="17" t="str">
        <f ca="1">IFERROR(__xludf.DUMMYFUNCTION("""COMPUTED_VALUE"""),"DLO*UBER               CIUDAD DE MEX MEX")</f>
        <v>DLO*UBER               CIUDAD DE MEX MEX</v>
      </c>
      <c r="H110" s="17" t="str">
        <f ca="1">IFERROR(__xludf.DUMMYFUNCTION("""COMPUTED_VALUE"""),"Uber")</f>
        <v>Uber</v>
      </c>
      <c r="I110" s="17"/>
      <c r="J110" s="17"/>
      <c r="K110" s="17"/>
      <c r="L110" s="17"/>
      <c r="M110" s="17"/>
      <c r="N110" s="17"/>
      <c r="O110" s="17"/>
    </row>
    <row r="111" spans="1:15" ht="12.5">
      <c r="A111" s="17" t="str">
        <f ca="1">IFERROR(__xludf.DUMMYFUNCTION("""COMPUTED_VALUE"""),"TRX1277")</f>
        <v>TRX1277</v>
      </c>
      <c r="B111" s="86" t="str">
        <f ca="1">IFERROR(__xludf.DUMMYFUNCTION("""COMPUTED_VALUE"""),"#64")</f>
        <v>#64</v>
      </c>
      <c r="C111" s="63">
        <f ca="1">IFERROR(__xludf.DUMMYFUNCTION("""COMPUTED_VALUE"""),46081.4166666666)</f>
        <v>46081.416666666599</v>
      </c>
      <c r="D111" s="17">
        <f ca="1">IFERROR(__xludf.DUMMYFUNCTION("""COMPUTED_VALUE"""),34.5)</f>
        <v>34.5</v>
      </c>
      <c r="E111" s="17" t="str">
        <f ca="1">IFERROR(__xludf.DUMMYFUNCTION("""COMPUTED_VALUE"""),"MXN")</f>
        <v>MXN</v>
      </c>
      <c r="F111" s="17" t="str">
        <f ca="1">IFERROR(__xludf.DUMMYFUNCTION("""COMPUTED_VALUE"""),"Jorge Rojas")</f>
        <v>Jorge Rojas</v>
      </c>
      <c r="G111" s="17" t="str">
        <f ca="1">IFERROR(__xludf.DUMMYFUNCTION("""COMPUTED_VALUE"""),"7ELEVEN T2843 BANDERAS TIJUANA BCN   MEX")</f>
        <v>7ELEVEN T2843 BANDERAS TIJUANA BCN   MEX</v>
      </c>
      <c r="H111" s="17" t="str">
        <f ca="1">IFERROR(__xludf.DUMMYFUNCTION("""COMPUTED_VALUE"""),"7 Eleven")</f>
        <v>7 Eleven</v>
      </c>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1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71</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IFERROR(__xludf.DUMMYFUNCTION("IMPORTRANGE(""https://docs.google.com/spreadsheets/d/1_59JJTpHLWU734jyHJCLeaU7j_pyZDK76xL0t8Fudhc/edit?gid=1404531132#gid=1404531132"",""I12:K80"")"),"G&amp;A expenses")</f>
        <v>G&amp;A expenses</v>
      </c>
      <c r="J12" s="17" t="str">
        <f ca="1">IFERROR(__xludf.DUMMYFUNCTION("""COMPUTED_VALUE"""),"Comida Lendable Farolito")</f>
        <v>Comida Lendable Farolito</v>
      </c>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2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91</v>
      </c>
      <c r="B2" s="139"/>
      <c r="C2" s="139"/>
      <c r="D2" s="68"/>
      <c r="E2" s="141" t="s">
        <v>63</v>
      </c>
      <c r="F2" s="139"/>
      <c r="G2" s="69" t="s">
        <v>1975</v>
      </c>
      <c r="H2" s="17"/>
      <c r="I2" s="21" t="s">
        <v>1991</v>
      </c>
      <c r="J2" s="17" t="s">
        <v>2010</v>
      </c>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Sept'!$A$12:$C$1003,'Edo Cta Jeeves Sept'!$J$12:$J$1003=$A$2)"),"#N/A")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IFERROR(__xludf.DUMMYFUNCTION("IMPORTRANGE(""https://docs.google.com/spreadsheets/d/1uES7PPE1zZmBTod3wrterOz2e_5WCZcfnqWZ2YbLIGg/edit?gid=1404531132#gid=1404531132"",""I12:K80"")"),"")</f>
        <v/>
      </c>
      <c r="J12" s="17" t="str">
        <f ca="1">IFERROR(__xludf.DUMMYFUNCTION("""COMPUTED_VALUE"""),"Lo debo lo acepto :( - Ya borre la 
tarjeta de mi cuenta de mercado 
libre se cobro por error ")</f>
        <v xml:space="preserve">Lo debo lo acepto :( - Ya borre la 
tarjeta de mi cuenta de mercado 
libre se cobro por error </v>
      </c>
      <c r="K12" s="17" t="str">
        <f ca="1">IFERROR(__xludf.DUMMYFUNCTION("""COMPUTED_VALUE"""),".")</f>
        <v>.</v>
      </c>
      <c r="L12" s="17"/>
      <c r="M12" s="17"/>
      <c r="N12" s="17"/>
      <c r="O12" s="17"/>
    </row>
    <row r="13" spans="1:15" ht="15.75" customHeight="1">
      <c r="A13" s="24"/>
      <c r="B13" s="24"/>
      <c r="C13" s="24"/>
      <c r="D13" s="17"/>
      <c r="E13" s="17"/>
      <c r="F13" s="17"/>
      <c r="G13" s="17"/>
      <c r="H13" s="17"/>
      <c r="I13" s="17"/>
      <c r="J13" s="17" t="str">
        <f ca="1">IFERROR(__xludf.DUMMYFUNCTION("""COMPUTED_VALUE"""),"Compra de equipo para medir la 
pintura en estructura - Proyecto 
Confiansa Tijuana ")</f>
        <v xml:space="preserve">Compra de equipo para medir la 
pintura en estructura - Proyecto 
Confiansa Tijuana </v>
      </c>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7"/>
      <c r="E16" s="17"/>
      <c r="F16" s="17"/>
      <c r="G16" s="17"/>
      <c r="H16" s="17"/>
      <c r="I16" s="17"/>
      <c r="J16" s="17"/>
      <c r="K16" s="17" t="str">
        <f ca="1">IFERROR(__xludf.DUMMYFUNCTION("""COMPUTED_VALUE"""),".")</f>
        <v>.</v>
      </c>
      <c r="L16" s="17"/>
      <c r="M16" s="17"/>
      <c r="N16" s="17"/>
      <c r="O16" s="17"/>
    </row>
    <row r="17" spans="1:15" ht="15.75" customHeight="1">
      <c r="A17" s="17"/>
      <c r="B17" s="24"/>
      <c r="C17" s="24"/>
      <c r="D17" s="17"/>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7"/>
      <c r="E19" s="17"/>
      <c r="F19" s="17"/>
      <c r="G19" s="17"/>
      <c r="H19" s="17"/>
      <c r="I19" s="17"/>
      <c r="J19" s="17"/>
      <c r="K19" s="17" t="str">
        <f ca="1">IFERROR(__xludf.DUMMYFUNCTION("""COMPUTED_VALUE"""),".")</f>
        <v>.</v>
      </c>
      <c r="L19" s="17"/>
      <c r="M19" s="17"/>
      <c r="N19" s="17"/>
      <c r="O19" s="17"/>
    </row>
    <row r="20" spans="1:15" ht="12.5">
      <c r="A20" s="17"/>
      <c r="B20" s="24"/>
      <c r="C20" s="24"/>
      <c r="D20" s="17"/>
      <c r="E20" s="17"/>
      <c r="F20" s="17"/>
      <c r="G20" s="17"/>
      <c r="H20" s="17"/>
      <c r="I20" s="17"/>
      <c r="J20" s="17"/>
      <c r="K20" s="17" t="str">
        <f ca="1">IFERROR(__xludf.DUMMYFUNCTION("""COMPUTED_VALUE"""),".")</f>
        <v>.</v>
      </c>
      <c r="L20" s="17"/>
      <c r="M20" s="17"/>
      <c r="N20" s="17"/>
      <c r="O20" s="17"/>
    </row>
    <row r="21" spans="1:15" ht="12.5">
      <c r="A21" s="17"/>
      <c r="B21" s="24"/>
      <c r="C21" s="24"/>
      <c r="D21" s="17"/>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3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9.2695312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384</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Sept'!$J$12:$J$1700=$A$2)"),"TRX1213")</f>
        <v>TRX1213</v>
      </c>
      <c r="B12" s="86" t="str">
        <f ca="1">IFERROR(__xludf.DUMMYFUNCTION("""COMPUTED_VALUE"""),"#68")</f>
        <v>#68</v>
      </c>
      <c r="C12" s="86">
        <f ca="1">IFERROR(__xludf.DUMMYFUNCTION("""COMPUTED_VALUE"""),46058.4173611111)</f>
        <v>46058.417361111096</v>
      </c>
      <c r="D12" s="132">
        <f ca="1">IFERROR(__xludf.DUMMYFUNCTION("FILTER('Edo Cta Jeeves Sept'!$G$12:$G$1700,'Edo Cta Jeeves Sept'!$J$12:$J$1700=$A$2)"),68.5)</f>
        <v>68.5</v>
      </c>
      <c r="E12" s="17" t="str">
        <f ca="1">IFERROR(__xludf.DUMMYFUNCTION("FILTER('Edo Cta Jeeves Sept'!$I$12:$I$1700,'Edo Cta Jeeves Sept'!$J$12:$J$1700=$A$2)"),"MXN")</f>
        <v>MXN</v>
      </c>
      <c r="F12" s="17" t="str">
        <f ca="1">IFERROR(__xludf.DUMMYFUNCTION("FILTER('Edo Cta Jeeves Sept'!$J$12:$J$1700,'Edo Cta Jeeves Sept'!$J$12:$J$1700=$A$2)"),"Jorge Armando Ramirez Perez")</f>
        <v>Jorge Armando Ramirez Perez</v>
      </c>
      <c r="G12" s="17" t="str">
        <f ca="1">IFERROR(__xludf.DUMMYFUNCTION("FILTER('Edo Cta Jeeves Sept'!$K$12:$L$1700,'Edo Cta Jeeves Sept'!$J$12:$J$1700=$A$2)"),"OXXOPORTAL DE HDA MTY  GUADALUPE NL  MEX")</f>
        <v>OXXOPORTAL DE HDA MTY  GUADALUPE NL  MEX</v>
      </c>
      <c r="H12" s="17" t="str">
        <f ca="1">IFERROR(__xludf.DUMMYFUNCTION("""COMPUTED_VALUE"""),"Oxxoportal De Hda Mty Guadalupe Nl Mex")</f>
        <v>Oxxoportal De Hda Mty Guadalupe Nl Mex</v>
      </c>
      <c r="I12" s="17" t="str">
        <f ca="1">IFERROR(__xludf.DUMMYFUNCTION("IMPORTRANGE(""https://docs.google.com/spreadsheets/d/13nIfSNb8NL6jXpWP6q7TubloeuYGk2ncQK8mdh4WzRs/edit?gid=1404531132#gid=1404531132"",""I12:K80"")"),"Transaction cost")</f>
        <v>Transaction cost</v>
      </c>
      <c r="J12" s="17" t="str">
        <f ca="1">IFERROR(__xludf.DUMMYFUNCTION("""COMPUTED_VALUE"""),"RFQ 4512 Ecoclean 4512 Visita MP Comida")</f>
        <v>RFQ 4512 Ecoclean 4512 Visita MP Comida</v>
      </c>
      <c r="K12" s="17" t="str">
        <f ca="1">IFERROR(__xludf.DUMMYFUNCTION("""COMPUTED_VALUE"""),"1637-55626-0213224106083")</f>
        <v>1637-55626-0213224106083</v>
      </c>
      <c r="L12" s="17"/>
      <c r="M12" s="17"/>
      <c r="N12" s="17"/>
      <c r="O12" s="17"/>
    </row>
    <row r="13" spans="1:15" ht="15.75" customHeight="1">
      <c r="A13" s="24" t="str">
        <f ca="1">IFERROR(__xludf.DUMMYFUNCTION("""COMPUTED_VALUE"""),"TRX1203")</f>
        <v>TRX1203</v>
      </c>
      <c r="B13" s="86" t="str">
        <f ca="1">IFERROR(__xludf.DUMMYFUNCTION("""COMPUTED_VALUE"""),"#68")</f>
        <v>#68</v>
      </c>
      <c r="C13" s="63">
        <f ca="1">IFERROR(__xludf.DUMMYFUNCTION("""COMPUTED_VALUE"""),46058.4173611111)</f>
        <v>46058.417361111096</v>
      </c>
      <c r="D13" s="65">
        <f ca="1">IFERROR(__xludf.DUMMYFUNCTION("""COMPUTED_VALUE"""),200)</f>
        <v>200</v>
      </c>
      <c r="E13" s="17" t="str">
        <f ca="1">IFERROR(__xludf.DUMMYFUNCTION("""COMPUTED_VALUE"""),"MXN")</f>
        <v>MXN</v>
      </c>
      <c r="F13" s="17" t="str">
        <f ca="1">IFERROR(__xludf.DUMMYFUNCTION("""COMPUTED_VALUE"""),"Jorge Armando Ramirez Perez")</f>
        <v>Jorge Armando Ramirez Perez</v>
      </c>
      <c r="G13" s="17" t="str">
        <f ca="1">IFERROR(__xludf.DUMMYFUNCTION("""COMPUTED_VALUE"""),"OXXO GAS 15 DE MAYO    MONTERREY NL  MEX")</f>
        <v>OXXO GAS 15 DE MAYO    MONTERREY NL  MEX</v>
      </c>
      <c r="H13" s="17" t="str">
        <f ca="1">IFERROR(__xludf.DUMMYFUNCTION("""COMPUTED_VALUE"""),"Oxxo")</f>
        <v>Oxxo</v>
      </c>
      <c r="I13" s="17" t="str">
        <f ca="1">IFERROR(__xludf.DUMMYFUNCTION("""COMPUTED_VALUE"""),"Transaction cost")</f>
        <v>Transaction cost</v>
      </c>
      <c r="J13" s="17" t="str">
        <f ca="1">IFERROR(__xludf.DUMMYFUNCTION("""COMPUTED_VALUE"""),"RFQ 4512 Ecoclean Visita MP Gasolina")</f>
        <v>RFQ 4512 Ecoclean Visita MP Gasolina</v>
      </c>
      <c r="K13" s="17"/>
      <c r="L13" s="17"/>
      <c r="M13" s="17"/>
      <c r="N13" s="17"/>
      <c r="O13" s="17"/>
    </row>
    <row r="14" spans="1:15" ht="15.75" customHeight="1">
      <c r="A14" s="24" t="str">
        <f ca="1">IFERROR(__xludf.DUMMYFUNCTION("""COMPUTED_VALUE"""),"TRX1166")</f>
        <v>TRX1166</v>
      </c>
      <c r="B14" s="86" t="str">
        <f ca="1">IFERROR(__xludf.DUMMYFUNCTION("""COMPUTED_VALUE"""),"#68")</f>
        <v>#68</v>
      </c>
      <c r="C14" s="63">
        <f ca="1">IFERROR(__xludf.DUMMYFUNCTION("""COMPUTED_VALUE"""),46059.4166666666)</f>
        <v>46059.416666666599</v>
      </c>
      <c r="D14" s="65">
        <f ca="1">IFERROR(__xludf.DUMMYFUNCTION("""COMPUTED_VALUE"""),543)</f>
        <v>543</v>
      </c>
      <c r="E14" s="17" t="str">
        <f ca="1">IFERROR(__xludf.DUMMYFUNCTION("""COMPUTED_VALUE"""),"MXN")</f>
        <v>MXN</v>
      </c>
      <c r="F14" s="17" t="str">
        <f ca="1">IFERROR(__xludf.DUMMYFUNCTION("""COMPUTED_VALUE"""),"Jorge Armando Ramirez Perez")</f>
        <v>Jorge Armando Ramirez Perez</v>
      </c>
      <c r="G14" s="17" t="str">
        <f ca="1">IFERROR(__xludf.DUMMYFUNCTION("""COMPUTED_VALUE"""),"TH ALTEA HUINALA MP    APODACA NL    MEX")</f>
        <v>TH ALTEA HUINALA MP    APODACA NL    MEX</v>
      </c>
      <c r="H14" s="17" t="str">
        <f ca="1">IFERROR(__xludf.DUMMYFUNCTION("""COMPUTED_VALUE"""),"Th Altea Huinala Mp Apodaca Nl Mex")</f>
        <v>Th Altea Huinala Mp Apodaca Nl Mex</v>
      </c>
      <c r="I14" s="17" t="str">
        <f ca="1">IFERROR(__xludf.DUMMYFUNCTION("""COMPUTED_VALUE"""),"Transaction cost")</f>
        <v>Transaction cost</v>
      </c>
      <c r="J14" s="17" t="str">
        <f ca="1">IFERROR(__xludf.DUMMYFUNCTION("""COMPUTED_VALUE"""),"RFQ 4512 Ecoclean 4512 Visita MP linpieza Lions / Snaks")</f>
        <v>RFQ 4512 Ecoclean 4512 Visita MP linpieza Lions / Snaks</v>
      </c>
      <c r="K14" s="17" t="str">
        <f ca="1">IFERROR(__xludf.DUMMYFUNCTION("""COMPUTED_VALUE"""),"FACTURA AHUIN18733 [Tipo: I - Ingreso UUID:4ef1d64f-81d9-4479-8359-0c596222a128]")</f>
        <v>FACTURA AHUIN18733 [Tipo: I - Ingreso UUID:4ef1d64f-81d9-4479-8359-0c596222a128]</v>
      </c>
      <c r="L14" s="17"/>
      <c r="M14" s="17"/>
      <c r="N14" s="17"/>
      <c r="O14" s="17"/>
    </row>
    <row r="15" spans="1:15" ht="15.75" customHeight="1">
      <c r="A15" s="24" t="str">
        <f ca="1">IFERROR(__xludf.DUMMYFUNCTION("""COMPUTED_VALUE"""),"TRX1834")</f>
        <v>TRX1834</v>
      </c>
      <c r="B15" s="86" t="str">
        <f ca="1">IFERROR(__xludf.DUMMYFUNCTION("""COMPUTED_VALUE"""),"#68")</f>
        <v>#68</v>
      </c>
      <c r="C15" s="63">
        <f ca="1">IFERROR(__xludf.DUMMYFUNCTION("""COMPUTED_VALUE"""),46059.4173611111)</f>
        <v>46059.417361111096</v>
      </c>
      <c r="D15" s="65">
        <f ca="1">IFERROR(__xludf.DUMMYFUNCTION("""COMPUTED_VALUE"""),127)</f>
        <v>127</v>
      </c>
      <c r="E15" s="17" t="str">
        <f ca="1">IFERROR(__xludf.DUMMYFUNCTION("""COMPUTED_VALUE"""),"MXN")</f>
        <v>MXN</v>
      </c>
      <c r="F15" s="17" t="str">
        <f ca="1">IFERROR(__xludf.DUMMYFUNCTION("""COMPUTED_VALUE"""),"Jorge Armando Ramirez Perez")</f>
        <v>Jorge Armando Ramirez Perez</v>
      </c>
      <c r="G15" s="17" t="str">
        <f ca="1">IFERROR(__xludf.DUMMYFUNCTION("""COMPUTED_VALUE"""),"OXXOPORTAL DE HDA MTY  GUADALUPE NL  MEX")</f>
        <v>OXXOPORTAL DE HDA MTY  GUADALUPE NL  MEX</v>
      </c>
      <c r="H15" s="17" t="str">
        <f ca="1">IFERROR(__xludf.DUMMYFUNCTION("""COMPUTED_VALUE"""),"Oxxoportal De Hda Mty Guadalupe Nl Mex")</f>
        <v>Oxxoportal De Hda Mty Guadalupe Nl Mex</v>
      </c>
      <c r="I15" s="17" t="str">
        <f ca="1">IFERROR(__xludf.DUMMYFUNCTION("""COMPUTED_VALUE"""),"Transaction cost")</f>
        <v>Transaction cost</v>
      </c>
      <c r="J15" s="17" t="str">
        <f ca="1">IFERROR(__xludf.DUMMYFUNCTION("""COMPUTED_VALUE"""),"RFQ 5052 Baltimore Baseparachiller / Caseta Efectivo")</f>
        <v>RFQ 5052 Baltimore Baseparachiller / Caseta Efectivo</v>
      </c>
      <c r="K15" s="17" t="str">
        <f ca="1">IFERROR(__xludf.DUMMYFUNCTION("""COMPUTED_VALUE"""),"1637556260213222342157")</f>
        <v>1637556260213222342157</v>
      </c>
      <c r="L15" s="17"/>
      <c r="M15" s="17"/>
      <c r="N15" s="17"/>
      <c r="O15" s="17"/>
    </row>
    <row r="16" spans="1:15" ht="15.75" customHeight="1">
      <c r="A16" s="17" t="str">
        <f ca="1">IFERROR(__xludf.DUMMYFUNCTION("""COMPUTED_VALUE"""),"TRX2001")</f>
        <v>TRX2001</v>
      </c>
      <c r="B16" s="86" t="str">
        <f ca="1">IFERROR(__xludf.DUMMYFUNCTION("""COMPUTED_VALUE"""),"#68")</f>
        <v>#68</v>
      </c>
      <c r="C16" s="63">
        <f ca="1">IFERROR(__xludf.DUMMYFUNCTION("""COMPUTED_VALUE"""),46059.4173611111)</f>
        <v>46059.417361111096</v>
      </c>
      <c r="D16" s="17">
        <f ca="1">IFERROR(__xludf.DUMMYFUNCTION("""COMPUTED_VALUE"""),337)</f>
        <v>337</v>
      </c>
      <c r="E16" s="17" t="str">
        <f ca="1">IFERROR(__xludf.DUMMYFUNCTION("""COMPUTED_VALUE"""),"MXN")</f>
        <v>MXN</v>
      </c>
      <c r="F16" s="17" t="str">
        <f ca="1">IFERROR(__xludf.DUMMYFUNCTION("""COMPUTED_VALUE"""),"Jorge Armando Ramirez Perez")</f>
        <v>Jorge Armando Ramirez Perez</v>
      </c>
      <c r="G16" s="17" t="str">
        <f ca="1">IFERROR(__xludf.DUMMYFUNCTION("""COMPUTED_VALUE"""),"EL POLLO LOCO          GUADALUPE NL  MEX")</f>
        <v>EL POLLO LOCO          GUADALUPE NL  MEX</v>
      </c>
      <c r="H16" s="17" t="str">
        <f ca="1">IFERROR(__xludf.DUMMYFUNCTION("""COMPUTED_VALUE"""),"El Pollo Loco")</f>
        <v>El Pollo Loco</v>
      </c>
      <c r="I16" s="17" t="str">
        <f ca="1">IFERROR(__xludf.DUMMYFUNCTION("""COMPUTED_VALUE"""),"Transaction cost")</f>
        <v>Transaction cost</v>
      </c>
      <c r="J16" s="17" t="str">
        <f ca="1">IFERROR(__xludf.DUMMYFUNCTION("""COMPUTED_VALUE"""),"PO 780 Deacero Abrazaderas Comida")</f>
        <v>PO 780 Deacero Abrazaderas Comida</v>
      </c>
      <c r="K16" s="17" t="str">
        <f ca="1">IFERROR(__xludf.DUMMYFUNCTION("""COMPUTED_VALUE"""),"FK-6639")</f>
        <v>FK-6639</v>
      </c>
      <c r="L16" s="17"/>
      <c r="M16" s="17"/>
      <c r="N16" s="17"/>
      <c r="O16" s="17"/>
    </row>
    <row r="17" spans="1:15" ht="15.75" customHeight="1">
      <c r="A17" s="17" t="str">
        <f ca="1">IFERROR(__xludf.DUMMYFUNCTION("""COMPUTED_VALUE"""),"TRX1140")</f>
        <v>TRX1140</v>
      </c>
      <c r="B17" s="86" t="str">
        <f ca="1">IFERROR(__xludf.DUMMYFUNCTION("""COMPUTED_VALUE"""),"#68")</f>
        <v>#68</v>
      </c>
      <c r="C17" s="63">
        <f ca="1">IFERROR(__xludf.DUMMYFUNCTION("""COMPUTED_VALUE"""),46060.4166666666)</f>
        <v>46060.416666666599</v>
      </c>
      <c r="D17" s="65">
        <f ca="1">IFERROR(__xludf.DUMMYFUNCTION("""COMPUTED_VALUE"""),219.96)</f>
        <v>219.96</v>
      </c>
      <c r="E17" s="17" t="str">
        <f ca="1">IFERROR(__xludf.DUMMYFUNCTION("""COMPUTED_VALUE"""),"MXN")</f>
        <v>MXN</v>
      </c>
      <c r="F17" s="17" t="str">
        <f ca="1">IFERROR(__xludf.DUMMYFUNCTION("""COMPUTED_VALUE"""),"Jorge Armando Ramirez Perez")</f>
        <v>Jorge Armando Ramirez Perez</v>
      </c>
      <c r="G17" s="17" t="str">
        <f ca="1">IFERROR(__xludf.DUMMYFUNCTION("""COMPUTED_VALUE"""),"UBER * PENDING         CMX           MEX")</f>
        <v>UBER * PENDING         CMX           MEX</v>
      </c>
      <c r="H17" s="17" t="str">
        <f ca="1">IFERROR(__xludf.DUMMYFUNCTION("""COMPUTED_VALUE"""),"Uber")</f>
        <v>Uber</v>
      </c>
      <c r="I17" s="17" t="str">
        <f ca="1">IFERROR(__xludf.DUMMYFUNCTION("""COMPUTED_VALUE"""),"Transaction cost")</f>
        <v>Transaction cost</v>
      </c>
      <c r="J17" s="17" t="str">
        <f ca="1">IFERROR(__xludf.DUMMYFUNCTION("""COMPUTED_VALUE"""),"PO 7080 DeAcero Abrazaderas UBER")</f>
        <v>PO 7080 DeAcero Abrazaderas UBER</v>
      </c>
      <c r="K17" s="17"/>
      <c r="L17" s="17"/>
      <c r="M17" s="17"/>
      <c r="N17" s="17"/>
      <c r="O17" s="17"/>
    </row>
    <row r="18" spans="1:15" ht="15.75" customHeight="1">
      <c r="A18" s="17" t="str">
        <f ca="1">IFERROR(__xludf.DUMMYFUNCTION("""COMPUTED_VALUE"""),"TRX1952")</f>
        <v>TRX1952</v>
      </c>
      <c r="B18" s="86" t="str">
        <f ca="1">IFERROR(__xludf.DUMMYFUNCTION("""COMPUTED_VALUE"""),"#68")</f>
        <v>#68</v>
      </c>
      <c r="C18" s="63">
        <f ca="1">IFERROR(__xludf.DUMMYFUNCTION("""COMPUTED_VALUE"""),46060.4166666666)</f>
        <v>46060.416666666599</v>
      </c>
      <c r="D18" s="65">
        <f ca="1">IFERROR(__xludf.DUMMYFUNCTION("""COMPUTED_VALUE"""),600)</f>
        <v>600</v>
      </c>
      <c r="E18" s="17" t="str">
        <f ca="1">IFERROR(__xludf.DUMMYFUNCTION("""COMPUTED_VALUE"""),"MXN")</f>
        <v>MXN</v>
      </c>
      <c r="F18" s="17" t="str">
        <f ca="1">IFERROR(__xludf.DUMMYFUNCTION("""COMPUTED_VALUE"""),"Jorge Armando Ramirez Perez")</f>
        <v>Jorge Armando Ramirez Perez</v>
      </c>
      <c r="G18" s="17" t="str">
        <f ca="1">IFERROR(__xludf.DUMMYFUNCTION("""COMPUTED_VALUE"""),"RECARGA PASE TUTAG     CIUDAD DE MEX MEX")</f>
        <v>RECARGA PASE TUTAG     CIUDAD DE MEX MEX</v>
      </c>
      <c r="H18" s="17" t="str">
        <f ca="1">IFERROR(__xludf.DUMMYFUNCTION("""COMPUTED_VALUE"""),"Recarga Pase Tutag Ciudad De Mex Mex")</f>
        <v>Recarga Pase Tutag Ciudad De Mex Mex</v>
      </c>
      <c r="I18" s="17" t="str">
        <f ca="1">IFERROR(__xludf.DUMMYFUNCTION("""COMPUTED_VALUE"""),"Transaction cost")</f>
        <v>Transaction cost</v>
      </c>
      <c r="J18" s="17" t="str">
        <f ca="1">IFERROR(__xludf.DUMMYFUNCTION("""COMPUTED_VALUE"""),"RFQ 5052 Baltimore Baseparachiller Casetas")</f>
        <v>RFQ 5052 Baltimore Baseparachiller Casetas</v>
      </c>
      <c r="K18" s="17" t="str">
        <f ca="1">IFERROR(__xludf.DUMMYFUNCTION("""COMPUTED_VALUE"""),"00001000000720922343")</f>
        <v>00001000000720922343</v>
      </c>
      <c r="L18" s="17"/>
      <c r="M18" s="17"/>
      <c r="N18" s="17"/>
      <c r="O18" s="17"/>
    </row>
    <row r="19" spans="1:15" ht="15.75" customHeight="1">
      <c r="A19" s="17" t="str">
        <f ca="1">IFERROR(__xludf.DUMMYFUNCTION("""COMPUTED_VALUE"""),"TRX1566")</f>
        <v>TRX1566</v>
      </c>
      <c r="B19" s="86" t="str">
        <f ca="1">IFERROR(__xludf.DUMMYFUNCTION("""COMPUTED_VALUE"""),"#68")</f>
        <v>#68</v>
      </c>
      <c r="C19" s="63">
        <f ca="1">IFERROR(__xludf.DUMMYFUNCTION("""COMPUTED_VALUE"""),46060.4173611111)</f>
        <v>46060.417361111096</v>
      </c>
      <c r="D19" s="65">
        <f ca="1">IFERROR(__xludf.DUMMYFUNCTION("""COMPUTED_VALUE"""),68.5)</f>
        <v>68.5</v>
      </c>
      <c r="E19" s="17" t="str">
        <f ca="1">IFERROR(__xludf.DUMMYFUNCTION("""COMPUTED_VALUE"""),"MXN")</f>
        <v>MXN</v>
      </c>
      <c r="F19" s="17" t="str">
        <f ca="1">IFERROR(__xludf.DUMMYFUNCTION("""COMPUTED_VALUE"""),"Jorge Armando Ramirez Perez")</f>
        <v>Jorge Armando Ramirez Perez</v>
      </c>
      <c r="G19" s="17" t="str">
        <f ca="1">IFERROR(__xludf.DUMMYFUNCTION("""COMPUTED_VALUE"""),"7 ELEVEN AZTECA        GUADALUPE NL  MEX")</f>
        <v>7 ELEVEN AZTECA        GUADALUPE NL  MEX</v>
      </c>
      <c r="H19" s="17" t="str">
        <f ca="1">IFERROR(__xludf.DUMMYFUNCTION("""COMPUTED_VALUE"""),"7 Eleven")</f>
        <v>7 Eleven</v>
      </c>
      <c r="I19" s="17" t="str">
        <f ca="1">IFERROR(__xludf.DUMMYFUNCTION("""COMPUTED_VALUE"""),"Transaction cost")</f>
        <v>Transaction cost</v>
      </c>
      <c r="J19" s="17" t="str">
        <f ca="1">IFERROR(__xludf.DUMMYFUNCTION("""COMPUTED_VALUE"""),"RFQ 4512 Ecoclean 4512 Visita MP Comida")</f>
        <v>RFQ 4512 Ecoclean 4512 Visita MP Comida</v>
      </c>
      <c r="K19" s="17" t="str">
        <f ca="1">IFERROR(__xludf.DUMMYFUNCTION("""COMPUTED_VALUE"""),"Serie: 0076 Folio: 4058")</f>
        <v>Serie: 0076 Folio: 4058</v>
      </c>
      <c r="L19" s="17"/>
      <c r="M19" s="17"/>
      <c r="N19" s="17"/>
      <c r="O19" s="17"/>
    </row>
    <row r="20" spans="1:15" ht="12.5">
      <c r="A20" s="17" t="str">
        <f ca="1">IFERROR(__xludf.DUMMYFUNCTION("""COMPUTED_VALUE"""),"TRX1130")</f>
        <v>TRX1130</v>
      </c>
      <c r="B20" s="86" t="str">
        <f ca="1">IFERROR(__xludf.DUMMYFUNCTION("""COMPUTED_VALUE"""),"#68")</f>
        <v>#68</v>
      </c>
      <c r="C20" s="63">
        <f ca="1">IFERROR(__xludf.DUMMYFUNCTION("""COMPUTED_VALUE"""),46060.4173611111)</f>
        <v>46060.417361111096</v>
      </c>
      <c r="D20" s="65">
        <f ca="1">IFERROR(__xludf.DUMMYFUNCTION("""COMPUTED_VALUE"""),94.5)</f>
        <v>94.5</v>
      </c>
      <c r="E20" s="17" t="str">
        <f ca="1">IFERROR(__xludf.DUMMYFUNCTION("""COMPUTED_VALUE"""),"MXN")</f>
        <v>MXN</v>
      </c>
      <c r="F20" s="17" t="str">
        <f ca="1">IFERROR(__xludf.DUMMYFUNCTION("""COMPUTED_VALUE"""),"Jorge Armando Ramirez Perez")</f>
        <v>Jorge Armando Ramirez Perez</v>
      </c>
      <c r="G20" s="17" t="str">
        <f ca="1">IFERROR(__xludf.DUMMYFUNCTION("""COMPUTED_VALUE"""),"7 ELEVEN DIAZ ORDAZ    SANTA CATARIN MEX")</f>
        <v>7 ELEVEN DIAZ ORDAZ    SANTA CATARIN MEX</v>
      </c>
      <c r="H20" s="17" t="str">
        <f ca="1">IFERROR(__xludf.DUMMYFUNCTION("""COMPUTED_VALUE"""),"7 Eleven")</f>
        <v>7 Eleven</v>
      </c>
      <c r="I20" s="17" t="str">
        <f ca="1">IFERROR(__xludf.DUMMYFUNCTION("""COMPUTED_VALUE"""),"Transaction cost")</f>
        <v>Transaction cost</v>
      </c>
      <c r="J20" s="17" t="str">
        <f ca="1">IFERROR(__xludf.DUMMYFUNCTION("""COMPUTED_VALUE"""),"RFQ 5052 Baltimore Baseparachiller Comida / Jose Franco / Jorge Ramírez")</f>
        <v>RFQ 5052 Baltimore Baseparachiller Comida / Jose Franco / Jorge Ramírez</v>
      </c>
      <c r="K20" s="17" t="str">
        <f ca="1">IFERROR(__xludf.DUMMYFUNCTION("""COMPUTED_VALUE"""),"N-")</f>
        <v>N-</v>
      </c>
      <c r="L20" s="17"/>
      <c r="M20" s="17"/>
      <c r="N20" s="17"/>
      <c r="O20" s="17"/>
    </row>
    <row r="21" spans="1:15" ht="12.5">
      <c r="A21" s="17" t="str">
        <f ca="1">IFERROR(__xludf.DUMMYFUNCTION("""COMPUTED_VALUE"""),"TRX1892")</f>
        <v>TRX1892</v>
      </c>
      <c r="B21" s="86" t="str">
        <f ca="1">IFERROR(__xludf.DUMMYFUNCTION("""COMPUTED_VALUE"""),"#68")</f>
        <v>#68</v>
      </c>
      <c r="C21" s="63">
        <f ca="1">IFERROR(__xludf.DUMMYFUNCTION("""COMPUTED_VALUE"""),46060.4173611111)</f>
        <v>46060.417361111096</v>
      </c>
      <c r="D21" s="65">
        <f ca="1">IFERROR(__xludf.DUMMYFUNCTION("""COMPUTED_VALUE"""),720)</f>
        <v>720</v>
      </c>
      <c r="E21" s="17" t="str">
        <f ca="1">IFERROR(__xludf.DUMMYFUNCTION("""COMPUTED_VALUE"""),"MXN")</f>
        <v>MXN</v>
      </c>
      <c r="F21" s="17" t="str">
        <f ca="1">IFERROR(__xludf.DUMMYFUNCTION("""COMPUTED_VALUE"""),"Jorge Armando Ramirez Perez")</f>
        <v>Jorge Armando Ramirez Perez</v>
      </c>
      <c r="G21" s="17" t="str">
        <f ca="1">IFERROR(__xludf.DUMMYFUNCTION("""COMPUTED_VALUE"""),"EL FELIGREZ            SALTILLO COAH MEX")</f>
        <v>EL FELIGREZ            SALTILLO COAH MEX</v>
      </c>
      <c r="H21" s="17" t="str">
        <f ca="1">IFERROR(__xludf.DUMMYFUNCTION("""COMPUTED_VALUE"""),"El Saltillo")</f>
        <v>El Saltillo</v>
      </c>
      <c r="I21" s="17" t="str">
        <f ca="1">IFERROR(__xludf.DUMMYFUNCTION("""COMPUTED_VALUE"""),"Transaction cost")</f>
        <v>Transaction cost</v>
      </c>
      <c r="J21" s="17" t="str">
        <f ca="1">IFERROR(__xludf.DUMMYFUNCTION("""COMPUTED_VALUE"""),"PO 7080 DeAcero Abrazaderas UBER")</f>
        <v>PO 7080 DeAcero Abrazaderas UBER</v>
      </c>
      <c r="K21" s="17"/>
      <c r="L21" s="17"/>
      <c r="M21" s="17"/>
      <c r="N21" s="17"/>
      <c r="O21" s="17"/>
    </row>
    <row r="22" spans="1:15" ht="12.5">
      <c r="A22" s="17" t="str">
        <f ca="1">IFERROR(__xludf.DUMMYFUNCTION("""COMPUTED_VALUE"""),"TRX1760")</f>
        <v>TRX1760</v>
      </c>
      <c r="B22" s="86" t="str">
        <f ca="1">IFERROR(__xludf.DUMMYFUNCTION("""COMPUTED_VALUE"""),"#68")</f>
        <v>#68</v>
      </c>
      <c r="C22" s="63">
        <f ca="1">IFERROR(__xludf.DUMMYFUNCTION("""COMPUTED_VALUE"""),46061.4166666666)</f>
        <v>46061.416666666599</v>
      </c>
      <c r="D22" s="65">
        <f ca="1">IFERROR(__xludf.DUMMYFUNCTION("""COMPUTED_VALUE"""),237.27)</f>
        <v>237.27</v>
      </c>
      <c r="E22" s="17" t="str">
        <f ca="1">IFERROR(__xludf.DUMMYFUNCTION("""COMPUTED_VALUE"""),"MXN")</f>
        <v>MXN</v>
      </c>
      <c r="F22" s="17" t="str">
        <f ca="1">IFERROR(__xludf.DUMMYFUNCTION("""COMPUTED_VALUE"""),"Jorge Armando Ramirez Perez")</f>
        <v>Jorge Armando Ramirez Perez</v>
      </c>
      <c r="G22" s="17" t="str">
        <f ca="1">IFERROR(__xludf.DUMMYFUNCTION("""COMPUTED_VALUE"""),"UBER * PENDING         CMX           MEX")</f>
        <v>UBER * PENDING         CMX           MEX</v>
      </c>
      <c r="H22" s="17" t="str">
        <f ca="1">IFERROR(__xludf.DUMMYFUNCTION("""COMPUTED_VALUE"""),"Uber")</f>
        <v>Uber</v>
      </c>
      <c r="I22" s="17" t="str">
        <f ca="1">IFERROR(__xludf.DUMMYFUNCTION("""COMPUTED_VALUE"""),"Transaction cost")</f>
        <v>Transaction cost</v>
      </c>
      <c r="J22" s="17" t="str">
        <f ca="1">IFERROR(__xludf.DUMMYFUNCTION("""COMPUTED_VALUE"""),"PO 7080 DeAcero Abrazaderas UBER")</f>
        <v>PO 7080 DeAcero Abrazaderas UBER</v>
      </c>
      <c r="K22" s="17"/>
      <c r="L22" s="17"/>
      <c r="M22" s="17"/>
      <c r="N22" s="17"/>
      <c r="O22" s="17"/>
    </row>
    <row r="23" spans="1:15" ht="12.5">
      <c r="A23" s="17" t="str">
        <f ca="1">IFERROR(__xludf.DUMMYFUNCTION("""COMPUTED_VALUE"""),"TRX1602")</f>
        <v>TRX1602</v>
      </c>
      <c r="B23" s="86" t="str">
        <f ca="1">IFERROR(__xludf.DUMMYFUNCTION("""COMPUTED_VALUE"""),"#68")</f>
        <v>#68</v>
      </c>
      <c r="C23" s="63">
        <f ca="1">IFERROR(__xludf.DUMMYFUNCTION("""COMPUTED_VALUE"""),46061.4173611111)</f>
        <v>46061.417361111096</v>
      </c>
      <c r="D23" s="65">
        <f ca="1">IFERROR(__xludf.DUMMYFUNCTION("""COMPUTED_VALUE"""),1075.85)</f>
        <v>1075.8499999999999</v>
      </c>
      <c r="E23" s="17" t="str">
        <f ca="1">IFERROR(__xludf.DUMMYFUNCTION("""COMPUTED_VALUE"""),"MXN")</f>
        <v>MXN</v>
      </c>
      <c r="F23" s="17" t="str">
        <f ca="1">IFERROR(__xludf.DUMMYFUNCTION("""COMPUTED_VALUE"""),"Jorge Armando Ramirez Perez")</f>
        <v>Jorge Armando Ramirez Perez</v>
      </c>
      <c r="G23" s="17" t="str">
        <f ca="1">IFERROR(__xludf.DUMMYFUNCTION("""COMPUTED_VALUE"""),"GAS MADERO             MONTERREY NL  MEX")</f>
        <v>GAS MADERO             MONTERREY NL  MEX</v>
      </c>
      <c r="H23" s="17" t="str">
        <f ca="1">IFERROR(__xludf.DUMMYFUNCTION("""COMPUTED_VALUE"""),"Gas Madero Monterrey Nl Mex")</f>
        <v>Gas Madero Monterrey Nl Mex</v>
      </c>
      <c r="I23" s="17" t="str">
        <f ca="1">IFERROR(__xludf.DUMMYFUNCTION("""COMPUTED_VALUE"""),"Transaction cost")</f>
        <v>Transaction cost</v>
      </c>
      <c r="J23" s="17" t="str">
        <f ca="1">IFERROR(__xludf.DUMMYFUNCTION("""COMPUTED_VALUE"""),"PO 780 Deacero Abrazaderas Gasolina")</f>
        <v>PO 780 Deacero Abrazaderas Gasolina</v>
      </c>
      <c r="K23" s="17" t="str">
        <f ca="1">IFERROR(__xludf.DUMMYFUNCTION("""COMPUTED_VALUE"""),"EAI - 167451")</f>
        <v>EAI - 167451</v>
      </c>
      <c r="L23" s="17"/>
      <c r="M23" s="17"/>
      <c r="N23" s="17"/>
      <c r="O23" s="17"/>
    </row>
    <row r="24" spans="1:15" ht="12.5">
      <c r="A24" s="17" t="str">
        <f ca="1">IFERROR(__xludf.DUMMYFUNCTION("""COMPUTED_VALUE"""),"TRX1337")</f>
        <v>TRX1337</v>
      </c>
      <c r="B24" s="86" t="str">
        <f ca="1">IFERROR(__xludf.DUMMYFUNCTION("""COMPUTED_VALUE"""),"#68")</f>
        <v>#68</v>
      </c>
      <c r="C24" s="63">
        <f ca="1">IFERROR(__xludf.DUMMYFUNCTION("""COMPUTED_VALUE"""),46061.4173611111)</f>
        <v>46061.417361111096</v>
      </c>
      <c r="D24" s="65">
        <f ca="1">IFERROR(__xludf.DUMMYFUNCTION("""COMPUTED_VALUE"""),210)</f>
        <v>210</v>
      </c>
      <c r="E24" s="17" t="str">
        <f ca="1">IFERROR(__xludf.DUMMYFUNCTION("""COMPUTED_VALUE"""),"MXN")</f>
        <v>MXN</v>
      </c>
      <c r="F24" s="17" t="str">
        <f ca="1">IFERROR(__xludf.DUMMYFUNCTION("""COMPUTED_VALUE"""),"Jorge Armando Ramirez Perez")</f>
        <v>Jorge Armando Ramirez Perez</v>
      </c>
      <c r="G24" s="17" t="str">
        <f ca="1">IFERROR(__xludf.DUMMYFUNCTION("""COMPUTED_VALUE"""),"TH RICARDO MARGAIN     SAN PEDRO GAR MEX")</f>
        <v>TH RICARDO MARGAIN     SAN PEDRO GAR MEX</v>
      </c>
      <c r="H24" s="17" t="str">
        <f ca="1">IFERROR(__xludf.DUMMYFUNCTION("""COMPUTED_VALUE"""),"Th Ricardo Margain San Pedro Gar Mex")</f>
        <v>Th Ricardo Margain San Pedro Gar Mex</v>
      </c>
      <c r="I24" s="17" t="str">
        <f ca="1">IFERROR(__xludf.DUMMYFUNCTION("""COMPUTED_VALUE"""),"Transaction cost")</f>
        <v>Transaction cost</v>
      </c>
      <c r="J24" s="17" t="str">
        <f ca="1">IFERROR(__xludf.DUMMYFUNCTION("""COMPUTED_VALUE"""),"PO 780 Deacero Abrazaderas Comida")</f>
        <v>PO 780 Deacero Abrazaderas Comida</v>
      </c>
      <c r="K24" s="17" t="str">
        <f ca="1">IFERROR(__xludf.DUMMYFUNCTION("""COMPUTED_VALUE"""),"FACTURA RMNL6966 [Tipo: I - Ingreso UUID:4b336fed-d276-4360-be80-157f64723f5c]")</f>
        <v>FACTURA RMNL6966 [Tipo: I - Ingreso UUID:4b336fed-d276-4360-be80-157f64723f5c]</v>
      </c>
      <c r="L24" s="17"/>
      <c r="M24" s="17"/>
      <c r="N24" s="17"/>
      <c r="O24" s="17"/>
    </row>
    <row r="25" spans="1:15" ht="12.5">
      <c r="A25" s="17" t="str">
        <f ca="1">IFERROR(__xludf.DUMMYFUNCTION("""COMPUTED_VALUE"""),"TRX1893")</f>
        <v>TRX1893</v>
      </c>
      <c r="B25" s="86" t="str">
        <f ca="1">IFERROR(__xludf.DUMMYFUNCTION("""COMPUTED_VALUE"""),"#68")</f>
        <v>#68</v>
      </c>
      <c r="C25" s="63">
        <f ca="1">IFERROR(__xludf.DUMMYFUNCTION("""COMPUTED_VALUE"""),46062.4166666666)</f>
        <v>46062.416666666599</v>
      </c>
      <c r="D25" s="65">
        <f ca="1">IFERROR(__xludf.DUMMYFUNCTION("""COMPUTED_VALUE"""),69.95)</f>
        <v>69.95</v>
      </c>
      <c r="E25" s="17" t="str">
        <f ca="1">IFERROR(__xludf.DUMMYFUNCTION("""COMPUTED_VALUE"""),"MXN")</f>
        <v>MXN</v>
      </c>
      <c r="F25" s="17" t="str">
        <f ca="1">IFERROR(__xludf.DUMMYFUNCTION("""COMPUTED_VALUE"""),"Jorge Armando Ramirez Perez")</f>
        <v>Jorge Armando Ramirez Perez</v>
      </c>
      <c r="G25" s="17" t="str">
        <f ca="1">IFERROR(__xludf.DUMMYFUNCTION("""COMPUTED_VALUE"""),"UBER * PENDING         CMX           MEX")</f>
        <v>UBER * PENDING         CMX           MEX</v>
      </c>
      <c r="H25" s="17" t="str">
        <f ca="1">IFERROR(__xludf.DUMMYFUNCTION("""COMPUTED_VALUE"""),"Uber")</f>
        <v>Uber</v>
      </c>
      <c r="I25" s="17" t="str">
        <f ca="1">IFERROR(__xludf.DUMMYFUNCTION("""COMPUTED_VALUE"""),"Transaction cost")</f>
        <v>Transaction cost</v>
      </c>
      <c r="J25" s="17" t="str">
        <f ca="1">IFERROR(__xludf.DUMMYFUNCTION("""COMPUTED_VALUE"""),"Envio Rugosimetro")</f>
        <v>Envio Rugosimetro</v>
      </c>
      <c r="K25" s="17"/>
      <c r="L25" s="17"/>
      <c r="M25" s="17"/>
      <c r="N25" s="17"/>
      <c r="O25" s="17"/>
    </row>
    <row r="26" spans="1:15" ht="12.5">
      <c r="A26" s="17" t="str">
        <f ca="1">IFERROR(__xludf.DUMMYFUNCTION("""COMPUTED_VALUE"""),"TRX1881")</f>
        <v>TRX1881</v>
      </c>
      <c r="B26" s="86" t="str">
        <f ca="1">IFERROR(__xludf.DUMMYFUNCTION("""COMPUTED_VALUE"""),"#68")</f>
        <v>#68</v>
      </c>
      <c r="C26" s="63">
        <f ca="1">IFERROR(__xludf.DUMMYFUNCTION("""COMPUTED_VALUE"""),46062.4166666666)</f>
        <v>46062.416666666599</v>
      </c>
      <c r="D26" s="65">
        <f ca="1">IFERROR(__xludf.DUMMYFUNCTION("""COMPUTED_VALUE"""),938)</f>
        <v>938</v>
      </c>
      <c r="E26" s="17" t="str">
        <f ca="1">IFERROR(__xludf.DUMMYFUNCTION("""COMPUTED_VALUE"""),"MXN")</f>
        <v>MXN</v>
      </c>
      <c r="F26" s="17" t="str">
        <f ca="1">IFERROR(__xludf.DUMMYFUNCTION("""COMPUTED_VALUE"""),"Jorge Armando Ramirez Perez")</f>
        <v>Jorge Armando Ramirez Perez</v>
      </c>
      <c r="G26" s="17" t="str">
        <f ca="1">IFERROR(__xludf.DUMMYFUNCTION("""COMPUTED_VALUE"""),"AUTOZONE 7798          GUADALUPE NL  MEX")</f>
        <v>AUTOZONE 7798          GUADALUPE NL  MEX</v>
      </c>
      <c r="H26" s="17" t="str">
        <f ca="1">IFERROR(__xludf.DUMMYFUNCTION("""COMPUTED_VALUE"""),"Autozone")</f>
        <v>Autozone</v>
      </c>
      <c r="I26" s="17" t="str">
        <f ca="1">IFERROR(__xludf.DUMMYFUNCTION("""COMPUTED_VALUE"""),"Transaction cost")</f>
        <v>Transaction cost</v>
      </c>
      <c r="J26" s="17" t="str">
        <f ca="1">IFERROR(__xludf.DUMMYFUNCTION("""COMPUTED_VALUE"""),"RFQ 5052 Batimore Base chillers Auto / Combustible pagado en efectivo")</f>
        <v>RFQ 5052 Batimore Base chillers Auto / Combustible pagado en efectivo</v>
      </c>
      <c r="K26" s="17" t="str">
        <f ca="1">IFERROR(__xludf.DUMMYFUNCTION("""COMPUTED_VALUE"""),"Serie 00007798 Folio 964259")</f>
        <v>Serie 00007798 Folio 964259</v>
      </c>
      <c r="L26" s="17"/>
      <c r="M26" s="17"/>
      <c r="N26" s="17"/>
      <c r="O26" s="17"/>
    </row>
    <row r="27" spans="1:15" ht="12.5">
      <c r="A27" s="17" t="str">
        <f ca="1">IFERROR(__xludf.DUMMYFUNCTION("""COMPUTED_VALUE"""),"TRX1791")</f>
        <v>TRX1791</v>
      </c>
      <c r="B27" s="86" t="str">
        <f ca="1">IFERROR(__xludf.DUMMYFUNCTION("""COMPUTED_VALUE"""),"#68")</f>
        <v>#68</v>
      </c>
      <c r="C27" s="63">
        <f ca="1">IFERROR(__xludf.DUMMYFUNCTION("""COMPUTED_VALUE"""),46062.4166666666)</f>
        <v>46062.416666666599</v>
      </c>
      <c r="D27" s="65">
        <f ca="1">IFERROR(__xludf.DUMMYFUNCTION("""COMPUTED_VALUE"""),290)</f>
        <v>290</v>
      </c>
      <c r="E27" s="17" t="str">
        <f ca="1">IFERROR(__xludf.DUMMYFUNCTION("""COMPUTED_VALUE"""),"MXN")</f>
        <v>MXN</v>
      </c>
      <c r="F27" s="17" t="str">
        <f ca="1">IFERROR(__xludf.DUMMYFUNCTION("""COMPUTED_VALUE"""),"Jorge Armando Ramirez Perez")</f>
        <v>Jorge Armando Ramirez Perez</v>
      </c>
      <c r="G27" s="17" t="str">
        <f ca="1">IFERROR(__xludf.DUMMYFUNCTION("""COMPUTED_VALUE"""),"TACOS EL AMIGO         MONTERREY NL  MEX")</f>
        <v>TACOS EL AMIGO         MONTERREY NL  MEX</v>
      </c>
      <c r="H27" s="17" t="str">
        <f ca="1">IFERROR(__xludf.DUMMYFUNCTION("""COMPUTED_VALUE"""),"Tacos El Amigo Monterrey Nl Mex")</f>
        <v>Tacos El Amigo Monterrey Nl Mex</v>
      </c>
      <c r="I27" s="17" t="str">
        <f ca="1">IFERROR(__xludf.DUMMYFUNCTION("""COMPUTED_VALUE"""),"Transaction cost")</f>
        <v>Transaction cost</v>
      </c>
      <c r="J27" s="17" t="str">
        <f ca="1">IFERROR(__xludf.DUMMYFUNCTION("""COMPUTED_VALUE"""),"PO 780 Deacero Abrazaderas Comida")</f>
        <v>PO 780 Deacero Abrazaderas Comida</v>
      </c>
      <c r="K27" s="17" t="str">
        <f ca="1">IFERROR(__xludf.DUMMYFUNCTION("""COMPUTED_VALUE"""),"N-")</f>
        <v>N-</v>
      </c>
      <c r="L27" s="17"/>
      <c r="M27" s="17"/>
      <c r="N27" s="17"/>
      <c r="O27" s="17"/>
    </row>
    <row r="28" spans="1:15" ht="12.5">
      <c r="A28" s="17" t="str">
        <f ca="1">IFERROR(__xludf.DUMMYFUNCTION("""COMPUTED_VALUE"""),"TRX1731")</f>
        <v>TRX1731</v>
      </c>
      <c r="B28" s="86" t="str">
        <f ca="1">IFERROR(__xludf.DUMMYFUNCTION("""COMPUTED_VALUE"""),"#68")</f>
        <v>#68</v>
      </c>
      <c r="C28" s="63">
        <f ca="1">IFERROR(__xludf.DUMMYFUNCTION("""COMPUTED_VALUE"""),46064.4166666666)</f>
        <v>46064.416666666599</v>
      </c>
      <c r="D28" s="65">
        <f ca="1">IFERROR(__xludf.DUMMYFUNCTION("""COMPUTED_VALUE"""),1012)</f>
        <v>1012</v>
      </c>
      <c r="E28" s="17" t="str">
        <f ca="1">IFERROR(__xludf.DUMMYFUNCTION("""COMPUTED_VALUE"""),"MXN")</f>
        <v>MXN</v>
      </c>
      <c r="F28" s="17" t="str">
        <f ca="1">IFERROR(__xludf.DUMMYFUNCTION("""COMPUTED_VALUE"""),"Jorge Armando Ramirez Perez")</f>
        <v>Jorge Armando Ramirez Perez</v>
      </c>
      <c r="G28" s="17" t="str">
        <f ca="1">IFERROR(__xludf.DUMMYFUNCTION("""COMPUTED_VALUE"""),"BAIFO RESTAURANT       SALTILLO COAH MEX")</f>
        <v>BAIFO RESTAURANT       SALTILLO COAH MEX</v>
      </c>
      <c r="H28" s="17" t="str">
        <f ca="1">IFERROR(__xludf.DUMMYFUNCTION("""COMPUTED_VALUE"""),"Baifo Restaurant Saltillo Coah Mex")</f>
        <v>Baifo Restaurant Saltillo Coah Mex</v>
      </c>
      <c r="I28" s="17" t="str">
        <f ca="1">IFERROR(__xludf.DUMMYFUNCTION("""COMPUTED_VALUE"""),"Transaction cost")</f>
        <v>Transaction cost</v>
      </c>
      <c r="J28" s="17" t="str">
        <f ca="1">IFERROR(__xludf.DUMMYFUNCTION("""COMPUTED_VALUE"""),"RFQ 5052 Batimore Base chillers Comida / Jose Franco / Jorge Ramirez")</f>
        <v>RFQ 5052 Batimore Base chillers Comida / Jose Franco / Jorge Ramirez</v>
      </c>
      <c r="K28" s="17" t="str">
        <f ca="1">IFERROR(__xludf.DUMMYFUNCTION("""COMPUTED_VALUE"""),"A8EE1237-0C26-4D3F-89CA-6342027D54EC")</f>
        <v>A8EE1237-0C26-4D3F-89CA-6342027D54EC</v>
      </c>
      <c r="L28" s="17"/>
      <c r="M28" s="17"/>
      <c r="N28" s="17"/>
      <c r="O28" s="17"/>
    </row>
    <row r="29" spans="1:15" ht="12.5">
      <c r="A29" s="17" t="str">
        <f ca="1">IFERROR(__xludf.DUMMYFUNCTION("""COMPUTED_VALUE"""),"TRX1464")</f>
        <v>TRX1464</v>
      </c>
      <c r="B29" s="86" t="str">
        <f ca="1">IFERROR(__xludf.DUMMYFUNCTION("""COMPUTED_VALUE"""),"#68")</f>
        <v>#68</v>
      </c>
      <c r="C29" s="63">
        <f ca="1">IFERROR(__xludf.DUMMYFUNCTION("""COMPUTED_VALUE"""),46064.4166666666)</f>
        <v>46064.416666666599</v>
      </c>
      <c r="D29" s="65">
        <f ca="1">IFERROR(__xludf.DUMMYFUNCTION("""COMPUTED_VALUE"""),193.6)</f>
        <v>193.6</v>
      </c>
      <c r="E29" s="17" t="str">
        <f ca="1">IFERROR(__xludf.DUMMYFUNCTION("""COMPUTED_VALUE"""),"MXN")</f>
        <v>MXN</v>
      </c>
      <c r="F29" s="17" t="str">
        <f ca="1">IFERROR(__xludf.DUMMYFUNCTION("""COMPUTED_VALUE"""),"Jorge Armando Ramirez Perez")</f>
        <v>Jorge Armando Ramirez Perez</v>
      </c>
      <c r="G29" s="17" t="str">
        <f ca="1">IFERROR(__xludf.DUMMYFUNCTION("""COMPUTED_VALUE"""),"MERCADOPAGO *GORDITAS  Saltillo      MEX")</f>
        <v>MERCADOPAGO *GORDITAS  Saltillo      MEX</v>
      </c>
      <c r="H29" s="17" t="str">
        <f ca="1">IFERROR(__xludf.DUMMYFUNCTION("""COMPUTED_VALUE"""),"Mercadopago")</f>
        <v>Mercadopago</v>
      </c>
      <c r="I29" s="17" t="str">
        <f ca="1">IFERROR(__xludf.DUMMYFUNCTION("""COMPUTED_VALUE"""),"Transaction cost")</f>
        <v>Transaction cost</v>
      </c>
      <c r="J29" s="17" t="str">
        <f ca="1">IFERROR(__xludf.DUMMYFUNCTION("""COMPUTED_VALUE"""),"RFQ 5052 Baltimore Baseparachiller Comida")</f>
        <v>RFQ 5052 Baltimore Baseparachiller Comida</v>
      </c>
      <c r="K29" s="17"/>
      <c r="L29" s="17"/>
      <c r="M29" s="17"/>
      <c r="N29" s="17"/>
      <c r="O29" s="17"/>
    </row>
    <row r="30" spans="1:15" ht="12.5">
      <c r="A30" s="17" t="str">
        <f ca="1">IFERROR(__xludf.DUMMYFUNCTION("""COMPUTED_VALUE"""),"TRX1550")</f>
        <v>TRX1550</v>
      </c>
      <c r="B30" s="86" t="str">
        <f ca="1">IFERROR(__xludf.DUMMYFUNCTION("""COMPUTED_VALUE"""),"#68")</f>
        <v>#68</v>
      </c>
      <c r="C30" s="63">
        <f ca="1">IFERROR(__xludf.DUMMYFUNCTION("""COMPUTED_VALUE"""),46064.4173611111)</f>
        <v>46064.417361111096</v>
      </c>
      <c r="D30" s="65">
        <f ca="1">IFERROR(__xludf.DUMMYFUNCTION("""COMPUTED_VALUE"""),997.18)</f>
        <v>997.18</v>
      </c>
      <c r="E30" s="17" t="str">
        <f ca="1">IFERROR(__xludf.DUMMYFUNCTION("""COMPUTED_VALUE"""),"MXN")</f>
        <v>MXN</v>
      </c>
      <c r="F30" s="17" t="str">
        <f ca="1">IFERROR(__xludf.DUMMYFUNCTION("""COMPUTED_VALUE"""),"Jorge Armando Ramirez Perez")</f>
        <v>Jorge Armando Ramirez Perez</v>
      </c>
      <c r="G30" s="17" t="str">
        <f ca="1">IFERROR(__xludf.DUMMYFUNCTION("""COMPUTED_VALUE"""),"HIDROCARBUROS QUINTAS  GUADALUPE NL  MEX")</f>
        <v>HIDROCARBUROS QUINTAS  GUADALUPE NL  MEX</v>
      </c>
      <c r="H30" s="17" t="str">
        <f ca="1">IFERROR(__xludf.DUMMYFUNCTION("""COMPUTED_VALUE"""),"Hidrocarburos Quintas Guadalupe Nl Mex")</f>
        <v>Hidrocarburos Quintas Guadalupe Nl Mex</v>
      </c>
      <c r="I30" s="17" t="str">
        <f ca="1">IFERROR(__xludf.DUMMYFUNCTION("""COMPUTED_VALUE"""),"Transaction cost")</f>
        <v>Transaction cost</v>
      </c>
      <c r="J30" s="17" t="str">
        <f ca="1">IFERROR(__xludf.DUMMYFUNCTION("""COMPUTED_VALUE"""),"RFQ 5052 Batimore Base chillers Gasolina")</f>
        <v>RFQ 5052 Batimore Base chillers Gasolina</v>
      </c>
      <c r="K30" s="17"/>
      <c r="L30" s="17"/>
      <c r="M30" s="17"/>
      <c r="N30" s="17"/>
      <c r="O30" s="17"/>
    </row>
    <row r="31" spans="1:15" ht="12.5">
      <c r="A31" s="17" t="str">
        <f ca="1">IFERROR(__xludf.DUMMYFUNCTION("""COMPUTED_VALUE"""),"TRX1671")</f>
        <v>TRX1671</v>
      </c>
      <c r="B31" s="86" t="str">
        <f ca="1">IFERROR(__xludf.DUMMYFUNCTION("""COMPUTED_VALUE"""),"#68")</f>
        <v>#68</v>
      </c>
      <c r="C31" s="63">
        <f ca="1">IFERROR(__xludf.DUMMYFUNCTION("""COMPUTED_VALUE"""),46066.4166666666)</f>
        <v>46066.416666666599</v>
      </c>
      <c r="D31" s="65">
        <f ca="1">IFERROR(__xludf.DUMMYFUNCTION("""COMPUTED_VALUE"""),63.85)</f>
        <v>63.85</v>
      </c>
      <c r="E31" s="17" t="str">
        <f ca="1">IFERROR(__xludf.DUMMYFUNCTION("""COMPUTED_VALUE"""),"MXN")</f>
        <v>MXN</v>
      </c>
      <c r="F31" s="17" t="str">
        <f ca="1">IFERROR(__xludf.DUMMYFUNCTION("""COMPUTED_VALUE"""),"Jorge Armando Ramirez Perez")</f>
        <v>Jorge Armando Ramirez Perez</v>
      </c>
      <c r="G31" s="17" t="str">
        <f ca="1">IFERROR(__xludf.DUMMYFUNCTION("""COMPUTED_VALUE"""),"HEB LINDA VISTA        GUADALUPE NL  MEX")</f>
        <v>HEB LINDA VISTA        GUADALUPE NL  MEX</v>
      </c>
      <c r="H31" s="17" t="str">
        <f ca="1">IFERROR(__xludf.DUMMYFUNCTION("""COMPUTED_VALUE"""),"H-E-B")</f>
        <v>H-E-B</v>
      </c>
      <c r="I31" s="17" t="str">
        <f ca="1">IFERROR(__xludf.DUMMYFUNCTION("""COMPUTED_VALUE"""),"Transaction cost")</f>
        <v>Transaction cost</v>
      </c>
      <c r="J31" s="17" t="str">
        <f ca="1">IFERROR(__xludf.DUMMYFUNCTION("""COMPUTED_VALUE"""),"RFQ 5052 Baltimore Baseparachiller Comida")</f>
        <v>RFQ 5052 Baltimore Baseparachiller Comida</v>
      </c>
      <c r="K31" s="17" t="str">
        <f ca="1">IFERROR(__xludf.DUMMYFUNCTION("""COMPUTED_VALUE"""),"KC 591712")</f>
        <v>KC 591712</v>
      </c>
      <c r="L31" s="17"/>
      <c r="M31" s="17"/>
      <c r="N31" s="17"/>
      <c r="O31" s="17"/>
    </row>
    <row r="32" spans="1:15" ht="12.5">
      <c r="A32" s="17" t="str">
        <f ca="1">IFERROR(__xludf.DUMMYFUNCTION("""COMPUTED_VALUE"""),"TRX2016")</f>
        <v>TRX2016</v>
      </c>
      <c r="B32" s="86" t="str">
        <f ca="1">IFERROR(__xludf.DUMMYFUNCTION("""COMPUTED_VALUE"""),"#68")</f>
        <v>#68</v>
      </c>
      <c r="C32" s="63">
        <f ca="1">IFERROR(__xludf.DUMMYFUNCTION("""COMPUTED_VALUE"""),46067.4166666666)</f>
        <v>46067.416666666599</v>
      </c>
      <c r="D32" s="17">
        <f ca="1">IFERROR(__xludf.DUMMYFUNCTION("""COMPUTED_VALUE"""),296.7)</f>
        <v>296.7</v>
      </c>
      <c r="E32" s="17" t="str">
        <f ca="1">IFERROR(__xludf.DUMMYFUNCTION("""COMPUTED_VALUE"""),"MXN")</f>
        <v>MXN</v>
      </c>
      <c r="F32" s="17" t="str">
        <f ca="1">IFERROR(__xludf.DUMMYFUNCTION("""COMPUTED_VALUE"""),"Jorge Armando Ramirez Perez")</f>
        <v>Jorge Armando Ramirez Perez</v>
      </c>
      <c r="G32" s="17" t="str">
        <f ca="1">IFERROR(__xludf.DUMMYFUNCTION("""COMPUTED_VALUE"""),"MERCADOPAGO *GORDITAS  Saltillo      MEX")</f>
        <v>MERCADOPAGO *GORDITAS  Saltillo      MEX</v>
      </c>
      <c r="H32" s="17" t="str">
        <f ca="1">IFERROR(__xludf.DUMMYFUNCTION("""COMPUTED_VALUE"""),"Mercadopago")</f>
        <v>Mercadopago</v>
      </c>
      <c r="I32" s="17" t="str">
        <f ca="1">IFERROR(__xludf.DUMMYFUNCTION("""COMPUTED_VALUE"""),"Transaction cost")</f>
        <v>Transaction cost</v>
      </c>
      <c r="J32" s="17" t="str">
        <f ca="1">IFERROR(__xludf.DUMMYFUNCTION("""COMPUTED_VALUE"""),"RFQ 5052 Baltimore Baseparachiller Comida")</f>
        <v>RFQ 5052 Baltimore Baseparachiller Comida</v>
      </c>
      <c r="K32" s="17"/>
      <c r="L32" s="17"/>
      <c r="M32" s="17"/>
      <c r="N32" s="17"/>
      <c r="O32" s="17"/>
    </row>
    <row r="33" spans="1:15" ht="12.5">
      <c r="A33" s="17" t="str">
        <f ca="1">IFERROR(__xludf.DUMMYFUNCTION("""COMPUTED_VALUE"""),"TRX1680")</f>
        <v>TRX1680</v>
      </c>
      <c r="B33" s="86" t="str">
        <f ca="1">IFERROR(__xludf.DUMMYFUNCTION("""COMPUTED_VALUE"""),"#68")</f>
        <v>#68</v>
      </c>
      <c r="C33" s="63">
        <f ca="1">IFERROR(__xludf.DUMMYFUNCTION("""COMPUTED_VALUE"""),46067.4166666666)</f>
        <v>46067.416666666599</v>
      </c>
      <c r="D33" s="65">
        <f ca="1">IFERROR(__xludf.DUMMYFUNCTION("""COMPUTED_VALUE"""),600)</f>
        <v>600</v>
      </c>
      <c r="E33" s="17" t="str">
        <f ca="1">IFERROR(__xludf.DUMMYFUNCTION("""COMPUTED_VALUE"""),"MXN")</f>
        <v>MXN</v>
      </c>
      <c r="F33" s="17" t="str">
        <f ca="1">IFERROR(__xludf.DUMMYFUNCTION("""COMPUTED_VALUE"""),"Jorge Armando Ramirez Perez")</f>
        <v>Jorge Armando Ramirez Perez</v>
      </c>
      <c r="G33" s="17" t="str">
        <f ca="1">IFERROR(__xludf.DUMMYFUNCTION("""COMPUTED_VALUE"""),"RECARGA PASE TUTAG     CIUDAD DE MEX MEX")</f>
        <v>RECARGA PASE TUTAG     CIUDAD DE MEX MEX</v>
      </c>
      <c r="H33" s="17" t="str">
        <f ca="1">IFERROR(__xludf.DUMMYFUNCTION("""COMPUTED_VALUE"""),"Recarga Pase Tutag Ciudad De Mex Mex")</f>
        <v>Recarga Pase Tutag Ciudad De Mex Mex</v>
      </c>
      <c r="I33" s="17" t="str">
        <f ca="1">IFERROR(__xludf.DUMMYFUNCTION("""COMPUTED_VALUE"""),"Transaction cost")</f>
        <v>Transaction cost</v>
      </c>
      <c r="J33" s="17" t="str">
        <f ca="1">IFERROR(__xludf.DUMMYFUNCTION("""COMPUTED_VALUE"""),"RFQ 5052 Baltimore Baseparachiller Casetas")</f>
        <v>RFQ 5052 Baltimore Baseparachiller Casetas</v>
      </c>
      <c r="K33" s="17" t="str">
        <f ca="1">IFERROR(__xludf.DUMMYFUNCTION("""COMPUTED_VALUE"""),"00001000000720922343")</f>
        <v>00001000000720922343</v>
      </c>
      <c r="L33" s="17"/>
      <c r="M33" s="17"/>
      <c r="N33" s="17"/>
      <c r="O33" s="17"/>
    </row>
    <row r="34" spans="1:15" ht="12.5">
      <c r="A34" s="17" t="str">
        <f ca="1">IFERROR(__xludf.DUMMYFUNCTION("""COMPUTED_VALUE"""),"TRX1272")</f>
        <v>TRX1272</v>
      </c>
      <c r="B34" s="86" t="str">
        <f ca="1">IFERROR(__xludf.DUMMYFUNCTION("""COMPUTED_VALUE"""),"#68")</f>
        <v>#68</v>
      </c>
      <c r="C34" s="63">
        <f ca="1">IFERROR(__xludf.DUMMYFUNCTION("""COMPUTED_VALUE"""),46067.4173611111)</f>
        <v>46067.417361111096</v>
      </c>
      <c r="D34" s="65">
        <f ca="1">IFERROR(__xludf.DUMMYFUNCTION("""COMPUTED_VALUE"""),255)</f>
        <v>255</v>
      </c>
      <c r="E34" s="17" t="str">
        <f ca="1">IFERROR(__xludf.DUMMYFUNCTION("""COMPUTED_VALUE"""),"MXN")</f>
        <v>MXN</v>
      </c>
      <c r="F34" s="17" t="str">
        <f ca="1">IFERROR(__xludf.DUMMYFUNCTION("""COMPUTED_VALUE"""),"Jorge Armando Ramirez Perez")</f>
        <v>Jorge Armando Ramirez Perez</v>
      </c>
      <c r="G34" s="17" t="str">
        <f ca="1">IFERROR(__xludf.DUMMYFUNCTION("""COMPUTED_VALUE"""),"EL POLLO LOCO          GUADALUPE NL  MEX")</f>
        <v>EL POLLO LOCO          GUADALUPE NL  MEX</v>
      </c>
      <c r="H34" s="17" t="str">
        <f ca="1">IFERROR(__xludf.DUMMYFUNCTION("""COMPUTED_VALUE"""),"El Pollo Loco")</f>
        <v>El Pollo Loco</v>
      </c>
      <c r="I34" s="17" t="str">
        <f ca="1">IFERROR(__xludf.DUMMYFUNCTION("""COMPUTED_VALUE"""),"Transaction cost")</f>
        <v>Transaction cost</v>
      </c>
      <c r="J34" s="17" t="str">
        <f ca="1">IFERROR(__xludf.DUMMYFUNCTION("""COMPUTED_VALUE"""),"PO 7080 DeAcero Abrazaderas Comida")</f>
        <v>PO 7080 DeAcero Abrazaderas Comida</v>
      </c>
      <c r="K34" s="17"/>
      <c r="L34" s="17"/>
      <c r="M34" s="17"/>
      <c r="N34" s="17"/>
      <c r="O34" s="17"/>
    </row>
    <row r="35" spans="1:15" ht="12.5">
      <c r="A35" s="17" t="str">
        <f ca="1">IFERROR(__xludf.DUMMYFUNCTION("""COMPUTED_VALUE"""),"TRX1042")</f>
        <v>TRX1042</v>
      </c>
      <c r="B35" s="86" t="str">
        <f ca="1">IFERROR(__xludf.DUMMYFUNCTION("""COMPUTED_VALUE"""),"#68")</f>
        <v>#68</v>
      </c>
      <c r="C35" s="63">
        <f ca="1">IFERROR(__xludf.DUMMYFUNCTION("""COMPUTED_VALUE"""),46067.4173611111)</f>
        <v>46067.417361111096</v>
      </c>
      <c r="D35" s="65">
        <f ca="1">IFERROR(__xludf.DUMMYFUNCTION("""COMPUTED_VALUE"""),200)</f>
        <v>200</v>
      </c>
      <c r="E35" s="17" t="str">
        <f ca="1">IFERROR(__xludf.DUMMYFUNCTION("""COMPUTED_VALUE"""),"MXN")</f>
        <v>MXN</v>
      </c>
      <c r="F35" s="17" t="str">
        <f ca="1">IFERROR(__xludf.DUMMYFUNCTION("""COMPUTED_VALUE"""),"Jorge Armando Ramirez Perez")</f>
        <v>Jorge Armando Ramirez Perez</v>
      </c>
      <c r="G35" s="17" t="str">
        <f ca="1">IFERROR(__xludf.DUMMYFUNCTION("""COMPUTED_VALUE"""),"SULTANA DOS RIOS       GUADALUPE NL  MEX")</f>
        <v>SULTANA DOS RIOS       GUADALUPE NL  MEX</v>
      </c>
      <c r="H35" s="17" t="str">
        <f ca="1">IFERROR(__xludf.DUMMYFUNCTION("""COMPUTED_VALUE"""),"Sultana Dos Rios Guadalupe Nl Mex")</f>
        <v>Sultana Dos Rios Guadalupe Nl Mex</v>
      </c>
      <c r="I35" s="17" t="str">
        <f ca="1">IFERROR(__xludf.DUMMYFUNCTION("""COMPUTED_VALUE"""),"Transaction cost")</f>
        <v>Transaction cost</v>
      </c>
      <c r="J35" s="17" t="str">
        <f ca="1">IFERROR(__xludf.DUMMYFUNCTION("""COMPUTED_VALUE"""),"RFQ 5052 Baltimore Baseparachiller Gasolina")</f>
        <v>RFQ 5052 Baltimore Baseparachiller Gasolina</v>
      </c>
      <c r="K35" s="17"/>
      <c r="L35" s="17"/>
      <c r="M35" s="17"/>
      <c r="N35" s="17"/>
      <c r="O35" s="17"/>
    </row>
    <row r="36" spans="1:15" ht="12.5">
      <c r="A36" s="17" t="str">
        <f ca="1">IFERROR(__xludf.DUMMYFUNCTION("""COMPUTED_VALUE"""),"TRX1813")</f>
        <v>TRX1813</v>
      </c>
      <c r="B36" s="86" t="str">
        <f ca="1">IFERROR(__xludf.DUMMYFUNCTION("""COMPUTED_VALUE"""),"#68")</f>
        <v>#68</v>
      </c>
      <c r="C36" s="63">
        <f ca="1">IFERROR(__xludf.DUMMYFUNCTION("""COMPUTED_VALUE"""),46067.4173611111)</f>
        <v>46067.417361111096</v>
      </c>
      <c r="D36" s="65">
        <f ca="1">IFERROR(__xludf.DUMMYFUNCTION("""COMPUTED_VALUE"""),371)</f>
        <v>371</v>
      </c>
      <c r="E36" s="17" t="str">
        <f ca="1">IFERROR(__xludf.DUMMYFUNCTION("""COMPUTED_VALUE"""),"MXN")</f>
        <v>MXN</v>
      </c>
      <c r="F36" s="17" t="str">
        <f ca="1">IFERROR(__xludf.DUMMYFUNCTION("""COMPUTED_VALUE"""),"Jorge Armando Ramirez Perez")</f>
        <v>Jorge Armando Ramirez Perez</v>
      </c>
      <c r="G36" s="17" t="str">
        <f ca="1">IFERROR(__xludf.DUMMYFUNCTION("""COMPUTED_VALUE"""),"OXXOPORTAL DE HDA MTY  GUADALUPE NL  MEX")</f>
        <v>OXXOPORTAL DE HDA MTY  GUADALUPE NL  MEX</v>
      </c>
      <c r="H36" s="17" t="str">
        <f ca="1">IFERROR(__xludf.DUMMYFUNCTION("""COMPUTED_VALUE"""),"Oxxoportal De Hda Mty Guadalupe Nl Mex")</f>
        <v>Oxxoportal De Hda Mty Guadalupe Nl Mex</v>
      </c>
      <c r="I36" s="17" t="str">
        <f ca="1">IFERROR(__xludf.DUMMYFUNCTION("""COMPUTED_VALUE"""),"Transaction cost")</f>
        <v>Transaction cost</v>
      </c>
      <c r="J36" s="17" t="str">
        <f ca="1">IFERROR(__xludf.DUMMYFUNCTION("""COMPUTED_VALUE"""),"RFQ 4512 Ecoclean Visita MP Comida")</f>
        <v>RFQ 4512 Ecoclean Visita MP Comida</v>
      </c>
      <c r="K36" s="17"/>
      <c r="L36" s="17"/>
      <c r="M36" s="17"/>
      <c r="N36" s="17"/>
      <c r="O36" s="17"/>
    </row>
    <row r="37" spans="1:15" ht="12.5">
      <c r="A37" s="17" t="str">
        <f ca="1">IFERROR(__xludf.DUMMYFUNCTION("""COMPUTED_VALUE"""),"TRX2019")</f>
        <v>TRX2019</v>
      </c>
      <c r="B37" s="86" t="str">
        <f ca="1">IFERROR(__xludf.DUMMYFUNCTION("""COMPUTED_VALUE"""),"#68")</f>
        <v>#68</v>
      </c>
      <c r="C37" s="63">
        <f ca="1">IFERROR(__xludf.DUMMYFUNCTION("""COMPUTED_VALUE"""),46069.4166666666)</f>
        <v>46069.416666666599</v>
      </c>
      <c r="D37" s="17">
        <f ca="1">IFERROR(__xludf.DUMMYFUNCTION("""COMPUTED_VALUE"""),405.96)</f>
        <v>405.96</v>
      </c>
      <c r="E37" s="17" t="str">
        <f ca="1">IFERROR(__xludf.DUMMYFUNCTION("""COMPUTED_VALUE"""),"MXN")</f>
        <v>MXN</v>
      </c>
      <c r="F37" s="17" t="str">
        <f ca="1">IFERROR(__xludf.DUMMYFUNCTION("""COMPUTED_VALUE"""),"Jorge Armando Ramirez Perez")</f>
        <v>Jorge Armando Ramirez Perez</v>
      </c>
      <c r="G37" s="17" t="str">
        <f ca="1">IFERROR(__xludf.DUMMYFUNCTION("""COMPUTED_VALUE"""),"UBER * EATS PENDING    CMX           MEX")</f>
        <v>UBER * EATS PENDING    CMX           MEX</v>
      </c>
      <c r="H37" s="17" t="str">
        <f ca="1">IFERROR(__xludf.DUMMYFUNCTION("""COMPUTED_VALUE"""),"Uber Eats")</f>
        <v>Uber Eats</v>
      </c>
      <c r="I37" s="17" t="str">
        <f ca="1">IFERROR(__xludf.DUMMYFUNCTION("""COMPUTED_VALUE"""),"Transaction cost")</f>
        <v>Transaction cost</v>
      </c>
      <c r="J37" s="17" t="str">
        <f ca="1">IFERROR(__xludf.DUMMYFUNCTION("""COMPUTED_VALUE"""),"PO 1966 Whiteconstruction Comida")</f>
        <v>PO 1966 Whiteconstruction Comida</v>
      </c>
      <c r="K37" s="17"/>
      <c r="L37" s="17"/>
      <c r="M37" s="17"/>
      <c r="N37" s="17"/>
      <c r="O37" s="17"/>
    </row>
    <row r="38" spans="1:15" ht="12.5">
      <c r="A38" s="17" t="str">
        <f ca="1">IFERROR(__xludf.DUMMYFUNCTION("""COMPUTED_VALUE"""),"TRX1111")</f>
        <v>TRX1111</v>
      </c>
      <c r="B38" s="86" t="str">
        <f ca="1">IFERROR(__xludf.DUMMYFUNCTION("""COMPUTED_VALUE"""),"#68")</f>
        <v>#68</v>
      </c>
      <c r="C38" s="63">
        <f ca="1">IFERROR(__xludf.DUMMYFUNCTION("""COMPUTED_VALUE"""),46071.4166666666)</f>
        <v>46071.416666666599</v>
      </c>
      <c r="D38" s="65">
        <f ca="1">IFERROR(__xludf.DUMMYFUNCTION("""COMPUTED_VALUE"""),69.93)</f>
        <v>69.930000000000007</v>
      </c>
      <c r="E38" s="17" t="str">
        <f ca="1">IFERROR(__xludf.DUMMYFUNCTION("""COMPUTED_VALUE"""),"MXN")</f>
        <v>MXN</v>
      </c>
      <c r="F38" s="17" t="str">
        <f ca="1">IFERROR(__xludf.DUMMYFUNCTION("""COMPUTED_VALUE"""),"Jorge Armando Ramirez Perez")</f>
        <v>Jorge Armando Ramirez Perez</v>
      </c>
      <c r="G38" s="17" t="str">
        <f ca="1">IFERROR(__xludf.DUMMYFUNCTION("""COMPUTED_VALUE"""),"UBER * PENDING         CMX           MEX")</f>
        <v>UBER * PENDING         CMX           MEX</v>
      </c>
      <c r="H38" s="17" t="str">
        <f ca="1">IFERROR(__xludf.DUMMYFUNCTION("""COMPUTED_VALUE"""),"Uber")</f>
        <v>Uber</v>
      </c>
      <c r="I38" s="17" t="str">
        <f ca="1">IFERROR(__xludf.DUMMYFUNCTION("""COMPUTED_VALUE"""),"Transaction cost")</f>
        <v>Transaction cost</v>
      </c>
      <c r="J38" s="17" t="str">
        <f ca="1">IFERROR(__xludf.DUMMYFUNCTION("""COMPUTED_VALUE"""),"Envio Rugosimetro")</f>
        <v>Envio Rugosimetro</v>
      </c>
      <c r="K38" s="17" t="str">
        <f ca="1">IFERROR(__xludf.DUMMYFUNCTION("""COMPUTED_VALUE"""),"NLRNOP-I-0000006")</f>
        <v>NLRNOP-I-0000006</v>
      </c>
      <c r="L38" s="17"/>
      <c r="M38" s="17"/>
      <c r="N38" s="17"/>
      <c r="O38" s="17"/>
    </row>
    <row r="39" spans="1:15" ht="12.5">
      <c r="A39" s="17" t="str">
        <f ca="1">IFERROR(__xludf.DUMMYFUNCTION("""COMPUTED_VALUE"""),"TRX1439")</f>
        <v>TRX1439</v>
      </c>
      <c r="B39" s="86" t="str">
        <f ca="1">IFERROR(__xludf.DUMMYFUNCTION("""COMPUTED_VALUE"""),"#68")</f>
        <v>#68</v>
      </c>
      <c r="C39" s="63">
        <f ca="1">IFERROR(__xludf.DUMMYFUNCTION("""COMPUTED_VALUE"""),46071.4166666666)</f>
        <v>46071.416666666599</v>
      </c>
      <c r="D39" s="65">
        <f ca="1">IFERROR(__xludf.DUMMYFUNCTION("""COMPUTED_VALUE"""),839.48)</f>
        <v>839.48</v>
      </c>
      <c r="E39" s="17" t="str">
        <f ca="1">IFERROR(__xludf.DUMMYFUNCTION("""COMPUTED_VALUE"""),"MXN")</f>
        <v>MXN</v>
      </c>
      <c r="F39" s="17" t="str">
        <f ca="1">IFERROR(__xludf.DUMMYFUNCTION("""COMPUTED_VALUE"""),"Jorge Armando Ramirez Perez")</f>
        <v>Jorge Armando Ramirez Perez</v>
      </c>
      <c r="G39" s="17" t="str">
        <f ca="1">IFERROR(__xludf.DUMMYFUNCTION("""COMPUTED_VALUE"""),"DHL HIDALGO MTY        MONTERREY     MEX")</f>
        <v>DHL HIDALGO MTY        MONTERREY     MEX</v>
      </c>
      <c r="H39" s="17" t="str">
        <f ca="1">IFERROR(__xludf.DUMMYFUNCTION("""COMPUTED_VALUE"""),"Dhl Hidalgo Mty Monterrey Mex")</f>
        <v>Dhl Hidalgo Mty Monterrey Mex</v>
      </c>
      <c r="I39" s="17" t="str">
        <f ca="1">IFERROR(__xludf.DUMMYFUNCTION("""COMPUTED_VALUE"""),"Transaction cost")</f>
        <v>Transaction cost</v>
      </c>
      <c r="J39" s="17" t="str">
        <f ca="1">IFERROR(__xludf.DUMMYFUNCTION("""COMPUTED_VALUE"""),"Envio Rogosimetro")</f>
        <v>Envio Rogosimetro</v>
      </c>
      <c r="K39" s="17" t="str">
        <f ca="1">IFERROR(__xludf.DUMMYFUNCTION("""COMPUTED_VALUE"""),"2A9EB6F9-3053-4281-AFF9-0D6FDE815A4B")</f>
        <v>2A9EB6F9-3053-4281-AFF9-0D6FDE815A4B</v>
      </c>
      <c r="L39" s="17"/>
      <c r="M39" s="17"/>
      <c r="N39" s="17"/>
      <c r="O39" s="17"/>
    </row>
    <row r="40" spans="1:15" ht="12.5">
      <c r="A40" s="17" t="str">
        <f ca="1">IFERROR(__xludf.DUMMYFUNCTION("""COMPUTED_VALUE"""),"TRX1460")</f>
        <v>TRX1460</v>
      </c>
      <c r="B40" s="86" t="str">
        <f ca="1">IFERROR(__xludf.DUMMYFUNCTION("""COMPUTED_VALUE"""),"#68")</f>
        <v>#68</v>
      </c>
      <c r="C40" s="63">
        <f ca="1">IFERROR(__xludf.DUMMYFUNCTION("""COMPUTED_VALUE"""),46071.4173611111)</f>
        <v>46071.417361111096</v>
      </c>
      <c r="D40" s="65">
        <f ca="1">IFERROR(__xludf.DUMMYFUNCTION("""COMPUTED_VALUE"""),1073.74)</f>
        <v>1073.74</v>
      </c>
      <c r="E40" s="17" t="str">
        <f ca="1">IFERROR(__xludf.DUMMYFUNCTION("""COMPUTED_VALUE"""),"MXN")</f>
        <v>MXN</v>
      </c>
      <c r="F40" s="17" t="str">
        <f ca="1">IFERROR(__xludf.DUMMYFUNCTION("""COMPUTED_VALUE"""),"Jorge Armando Ramirez Perez")</f>
        <v>Jorge Armando Ramirez Perez</v>
      </c>
      <c r="G40" s="17" t="str">
        <f ca="1">IFERROR(__xludf.DUMMYFUNCTION("""COMPUTED_VALUE"""),"GAS OXXOPLUTARCO E CAL GUADALUPE NL  MEX")</f>
        <v>GAS OXXOPLUTARCO E CAL GUADALUPE NL  MEX</v>
      </c>
      <c r="H40" s="17" t="str">
        <f ca="1">IFERROR(__xludf.DUMMYFUNCTION("""COMPUTED_VALUE"""),"Gas Oxxoplutarco E Cal Guadalupe Nl Mex")</f>
        <v>Gas Oxxoplutarco E Cal Guadalupe Nl Mex</v>
      </c>
      <c r="I40" s="17" t="str">
        <f ca="1">IFERROR(__xludf.DUMMYFUNCTION("""COMPUTED_VALUE"""),"Transaction cost")</f>
        <v>Transaction cost</v>
      </c>
      <c r="J40" s="17" t="str">
        <f ca="1">IFERROR(__xludf.DUMMYFUNCTION("""COMPUTED_VALUE"""),"PO 7080 DeAcero Abrazaderas Gasolina")</f>
        <v>PO 7080 DeAcero Abrazaderas Gasolina</v>
      </c>
      <c r="K40" s="17" t="str">
        <f ca="1">IFERROR(__xludf.DUMMYFUNCTION("""COMPUTED_VALUE"""),"CLI57911464")</f>
        <v>CLI57911464</v>
      </c>
      <c r="L40" s="17"/>
      <c r="M40" s="17"/>
      <c r="N40" s="17"/>
      <c r="O40" s="17"/>
    </row>
    <row r="41" spans="1:15" ht="12.5">
      <c r="A41" s="17" t="str">
        <f ca="1">IFERROR(__xludf.DUMMYFUNCTION("""COMPUTED_VALUE"""),"TRX1156")</f>
        <v>TRX1156</v>
      </c>
      <c r="B41" s="86" t="str">
        <f ca="1">IFERROR(__xludf.DUMMYFUNCTION("""COMPUTED_VALUE"""),"#68")</f>
        <v>#68</v>
      </c>
      <c r="C41" s="63">
        <f ca="1">IFERROR(__xludf.DUMMYFUNCTION("""COMPUTED_VALUE"""),46072.4166666666)</f>
        <v>46072.416666666599</v>
      </c>
      <c r="D41" s="65">
        <f ca="1">IFERROR(__xludf.DUMMYFUNCTION("""COMPUTED_VALUE"""),77.2)</f>
        <v>77.2</v>
      </c>
      <c r="E41" s="17" t="str">
        <f ca="1">IFERROR(__xludf.DUMMYFUNCTION("""COMPUTED_VALUE"""),"MXN")</f>
        <v>MXN</v>
      </c>
      <c r="F41" s="17" t="str">
        <f ca="1">IFERROR(__xludf.DUMMYFUNCTION("""COMPUTED_VALUE"""),"Jorge Armando Ramirez Perez")</f>
        <v>Jorge Armando Ramirez Perez</v>
      </c>
      <c r="G41" s="17" t="str">
        <f ca="1">IFERROR(__xludf.DUMMYFUNCTION("""COMPUTED_VALUE"""),"UBER * PENDING         CMX           MEX")</f>
        <v>UBER * PENDING         CMX           MEX</v>
      </c>
      <c r="H41" s="17" t="str">
        <f ca="1">IFERROR(__xludf.DUMMYFUNCTION("""COMPUTED_VALUE"""),"Uber")</f>
        <v>Uber</v>
      </c>
      <c r="I41" s="17" t="str">
        <f ca="1">IFERROR(__xludf.DUMMYFUNCTION("""COMPUTED_VALUE"""),"Transaction cost")</f>
        <v>Transaction cost</v>
      </c>
      <c r="J41" s="17" t="str">
        <f ca="1">IFERROR(__xludf.DUMMYFUNCTION("""COMPUTED_VALUE"""),"PO 7080 DeAcero Abrazaderas UBER")</f>
        <v>PO 7080 DeAcero Abrazaderas UBER</v>
      </c>
      <c r="K41" s="17"/>
      <c r="L41" s="17"/>
      <c r="M41" s="17"/>
      <c r="N41" s="17"/>
      <c r="O41" s="17"/>
    </row>
    <row r="42" spans="1:15" ht="12.5">
      <c r="A42" s="17" t="str">
        <f ca="1">IFERROR(__xludf.DUMMYFUNCTION("""COMPUTED_VALUE"""),"TRX1940")</f>
        <v>TRX1940</v>
      </c>
      <c r="B42" s="86" t="str">
        <f ca="1">IFERROR(__xludf.DUMMYFUNCTION("""COMPUTED_VALUE"""),"#68")</f>
        <v>#68</v>
      </c>
      <c r="C42" s="63">
        <f ca="1">IFERROR(__xludf.DUMMYFUNCTION("""COMPUTED_VALUE"""),46072.4173611111)</f>
        <v>46072.417361111096</v>
      </c>
      <c r="D42" s="65">
        <f ca="1">IFERROR(__xludf.DUMMYFUNCTION("""COMPUTED_VALUE"""),75.7)</f>
        <v>75.7</v>
      </c>
      <c r="E42" s="17" t="str">
        <f ca="1">IFERROR(__xludf.DUMMYFUNCTION("""COMPUTED_VALUE"""),"MXN")</f>
        <v>MXN</v>
      </c>
      <c r="F42" s="17" t="str">
        <f ca="1">IFERROR(__xludf.DUMMYFUNCTION("""COMPUTED_VALUE"""),"Jorge Armando Ramirez Perez")</f>
        <v>Jorge Armando Ramirez Perez</v>
      </c>
      <c r="G42" s="17" t="str">
        <f ca="1">IFERROR(__xludf.DUMMYFUNCTION("""COMPUTED_VALUE"""),"DLO*UBER RIDE          CIUDAD DE MEX MEX")</f>
        <v>DLO*UBER RIDE          CIUDAD DE MEX MEX</v>
      </c>
      <c r="H42" s="17" t="str">
        <f ca="1">IFERROR(__xludf.DUMMYFUNCTION("""COMPUTED_VALUE"""),"Uber")</f>
        <v>Uber</v>
      </c>
      <c r="I42" s="17" t="str">
        <f ca="1">IFERROR(__xludf.DUMMYFUNCTION("""COMPUTED_VALUE"""),"Transaction cost")</f>
        <v>Transaction cost</v>
      </c>
      <c r="J42" s="17" t="str">
        <f ca="1">IFERROR(__xludf.DUMMYFUNCTION("""COMPUTED_VALUE"""),"PO 7080 DeAcero Abrazaderas UBER")</f>
        <v>PO 7080 DeAcero Abrazaderas UBER</v>
      </c>
      <c r="K42" s="17"/>
      <c r="L42" s="17"/>
      <c r="M42" s="17"/>
      <c r="N42" s="17"/>
      <c r="O42" s="17"/>
    </row>
    <row r="43" spans="1:15" ht="12.5">
      <c r="A43" s="17" t="str">
        <f ca="1">IFERROR(__xludf.DUMMYFUNCTION("""COMPUTED_VALUE"""),"TRX1622")</f>
        <v>TRX1622</v>
      </c>
      <c r="B43" s="86" t="str">
        <f ca="1">IFERROR(__xludf.DUMMYFUNCTION("""COMPUTED_VALUE"""),"#68")</f>
        <v>#68</v>
      </c>
      <c r="C43" s="63">
        <f ca="1">IFERROR(__xludf.DUMMYFUNCTION("""COMPUTED_VALUE"""),46073.4166666666)</f>
        <v>46073.416666666599</v>
      </c>
      <c r="D43" s="65">
        <f ca="1">IFERROR(__xludf.DUMMYFUNCTION("""COMPUTED_VALUE"""),594.55)</f>
        <v>594.54999999999995</v>
      </c>
      <c r="E43" s="17" t="str">
        <f ca="1">IFERROR(__xludf.DUMMYFUNCTION("""COMPUTED_VALUE"""),"MXN")</f>
        <v>MXN</v>
      </c>
      <c r="F43" s="17" t="str">
        <f ca="1">IFERROR(__xludf.DUMMYFUNCTION("""COMPUTED_VALUE"""),"Jorge Armando Ramirez Perez")</f>
        <v>Jorge Armando Ramirez Perez</v>
      </c>
      <c r="G43" s="17" t="str">
        <f ca="1">IFERROR(__xludf.DUMMYFUNCTION("""COMPUTED_VALUE"""),"CHILIS AEROPUERTO MTY  APODACA NL    MEX")</f>
        <v>CHILIS AEROPUERTO MTY  APODACA NL    MEX</v>
      </c>
      <c r="H43" s="17" t="str">
        <f ca="1">IFERROR(__xludf.DUMMYFUNCTION("""COMPUTED_VALUE"""),"Chili's")</f>
        <v>Chili's</v>
      </c>
      <c r="I43" s="17" t="str">
        <f ca="1">IFERROR(__xludf.DUMMYFUNCTION("""COMPUTED_VALUE"""),"Transaction cost")</f>
        <v>Transaction cost</v>
      </c>
      <c r="J43" s="17" t="str">
        <f ca="1">IFERROR(__xludf.DUMMYFUNCTION("""COMPUTED_VALUE"""),"PO 1966 Whiteconstruction Comida")</f>
        <v>PO 1966 Whiteconstruction Comida</v>
      </c>
      <c r="K43" s="17" t="str">
        <f ca="1">IFERROR(__xludf.DUMMYFUNCTION("""COMPUTED_VALUE"""),"EC570995-7479-4FB1-9D40-401E21260049")</f>
        <v>EC570995-7479-4FB1-9D40-401E21260049</v>
      </c>
      <c r="L43" s="17"/>
      <c r="M43" s="17"/>
      <c r="N43" s="17"/>
      <c r="O43" s="17"/>
    </row>
    <row r="44" spans="1:15" ht="12.5">
      <c r="A44" s="17" t="str">
        <f ca="1">IFERROR(__xludf.DUMMYFUNCTION("""COMPUTED_VALUE"""),"TRX1381")</f>
        <v>TRX1381</v>
      </c>
      <c r="B44" s="86" t="str">
        <f ca="1">IFERROR(__xludf.DUMMYFUNCTION("""COMPUTED_VALUE"""),"#68")</f>
        <v>#68</v>
      </c>
      <c r="C44" s="63">
        <f ca="1">IFERROR(__xludf.DUMMYFUNCTION("""COMPUTED_VALUE"""),46073.4173611111)</f>
        <v>46073.417361111096</v>
      </c>
      <c r="D44" s="65">
        <f ca="1">IFERROR(__xludf.DUMMYFUNCTION("""COMPUTED_VALUE"""),50)</f>
        <v>50</v>
      </c>
      <c r="E44" s="17" t="str">
        <f ca="1">IFERROR(__xludf.DUMMYFUNCTION("""COMPUTED_VALUE"""),"MXN")</f>
        <v>MXN</v>
      </c>
      <c r="F44" s="17" t="str">
        <f ca="1">IFERROR(__xludf.DUMMYFUNCTION("""COMPUTED_VALUE"""),"Jorge Armando Ramirez Perez")</f>
        <v>Jorge Armando Ramirez Perez</v>
      </c>
      <c r="G44" s="17" t="str">
        <f ca="1">IFERROR(__xludf.DUMMYFUNCTION("""COMPUTED_VALUE"""),"TELCEL RECARGAS FONY   CIUDAD DE MEX MEX")</f>
        <v>TELCEL RECARGAS FONY   CIUDAD DE MEX MEX</v>
      </c>
      <c r="H44" s="17" t="str">
        <f ca="1">IFERROR(__xludf.DUMMYFUNCTION("""COMPUTED_VALUE"""),"Telcel")</f>
        <v>Telcel</v>
      </c>
      <c r="I44" s="17" t="str">
        <f ca="1">IFERROR(__xludf.DUMMYFUNCTION("""COMPUTED_VALUE"""),"Transaction cost")</f>
        <v>Transaction cost</v>
      </c>
      <c r="J44" s="17" t="str">
        <f ca="1">IFERROR(__xludf.DUMMYFUNCTION("""COMPUTED_VALUE"""),"PO 1966 Whiteconstruction Raoming Datos")</f>
        <v>PO 1966 Whiteconstruction Raoming Datos</v>
      </c>
      <c r="K44" s="17"/>
      <c r="L44" s="17"/>
      <c r="M44" s="17"/>
      <c r="N44" s="17"/>
      <c r="O44" s="17"/>
    </row>
    <row r="45" spans="1:15" ht="12.5">
      <c r="A45" s="17" t="str">
        <f ca="1">IFERROR(__xludf.DUMMYFUNCTION("""COMPUTED_VALUE"""),"TRX1002")</f>
        <v>TRX1002</v>
      </c>
      <c r="B45" s="86" t="str">
        <f ca="1">IFERROR(__xludf.DUMMYFUNCTION("""COMPUTED_VALUE"""),"#68")</f>
        <v>#68</v>
      </c>
      <c r="C45" s="63">
        <f ca="1">IFERROR(__xludf.DUMMYFUNCTION("""COMPUTED_VALUE"""),46073.4173611111)</f>
        <v>46073.417361111096</v>
      </c>
      <c r="D45" s="65">
        <f ca="1">IFERROR(__xludf.DUMMYFUNCTION("""COMPUTED_VALUE"""),395.45)</f>
        <v>395.45</v>
      </c>
      <c r="E45" s="17" t="str">
        <f ca="1">IFERROR(__xludf.DUMMYFUNCTION("""COMPUTED_VALUE"""),"USD")</f>
        <v>USD</v>
      </c>
      <c r="F45" s="17" t="str">
        <f ca="1">IFERROR(__xludf.DUMMYFUNCTION("""COMPUTED_VALUE"""),"Jorge Armando Ramirez Perez")</f>
        <v>Jorge Armando Ramirez Perez</v>
      </c>
      <c r="G45" s="17" t="str">
        <f ca="1">IFERROR(__xludf.DUMMYFUNCTION("""COMPUTED_VALUE"""),"SUNOCO 0123414500      BROWNSVILLE   USA")</f>
        <v>SUNOCO 0123414500      BROWNSVILLE   USA</v>
      </c>
      <c r="H45" s="17" t="str">
        <f ca="1">IFERROR(__xludf.DUMMYFUNCTION("""COMPUTED_VALUE"""),"Sunoco")</f>
        <v>Sunoco</v>
      </c>
      <c r="I45" s="17" t="str">
        <f ca="1">IFERROR(__xludf.DUMMYFUNCTION("""COMPUTED_VALUE"""),"Transaction cost")</f>
        <v>Transaction cost</v>
      </c>
      <c r="J45" s="17" t="str">
        <f ca="1">IFERROR(__xludf.DUMMYFUNCTION("""COMPUTED_VALUE"""),"PO 1966 Whiteconstruction Comida")</f>
        <v>PO 1966 Whiteconstruction Comida</v>
      </c>
      <c r="K45" s="17" t="str">
        <f ca="1">IFERROR(__xludf.DUMMYFUNCTION("""COMPUTED_VALUE"""),"US")</f>
        <v>US</v>
      </c>
      <c r="L45" s="17"/>
      <c r="M45" s="17"/>
      <c r="N45" s="17"/>
      <c r="O45" s="17"/>
    </row>
    <row r="46" spans="1:15" ht="12.5">
      <c r="A46" s="17" t="str">
        <f ca="1">IFERROR(__xludf.DUMMYFUNCTION("""COMPUTED_VALUE"""),"TRX1034")</f>
        <v>TRX1034</v>
      </c>
      <c r="B46" s="86" t="str">
        <f ca="1">IFERROR(__xludf.DUMMYFUNCTION("""COMPUTED_VALUE"""),"#68")</f>
        <v>#68</v>
      </c>
      <c r="C46" s="63">
        <f ca="1">IFERROR(__xludf.DUMMYFUNCTION("""COMPUTED_VALUE"""),46074.4173611111)</f>
        <v>46074.417361111096</v>
      </c>
      <c r="D46" s="65">
        <f ca="1">IFERROR(__xludf.DUMMYFUNCTION("""COMPUTED_VALUE"""),37.5)</f>
        <v>37.5</v>
      </c>
      <c r="E46" s="17" t="str">
        <f ca="1">IFERROR(__xludf.DUMMYFUNCTION("""COMPUTED_VALUE"""),"MXN")</f>
        <v>MXN</v>
      </c>
      <c r="F46" s="17" t="str">
        <f ca="1">IFERROR(__xludf.DUMMYFUNCTION("""COMPUTED_VALUE"""),"Jorge Armando Ramirez Perez")</f>
        <v>Jorge Armando Ramirez Perez</v>
      </c>
      <c r="G46" s="17" t="str">
        <f ca="1">IFERROR(__xludf.DUMMYFUNCTION("""COMPUTED_VALUE"""),"OXXO UNIONES MAM       MATAMOROS TAM MEX")</f>
        <v>OXXO UNIONES MAM       MATAMOROS TAM MEX</v>
      </c>
      <c r="H46" s="17" t="str">
        <f ca="1">IFERROR(__xludf.DUMMYFUNCTION("""COMPUTED_VALUE"""),"Oxxo")</f>
        <v>Oxxo</v>
      </c>
      <c r="I46" s="17" t="str">
        <f ca="1">IFERROR(__xludf.DUMMYFUNCTION("""COMPUTED_VALUE"""),"Transaction cost")</f>
        <v>Transaction cost</v>
      </c>
      <c r="J46" s="17" t="str">
        <f ca="1">IFERROR(__xludf.DUMMYFUNCTION("""COMPUTED_VALUE"""),"PO 1966 Whiteconstruction Comida")</f>
        <v>PO 1966 Whiteconstruction Comida</v>
      </c>
      <c r="K46" s="17" t="str">
        <f ca="1">IFERROR(__xludf.DUMMYFUNCTION("""COMPUTED_VALUE"""),"3117194260223031225552")</f>
        <v>3117194260223031225552</v>
      </c>
      <c r="L46" s="17"/>
      <c r="M46" s="17"/>
      <c r="N46" s="17"/>
      <c r="O46" s="17"/>
    </row>
    <row r="47" spans="1:15" ht="12.5">
      <c r="A47" s="17" t="str">
        <f ca="1">IFERROR(__xludf.DUMMYFUNCTION("""COMPUTED_VALUE"""),"TRX1040")</f>
        <v>TRX1040</v>
      </c>
      <c r="B47" s="86" t="str">
        <f ca="1">IFERROR(__xludf.DUMMYFUNCTION("""COMPUTED_VALUE"""),"#68")</f>
        <v>#68</v>
      </c>
      <c r="C47" s="63">
        <f ca="1">IFERROR(__xludf.DUMMYFUNCTION("""COMPUTED_VALUE"""),46074.4180555555)</f>
        <v>46074.418055555499</v>
      </c>
      <c r="D47" s="65">
        <f ca="1">IFERROR(__xludf.DUMMYFUNCTION("""COMPUTED_VALUE"""),685.05)</f>
        <v>685.05</v>
      </c>
      <c r="E47" s="17" t="str">
        <f ca="1">IFERROR(__xludf.DUMMYFUNCTION("""COMPUTED_VALUE"""),"USD")</f>
        <v>USD</v>
      </c>
      <c r="F47" s="17" t="str">
        <f ca="1">IFERROR(__xludf.DUMMYFUNCTION("""COMPUTED_VALUE"""),"Jorge Armando Ramirez Perez")</f>
        <v>Jorge Armando Ramirez Perez</v>
      </c>
      <c r="G47" s="17" t="str">
        <f ca="1">IFERROR(__xludf.DUMMYFUNCTION("""COMPUTED_VALUE"""),"TST*SHENANIGANS IRISH  Brownsville   USA")</f>
        <v>TST*SHENANIGANS IRISH  Brownsville   USA</v>
      </c>
      <c r="H47" s="17" t="str">
        <f ca="1">IFERROR(__xludf.DUMMYFUNCTION("""COMPUTED_VALUE"""),"Shenanigan's")</f>
        <v>Shenanigan's</v>
      </c>
      <c r="I47" s="17" t="str">
        <f ca="1">IFERROR(__xludf.DUMMYFUNCTION("""COMPUTED_VALUE"""),"Transaction cost")</f>
        <v>Transaction cost</v>
      </c>
      <c r="J47" s="17" t="str">
        <f ca="1">IFERROR(__xludf.DUMMYFUNCTION("""COMPUTED_VALUE"""),"PO 1966 Whiteconstruction Comida")</f>
        <v>PO 1966 Whiteconstruction Comida</v>
      </c>
      <c r="K47" s="17" t="str">
        <f ca="1">IFERROR(__xludf.DUMMYFUNCTION("""COMPUTED_VALUE"""),"US")</f>
        <v>US</v>
      </c>
      <c r="L47" s="17"/>
      <c r="M47" s="17"/>
      <c r="N47" s="17"/>
      <c r="O47" s="17"/>
    </row>
    <row r="48" spans="1:15" ht="12.5">
      <c r="A48" s="17" t="str">
        <f ca="1">IFERROR(__xludf.DUMMYFUNCTION("""COMPUTED_VALUE"""),"TRX1082")</f>
        <v>TRX1082</v>
      </c>
      <c r="B48" s="86" t="str">
        <f ca="1">IFERROR(__xludf.DUMMYFUNCTION("""COMPUTED_VALUE"""),"#68")</f>
        <v>#68</v>
      </c>
      <c r="C48" s="63">
        <f ca="1">IFERROR(__xludf.DUMMYFUNCTION("""COMPUTED_VALUE"""),46075.4173611111)</f>
        <v>46075.417361111096</v>
      </c>
      <c r="D48" s="65">
        <f ca="1">IFERROR(__xludf.DUMMYFUNCTION("""COMPUTED_VALUE"""),1350)</f>
        <v>1350</v>
      </c>
      <c r="E48" s="17" t="str">
        <f ca="1">IFERROR(__xludf.DUMMYFUNCTION("""COMPUTED_VALUE"""),"MXN")</f>
        <v>MXN</v>
      </c>
      <c r="F48" s="17" t="str">
        <f ca="1">IFERROR(__xludf.DUMMYFUNCTION("""COMPUTED_VALUE"""),"Jorge Armando Ramirez Perez")</f>
        <v>Jorge Armando Ramirez Perez</v>
      </c>
      <c r="G48" s="17" t="str">
        <f ca="1">IFERROR(__xludf.DUMMYFUNCTION("""COMPUTED_VALUE"""),"IPARK MTY INTERRED     APODACA NL    MEX")</f>
        <v>IPARK MTY INTERRED     APODACA NL    MEX</v>
      </c>
      <c r="H48" s="17" t="str">
        <f ca="1">IFERROR(__xludf.DUMMYFUNCTION("""COMPUTED_VALUE"""),"Ipark Mty Interred Apodaca Nl Mex")</f>
        <v>Ipark Mty Interred Apodaca Nl Mex</v>
      </c>
      <c r="I48" s="17" t="str">
        <f ca="1">IFERROR(__xludf.DUMMYFUNCTION("""COMPUTED_VALUE"""),"Transaction cost")</f>
        <v>Transaction cost</v>
      </c>
      <c r="J48" s="17" t="str">
        <f ca="1">IFERROR(__xludf.DUMMYFUNCTION("""COMPUTED_VALUE"""),"PO 1966 Whiteconstruction Estacionamiento")</f>
        <v>PO 1966 Whiteconstruction Estacionamiento</v>
      </c>
      <c r="K48" s="17" t="str">
        <f ca="1">IFERROR(__xludf.DUMMYFUNCTION("""COMPUTED_VALUE"""),"MTY C-598713")</f>
        <v>MTY C-598713</v>
      </c>
      <c r="L48" s="17"/>
      <c r="M48" s="17"/>
      <c r="N48" s="17"/>
      <c r="O48" s="17"/>
    </row>
    <row r="49" spans="1:15" ht="12.5">
      <c r="A49" s="17" t="str">
        <f ca="1">IFERROR(__xludf.DUMMYFUNCTION("""COMPUTED_VALUE"""),"TRX1088")</f>
        <v>TRX1088</v>
      </c>
      <c r="B49" s="86" t="str">
        <f ca="1">IFERROR(__xludf.DUMMYFUNCTION("""COMPUTED_VALUE"""),"#68")</f>
        <v>#68</v>
      </c>
      <c r="C49" s="63">
        <f ca="1">IFERROR(__xludf.DUMMYFUNCTION("""COMPUTED_VALUE"""),46075.4173611111)</f>
        <v>46075.417361111096</v>
      </c>
      <c r="D49" s="65">
        <f ca="1">IFERROR(__xludf.DUMMYFUNCTION("""COMPUTED_VALUE"""),643.03)</f>
        <v>643.03</v>
      </c>
      <c r="E49" s="17" t="str">
        <f ca="1">IFERROR(__xludf.DUMMYFUNCTION("""COMPUTED_VALUE"""),"USD")</f>
        <v>USD</v>
      </c>
      <c r="F49" s="17" t="str">
        <f ca="1">IFERROR(__xludf.DUMMYFUNCTION("""COMPUTED_VALUE"""),"Jorge Armando Ramirez Perez")</f>
        <v>Jorge Armando Ramirez Perez</v>
      </c>
      <c r="G49" s="17" t="str">
        <f ca="1">IFERROR(__xludf.DUMMYFUNCTION("""COMPUTED_VALUE"""),"TST*SHENANIGANS IRISH  Brownsville   USA")</f>
        <v>TST*SHENANIGANS IRISH  Brownsville   USA</v>
      </c>
      <c r="H49" s="17" t="str">
        <f ca="1">IFERROR(__xludf.DUMMYFUNCTION("""COMPUTED_VALUE"""),"Shenanigan's")</f>
        <v>Shenanigan's</v>
      </c>
      <c r="I49" s="17" t="str">
        <f ca="1">IFERROR(__xludf.DUMMYFUNCTION("""COMPUTED_VALUE"""),"Transaction cost")</f>
        <v>Transaction cost</v>
      </c>
      <c r="J49" s="17" t="str">
        <f ca="1">IFERROR(__xludf.DUMMYFUNCTION("""COMPUTED_VALUE"""),"PO 1966 Whiteconstruction Comida")</f>
        <v>PO 1966 Whiteconstruction Comida</v>
      </c>
      <c r="K49" s="17" t="str">
        <f ca="1">IFERROR(__xludf.DUMMYFUNCTION("""COMPUTED_VALUE"""),"US")</f>
        <v>US</v>
      </c>
      <c r="L49" s="17"/>
      <c r="M49" s="17"/>
      <c r="N49" s="17"/>
      <c r="O49" s="17"/>
    </row>
    <row r="50" spans="1:15" ht="12.5">
      <c r="A50" s="17" t="str">
        <f ca="1">IFERROR(__xludf.DUMMYFUNCTION("""COMPUTED_VALUE"""),"TRX1092")</f>
        <v>TRX1092</v>
      </c>
      <c r="B50" s="86" t="str">
        <f ca="1">IFERROR(__xludf.DUMMYFUNCTION("""COMPUTED_VALUE"""),"#68")</f>
        <v>#68</v>
      </c>
      <c r="C50" s="63">
        <f ca="1">IFERROR(__xludf.DUMMYFUNCTION("""COMPUTED_VALUE"""),46075.4173611111)</f>
        <v>46075.417361111096</v>
      </c>
      <c r="D50" s="65">
        <f ca="1">IFERROR(__xludf.DUMMYFUNCTION("""COMPUTED_VALUE"""),343.42)</f>
        <v>343.42</v>
      </c>
      <c r="E50" s="17" t="str">
        <f ca="1">IFERROR(__xludf.DUMMYFUNCTION("""COMPUTED_VALUE"""),"USD")</f>
        <v>USD</v>
      </c>
      <c r="F50" s="17" t="str">
        <f ca="1">IFERROR(__xludf.DUMMYFUNCTION("""COMPUTED_VALUE"""),"Jorge Armando Ramirez Perez")</f>
        <v>Jorge Armando Ramirez Perez</v>
      </c>
      <c r="G50" s="17" t="str">
        <f ca="1">IFERROR(__xludf.DUMMYFUNCTION("""COMPUTED_VALUE"""),"UBER   *TRIP           SAN FRANCISCO USA")</f>
        <v>UBER   *TRIP           SAN FRANCISCO USA</v>
      </c>
      <c r="H50" s="17" t="str">
        <f ca="1">IFERROR(__xludf.DUMMYFUNCTION("""COMPUTED_VALUE"""),"Uber")</f>
        <v>Uber</v>
      </c>
      <c r="I50" s="17" t="str">
        <f ca="1">IFERROR(__xludf.DUMMYFUNCTION("""COMPUTED_VALUE"""),"Transaction cost")</f>
        <v>Transaction cost</v>
      </c>
      <c r="J50" s="17" t="str">
        <f ca="1">IFERROR(__xludf.DUMMYFUNCTION("""COMPUTED_VALUE"""),"PO 1966 Whiteconstruction Comida")</f>
        <v>PO 1966 Whiteconstruction Comida</v>
      </c>
      <c r="K50" s="17" t="str">
        <f ca="1">IFERROR(__xludf.DUMMYFUNCTION("""COMPUTED_VALUE"""),"US")</f>
        <v>US</v>
      </c>
      <c r="L50" s="17"/>
      <c r="M50" s="17"/>
      <c r="N50" s="17"/>
      <c r="O50" s="17"/>
    </row>
    <row r="51" spans="1:15" ht="12.5">
      <c r="A51" s="17" t="str">
        <f ca="1">IFERROR(__xludf.DUMMYFUNCTION("""COMPUTED_VALUE"""),"TRX1103")</f>
        <v>TRX1103</v>
      </c>
      <c r="B51" s="86" t="str">
        <f ca="1">IFERROR(__xludf.DUMMYFUNCTION("""COMPUTED_VALUE"""),"#68")</f>
        <v>#68</v>
      </c>
      <c r="C51" s="63">
        <f ca="1">IFERROR(__xludf.DUMMYFUNCTION("""COMPUTED_VALUE"""),46076.4166666666)</f>
        <v>46076.416666666599</v>
      </c>
      <c r="D51" s="65">
        <f ca="1">IFERROR(__xludf.DUMMYFUNCTION("""COMPUTED_VALUE"""),361.88)</f>
        <v>361.88</v>
      </c>
      <c r="E51" s="17" t="str">
        <f ca="1">IFERROR(__xludf.DUMMYFUNCTION("""COMPUTED_VALUE"""),"USD")</f>
        <v>USD</v>
      </c>
      <c r="F51" s="17" t="str">
        <f ca="1">IFERROR(__xludf.DUMMYFUNCTION("""COMPUTED_VALUE"""),"Jorge Armando Ramirez Perez")</f>
        <v>Jorge Armando Ramirez Perez</v>
      </c>
      <c r="G51" s="17" t="str">
        <f ca="1">IFERROR(__xludf.DUMMYFUNCTION("""COMPUTED_VALUE"""),"VENDINGCUSTOMERSERVI   CHULA VISTA   USA")</f>
        <v>VENDINGCUSTOMERSERVI   CHULA VISTA   USA</v>
      </c>
      <c r="H51" s="17" t="str">
        <f ca="1">IFERROR(__xludf.DUMMYFUNCTION("""COMPUTED_VALUE"""),"Vendingcustomerservi Chula Vista USA")</f>
        <v>Vendingcustomerservi Chula Vista USA</v>
      </c>
      <c r="I51" s="17" t="str">
        <f ca="1">IFERROR(__xludf.DUMMYFUNCTION("""COMPUTED_VALUE"""),"Transaction cost")</f>
        <v>Transaction cost</v>
      </c>
      <c r="J51" s="17" t="str">
        <f ca="1">IFERROR(__xludf.DUMMYFUNCTION("""COMPUTED_VALUE"""),"PO 1966 Whiteconstruction Comida")</f>
        <v>PO 1966 Whiteconstruction Comida</v>
      </c>
      <c r="K51" s="17" t="str">
        <f ca="1">IFERROR(__xludf.DUMMYFUNCTION("""COMPUTED_VALUE"""),"US")</f>
        <v>US</v>
      </c>
      <c r="L51" s="17"/>
      <c r="M51" s="17"/>
      <c r="N51" s="17"/>
      <c r="O51" s="17"/>
    </row>
    <row r="52" spans="1:15" ht="12.5">
      <c r="A52" s="17" t="str">
        <f ca="1">IFERROR(__xludf.DUMMYFUNCTION("""COMPUTED_VALUE"""),"TRX1104")</f>
        <v>TRX1104</v>
      </c>
      <c r="B52" s="86" t="str">
        <f ca="1">IFERROR(__xludf.DUMMYFUNCTION("""COMPUTED_VALUE"""),"#68")</f>
        <v>#68</v>
      </c>
      <c r="C52" s="63">
        <f ca="1">IFERROR(__xludf.DUMMYFUNCTION("""COMPUTED_VALUE"""),46076.4166666666)</f>
        <v>46076.416666666599</v>
      </c>
      <c r="D52" s="65">
        <f ca="1">IFERROR(__xludf.DUMMYFUNCTION("""COMPUTED_VALUE"""),1284.29)</f>
        <v>1284.29</v>
      </c>
      <c r="E52" s="17" t="str">
        <f ca="1">IFERROR(__xludf.DUMMYFUNCTION("""COMPUTED_VALUE"""),"USD")</f>
        <v>USD</v>
      </c>
      <c r="F52" s="17" t="str">
        <f ca="1">IFERROR(__xludf.DUMMYFUNCTION("""COMPUTED_VALUE"""),"Jorge Armando Ramirez Perez")</f>
        <v>Jorge Armando Ramirez Perez</v>
      </c>
      <c r="G52" s="17" t="str">
        <f ca="1">IFERROR(__xludf.DUMMYFUNCTION("""COMPUTED_VALUE"""),"TST*SHENANIGANS IRISH  Brownsville   USA")</f>
        <v>TST*SHENANIGANS IRISH  Brownsville   USA</v>
      </c>
      <c r="H52" s="17" t="str">
        <f ca="1">IFERROR(__xludf.DUMMYFUNCTION("""COMPUTED_VALUE"""),"Shenanigan's")</f>
        <v>Shenanigan's</v>
      </c>
      <c r="I52" s="17" t="str">
        <f ca="1">IFERROR(__xludf.DUMMYFUNCTION("""COMPUTED_VALUE"""),"Transaction cost")</f>
        <v>Transaction cost</v>
      </c>
      <c r="J52" s="17" t="str">
        <f ca="1">IFERROR(__xludf.DUMMYFUNCTION("""COMPUTED_VALUE"""),"PO 1966 Whiteconstruction Comida")</f>
        <v>PO 1966 Whiteconstruction Comida</v>
      </c>
      <c r="K52" s="17" t="str">
        <f ca="1">IFERROR(__xludf.DUMMYFUNCTION("""COMPUTED_VALUE"""),"US")</f>
        <v>US</v>
      </c>
      <c r="L52" s="17"/>
      <c r="M52" s="17"/>
      <c r="N52" s="17"/>
      <c r="O52" s="17"/>
    </row>
    <row r="53" spans="1:15" ht="12.5">
      <c r="A53" s="17" t="str">
        <f ca="1">IFERROR(__xludf.DUMMYFUNCTION("""COMPUTED_VALUE"""),"TRX1118")</f>
        <v>TRX1118</v>
      </c>
      <c r="B53" s="86" t="str">
        <f ca="1">IFERROR(__xludf.DUMMYFUNCTION("""COMPUTED_VALUE"""),"#68")</f>
        <v>#68</v>
      </c>
      <c r="C53" s="63">
        <f ca="1">IFERROR(__xludf.DUMMYFUNCTION("""COMPUTED_VALUE"""),46077.4166666666)</f>
        <v>46077.416666666599</v>
      </c>
      <c r="D53" s="65">
        <f ca="1">IFERROR(__xludf.DUMMYFUNCTION("""COMPUTED_VALUE"""),8586.2)</f>
        <v>8586.2000000000007</v>
      </c>
      <c r="E53" s="17" t="str">
        <f ca="1">IFERROR(__xludf.DUMMYFUNCTION("""COMPUTED_VALUE"""),"MXN")</f>
        <v>MXN</v>
      </c>
      <c r="F53" s="17" t="str">
        <f ca="1">IFERROR(__xludf.DUMMYFUNCTION("""COMPUTED_VALUE"""),"Jorge Armando Ramirez Perez")</f>
        <v>Jorge Armando Ramirez Perez</v>
      </c>
      <c r="G53" s="17" t="str">
        <f ca="1">IFERROR(__xludf.DUMMYFUNCTION("""COMPUTED_VALUE"""),"VIVA AEROBUS CIB       APODACA       MEX")</f>
        <v>VIVA AEROBUS CIB       APODACA       MEX</v>
      </c>
      <c r="H53" s="17" t="str">
        <f ca="1">IFERROR(__xludf.DUMMYFUNCTION("""COMPUTED_VALUE"""),"Viva Aerobus Cib Apodaca Mex")</f>
        <v>Viva Aerobus Cib Apodaca Mex</v>
      </c>
      <c r="I53" s="17" t="str">
        <f ca="1">IFERROR(__xludf.DUMMYFUNCTION("""COMPUTED_VALUE"""),"Transaction cost")</f>
        <v>Transaction cost</v>
      </c>
      <c r="J53" s="17" t="str">
        <f ca="1">IFERROR(__xludf.DUMMYFUNCTION("""COMPUTED_VALUE"""),"RFQ 4512 Ecoclean 4512 Vuelos")</f>
        <v>RFQ 4512 Ecoclean 4512 Vuelos</v>
      </c>
      <c r="K53" s="17" t="str">
        <f ca="1">IFERROR(__xludf.DUMMYFUNCTION("""COMPUTED_VALUE"""),"Serie: B Factura No: 154655041")</f>
        <v>Serie: B Factura No: 154655041</v>
      </c>
      <c r="L53" s="17"/>
      <c r="M53" s="17"/>
      <c r="N53" s="17"/>
      <c r="O53" s="17"/>
    </row>
    <row r="54" spans="1:15" ht="12.5">
      <c r="A54" s="17" t="str">
        <f ca="1">IFERROR(__xludf.DUMMYFUNCTION("""COMPUTED_VALUE"""),"TRX1137")</f>
        <v>TRX1137</v>
      </c>
      <c r="B54" s="86" t="str">
        <f ca="1">IFERROR(__xludf.DUMMYFUNCTION("""COMPUTED_VALUE"""),"#68")</f>
        <v>#68</v>
      </c>
      <c r="C54" s="63">
        <f ca="1">IFERROR(__xludf.DUMMYFUNCTION("""COMPUTED_VALUE"""),46078.4166666666)</f>
        <v>46078.416666666599</v>
      </c>
      <c r="D54" s="65">
        <f ca="1">IFERROR(__xludf.DUMMYFUNCTION("""COMPUTED_VALUE"""),2244.69)</f>
        <v>2244.69</v>
      </c>
      <c r="E54" s="17" t="str">
        <f ca="1">IFERROR(__xludf.DUMMYFUNCTION("""COMPUTED_VALUE"""),"MXN")</f>
        <v>MXN</v>
      </c>
      <c r="F54" s="17" t="str">
        <f ca="1">IFERROR(__xludf.DUMMYFUNCTION("""COMPUTED_VALUE"""),"Jorge Armando Ramirez Perez")</f>
        <v>Jorge Armando Ramirez Perez</v>
      </c>
      <c r="G54" s="17" t="str">
        <f ca="1">IFERROR(__xludf.DUMMYFUNCTION("""COMPUTED_VALUE"""),"EXPEDIA 73380847965879 Ciudad        MEX")</f>
        <v>EXPEDIA 73380847965879 Ciudad        MEX</v>
      </c>
      <c r="H54" s="17" t="str">
        <f ca="1">IFERROR(__xludf.DUMMYFUNCTION("""COMPUTED_VALUE"""),"Expedia")</f>
        <v>Expedia</v>
      </c>
      <c r="I54" s="17" t="str">
        <f ca="1">IFERROR(__xludf.DUMMYFUNCTION("""COMPUTED_VALUE"""),"Transaction cost")</f>
        <v>Transaction cost</v>
      </c>
      <c r="J54" s="17" t="str">
        <f ca="1">IFERROR(__xludf.DUMMYFUNCTION("""COMPUTED_VALUE"""),"RFQ 4512 Ecoclean Hotel Houston USA")</f>
        <v>RFQ 4512 Ecoclean Hotel Houston USA</v>
      </c>
      <c r="K54" s="17" t="str">
        <f ca="1">IFERROR(__xludf.DUMMYFUNCTION("""COMPUTED_VALUE"""),"Holliday Inn USA")</f>
        <v>Holliday Inn USA</v>
      </c>
      <c r="L54" s="17"/>
      <c r="M54" s="17"/>
      <c r="N54" s="17"/>
      <c r="O54" s="17"/>
    </row>
    <row r="55" spans="1:15" ht="12.5">
      <c r="A55" s="17" t="str">
        <f ca="1">IFERROR(__xludf.DUMMYFUNCTION("""COMPUTED_VALUE"""),"TRX1169")</f>
        <v>TRX1169</v>
      </c>
      <c r="B55" s="86" t="str">
        <f ca="1">IFERROR(__xludf.DUMMYFUNCTION("""COMPUTED_VALUE"""),"#68")</f>
        <v>#68</v>
      </c>
      <c r="C55" s="63">
        <f ca="1">IFERROR(__xludf.DUMMYFUNCTION("""COMPUTED_VALUE"""),46078.4173611111)</f>
        <v>46078.417361111096</v>
      </c>
      <c r="D55" s="65">
        <f ca="1">IFERROR(__xludf.DUMMYFUNCTION("""COMPUTED_VALUE"""),1455.9)</f>
        <v>1455.9</v>
      </c>
      <c r="E55" s="17" t="str">
        <f ca="1">IFERROR(__xludf.DUMMYFUNCTION("""COMPUTED_VALUE"""),"MXN")</f>
        <v>MXN</v>
      </c>
      <c r="F55" s="17" t="str">
        <f ca="1">IFERROR(__xludf.DUMMYFUNCTION("""COMPUTED_VALUE"""),"Jorge Armando Ramirez Perez")</f>
        <v>Jorge Armando Ramirez Perez</v>
      </c>
      <c r="G55" s="17" t="str">
        <f ca="1">IFERROR(__xludf.DUMMYFUNCTION("""COMPUTED_VALUE"""),"REST GARCIA AEROPUERTO CIENEGA DE FL MEX")</f>
        <v>REST GARCIA AEROPUERTO CIENEGA DE FL MEX</v>
      </c>
      <c r="H55" s="17" t="str">
        <f ca="1">IFERROR(__xludf.DUMMYFUNCTION("""COMPUTED_VALUE"""),"Rest Garcia Aeropuerto Cienega De Fl Mex")</f>
        <v>Rest Garcia Aeropuerto Cienega De Fl Mex</v>
      </c>
      <c r="I55" s="17" t="str">
        <f ca="1">IFERROR(__xludf.DUMMYFUNCTION("""COMPUTED_VALUE"""),"Transaction cost")</f>
        <v>Transaction cost</v>
      </c>
      <c r="J55" s="17" t="str">
        <f ca="1">IFERROR(__xludf.DUMMYFUNCTION("""COMPUTED_VALUE"""),"RFQ 5052 Batimore Base chillers Comida / Jose Franco / Jorge Ramirez")</f>
        <v>RFQ 5052 Batimore Base chillers Comida / Jose Franco / Jorge Ramirez</v>
      </c>
      <c r="K55" s="17" t="str">
        <f ca="1">IFERROR(__xludf.DUMMYFUNCTION("""COMPUTED_VALUE"""),"N-")</f>
        <v>N-</v>
      </c>
      <c r="L55" s="17"/>
      <c r="M55" s="17"/>
      <c r="N55" s="17"/>
      <c r="O55" s="17"/>
    </row>
    <row r="56" spans="1:15" ht="12.5">
      <c r="A56" s="17" t="str">
        <f ca="1">IFERROR(__xludf.DUMMYFUNCTION("""COMPUTED_VALUE"""),"TRX1171")</f>
        <v>TRX1171</v>
      </c>
      <c r="B56" s="86" t="str">
        <f ca="1">IFERROR(__xludf.DUMMYFUNCTION("""COMPUTED_VALUE"""),"#68")</f>
        <v>#68</v>
      </c>
      <c r="C56" s="63">
        <f ca="1">IFERROR(__xludf.DUMMYFUNCTION("""COMPUTED_VALUE"""),46078.4173611111)</f>
        <v>46078.417361111096</v>
      </c>
      <c r="D56" s="65">
        <f ca="1">IFERROR(__xludf.DUMMYFUNCTION("""COMPUTED_VALUE"""),190.71)</f>
        <v>190.71</v>
      </c>
      <c r="E56" s="17" t="str">
        <f ca="1">IFERROR(__xludf.DUMMYFUNCTION("""COMPUTED_VALUE"""),"USD")</f>
        <v>USD</v>
      </c>
      <c r="F56" s="17" t="str">
        <f ca="1">IFERROR(__xludf.DUMMYFUNCTION("""COMPUTED_VALUE"""),"Jorge Armando Ramirez Perez")</f>
        <v>Jorge Armando Ramirez Perez</v>
      </c>
      <c r="G56" s="17" t="str">
        <f ca="1">IFERROR(__xludf.DUMMYFUNCTION("""COMPUTED_VALUE"""),"WHATABURGER 723        HOUSTON       USA")</f>
        <v>WHATABURGER 723        HOUSTON       USA</v>
      </c>
      <c r="H56" s="17" t="str">
        <f ca="1">IFERROR(__xludf.DUMMYFUNCTION("""COMPUTED_VALUE"""),"Whataburger")</f>
        <v>Whataburger</v>
      </c>
      <c r="I56" s="17" t="str">
        <f ca="1">IFERROR(__xludf.DUMMYFUNCTION("""COMPUTED_VALUE"""),"Transaction cost")</f>
        <v>Transaction cost</v>
      </c>
      <c r="J56" s="17" t="str">
        <f ca="1">IFERROR(__xludf.DUMMYFUNCTION("""COMPUTED_VALUE"""),"RFQ 4512 Ecoclean Evaluacion de proyectos Comida")</f>
        <v>RFQ 4512 Ecoclean Evaluacion de proyectos Comida</v>
      </c>
      <c r="K56" s="17" t="str">
        <f ca="1">IFERROR(__xludf.DUMMYFUNCTION("""COMPUTED_VALUE"""),"US")</f>
        <v>US</v>
      </c>
      <c r="L56" s="17"/>
      <c r="M56" s="17"/>
      <c r="N56" s="17"/>
      <c r="O56" s="17"/>
    </row>
    <row r="57" spans="1:15" ht="12.5">
      <c r="A57" s="17" t="str">
        <f ca="1">IFERROR(__xludf.DUMMYFUNCTION("""COMPUTED_VALUE"""),"TRX1173")</f>
        <v>TRX1173</v>
      </c>
      <c r="B57" s="86" t="str">
        <f ca="1">IFERROR(__xludf.DUMMYFUNCTION("""COMPUTED_VALUE"""),"#68")</f>
        <v>#68</v>
      </c>
      <c r="C57" s="63">
        <f ca="1">IFERROR(__xludf.DUMMYFUNCTION("""COMPUTED_VALUE"""),46078.4173611111)</f>
        <v>46078.417361111096</v>
      </c>
      <c r="D57" s="65">
        <f ca="1">IFERROR(__xludf.DUMMYFUNCTION("""COMPUTED_VALUE"""),671.8)</f>
        <v>671.8</v>
      </c>
      <c r="E57" s="17" t="str">
        <f ca="1">IFERROR(__xludf.DUMMYFUNCTION("""COMPUTED_VALUE"""),"USD")</f>
        <v>USD</v>
      </c>
      <c r="F57" s="17" t="str">
        <f ca="1">IFERROR(__xludf.DUMMYFUNCTION("""COMPUTED_VALUE"""),"Jorge Armando Ramirez Perez")</f>
        <v>Jorge Armando Ramirez Perez</v>
      </c>
      <c r="G57" s="17" t="str">
        <f ca="1">IFERROR(__xludf.DUMMYFUNCTION("""COMPUTED_VALUE"""),"UBER   *TRIP           SAN FRANCISCO USA")</f>
        <v>UBER   *TRIP           SAN FRANCISCO USA</v>
      </c>
      <c r="H57" s="17" t="str">
        <f ca="1">IFERROR(__xludf.DUMMYFUNCTION("""COMPUTED_VALUE"""),"Uber")</f>
        <v>Uber</v>
      </c>
      <c r="I57" s="17" t="str">
        <f ca="1">IFERROR(__xludf.DUMMYFUNCTION("""COMPUTED_VALUE"""),"Transaction cost")</f>
        <v>Transaction cost</v>
      </c>
      <c r="J57" s="17" t="str">
        <f ca="1">IFERROR(__xludf.DUMMYFUNCTION("""COMPUTED_VALUE"""),"RFQ 4512 Ecoclean Evaluacion de proyectos UBER")</f>
        <v>RFQ 4512 Ecoclean Evaluacion de proyectos UBER</v>
      </c>
      <c r="K57" s="17" t="str">
        <f ca="1">IFERROR(__xludf.DUMMYFUNCTION("""COMPUTED_VALUE"""),"US")</f>
        <v>US</v>
      </c>
      <c r="L57" s="17"/>
      <c r="M57" s="17"/>
      <c r="N57" s="17"/>
      <c r="O57" s="17"/>
    </row>
    <row r="58" spans="1:15" ht="12.5">
      <c r="A58" s="17" t="str">
        <f ca="1">IFERROR(__xludf.DUMMYFUNCTION("""COMPUTED_VALUE"""),"TRX1175")</f>
        <v>TRX1175</v>
      </c>
      <c r="B58" s="86" t="str">
        <f ca="1">IFERROR(__xludf.DUMMYFUNCTION("""COMPUTED_VALUE"""),"#68")</f>
        <v>#68</v>
      </c>
      <c r="C58" s="63">
        <f ca="1">IFERROR(__xludf.DUMMYFUNCTION("""COMPUTED_VALUE"""),46079.4166666666)</f>
        <v>46079.416666666599</v>
      </c>
      <c r="D58" s="65">
        <f ca="1">IFERROR(__xludf.DUMMYFUNCTION("""COMPUTED_VALUE"""),279.95)</f>
        <v>279.95</v>
      </c>
      <c r="E58" s="17" t="str">
        <f ca="1">IFERROR(__xludf.DUMMYFUNCTION("""COMPUTED_VALUE"""),"MXN")</f>
        <v>MXN</v>
      </c>
      <c r="F58" s="17" t="str">
        <f ca="1">IFERROR(__xludf.DUMMYFUNCTION("""COMPUTED_VALUE"""),"Jorge Armando Ramirez Perez")</f>
        <v>Jorge Armando Ramirez Perez</v>
      </c>
      <c r="G58" s="17" t="str">
        <f ca="1">IFERROR(__xludf.DUMMYFUNCTION("""COMPUTED_VALUE"""),"UBER * PENDING         CMX           MEX")</f>
        <v>UBER * PENDING         CMX           MEX</v>
      </c>
      <c r="H58" s="17" t="str">
        <f ca="1">IFERROR(__xludf.DUMMYFUNCTION("""COMPUTED_VALUE"""),"Uber")</f>
        <v>Uber</v>
      </c>
      <c r="I58" s="17" t="str">
        <f ca="1">IFERROR(__xludf.DUMMYFUNCTION("""COMPUTED_VALUE"""),"Transaction cost")</f>
        <v>Transaction cost</v>
      </c>
      <c r="J58" s="17" t="str">
        <f ca="1">IFERROR(__xludf.DUMMYFUNCTION("""COMPUTED_VALUE"""),"PO 7080 DeAcero Abrazaderas UBER")</f>
        <v>PO 7080 DeAcero Abrazaderas UBER</v>
      </c>
      <c r="K58" s="17"/>
      <c r="L58" s="17"/>
      <c r="M58" s="17"/>
      <c r="N58" s="17"/>
      <c r="O58" s="17"/>
    </row>
    <row r="59" spans="1:15" ht="12.5">
      <c r="A59" s="17" t="str">
        <f ca="1">IFERROR(__xludf.DUMMYFUNCTION("""COMPUTED_VALUE"""),"TRX1206")</f>
        <v>TRX1206</v>
      </c>
      <c r="B59" s="86" t="str">
        <f ca="1">IFERROR(__xludf.DUMMYFUNCTION("""COMPUTED_VALUE"""),"#68")</f>
        <v>#68</v>
      </c>
      <c r="C59" s="63">
        <f ca="1">IFERROR(__xludf.DUMMYFUNCTION("""COMPUTED_VALUE"""),46079.4166666666)</f>
        <v>46079.416666666599</v>
      </c>
      <c r="D59" s="65">
        <f ca="1">IFERROR(__xludf.DUMMYFUNCTION("""COMPUTED_VALUE"""),200)</f>
        <v>200</v>
      </c>
      <c r="E59" s="17" t="str">
        <f ca="1">IFERROR(__xludf.DUMMYFUNCTION("""COMPUTED_VALUE"""),"MXN")</f>
        <v>MXN</v>
      </c>
      <c r="F59" s="17" t="str">
        <f ca="1">IFERROR(__xludf.DUMMYFUNCTION("""COMPUTED_VALUE"""),"Jorge Armando Ramirez Perez")</f>
        <v>Jorge Armando Ramirez Perez</v>
      </c>
      <c r="G59" s="17" t="str">
        <f ca="1">IFERROR(__xludf.DUMMYFUNCTION("""COMPUTED_VALUE"""),"TELCEL                 CIUDAD DE MEX MEX")</f>
        <v>TELCEL                 CIUDAD DE MEX MEX</v>
      </c>
      <c r="H59" s="17" t="str">
        <f ca="1">IFERROR(__xludf.DUMMYFUNCTION("""COMPUTED_VALUE"""),"Telcel Ciudad De Mex Mex")</f>
        <v>Telcel Ciudad De Mex Mex</v>
      </c>
      <c r="I59" s="17" t="str">
        <f ca="1">IFERROR(__xludf.DUMMYFUNCTION("""COMPUTED_VALUE"""),"Transaction cost")</f>
        <v>Transaction cost</v>
      </c>
      <c r="J59" s="17" t="str">
        <f ca="1">IFERROR(__xludf.DUMMYFUNCTION("""COMPUTED_VALUE"""),"RFQ 5052 Baltimore Baseparachiller Roaming datos")</f>
        <v>RFQ 5052 Baltimore Baseparachiller Roaming datos</v>
      </c>
      <c r="K59" s="17"/>
      <c r="L59" s="17"/>
      <c r="M59" s="17"/>
      <c r="N59" s="17"/>
      <c r="O59" s="17"/>
    </row>
    <row r="60" spans="1:15" ht="12.5">
      <c r="A60" s="17" t="str">
        <f ca="1">IFERROR(__xludf.DUMMYFUNCTION("""COMPUTED_VALUE"""),"TRX1249")</f>
        <v>TRX1249</v>
      </c>
      <c r="B60" s="86" t="str">
        <f ca="1">IFERROR(__xludf.DUMMYFUNCTION("""COMPUTED_VALUE"""),"#68")</f>
        <v>#68</v>
      </c>
      <c r="C60" s="63">
        <f ca="1">IFERROR(__xludf.DUMMYFUNCTION("""COMPUTED_VALUE"""),46080.4173611111)</f>
        <v>46080.417361111096</v>
      </c>
      <c r="D60" s="65">
        <f ca="1">IFERROR(__xludf.DUMMYFUNCTION("""COMPUTED_VALUE"""),258.3)</f>
        <v>258.3</v>
      </c>
      <c r="E60" s="17" t="str">
        <f ca="1">IFERROR(__xludf.DUMMYFUNCTION("""COMPUTED_VALUE"""),"USD")</f>
        <v>USD</v>
      </c>
      <c r="F60" s="17" t="str">
        <f ca="1">IFERROR(__xludf.DUMMYFUNCTION("""COMPUTED_VALUE"""),"Jorge Armando Ramirez Perez")</f>
        <v>Jorge Armando Ramirez Perez</v>
      </c>
      <c r="G60" s="17" t="str">
        <f ca="1">IFERROR(__xludf.DUMMYFUNCTION("""COMPUTED_VALUE"""),"CHICK-FIL-A AS IAH     HOUSTON       USA")</f>
        <v>CHICK-FIL-A AS IAH     HOUSTON       USA</v>
      </c>
      <c r="H60" s="17" t="str">
        <f ca="1">IFERROR(__xludf.DUMMYFUNCTION("""COMPUTED_VALUE"""),"Chick-fil-A")</f>
        <v>Chick-fil-A</v>
      </c>
      <c r="I60" s="17" t="str">
        <f ca="1">IFERROR(__xludf.DUMMYFUNCTION("""COMPUTED_VALUE"""),"Transaction cost")</f>
        <v>Transaction cost</v>
      </c>
      <c r="J60" s="17" t="str">
        <f ca="1">IFERROR(__xludf.DUMMYFUNCTION("""COMPUTED_VALUE"""),"RFQ 4512 Ecoclean Evaluacion de proyectos Comida")</f>
        <v>RFQ 4512 Ecoclean Evaluacion de proyectos Comida</v>
      </c>
      <c r="K60" s="17" t="str">
        <f ca="1">IFERROR(__xludf.DUMMYFUNCTION("""COMPUTED_VALUE"""),"US")</f>
        <v>US</v>
      </c>
      <c r="L60" s="17"/>
      <c r="M60" s="17"/>
      <c r="N60" s="17"/>
      <c r="O60" s="17"/>
    </row>
    <row r="61" spans="1:15" ht="12.5">
      <c r="A61" s="17" t="str">
        <f ca="1">IFERROR(__xludf.DUMMYFUNCTION("""COMPUTED_VALUE"""),"TRX1250")</f>
        <v>TRX1250</v>
      </c>
      <c r="B61" s="86" t="str">
        <f ca="1">IFERROR(__xludf.DUMMYFUNCTION("""COMPUTED_VALUE"""),"#68")</f>
        <v>#68</v>
      </c>
      <c r="C61" s="63">
        <f ca="1">IFERROR(__xludf.DUMMYFUNCTION("""COMPUTED_VALUE"""),46080.4173611111)</f>
        <v>46080.417361111096</v>
      </c>
      <c r="D61" s="65">
        <f ca="1">IFERROR(__xludf.DUMMYFUNCTION("""COMPUTED_VALUE"""),684.78)</f>
        <v>684.78</v>
      </c>
      <c r="E61" s="17" t="str">
        <f ca="1">IFERROR(__xludf.DUMMYFUNCTION("""COMPUTED_VALUE"""),"USD")</f>
        <v>USD</v>
      </c>
      <c r="F61" s="17" t="str">
        <f ca="1">IFERROR(__xludf.DUMMYFUNCTION("""COMPUTED_VALUE"""),"Jorge Armando Ramirez Perez")</f>
        <v>Jorge Armando Ramirez Perez</v>
      </c>
      <c r="G61" s="17" t="str">
        <f ca="1">IFERROR(__xludf.DUMMYFUNCTION("""COMPUTED_VALUE"""),"DETROIT AIPORT         NEW BOSTON    USA")</f>
        <v>DETROIT AIPORT         NEW BOSTON    USA</v>
      </c>
      <c r="H61" s="17" t="str">
        <f ca="1">IFERROR(__xludf.DUMMYFUNCTION("""COMPUTED_VALUE"""),"Detroit Aiport New Boston USA")</f>
        <v>Detroit Aiport New Boston USA</v>
      </c>
      <c r="I61" s="17" t="str">
        <f ca="1">IFERROR(__xludf.DUMMYFUNCTION("""COMPUTED_VALUE"""),"Transaction cost")</f>
        <v>Transaction cost</v>
      </c>
      <c r="J61" s="17" t="str">
        <f ca="1">IFERROR(__xludf.DUMMYFUNCTION("""COMPUTED_VALUE"""),"RFQ 5052 Baltimore Baseparachiller Evaluacion de proyectos Comida")</f>
        <v>RFQ 5052 Baltimore Baseparachiller Evaluacion de proyectos Comida</v>
      </c>
      <c r="K61" s="17" t="str">
        <f ca="1">IFERROR(__xludf.DUMMYFUNCTION("""COMPUTED_VALUE"""),"US")</f>
        <v>US</v>
      </c>
      <c r="L61" s="17"/>
      <c r="M61" s="17"/>
      <c r="N61" s="17"/>
      <c r="O61" s="17"/>
    </row>
    <row r="62" spans="1:15" ht="12.5">
      <c r="A62" s="17" t="str">
        <f ca="1">IFERROR(__xludf.DUMMYFUNCTION("""COMPUTED_VALUE"""),"TRX1252")</f>
        <v>TRX1252</v>
      </c>
      <c r="B62" s="86" t="str">
        <f ca="1">IFERROR(__xludf.DUMMYFUNCTION("""COMPUTED_VALUE"""),"#68")</f>
        <v>#68</v>
      </c>
      <c r="C62" s="63">
        <f ca="1">IFERROR(__xludf.DUMMYFUNCTION("""COMPUTED_VALUE"""),46080.4173611111)</f>
        <v>46080.417361111096</v>
      </c>
      <c r="D62" s="65">
        <f ca="1">IFERROR(__xludf.DUMMYFUNCTION("""COMPUTED_VALUE"""),93.3)</f>
        <v>93.3</v>
      </c>
      <c r="E62" s="17" t="str">
        <f ca="1">IFERROR(__xludf.DUMMYFUNCTION("""COMPUTED_VALUE"""),"USD")</f>
        <v>USD</v>
      </c>
      <c r="F62" s="17" t="str">
        <f ca="1">IFERROR(__xludf.DUMMYFUNCTION("""COMPUTED_VALUE"""),"Jorge Armando Ramirez Perez")</f>
        <v>Jorge Armando Ramirez Perez</v>
      </c>
      <c r="G62" s="17" t="str">
        <f ca="1">IFERROR(__xludf.DUMMYFUNCTION("""COMPUTED_VALUE"""),"DETROIT AIPORT         NEW BOSTON    USA")</f>
        <v>DETROIT AIPORT         NEW BOSTON    USA</v>
      </c>
      <c r="H62" s="17" t="str">
        <f ca="1">IFERROR(__xludf.DUMMYFUNCTION("""COMPUTED_VALUE"""),"Detroit Aiport New Boston USA")</f>
        <v>Detroit Aiport New Boston USA</v>
      </c>
      <c r="I62" s="17" t="str">
        <f ca="1">IFERROR(__xludf.DUMMYFUNCTION("""COMPUTED_VALUE"""),"Transaction cost")</f>
        <v>Transaction cost</v>
      </c>
      <c r="J62" s="17" t="str">
        <f ca="1">IFERROR(__xludf.DUMMYFUNCTION("""COMPUTED_VALUE"""),"RFQ 5052 Baltimore Baseparachiller Evaluacion de proyectos Comida")</f>
        <v>RFQ 5052 Baltimore Baseparachiller Evaluacion de proyectos Comida</v>
      </c>
      <c r="K62" s="17" t="str">
        <f ca="1">IFERROR(__xludf.DUMMYFUNCTION("""COMPUTED_VALUE"""),"US")</f>
        <v>US</v>
      </c>
      <c r="L62" s="17"/>
      <c r="M62" s="17"/>
      <c r="N62" s="17"/>
      <c r="O62" s="17"/>
    </row>
    <row r="63" spans="1:15" ht="12.5">
      <c r="A63" s="17" t="str">
        <f ca="1">IFERROR(__xludf.DUMMYFUNCTION("""COMPUTED_VALUE"""),"TRX1253")</f>
        <v>TRX1253</v>
      </c>
      <c r="B63" s="86" t="str">
        <f ca="1">IFERROR(__xludf.DUMMYFUNCTION("""COMPUTED_VALUE"""),"#68")</f>
        <v>#68</v>
      </c>
      <c r="C63" s="63">
        <f ca="1">IFERROR(__xludf.DUMMYFUNCTION("""COMPUTED_VALUE"""),46080.4173611111)</f>
        <v>46080.417361111096</v>
      </c>
      <c r="D63" s="65">
        <f ca="1">IFERROR(__xludf.DUMMYFUNCTION("""COMPUTED_VALUE"""),596.16)</f>
        <v>596.16</v>
      </c>
      <c r="E63" s="17" t="str">
        <f ca="1">IFERROR(__xludf.DUMMYFUNCTION("""COMPUTED_VALUE"""),"USD")</f>
        <v>USD</v>
      </c>
      <c r="F63" s="17" t="str">
        <f ca="1">IFERROR(__xludf.DUMMYFUNCTION("""COMPUTED_VALUE"""),"Jorge Armando Ramirez Perez")</f>
        <v>Jorge Armando Ramirez Perez</v>
      </c>
      <c r="G63" s="17" t="str">
        <f ca="1">IFERROR(__xludf.DUMMYFUNCTION("""COMPUTED_VALUE"""),"THE HENRY FORD FB      DEARBORN      USA")</f>
        <v>THE HENRY FORD FB      DEARBORN      USA</v>
      </c>
      <c r="H63" s="17" t="str">
        <f ca="1">IFERROR(__xludf.DUMMYFUNCTION("""COMPUTED_VALUE"""),"Dearborn")</f>
        <v>Dearborn</v>
      </c>
      <c r="I63" s="17" t="str">
        <f ca="1">IFERROR(__xludf.DUMMYFUNCTION("""COMPUTED_VALUE"""),"Transaction cost")</f>
        <v>Transaction cost</v>
      </c>
      <c r="J63" s="17" t="str">
        <f ca="1">IFERROR(__xludf.DUMMYFUNCTION("""COMPUTED_VALUE"""),"RFQ 5052 Baltimore Baseparachiller Evaluacion de proyectos Comida")</f>
        <v>RFQ 5052 Baltimore Baseparachiller Evaluacion de proyectos Comida</v>
      </c>
      <c r="K63" s="17" t="str">
        <f ca="1">IFERROR(__xludf.DUMMYFUNCTION("""COMPUTED_VALUE"""),"US")</f>
        <v>US</v>
      </c>
      <c r="L63" s="17"/>
      <c r="M63" s="17"/>
      <c r="N63" s="17"/>
      <c r="O63" s="17"/>
    </row>
    <row r="64" spans="1:15" ht="12.5">
      <c r="A64" s="17" t="str">
        <f ca="1">IFERROR(__xludf.DUMMYFUNCTION("""COMPUTED_VALUE"""),"TRX1295")</f>
        <v>TRX1295</v>
      </c>
      <c r="B64" s="86" t="str">
        <f ca="1">IFERROR(__xludf.DUMMYFUNCTION("""COMPUTED_VALUE"""),"#68")</f>
        <v>#68</v>
      </c>
      <c r="C64" s="63">
        <f ca="1">IFERROR(__xludf.DUMMYFUNCTION("""COMPUTED_VALUE"""),46081.4173611111)</f>
        <v>46081.417361111096</v>
      </c>
      <c r="D64" s="17">
        <f ca="1">IFERROR(__xludf.DUMMYFUNCTION("""COMPUTED_VALUE"""),216.13)</f>
        <v>216.13</v>
      </c>
      <c r="E64" s="17" t="str">
        <f ca="1">IFERROR(__xludf.DUMMYFUNCTION("""COMPUTED_VALUE"""),"USD")</f>
        <v>USD</v>
      </c>
      <c r="F64" s="17" t="str">
        <f ca="1">IFERROR(__xludf.DUMMYFUNCTION("""COMPUTED_VALUE"""),"Jorge Armando Ramirez Perez")</f>
        <v>Jorge Armando Ramirez Perez</v>
      </c>
      <c r="G64" s="17" t="str">
        <f ca="1">IFERROR(__xludf.DUMMYFUNCTION("""COMPUTED_VALUE"""),"HOLIDAY INN EXPRESS &amp;  ATLANTA       USA")</f>
        <v>HOLIDAY INN EXPRESS &amp;  ATLANTA       USA</v>
      </c>
      <c r="H64" s="17" t="str">
        <f ca="1">IFERROR(__xludf.DUMMYFUNCTION("""COMPUTED_VALUE"""),"Holiday Inn")</f>
        <v>Holiday Inn</v>
      </c>
      <c r="I64" s="17" t="str">
        <f ca="1">IFERROR(__xludf.DUMMYFUNCTION("""COMPUTED_VALUE"""),"Transaction cost")</f>
        <v>Transaction cost</v>
      </c>
      <c r="J64" s="17" t="str">
        <f ca="1">IFERROR(__xludf.DUMMYFUNCTION("""COMPUTED_VALUE"""),"RFQ 5052 Baltimore Baseparachiller Evaluacion de proyectos Deposito Hotel")</f>
        <v>RFQ 5052 Baltimore Baseparachiller Evaluacion de proyectos Deposito Hotel</v>
      </c>
      <c r="K64" s="17" t="str">
        <f ca="1">IFERROR(__xludf.DUMMYFUNCTION("""COMPUTED_VALUE"""),"US")</f>
        <v>US</v>
      </c>
      <c r="L64" s="17"/>
      <c r="M64" s="17"/>
      <c r="N64" s="17"/>
      <c r="O64" s="17"/>
    </row>
    <row r="65" spans="1:15" ht="12.5">
      <c r="A65" s="17" t="str">
        <f ca="1">IFERROR(__xludf.DUMMYFUNCTION("""COMPUTED_VALUE"""),"TRX1296")</f>
        <v>TRX1296</v>
      </c>
      <c r="B65" s="86" t="str">
        <f ca="1">IFERROR(__xludf.DUMMYFUNCTION("""COMPUTED_VALUE"""),"#68")</f>
        <v>#68</v>
      </c>
      <c r="C65" s="63">
        <f ca="1">IFERROR(__xludf.DUMMYFUNCTION("""COMPUTED_VALUE"""),46081.4173611111)</f>
        <v>46081.417361111096</v>
      </c>
      <c r="D65" s="17">
        <f ca="1">IFERROR(__xludf.DUMMYFUNCTION("""COMPUTED_VALUE"""),932.61)</f>
        <v>932.61</v>
      </c>
      <c r="E65" s="17" t="str">
        <f ca="1">IFERROR(__xludf.DUMMYFUNCTION("""COMPUTED_VALUE"""),"USD")</f>
        <v>USD</v>
      </c>
      <c r="F65" s="17" t="str">
        <f ca="1">IFERROR(__xludf.DUMMYFUNCTION("""COMPUTED_VALUE"""),"Jorge Armando Ramirez Perez")</f>
        <v>Jorge Armando Ramirez Perez</v>
      </c>
      <c r="G65" s="17" t="str">
        <f ca="1">IFERROR(__xludf.DUMMYFUNCTION("""COMPUTED_VALUE"""),"CKE*SCREEN DOOR KITCHE SODDY-DAISY   USA")</f>
        <v>CKE*SCREEN DOOR KITCHE SODDY-DAISY   USA</v>
      </c>
      <c r="H65" s="17" t="str">
        <f ca="1">IFERROR(__xludf.DUMMYFUNCTION("""COMPUTED_VALUE"""),"Cke Screen Door Kitche Soddy Daisy USA")</f>
        <v>Cke Screen Door Kitche Soddy Daisy USA</v>
      </c>
      <c r="I65" s="17" t="str">
        <f ca="1">IFERROR(__xludf.DUMMYFUNCTION("""COMPUTED_VALUE"""),"Transaction cost")</f>
        <v>Transaction cost</v>
      </c>
      <c r="J65" s="17" t="str">
        <f ca="1">IFERROR(__xludf.DUMMYFUNCTION("""COMPUTED_VALUE"""),"RFQ 5052 Baltimore Baseparachiller Evaluacion de proyectos Comida")</f>
        <v>RFQ 5052 Baltimore Baseparachiller Evaluacion de proyectos Comida</v>
      </c>
      <c r="K65" s="17" t="str">
        <f ca="1">IFERROR(__xludf.DUMMYFUNCTION("""COMPUTED_VALUE"""),"US")</f>
        <v>US</v>
      </c>
      <c r="L65" s="17"/>
      <c r="M65" s="17"/>
      <c r="N65" s="17"/>
      <c r="O65" s="17"/>
    </row>
    <row r="66" spans="1:15" ht="12.5">
      <c r="A66" s="17" t="str">
        <f ca="1">IFERROR(__xludf.DUMMYFUNCTION("""COMPUTED_VALUE"""),"TRX1297")</f>
        <v>TRX1297</v>
      </c>
      <c r="B66" s="86" t="str">
        <f ca="1">IFERROR(__xludf.DUMMYFUNCTION("""COMPUTED_VALUE"""),"#68")</f>
        <v>#68</v>
      </c>
      <c r="C66" s="63">
        <f ca="1">IFERROR(__xludf.DUMMYFUNCTION("""COMPUTED_VALUE"""),46081.4173611111)</f>
        <v>46081.417361111096</v>
      </c>
      <c r="D66" s="17">
        <f ca="1">IFERROR(__xludf.DUMMYFUNCTION("""COMPUTED_VALUE"""),635.56)</f>
        <v>635.55999999999995</v>
      </c>
      <c r="E66" s="17" t="str">
        <f ca="1">IFERROR(__xludf.DUMMYFUNCTION("""COMPUTED_VALUE"""),"USD")</f>
        <v>USD</v>
      </c>
      <c r="F66" s="17" t="str">
        <f ca="1">IFERROR(__xludf.DUMMYFUNCTION("""COMPUTED_VALUE"""),"Jorge Armando Ramirez Perez")</f>
        <v>Jorge Armando Ramirez Perez</v>
      </c>
      <c r="G66" s="17" t="str">
        <f ca="1">IFERROR(__xludf.DUMMYFUNCTION("""COMPUTED_VALUE"""),"RACETRAC 587           EAST POINT    USA")</f>
        <v>RACETRAC 587           EAST POINT    USA</v>
      </c>
      <c r="H66" s="17" t="str">
        <f ca="1">IFERROR(__xludf.DUMMYFUNCTION("""COMPUTED_VALUE"""),"Racetrac")</f>
        <v>Racetrac</v>
      </c>
      <c r="I66" s="17" t="str">
        <f ca="1">IFERROR(__xludf.DUMMYFUNCTION("""COMPUTED_VALUE"""),"Transaction cost")</f>
        <v>Transaction cost</v>
      </c>
      <c r="J66" s="17" t="str">
        <f ca="1">IFERROR(__xludf.DUMMYFUNCTION("""COMPUTED_VALUE"""),"RFQ 5052 Baltimore Baseparachiller Evaluacion de proyectos Gasolina")</f>
        <v>RFQ 5052 Baltimore Baseparachiller Evaluacion de proyectos Gasolina</v>
      </c>
      <c r="K66" s="17" t="str">
        <f ca="1">IFERROR(__xludf.DUMMYFUNCTION("""COMPUTED_VALUE"""),"US")</f>
        <v>US</v>
      </c>
      <c r="L66" s="17"/>
      <c r="M66" s="17"/>
      <c r="N66" s="17"/>
      <c r="O66" s="17"/>
    </row>
    <row r="67" spans="1:15" ht="12.5">
      <c r="A67" s="17"/>
      <c r="B67" s="24"/>
      <c r="C67" s="24"/>
      <c r="D67" s="17"/>
      <c r="E67" s="17"/>
      <c r="F67" s="17"/>
      <c r="G67" s="17"/>
      <c r="H67" s="17"/>
      <c r="I67" s="17"/>
      <c r="J67" s="17"/>
      <c r="K67" s="17"/>
      <c r="L67" s="17"/>
      <c r="M67" s="17"/>
      <c r="N67" s="17"/>
      <c r="O67" s="17"/>
    </row>
    <row r="68" spans="1:15" ht="12.5">
      <c r="A68" s="17"/>
      <c r="B68" s="24"/>
      <c r="C68" s="24"/>
      <c r="D68" s="17"/>
      <c r="E68" s="17"/>
      <c r="F68" s="17"/>
      <c r="G68" s="17"/>
      <c r="H68" s="17"/>
      <c r="I68" s="17"/>
      <c r="J68" s="17"/>
      <c r="K68" s="17"/>
      <c r="L68" s="17"/>
      <c r="M68" s="17"/>
      <c r="N68" s="17"/>
      <c r="O68" s="17"/>
    </row>
    <row r="69" spans="1:15" ht="12.5">
      <c r="A69" s="17"/>
      <c r="B69" s="24"/>
      <c r="C69" s="24"/>
      <c r="D69" s="17"/>
      <c r="E69" s="17"/>
      <c r="F69" s="17"/>
      <c r="G69" s="17"/>
      <c r="H69" s="17"/>
      <c r="I69" s="17"/>
      <c r="J69" s="17"/>
      <c r="K69" s="17"/>
      <c r="L69" s="17"/>
      <c r="M69" s="17"/>
      <c r="N69" s="17"/>
      <c r="O69" s="17"/>
    </row>
    <row r="70" spans="1:15" ht="12.5">
      <c r="A70" s="17"/>
      <c r="B70" s="24"/>
      <c r="C70" s="24"/>
      <c r="D70" s="17"/>
      <c r="E70" s="17"/>
      <c r="F70" s="17"/>
      <c r="G70" s="17"/>
      <c r="H70" s="17"/>
      <c r="I70" s="17"/>
      <c r="J70" s="17"/>
      <c r="K70" s="17"/>
      <c r="L70" s="17"/>
      <c r="M70" s="17"/>
      <c r="N70" s="17"/>
      <c r="O70" s="17"/>
    </row>
    <row r="71" spans="1:15" ht="12.5">
      <c r="A71" s="17"/>
      <c r="B71" s="24"/>
      <c r="C71" s="24"/>
      <c r="D71" s="17"/>
      <c r="E71" s="17"/>
      <c r="F71" s="17"/>
      <c r="G71" s="17"/>
      <c r="H71" s="17"/>
      <c r="I71" s="17"/>
      <c r="J71" s="17"/>
      <c r="K71" s="17"/>
      <c r="L71" s="17"/>
      <c r="M71" s="17"/>
      <c r="N71" s="17"/>
      <c r="O71" s="17"/>
    </row>
    <row r="72" spans="1:15" ht="12.5">
      <c r="A72" s="17"/>
      <c r="B72" s="24"/>
      <c r="C72" s="24"/>
      <c r="D72" s="17"/>
      <c r="E72" s="17"/>
      <c r="F72" s="17"/>
      <c r="G72" s="17"/>
      <c r="H72" s="17"/>
      <c r="I72" s="17"/>
      <c r="J72" s="17"/>
      <c r="K72" s="17"/>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4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110</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Sept'!$J$12:$J$1700=$A$2)"),"TRX1181")</f>
        <v>TRX1181</v>
      </c>
      <c r="B12" s="86" t="str">
        <f ca="1">IFERROR(__xludf.DUMMYFUNCTION("""COMPUTED_VALUE"""),"#69")</f>
        <v>#69</v>
      </c>
      <c r="C12" s="86">
        <f ca="1">IFERROR(__xludf.DUMMYFUNCTION("""COMPUTED_VALUE"""),46059.4166666666)</f>
        <v>46059.416666666599</v>
      </c>
      <c r="D12" s="65">
        <f ca="1">IFERROR(__xludf.DUMMYFUNCTION("FILTER('Edo Cta Jeeves Sept'!$G$12:$G$1700,'Edo Cta Jeeves Sept'!$J$12:$J$1700=$A$2)"),375.79)</f>
        <v>375.79</v>
      </c>
      <c r="E12" s="17" t="str">
        <f ca="1">IFERROR(__xludf.DUMMYFUNCTION("FILTER('Edo Cta Jeeves Sept'!$I$12:$I$1700,'Edo Cta Jeeves Sept'!$J$12:$J$1700=$A$2)"),"MXN")</f>
        <v>MXN</v>
      </c>
      <c r="F12" s="17" t="str">
        <f ca="1">IFERROR(__xludf.DUMMYFUNCTION("FILTER('Edo Cta Jeeves Sept'!$J$12:$J$1700,'Edo Cta Jeeves Sept'!$J$12:$J$1700=$A$2)"),"Gustavo Rivas")</f>
        <v>Gustavo Rivas</v>
      </c>
      <c r="G12" s="17" t="str">
        <f ca="1">IFERROR(__xludf.DUMMYFUNCTION("FILTER('Edo Cta Jeeves Sept'!$K$12:$L$1700,'Edo Cta Jeeves Sept'!$J$12:$J$1700=$A$2)"),"UBER *TRIP HELP.UBER.C CMX           MEX")</f>
        <v>UBER *TRIP HELP.UBER.C CMX           MEX</v>
      </c>
      <c r="H12" s="17" t="str">
        <f ca="1">IFERROR(__xludf.DUMMYFUNCTION("""COMPUTED_VALUE"""),"Uber")</f>
        <v>Uber</v>
      </c>
      <c r="I12" s="17" t="str">
        <f ca="1">IFERROR(__xludf.DUMMYFUNCTION("IMPORTRANGE(""https://docs.google.com/spreadsheets/d/1Y2JPaGV3tIMPJMLbUL5vagGv50EP_PXobUAQDD_uW7g/edit?gid=1404531132#gid=1404531132"",""I12:K80"")"),"Sales")</f>
        <v>Sales</v>
      </c>
      <c r="J12" s="17" t="str">
        <f ca="1">IFERROR(__xludf.DUMMYFUNCTION("""COMPUTED_VALUE"""),"Sin PO")</f>
        <v>Sin PO</v>
      </c>
      <c r="K12" s="17"/>
      <c r="L12" s="17"/>
      <c r="M12" s="17"/>
      <c r="N12" s="17"/>
      <c r="O12" s="17"/>
    </row>
    <row r="13" spans="1:15" ht="15.75" customHeight="1">
      <c r="A13" s="24" t="str">
        <f ca="1">IFERROR(__xludf.DUMMYFUNCTION("""COMPUTED_VALUE"""),"TRX1180")</f>
        <v>TRX1180</v>
      </c>
      <c r="B13" s="86" t="str">
        <f ca="1">IFERROR(__xludf.DUMMYFUNCTION("""COMPUTED_VALUE"""),"#69")</f>
        <v>#69</v>
      </c>
      <c r="C13" s="63">
        <f ca="1">IFERROR(__xludf.DUMMYFUNCTION("""COMPUTED_VALUE"""),46059.4166666666)</f>
        <v>46059.416666666599</v>
      </c>
      <c r="D13" s="65">
        <f ca="1">IFERROR(__xludf.DUMMYFUNCTION("""COMPUTED_VALUE"""),394)</f>
        <v>394</v>
      </c>
      <c r="E13" s="17" t="str">
        <f ca="1">IFERROR(__xludf.DUMMYFUNCTION("""COMPUTED_VALUE"""),"MXN")</f>
        <v>MXN</v>
      </c>
      <c r="F13" s="17" t="str">
        <f ca="1">IFERROR(__xludf.DUMMYFUNCTION("""COMPUTED_VALUE"""),"Gustavo Rivas")</f>
        <v>Gustavo Rivas</v>
      </c>
      <c r="G13" s="17" t="str">
        <f ca="1">IFERROR(__xludf.DUMMYFUNCTION("""COMPUTED_VALUE"""),"COM RAP KE RICO PTA 8  CIUDAD DE MEX MEX")</f>
        <v>COM RAP KE RICO PTA 8  CIUDAD DE MEX MEX</v>
      </c>
      <c r="H13" s="17" t="str">
        <f ca="1">IFERROR(__xludf.DUMMYFUNCTION("""COMPUTED_VALUE"""),"Com Rap Ke Rico Pta 8 Ciudad De Mex Mex")</f>
        <v>Com Rap Ke Rico Pta 8 Ciudad De Mex Mex</v>
      </c>
      <c r="I13" s="17" t="str">
        <f ca="1">IFERROR(__xludf.DUMMYFUNCTION("""COMPUTED_VALUE"""),"Sales")</f>
        <v>Sales</v>
      </c>
      <c r="J13" s="17" t="str">
        <f ca="1">IFERROR(__xludf.DUMMYFUNCTION("""COMPUTED_VALUE"""),"Sin PO - Visita DEMSA para JV")</f>
        <v>Sin PO - Visita DEMSA para JV</v>
      </c>
      <c r="K13" s="17" t="str">
        <f ca="1">IFERROR(__xludf.DUMMYFUNCTION("""COMPUTED_VALUE"""),"219d04aa-dbdd-4c27-875c-dbc054f91e22")</f>
        <v>219d04aa-dbdd-4c27-875c-dbc054f91e22</v>
      </c>
      <c r="L13" s="17"/>
      <c r="M13" s="17"/>
      <c r="N13" s="17"/>
      <c r="O13" s="17"/>
    </row>
    <row r="14" spans="1:15" ht="15.75" customHeight="1">
      <c r="A14" s="24" t="str">
        <f ca="1">IFERROR(__xludf.DUMMYFUNCTION("""COMPUTED_VALUE"""),"TRX1484")</f>
        <v>TRX1484</v>
      </c>
      <c r="B14" s="86" t="str">
        <f ca="1">IFERROR(__xludf.DUMMYFUNCTION("""COMPUTED_VALUE"""),"#69")</f>
        <v>#69</v>
      </c>
      <c r="C14" s="63">
        <f ca="1">IFERROR(__xludf.DUMMYFUNCTION("""COMPUTED_VALUE"""),46059.4173611111)</f>
        <v>46059.417361111096</v>
      </c>
      <c r="D14" s="65">
        <f ca="1">IFERROR(__xludf.DUMMYFUNCTION("""COMPUTED_VALUE"""),2859.51)</f>
        <v>2859.51</v>
      </c>
      <c r="E14" s="17" t="str">
        <f ca="1">IFERROR(__xludf.DUMMYFUNCTION("""COMPUTED_VALUE"""),"MXN")</f>
        <v>MXN</v>
      </c>
      <c r="F14" s="17" t="str">
        <f ca="1">IFERROR(__xludf.DUMMYFUNCTION("""COMPUTED_VALUE"""),"Gustavo Rivas")</f>
        <v>Gustavo Rivas</v>
      </c>
      <c r="G14" s="17" t="str">
        <f ca="1">IFERROR(__xludf.DUMMYFUNCTION("""COMPUTED_VALUE"""),"H SOBERANO CHIH        CHIHUAHUA CHI MEX")</f>
        <v>H SOBERANO CHIH        CHIHUAHUA CHI MEX</v>
      </c>
      <c r="H14" s="17" t="str">
        <f ca="1">IFERROR(__xludf.DUMMYFUNCTION("""COMPUTED_VALUE"""),"H Soberano Chih Chihuahua Chi Mex")</f>
        <v>H Soberano Chih Chihuahua Chi Mex</v>
      </c>
      <c r="I14" s="17" t="str">
        <f ca="1">IFERROR(__xludf.DUMMYFUNCTION("""COMPUTED_VALUE"""),"Sales")</f>
        <v>Sales</v>
      </c>
      <c r="J14" s="17"/>
      <c r="K14" s="17"/>
      <c r="L14" s="17"/>
      <c r="M14" s="17"/>
      <c r="N14" s="17"/>
      <c r="O14" s="17"/>
    </row>
    <row r="15" spans="1:15" ht="15.75" customHeight="1">
      <c r="A15" s="24" t="str">
        <f ca="1">IFERROR(__xludf.DUMMYFUNCTION("""COMPUTED_VALUE"""),"TRX1184")</f>
        <v>TRX1184</v>
      </c>
      <c r="B15" s="86" t="str">
        <f ca="1">IFERROR(__xludf.DUMMYFUNCTION("""COMPUTED_VALUE"""),"#69")</f>
        <v>#69</v>
      </c>
      <c r="C15" s="63">
        <f ca="1">IFERROR(__xludf.DUMMYFUNCTION("""COMPUTED_VALUE"""),46060.4166666666)</f>
        <v>46060.416666666599</v>
      </c>
      <c r="D15" s="65">
        <f ca="1">IFERROR(__xludf.DUMMYFUNCTION("""COMPUTED_VALUE"""),559.99)</f>
        <v>559.99</v>
      </c>
      <c r="E15" s="17" t="str">
        <f ca="1">IFERROR(__xludf.DUMMYFUNCTION("""COMPUTED_VALUE"""),"MXN")</f>
        <v>MXN</v>
      </c>
      <c r="F15" s="17" t="str">
        <f ca="1">IFERROR(__xludf.DUMMYFUNCTION("""COMPUTED_VALUE"""),"Gustavo Rivas")</f>
        <v>Gustavo Rivas</v>
      </c>
      <c r="G15" s="17" t="str">
        <f ca="1">IFERROR(__xludf.DUMMYFUNCTION("""COMPUTED_VALUE"""),"UBER * PENDING         CMX           MEX")</f>
        <v>UBER * PENDING         CMX           MEX</v>
      </c>
      <c r="H15" s="17" t="str">
        <f ca="1">IFERROR(__xludf.DUMMYFUNCTION("""COMPUTED_VALUE"""),"Uber")</f>
        <v>Uber</v>
      </c>
      <c r="I15" s="17" t="str">
        <f ca="1">IFERROR(__xludf.DUMMYFUNCTION("""COMPUTED_VALUE"""),"Sales")</f>
        <v>Sales</v>
      </c>
      <c r="J15" s="17" t="str">
        <f ca="1">IFERROR(__xludf.DUMMYFUNCTION("""COMPUTED_VALUE"""),"Sin PO")</f>
        <v>Sin PO</v>
      </c>
      <c r="K15" s="17"/>
      <c r="L15" s="17"/>
      <c r="M15" s="17"/>
      <c r="N15" s="17"/>
      <c r="O15" s="17"/>
    </row>
    <row r="16" spans="1:15" ht="15.75" customHeight="1">
      <c r="A16" s="17" t="str">
        <f ca="1">IFERROR(__xludf.DUMMYFUNCTION("""COMPUTED_VALUE"""),"TRX1246")</f>
        <v>TRX1246</v>
      </c>
      <c r="B16" s="86" t="str">
        <f ca="1">IFERROR(__xludf.DUMMYFUNCTION("""COMPUTED_VALUE"""),"#69")</f>
        <v>#69</v>
      </c>
      <c r="C16" s="63">
        <f ca="1">IFERROR(__xludf.DUMMYFUNCTION("""COMPUTED_VALUE"""),46060.4166666666)</f>
        <v>46060.416666666599</v>
      </c>
      <c r="D16" s="132">
        <f ca="1">IFERROR(__xludf.DUMMYFUNCTION("""COMPUTED_VALUE"""),483)</f>
        <v>483</v>
      </c>
      <c r="E16" s="17" t="str">
        <f ca="1">IFERROR(__xludf.DUMMYFUNCTION("""COMPUTED_VALUE"""),"MXN")</f>
        <v>MXN</v>
      </c>
      <c r="F16" s="17" t="str">
        <f ca="1">IFERROR(__xludf.DUMMYFUNCTION("""COMPUTED_VALUE"""),"Gustavo Rivas")</f>
        <v>Gustavo Rivas</v>
      </c>
      <c r="G16" s="17" t="str">
        <f ca="1">IFERROR(__xludf.DUMMYFUNCTION("""COMPUTED_VALUE"""),"ELEONORA REST          CHIHUAHUA CHI MEX")</f>
        <v>ELEONORA REST          CHIHUAHUA CHI MEX</v>
      </c>
      <c r="H16" s="17" t="str">
        <f ca="1">IFERROR(__xludf.DUMMYFUNCTION("""COMPUTED_VALUE"""),"Eleonora Rest Chihuahua Chi Mex")</f>
        <v>Eleonora Rest Chihuahua Chi Mex</v>
      </c>
      <c r="I16" s="17" t="str">
        <f ca="1">IFERROR(__xludf.DUMMYFUNCTION("""COMPUTED_VALUE"""),"Sales")</f>
        <v>Sales</v>
      </c>
      <c r="J16" s="17" t="str">
        <f ca="1">IFERROR(__xludf.DUMMYFUNCTION("""COMPUTED_VALUE"""),"Sin PO - Comida DEMSA")</f>
        <v>Sin PO - Comida DEMSA</v>
      </c>
      <c r="K16" s="17" t="str">
        <f ca="1">IFERROR(__xludf.DUMMYFUNCTION("""COMPUTED_VALUE"""),"148b3209-a066-4cf5-9066-ba06f8a5058f")</f>
        <v>148b3209-a066-4cf5-9066-ba06f8a5058f</v>
      </c>
      <c r="L16" s="17"/>
      <c r="M16" s="17"/>
      <c r="N16" s="17"/>
      <c r="O16" s="17"/>
    </row>
    <row r="17" spans="1:15" ht="15.75" customHeight="1">
      <c r="A17" s="17" t="str">
        <f ca="1">IFERROR(__xludf.DUMMYFUNCTION("""COMPUTED_VALUE"""),"TRX1452")</f>
        <v>TRX1452</v>
      </c>
      <c r="B17" s="86" t="str">
        <f ca="1">IFERROR(__xludf.DUMMYFUNCTION("""COMPUTED_VALUE"""),"#69")</f>
        <v>#69</v>
      </c>
      <c r="C17" s="63">
        <f ca="1">IFERROR(__xludf.DUMMYFUNCTION("""COMPUTED_VALUE"""),46060.4166666666)</f>
        <v>46060.416666666599</v>
      </c>
      <c r="D17" s="132">
        <f ca="1">IFERROR(__xludf.DUMMYFUNCTION("""COMPUTED_VALUE"""),257.89)</f>
        <v>257.89</v>
      </c>
      <c r="E17" s="17" t="str">
        <f ca="1">IFERROR(__xludf.DUMMYFUNCTION("""COMPUTED_VALUE"""),"MXN")</f>
        <v>MXN</v>
      </c>
      <c r="F17" s="17" t="str">
        <f ca="1">IFERROR(__xludf.DUMMYFUNCTION("""COMPUTED_VALUE"""),"Gustavo Rivas")</f>
        <v>Gustavo Rivas</v>
      </c>
      <c r="G17" s="17" t="str">
        <f ca="1">IFERROR(__xludf.DUMMYFUNCTION("""COMPUTED_VALUE"""),"UBER * PENDING         CMX           MEX")</f>
        <v>UBER * PENDING         CMX           MEX</v>
      </c>
      <c r="H17" s="17" t="str">
        <f ca="1">IFERROR(__xludf.DUMMYFUNCTION("""COMPUTED_VALUE"""),"Uber")</f>
        <v>Uber</v>
      </c>
      <c r="I17" s="17" t="str">
        <f ca="1">IFERROR(__xludf.DUMMYFUNCTION("""COMPUTED_VALUE"""),"Sales")</f>
        <v>Sales</v>
      </c>
      <c r="J17" s="17" t="str">
        <f ca="1">IFERROR(__xludf.DUMMYFUNCTION("""COMPUTED_VALUE"""),"Sin PO")</f>
        <v>Sin PO</v>
      </c>
      <c r="K17" s="17"/>
      <c r="L17" s="17"/>
      <c r="M17" s="17"/>
      <c r="N17" s="17"/>
      <c r="O17" s="17"/>
    </row>
    <row r="18" spans="1:15" ht="15.75" customHeight="1">
      <c r="A18" s="17" t="str">
        <f ca="1">IFERROR(__xludf.DUMMYFUNCTION("""COMPUTED_VALUE"""),"TRX1920")</f>
        <v>TRX1920</v>
      </c>
      <c r="B18" s="86" t="str">
        <f ca="1">IFERROR(__xludf.DUMMYFUNCTION("""COMPUTED_VALUE"""),"#69")</f>
        <v>#69</v>
      </c>
      <c r="C18" s="63">
        <f ca="1">IFERROR(__xludf.DUMMYFUNCTION("""COMPUTED_VALUE"""),46060.4166666666)</f>
        <v>46060.416666666599</v>
      </c>
      <c r="D18" s="65">
        <f ca="1">IFERROR(__xludf.DUMMYFUNCTION("""COMPUTED_VALUE"""),87.56)</f>
        <v>87.56</v>
      </c>
      <c r="E18" s="17" t="str">
        <f ca="1">IFERROR(__xludf.DUMMYFUNCTION("""COMPUTED_VALUE"""),"MXN")</f>
        <v>MXN</v>
      </c>
      <c r="F18" s="17" t="str">
        <f ca="1">IFERROR(__xludf.DUMMYFUNCTION("""COMPUTED_VALUE"""),"Gustavo Rivas")</f>
        <v>Gustavo Rivas</v>
      </c>
      <c r="G18" s="17" t="str">
        <f ca="1">IFERROR(__xludf.DUMMYFUNCTION("""COMPUTED_VALUE"""),"UBER * PENDING         CMX           MEX")</f>
        <v>UBER * PENDING         CMX           MEX</v>
      </c>
      <c r="H18" s="17" t="str">
        <f ca="1">IFERROR(__xludf.DUMMYFUNCTION("""COMPUTED_VALUE"""),"Uber")</f>
        <v>Uber</v>
      </c>
      <c r="I18" s="17" t="str">
        <f ca="1">IFERROR(__xludf.DUMMYFUNCTION("""COMPUTED_VALUE"""),"Sales")</f>
        <v>Sales</v>
      </c>
      <c r="J18" s="17" t="str">
        <f ca="1">IFERROR(__xludf.DUMMYFUNCTION("""COMPUTED_VALUE"""),"Sin PO")</f>
        <v>Sin PO</v>
      </c>
      <c r="K18" s="17"/>
      <c r="L18" s="17"/>
      <c r="M18" s="17"/>
      <c r="N18" s="17"/>
      <c r="O18" s="17"/>
    </row>
    <row r="19" spans="1:15" ht="15.75" customHeight="1">
      <c r="A19" s="17" t="str">
        <f ca="1">IFERROR(__xludf.DUMMYFUNCTION("""COMPUTED_VALUE"""),"TRX1328")</f>
        <v>TRX1328</v>
      </c>
      <c r="B19" s="86" t="str">
        <f ca="1">IFERROR(__xludf.DUMMYFUNCTION("""COMPUTED_VALUE"""),"#69")</f>
        <v>#69</v>
      </c>
      <c r="C19" s="63">
        <f ca="1">IFERROR(__xludf.DUMMYFUNCTION("""COMPUTED_VALUE"""),46060.4166666666)</f>
        <v>46060.416666666599</v>
      </c>
      <c r="D19" s="132">
        <f ca="1">IFERROR(__xludf.DUMMYFUNCTION("""COMPUTED_VALUE"""),109.81)</f>
        <v>109.81</v>
      </c>
      <c r="E19" s="17" t="str">
        <f ca="1">IFERROR(__xludf.DUMMYFUNCTION("""COMPUTED_VALUE"""),"MXN")</f>
        <v>MXN</v>
      </c>
      <c r="F19" s="17" t="str">
        <f ca="1">IFERROR(__xludf.DUMMYFUNCTION("""COMPUTED_VALUE"""),"Gustavo Rivas")</f>
        <v>Gustavo Rivas</v>
      </c>
      <c r="G19" s="17" t="str">
        <f ca="1">IFERROR(__xludf.DUMMYFUNCTION("""COMPUTED_VALUE"""),"DLO*Uber               CDMX          MEX")</f>
        <v>DLO*Uber               CDMX          MEX</v>
      </c>
      <c r="H19" s="17" t="str">
        <f ca="1">IFERROR(__xludf.DUMMYFUNCTION("""COMPUTED_VALUE"""),"Uber")</f>
        <v>Uber</v>
      </c>
      <c r="I19" s="17" t="str">
        <f ca="1">IFERROR(__xludf.DUMMYFUNCTION("""COMPUTED_VALUE"""),"Sales")</f>
        <v>Sales</v>
      </c>
      <c r="J19" s="17" t="str">
        <f ca="1">IFERROR(__xludf.DUMMYFUNCTION("""COMPUTED_VALUE"""),"Sin PO")</f>
        <v>Sin PO</v>
      </c>
      <c r="K19" s="17"/>
      <c r="L19" s="17"/>
      <c r="M19" s="17"/>
      <c r="N19" s="17"/>
      <c r="O19" s="17"/>
    </row>
    <row r="20" spans="1:15" ht="12.5">
      <c r="A20" s="17" t="str">
        <f ca="1">IFERROR(__xludf.DUMMYFUNCTION("""COMPUTED_VALUE"""),"TRX2022")</f>
        <v>TRX2022</v>
      </c>
      <c r="B20" s="86" t="str">
        <f ca="1">IFERROR(__xludf.DUMMYFUNCTION("""COMPUTED_VALUE"""),"#69")</f>
        <v>#69</v>
      </c>
      <c r="C20" s="63">
        <f ca="1">IFERROR(__xludf.DUMMYFUNCTION("""COMPUTED_VALUE"""),46060.4173611111)</f>
        <v>46060.417361111096</v>
      </c>
      <c r="D20" s="133">
        <f ca="1">IFERROR(__xludf.DUMMYFUNCTION("""COMPUTED_VALUE"""),2747.35)</f>
        <v>2747.35</v>
      </c>
      <c r="E20" s="17" t="str">
        <f ca="1">IFERROR(__xludf.DUMMYFUNCTION("""COMPUTED_VALUE"""),"MXN")</f>
        <v>MXN</v>
      </c>
      <c r="F20" s="17" t="str">
        <f ca="1">IFERROR(__xludf.DUMMYFUNCTION("""COMPUTED_VALUE"""),"Gustavo Rivas")</f>
        <v>Gustavo Rivas</v>
      </c>
      <c r="G20" s="17" t="str">
        <f ca="1">IFERROR(__xludf.DUMMYFUNCTION("""COMPUTED_VALUE"""),"REST KAMPAI            CHIHUAHUA CHI MEX")</f>
        <v>REST KAMPAI            CHIHUAHUA CHI MEX</v>
      </c>
      <c r="H20" s="17" t="str">
        <f ca="1">IFERROR(__xludf.DUMMYFUNCTION("""COMPUTED_VALUE"""),"Rest Kampai Chihuahua Chi Mex")</f>
        <v>Rest Kampai Chihuahua Chi Mex</v>
      </c>
      <c r="I20" s="17" t="str">
        <f ca="1">IFERROR(__xludf.DUMMYFUNCTION("""COMPUTED_VALUE"""),"Sales")</f>
        <v>Sales</v>
      </c>
      <c r="J20" s="17" t="str">
        <f ca="1">IFERROR(__xludf.DUMMYFUNCTION("""COMPUTED_VALUE"""),"Sin PO - Comida VP de Marriott")</f>
        <v>Sin PO - Comida VP de Marriott</v>
      </c>
      <c r="K20" s="17" t="str">
        <f ca="1">IFERROR(__xludf.DUMMYFUNCTION("""COMPUTED_VALUE"""),"777f006d-a315-4440-9e73-6f755f980bca")</f>
        <v>777f006d-a315-4440-9e73-6f755f980bca</v>
      </c>
      <c r="L20" s="17"/>
      <c r="M20" s="17"/>
      <c r="N20" s="17"/>
      <c r="O20" s="17"/>
    </row>
    <row r="21" spans="1:15" ht="12.5">
      <c r="A21" s="17" t="str">
        <f ca="1">IFERROR(__xludf.DUMMYFUNCTION("""COMPUTED_VALUE"""),"TRX1015")</f>
        <v>TRX1015</v>
      </c>
      <c r="B21" s="86" t="str">
        <f ca="1">IFERROR(__xludf.DUMMYFUNCTION("""COMPUTED_VALUE"""),"#69")</f>
        <v>#69</v>
      </c>
      <c r="C21" s="63">
        <f ca="1">IFERROR(__xludf.DUMMYFUNCTION("""COMPUTED_VALUE"""),46063.4166666666)</f>
        <v>46063.416666666599</v>
      </c>
      <c r="D21" s="132">
        <f ca="1">IFERROR(__xludf.DUMMYFUNCTION("""COMPUTED_VALUE"""),11702)</f>
        <v>11702</v>
      </c>
      <c r="E21" s="17" t="str">
        <f ca="1">IFERROR(__xludf.DUMMYFUNCTION("""COMPUTED_VALUE"""),"MXN")</f>
        <v>MXN</v>
      </c>
      <c r="F21" s="17" t="str">
        <f ca="1">IFERROR(__xludf.DUMMYFUNCTION("""COMPUTED_VALUE"""),"Gustavo Rivas")</f>
        <v>Gustavo Rivas</v>
      </c>
      <c r="G21" s="17" t="str">
        <f ca="1">IFERROR(__xludf.DUMMYFUNCTION("""COMPUTED_VALUE"""),"AEROMEXICO CC PN       CIUDAD DE MEX MEX")</f>
        <v>AEROMEXICO CC PN       CIUDAD DE MEX MEX</v>
      </c>
      <c r="H21" s="17" t="str">
        <f ca="1">IFERROR(__xludf.DUMMYFUNCTION("""COMPUTED_VALUE"""),"Aeromexico")</f>
        <v>Aeromexico</v>
      </c>
      <c r="I21" s="17" t="str">
        <f ca="1">IFERROR(__xludf.DUMMYFUNCTION("""COMPUTED_VALUE"""),"Sales")</f>
        <v>Sales</v>
      </c>
      <c r="J21" s="17" t="str">
        <f ca="1">IFERROR(__xludf.DUMMYFUNCTION("""COMPUTED_VALUE"""),"PO 2218")</f>
        <v>PO 2218</v>
      </c>
      <c r="K21" s="17" t="str">
        <f ca="1">IFERROR(__xludf.DUMMYFUNCTION("""COMPUTED_VALUE"""),"49EB27A0-4029-5AE5-AEB0-0013C6880541")</f>
        <v>49EB27A0-4029-5AE5-AEB0-0013C6880541</v>
      </c>
      <c r="L21" s="17"/>
      <c r="M21" s="17"/>
      <c r="N21" s="17"/>
      <c r="O21" s="17"/>
    </row>
    <row r="22" spans="1:15" ht="12.5">
      <c r="A22" s="17" t="str">
        <f ca="1">IFERROR(__xludf.DUMMYFUNCTION("""COMPUTED_VALUE"""),"TRX1203")</f>
        <v>TRX1203</v>
      </c>
      <c r="B22" s="86" t="str">
        <f ca="1">IFERROR(__xludf.DUMMYFUNCTION("""COMPUTED_VALUE"""),"#69")</f>
        <v>#69</v>
      </c>
      <c r="C22" s="63">
        <f ca="1">IFERROR(__xludf.DUMMYFUNCTION("""COMPUTED_VALUE"""),46064.4166666666)</f>
        <v>46064.416666666599</v>
      </c>
      <c r="D22" s="65">
        <f ca="1">IFERROR(__xludf.DUMMYFUNCTION("""COMPUTED_VALUE"""),50)</f>
        <v>50</v>
      </c>
      <c r="E22" s="17" t="str">
        <f ca="1">IFERROR(__xludf.DUMMYFUNCTION("""COMPUTED_VALUE"""),"MXN")</f>
        <v>MXN</v>
      </c>
      <c r="F22" s="17" t="str">
        <f ca="1">IFERROR(__xludf.DUMMYFUNCTION("""COMPUTED_VALUE"""),"Gustavo Rivas")</f>
        <v>Gustavo Rivas</v>
      </c>
      <c r="G22" s="17" t="str">
        <f ca="1">IFERROR(__xludf.DUMMYFUNCTION("""COMPUTED_VALUE"""),"UBER *TRIP HELP.UBER.C CMX           MEX")</f>
        <v>UBER *TRIP HELP.UBER.C CMX           MEX</v>
      </c>
      <c r="H22" s="17" t="str">
        <f ca="1">IFERROR(__xludf.DUMMYFUNCTION("""COMPUTED_VALUE"""),"Uber")</f>
        <v>Uber</v>
      </c>
      <c r="I22" s="17" t="str">
        <f ca="1">IFERROR(__xludf.DUMMYFUNCTION("""COMPUTED_VALUE"""),"Sales")</f>
        <v>Sales</v>
      </c>
      <c r="J22" s="17" t="str">
        <f ca="1">IFERROR(__xludf.DUMMYFUNCTION("""COMPUTED_VALUE"""),"PO 2218")</f>
        <v>PO 2218</v>
      </c>
      <c r="K22" s="17"/>
      <c r="L22" s="17"/>
      <c r="M22" s="17"/>
      <c r="N22" s="17"/>
      <c r="O22" s="17"/>
    </row>
    <row r="23" spans="1:15" ht="12.5">
      <c r="A23" s="17" t="str">
        <f ca="1">IFERROR(__xludf.DUMMYFUNCTION("""COMPUTED_VALUE"""),"TRX1443")</f>
        <v>TRX1443</v>
      </c>
      <c r="B23" s="86" t="str">
        <f ca="1">IFERROR(__xludf.DUMMYFUNCTION("""COMPUTED_VALUE"""),"#69")</f>
        <v>#69</v>
      </c>
      <c r="C23" s="63">
        <f ca="1">IFERROR(__xludf.DUMMYFUNCTION("""COMPUTED_VALUE"""),46065.4166666666)</f>
        <v>46065.416666666599</v>
      </c>
      <c r="D23" s="65">
        <f ca="1">IFERROR(__xludf.DUMMYFUNCTION("""COMPUTED_VALUE"""),315.18)</f>
        <v>315.18</v>
      </c>
      <c r="E23" s="17" t="str">
        <f ca="1">IFERROR(__xludf.DUMMYFUNCTION("""COMPUTED_VALUE"""),"MXN")</f>
        <v>MXN</v>
      </c>
      <c r="F23" s="17" t="str">
        <f ca="1">IFERROR(__xludf.DUMMYFUNCTION("""COMPUTED_VALUE"""),"Gustavo Rivas")</f>
        <v>Gustavo Rivas</v>
      </c>
      <c r="G23" s="17" t="str">
        <f ca="1">IFERROR(__xludf.DUMMYFUNCTION("""COMPUTED_VALUE"""),"UBER *TRIP HELP.UBER.C CMX           MEX")</f>
        <v>UBER *TRIP HELP.UBER.C CMX           MEX</v>
      </c>
      <c r="H23" s="17" t="str">
        <f ca="1">IFERROR(__xludf.DUMMYFUNCTION("""COMPUTED_VALUE"""),"Uber")</f>
        <v>Uber</v>
      </c>
      <c r="I23" s="17" t="str">
        <f ca="1">IFERROR(__xludf.DUMMYFUNCTION("""COMPUTED_VALUE"""),"Sales")</f>
        <v>Sales</v>
      </c>
      <c r="J23" s="17" t="str">
        <f ca="1">IFERROR(__xludf.DUMMYFUNCTION("""COMPUTED_VALUE"""),"PO 2218")</f>
        <v>PO 2218</v>
      </c>
      <c r="K23" s="17"/>
      <c r="L23" s="17"/>
      <c r="M23" s="17"/>
      <c r="N23" s="17"/>
      <c r="O23" s="17"/>
    </row>
    <row r="24" spans="1:15" ht="12.5">
      <c r="A24" s="17" t="str">
        <f ca="1">IFERROR(__xludf.DUMMYFUNCTION("""COMPUTED_VALUE"""),"TRX1341")</f>
        <v>TRX1341</v>
      </c>
      <c r="B24" s="86" t="str">
        <f ca="1">IFERROR(__xludf.DUMMYFUNCTION("""COMPUTED_VALUE"""),"#69")</f>
        <v>#69</v>
      </c>
      <c r="C24" s="63">
        <f ca="1">IFERROR(__xludf.DUMMYFUNCTION("""COMPUTED_VALUE"""),46065.4166666666)</f>
        <v>46065.416666666599</v>
      </c>
      <c r="D24" s="65">
        <f ca="1">IFERROR(__xludf.DUMMYFUNCTION("""COMPUTED_VALUE"""),496)</f>
        <v>496</v>
      </c>
      <c r="E24" s="17" t="str">
        <f ca="1">IFERROR(__xludf.DUMMYFUNCTION("""COMPUTED_VALUE"""),"MXN")</f>
        <v>MXN</v>
      </c>
      <c r="F24" s="17" t="str">
        <f ca="1">IFERROR(__xludf.DUMMYFUNCTION("""COMPUTED_VALUE"""),"Gustavo Rivas")</f>
        <v>Gustavo Rivas</v>
      </c>
      <c r="G24" s="17" t="str">
        <f ca="1">IFERROR(__xludf.DUMMYFUNCTION("""COMPUTED_VALUE"""),"DLO*Uber               CDMX          MEX")</f>
        <v>DLO*Uber               CDMX          MEX</v>
      </c>
      <c r="H24" s="17" t="str">
        <f ca="1">IFERROR(__xludf.DUMMYFUNCTION("""COMPUTED_VALUE"""),"Uber")</f>
        <v>Uber</v>
      </c>
      <c r="I24" s="17" t="str">
        <f ca="1">IFERROR(__xludf.DUMMYFUNCTION("""COMPUTED_VALUE"""),"Sales")</f>
        <v>Sales</v>
      </c>
      <c r="J24" s="17" t="str">
        <f ca="1">IFERROR(__xludf.DUMMYFUNCTION("""COMPUTED_VALUE"""),"PO 2218")</f>
        <v>PO 2218</v>
      </c>
      <c r="K24" s="17"/>
      <c r="L24" s="17"/>
      <c r="M24" s="17"/>
      <c r="N24" s="17"/>
      <c r="O24" s="17"/>
    </row>
    <row r="25" spans="1:15" ht="12.5">
      <c r="A25" s="17" t="str">
        <f ca="1">IFERROR(__xludf.DUMMYFUNCTION("""COMPUTED_VALUE"""),"TRX1053")</f>
        <v>TRX1053</v>
      </c>
      <c r="B25" s="86" t="str">
        <f ca="1">IFERROR(__xludf.DUMMYFUNCTION("""COMPUTED_VALUE"""),"#69")</f>
        <v>#69</v>
      </c>
      <c r="C25" s="63">
        <f ca="1">IFERROR(__xludf.DUMMYFUNCTION("""COMPUTED_VALUE"""),46065.4173611111)</f>
        <v>46065.417361111096</v>
      </c>
      <c r="D25" s="65">
        <f ca="1">IFERROR(__xludf.DUMMYFUNCTION("""COMPUTED_VALUE"""),81)</f>
        <v>81</v>
      </c>
      <c r="E25" s="17" t="str">
        <f ca="1">IFERROR(__xludf.DUMMYFUNCTION("""COMPUTED_VALUE"""),"MXN")</f>
        <v>MXN</v>
      </c>
      <c r="F25" s="17" t="str">
        <f ca="1">IFERROR(__xludf.DUMMYFUNCTION("""COMPUTED_VALUE"""),"Gustavo Rivas")</f>
        <v>Gustavo Rivas</v>
      </c>
      <c r="G25" s="17" t="str">
        <f ca="1">IFERROR(__xludf.DUMMYFUNCTION("""COMPUTED_VALUE"""),"ISLAND CAFE            SILAO GTO     MEX")</f>
        <v>ISLAND CAFE            SILAO GTO     MEX</v>
      </c>
      <c r="H25" s="17" t="str">
        <f ca="1">IFERROR(__xludf.DUMMYFUNCTION("""COMPUTED_VALUE"""),"Island Cafe Silao Gto Mex")</f>
        <v>Island Cafe Silao Gto Mex</v>
      </c>
      <c r="I25" s="17" t="str">
        <f ca="1">IFERROR(__xludf.DUMMYFUNCTION("""COMPUTED_VALUE"""),"Sales")</f>
        <v>Sales</v>
      </c>
      <c r="J25" s="17" t="str">
        <f ca="1">IFERROR(__xludf.DUMMYFUNCTION("""COMPUTED_VALUE"""),"PO 2218")</f>
        <v>PO 2218</v>
      </c>
      <c r="K25" s="17" t="str">
        <f ca="1">IFERROR(__xludf.DUMMYFUNCTION("""COMPUTED_VALUE"""),"111A227C-BF0D-432A-BDAE-BFBBC179ECB1")</f>
        <v>111A227C-BF0D-432A-BDAE-BFBBC179ECB1</v>
      </c>
      <c r="L25" s="17"/>
      <c r="M25" s="17"/>
      <c r="N25" s="17"/>
      <c r="O25" s="17"/>
    </row>
    <row r="26" spans="1:15" ht="12.5">
      <c r="A26" s="17" t="str">
        <f ca="1">IFERROR(__xludf.DUMMYFUNCTION("""COMPUTED_VALUE"""),"TRX1534")</f>
        <v>TRX1534</v>
      </c>
      <c r="B26" s="86" t="str">
        <f ca="1">IFERROR(__xludf.DUMMYFUNCTION("""COMPUTED_VALUE"""),"#69")</f>
        <v>#69</v>
      </c>
      <c r="C26" s="63">
        <f ca="1">IFERROR(__xludf.DUMMYFUNCTION("""COMPUTED_VALUE"""),46067.4166666666)</f>
        <v>46067.416666666599</v>
      </c>
      <c r="D26" s="65">
        <f ca="1">IFERROR(__xludf.DUMMYFUNCTION("""COMPUTED_VALUE"""),793.5)</f>
        <v>793.5</v>
      </c>
      <c r="E26" s="17" t="str">
        <f ca="1">IFERROR(__xludf.DUMMYFUNCTION("""COMPUTED_VALUE"""),"MXN")</f>
        <v>MXN</v>
      </c>
      <c r="F26" s="17" t="str">
        <f ca="1">IFERROR(__xludf.DUMMYFUNCTION("""COMPUTED_VALUE"""),"Gustavo Rivas")</f>
        <v>Gustavo Rivas</v>
      </c>
      <c r="G26" s="17" t="str">
        <f ca="1">IFERROR(__xludf.DUMMYFUNCTION("""COMPUTED_VALUE"""),"REST ZERU LOMAS        CIUDAD DE MEX MEX")</f>
        <v>REST ZERU LOMAS        CIUDAD DE MEX MEX</v>
      </c>
      <c r="H26" s="17" t="str">
        <f ca="1">IFERROR(__xludf.DUMMYFUNCTION("""COMPUTED_VALUE"""),"Rest Zeru Lomas Ciudad De Mex Mex")</f>
        <v>Rest Zeru Lomas Ciudad De Mex Mex</v>
      </c>
      <c r="I26" s="17" t="str">
        <f ca="1">IFERROR(__xludf.DUMMYFUNCTION("""COMPUTED_VALUE"""),"Sales")</f>
        <v>Sales</v>
      </c>
      <c r="J26" s="17" t="str">
        <f ca="1">IFERROR(__xludf.DUMMYFUNCTION("""COMPUTED_VALUE"""),"Comida CA para FDA")</f>
        <v>Comida CA para FDA</v>
      </c>
      <c r="K26" s="17" t="str">
        <f ca="1">IFERROR(__xludf.DUMMYFUNCTION("""COMPUTED_VALUE"""),"18EE0917-782A-49B4-8EB8-5089B8D09426")</f>
        <v>18EE0917-782A-49B4-8EB8-5089B8D09426</v>
      </c>
      <c r="L26" s="17"/>
      <c r="M26" s="17"/>
      <c r="N26" s="17"/>
      <c r="O26" s="17"/>
    </row>
    <row r="27" spans="1:15" ht="12.5">
      <c r="A27" s="17" t="str">
        <f ca="1">IFERROR(__xludf.DUMMYFUNCTION("""COMPUTED_VALUE"""),"TRX1695")</f>
        <v>TRX1695</v>
      </c>
      <c r="B27" s="86" t="str">
        <f ca="1">IFERROR(__xludf.DUMMYFUNCTION("""COMPUTED_VALUE"""),"#69")</f>
        <v>#69</v>
      </c>
      <c r="C27" s="63">
        <f ca="1">IFERROR(__xludf.DUMMYFUNCTION("""COMPUTED_VALUE"""),46067.4166666666)</f>
        <v>46067.416666666599</v>
      </c>
      <c r="D27" s="65">
        <f ca="1">IFERROR(__xludf.DUMMYFUNCTION("""COMPUTED_VALUE"""),3433.9)</f>
        <v>3433.9</v>
      </c>
      <c r="E27" s="17" t="str">
        <f ca="1">IFERROR(__xludf.DUMMYFUNCTION("""COMPUTED_VALUE"""),"MXN")</f>
        <v>MXN</v>
      </c>
      <c r="F27" s="17" t="str">
        <f ca="1">IFERROR(__xludf.DUMMYFUNCTION("""COMPUTED_VALUE"""),"Gustavo Rivas")</f>
        <v>Gustavo Rivas</v>
      </c>
      <c r="G27" s="17" t="str">
        <f ca="1">IFERROR(__xludf.DUMMYFUNCTION("""COMPUTED_VALUE"""),"REST PRICELESS WITH ES CIUDAD DE MEX MEX")</f>
        <v>REST PRICELESS WITH ES CIUDAD DE MEX MEX</v>
      </c>
      <c r="H27" s="17" t="str">
        <f ca="1">IFERROR(__xludf.DUMMYFUNCTION("""COMPUTED_VALUE"""),"Rest Priceless With Es Ciudad De Mex Mex")</f>
        <v>Rest Priceless With Es Ciudad De Mex Mex</v>
      </c>
      <c r="I27" s="17" t="str">
        <f ca="1">IFERROR(__xludf.DUMMYFUNCTION("""COMPUTED_VALUE"""),"Sales")</f>
        <v>Sales</v>
      </c>
      <c r="J27" s="17" t="str">
        <f ca="1">IFERROR(__xludf.DUMMYFUNCTION("""COMPUTED_VALUE"""),"Comida con City Express")</f>
        <v>Comida con City Express</v>
      </c>
      <c r="K27" s="17" t="str">
        <f ca="1">IFERROR(__xludf.DUMMYFUNCTION("""COMPUTED_VALUE"""),"BBBC8F23-F2A2-4D95-B30D-B47045A2D40B")</f>
        <v>BBBC8F23-F2A2-4D95-B30D-B47045A2D40B</v>
      </c>
      <c r="L27" s="17"/>
      <c r="M27" s="17"/>
      <c r="N27" s="17"/>
      <c r="O27" s="17"/>
    </row>
    <row r="28" spans="1:15" ht="12.5">
      <c r="A28" s="17" t="str">
        <f ca="1">IFERROR(__xludf.DUMMYFUNCTION("""COMPUTED_VALUE"""),"TRX1532")</f>
        <v>TRX1532</v>
      </c>
      <c r="B28" s="86" t="str">
        <f ca="1">IFERROR(__xludf.DUMMYFUNCTION("""COMPUTED_VALUE"""),"#69")</f>
        <v>#69</v>
      </c>
      <c r="C28" s="63">
        <f ca="1">IFERROR(__xludf.DUMMYFUNCTION("""COMPUTED_VALUE"""),46069.4166666666)</f>
        <v>46069.416666666599</v>
      </c>
      <c r="D28" s="65">
        <f ca="1">IFERROR(__xludf.DUMMYFUNCTION("""COMPUTED_VALUE"""),8897.38)</f>
        <v>8897.3799999999992</v>
      </c>
      <c r="E28" s="17" t="str">
        <f ca="1">IFERROR(__xludf.DUMMYFUNCTION("""COMPUTED_VALUE"""),"MXN")</f>
        <v>MXN</v>
      </c>
      <c r="F28" s="17" t="str">
        <f ca="1">IFERROR(__xludf.DUMMYFUNCTION("""COMPUTED_VALUE"""),"Gustavo Rivas")</f>
        <v>Gustavo Rivas</v>
      </c>
      <c r="G28" s="17" t="str">
        <f ca="1">IFERROR(__xludf.DUMMYFUNCTION("""COMPUTED_VALUE"""),"VIVA AEROBUS CIB       APODACA       MEX")</f>
        <v>VIVA AEROBUS CIB       APODACA       MEX</v>
      </c>
      <c r="H28" s="17" t="str">
        <f ca="1">IFERROR(__xludf.DUMMYFUNCTION("""COMPUTED_VALUE"""),"Viva Aerobus Cib Apodaca Mex")</f>
        <v>Viva Aerobus Cib Apodaca Mex</v>
      </c>
      <c r="I28" s="17" t="str">
        <f ca="1">IFERROR(__xludf.DUMMYFUNCTION("""COMPUTED_VALUE"""),"Sales")</f>
        <v>Sales</v>
      </c>
      <c r="J28" s="17" t="str">
        <f ca="1">IFERROR(__xludf.DUMMYFUNCTION("""COMPUTED_VALUE"""),"PO 2264")</f>
        <v>PO 2264</v>
      </c>
      <c r="K28" s="17" t="str">
        <f ca="1">IFERROR(__xludf.DUMMYFUNCTION("""COMPUTED_VALUE"""),"09cdea4e-a304-4873-b32c-30aced749461")</f>
        <v>09cdea4e-a304-4873-b32c-30aced749461</v>
      </c>
      <c r="L28" s="17"/>
      <c r="M28" s="17"/>
      <c r="N28" s="17"/>
      <c r="O28" s="17"/>
    </row>
    <row r="29" spans="1:15" ht="12.5">
      <c r="A29" s="17" t="str">
        <f ca="1">IFERROR(__xludf.DUMMYFUNCTION("""COMPUTED_VALUE"""),"TRX1692")</f>
        <v>TRX1692</v>
      </c>
      <c r="B29" s="86" t="str">
        <f ca="1">IFERROR(__xludf.DUMMYFUNCTION("""COMPUTED_VALUE"""),"#69")</f>
        <v>#69</v>
      </c>
      <c r="C29" s="63">
        <f ca="1">IFERROR(__xludf.DUMMYFUNCTION("""COMPUTED_VALUE"""),46070.4166666666)</f>
        <v>46070.416666666599</v>
      </c>
      <c r="D29" s="65">
        <f ca="1">IFERROR(__xludf.DUMMYFUNCTION("""COMPUTED_VALUE"""),29.77)</f>
        <v>29.77</v>
      </c>
      <c r="E29" s="17" t="str">
        <f ca="1">IFERROR(__xludf.DUMMYFUNCTION("""COMPUTED_VALUE"""),"MXN")</f>
        <v>MXN</v>
      </c>
      <c r="F29" s="17" t="str">
        <f ca="1">IFERROR(__xludf.DUMMYFUNCTION("""COMPUTED_VALUE"""),"Gustavo Rivas")</f>
        <v>Gustavo Rivas</v>
      </c>
      <c r="G29" s="17" t="str">
        <f ca="1">IFERROR(__xludf.DUMMYFUNCTION("""COMPUTED_VALUE"""),"UBER * PENDING         CMX           MEX")</f>
        <v>UBER * PENDING         CMX           MEX</v>
      </c>
      <c r="H29" s="17" t="str">
        <f ca="1">IFERROR(__xludf.DUMMYFUNCTION("""COMPUTED_VALUE"""),"Uber")</f>
        <v>Uber</v>
      </c>
      <c r="I29" s="17" t="str">
        <f ca="1">IFERROR(__xludf.DUMMYFUNCTION("""COMPUTED_VALUE"""),"Sales")</f>
        <v>Sales</v>
      </c>
      <c r="J29" s="17" t="str">
        <f ca="1">IFERROR(__xludf.DUMMYFUNCTION("""COMPUTED_VALUE"""),"PO 2264")</f>
        <v>PO 2264</v>
      </c>
      <c r="K29" s="17"/>
      <c r="L29" s="17"/>
      <c r="M29" s="17"/>
      <c r="N29" s="17"/>
      <c r="O29" s="17"/>
    </row>
    <row r="30" spans="1:15" ht="12.5">
      <c r="A30" s="17" t="str">
        <f ca="1">IFERROR(__xludf.DUMMYFUNCTION("""COMPUTED_VALUE"""),"TRX1786")</f>
        <v>TRX1786</v>
      </c>
      <c r="B30" s="86" t="str">
        <f ca="1">IFERROR(__xludf.DUMMYFUNCTION("""COMPUTED_VALUE"""),"#69")</f>
        <v>#69</v>
      </c>
      <c r="C30" s="63">
        <f ca="1">IFERROR(__xludf.DUMMYFUNCTION("""COMPUTED_VALUE"""),46071.4166666666)</f>
        <v>46071.416666666599</v>
      </c>
      <c r="D30" s="65">
        <f ca="1">IFERROR(__xludf.DUMMYFUNCTION("""COMPUTED_VALUE"""),181.5)</f>
        <v>181.5</v>
      </c>
      <c r="E30" s="17" t="str">
        <f ca="1">IFERROR(__xludf.DUMMYFUNCTION("""COMPUTED_VALUE"""),"MXN")</f>
        <v>MXN</v>
      </c>
      <c r="F30" s="17" t="str">
        <f ca="1">IFERROR(__xludf.DUMMYFUNCTION("""COMPUTED_VALUE"""),"Gustavo Rivas")</f>
        <v>Gustavo Rivas</v>
      </c>
      <c r="G30" s="17" t="str">
        <f ca="1">IFERROR(__xludf.DUMMYFUNCTION("""COMPUTED_VALUE"""),"REST LPQ ISLA AIFA     ZUMPANGO EM   MEX")</f>
        <v>REST LPQ ISLA AIFA     ZUMPANGO EM   MEX</v>
      </c>
      <c r="H30" s="17" t="str">
        <f ca="1">IFERROR(__xludf.DUMMYFUNCTION("""COMPUTED_VALUE"""),"Rest L")</f>
        <v>Rest L</v>
      </c>
      <c r="I30" s="17" t="str">
        <f ca="1">IFERROR(__xludf.DUMMYFUNCTION("""COMPUTED_VALUE"""),"Sales")</f>
        <v>Sales</v>
      </c>
      <c r="J30" s="17" t="str">
        <f ca="1">IFERROR(__xludf.DUMMYFUNCTION("""COMPUTED_VALUE"""),"PO 2264")</f>
        <v>PO 2264</v>
      </c>
      <c r="K30" s="17" t="str">
        <f ca="1">IFERROR(__xludf.DUMMYFUNCTION("""COMPUTED_VALUE"""),"bb4d675b-2823-459d-8ae5-0f4bcabf397b")</f>
        <v>bb4d675b-2823-459d-8ae5-0f4bcabf397b</v>
      </c>
      <c r="L30" s="17"/>
      <c r="M30" s="17"/>
      <c r="N30" s="17"/>
      <c r="O30" s="17"/>
    </row>
    <row r="31" spans="1:15" ht="12.5">
      <c r="A31" s="17" t="str">
        <f ca="1">IFERROR(__xludf.DUMMYFUNCTION("""COMPUTED_VALUE"""),"TRX1367")</f>
        <v>TRX1367</v>
      </c>
      <c r="B31" s="86" t="str">
        <f ca="1">IFERROR(__xludf.DUMMYFUNCTION("""COMPUTED_VALUE"""),"#69")</f>
        <v>#69</v>
      </c>
      <c r="C31" s="63">
        <f ca="1">IFERROR(__xludf.DUMMYFUNCTION("""COMPUTED_VALUE"""),46071.4166666666)</f>
        <v>46071.416666666599</v>
      </c>
      <c r="D31" s="65">
        <f ca="1">IFERROR(__xludf.DUMMYFUNCTION("""COMPUTED_VALUE"""),1478)</f>
        <v>1478</v>
      </c>
      <c r="E31" s="17" t="str">
        <f ca="1">IFERROR(__xludf.DUMMYFUNCTION("""COMPUTED_VALUE"""),"MXN")</f>
        <v>MXN</v>
      </c>
      <c r="F31" s="17" t="str">
        <f ca="1">IFERROR(__xludf.DUMMYFUNCTION("""COMPUTED_VALUE"""),"Gustavo Rivas")</f>
        <v>Gustavo Rivas</v>
      </c>
      <c r="G31" s="17" t="str">
        <f ca="1">IFERROR(__xludf.DUMMYFUNCTION("""COMPUTED_VALUE"""),"CLIP MX*AGEN TAXI COLI CUAJIMALPA DE MEX")</f>
        <v>CLIP MX*AGEN TAXI COLI CUAJIMALPA DE MEX</v>
      </c>
      <c r="H31" s="17" t="str">
        <f ca="1">IFERROR(__xludf.DUMMYFUNCTION("""COMPUTED_VALUE"""),"Clip Mx Agen Taxi Coli Cuajimalpa De Mex")</f>
        <v>Clip Mx Agen Taxi Coli Cuajimalpa De Mex</v>
      </c>
      <c r="I31" s="17" t="str">
        <f ca="1">IFERROR(__xludf.DUMMYFUNCTION("""COMPUTED_VALUE"""),"Sales")</f>
        <v>Sales</v>
      </c>
      <c r="J31" s="17" t="str">
        <f ca="1">IFERROR(__xludf.DUMMYFUNCTION("""COMPUTED_VALUE"""),"PO 2264")</f>
        <v>PO 2264</v>
      </c>
      <c r="K31" s="17"/>
      <c r="L31" s="17"/>
      <c r="M31" s="17"/>
      <c r="N31" s="17"/>
      <c r="O31" s="17"/>
    </row>
    <row r="32" spans="1:15" ht="12.5">
      <c r="A32" s="17" t="str">
        <f ca="1">IFERROR(__xludf.DUMMYFUNCTION("""COMPUTED_VALUE"""),"TRX1673")</f>
        <v>TRX1673</v>
      </c>
      <c r="B32" s="86" t="str">
        <f ca="1">IFERROR(__xludf.DUMMYFUNCTION("""COMPUTED_VALUE"""),"#69")</f>
        <v>#69</v>
      </c>
      <c r="C32" s="63">
        <f ca="1">IFERROR(__xludf.DUMMYFUNCTION("""COMPUTED_VALUE"""),46071.4173611111)</f>
        <v>46071.417361111096</v>
      </c>
      <c r="D32" s="65">
        <f ca="1">IFERROR(__xludf.DUMMYFUNCTION("""COMPUTED_VALUE"""),3040.6)</f>
        <v>3040.6</v>
      </c>
      <c r="E32" s="17" t="str">
        <f ca="1">IFERROR(__xludf.DUMMYFUNCTION("""COMPUTED_VALUE"""),"MXN")</f>
        <v>MXN</v>
      </c>
      <c r="F32" s="17" t="str">
        <f ca="1">IFERROR(__xludf.DUMMYFUNCTION("""COMPUTED_VALUE"""),"Gustavo Rivas")</f>
        <v>Gustavo Rivas</v>
      </c>
      <c r="G32" s="17" t="str">
        <f ca="1">IFERROR(__xludf.DUMMYFUNCTION("""COMPUTED_VALUE"""),"REST BODEGA 8          TIJUANA BCN   MEX")</f>
        <v>REST BODEGA 8          TIJUANA BCN   MEX</v>
      </c>
      <c r="H32" s="17" t="str">
        <f ca="1">IFERROR(__xludf.DUMMYFUNCTION("""COMPUTED_VALUE"""),"Rest Bodega 8 Tijuana Bcn Mex")</f>
        <v>Rest Bodega 8 Tijuana Bcn Mex</v>
      </c>
      <c r="I32" s="17" t="str">
        <f ca="1">IFERROR(__xludf.DUMMYFUNCTION("""COMPUTED_VALUE"""),"Sales")</f>
        <v>Sales</v>
      </c>
      <c r="J32" s="17" t="str">
        <f ca="1">IFERROR(__xludf.DUMMYFUNCTION("""COMPUTED_VALUE"""),"PO 2264")</f>
        <v>PO 2264</v>
      </c>
      <c r="K32" s="17" t="str">
        <f ca="1">IFERROR(__xludf.DUMMYFUNCTION("""COMPUTED_VALUE"""),"10cd9e3d-935c-41bb-b13e-d8d7dd615fdf")</f>
        <v>10cd9e3d-935c-41bb-b13e-d8d7dd615fdf</v>
      </c>
      <c r="L32" s="17"/>
      <c r="M32" s="17"/>
      <c r="N32" s="17"/>
      <c r="O32" s="17"/>
    </row>
    <row r="33" spans="1:15" ht="12.5">
      <c r="A33" s="17" t="str">
        <f ca="1">IFERROR(__xludf.DUMMYFUNCTION("""COMPUTED_VALUE"""),"TRX2008")</f>
        <v>TRX2008</v>
      </c>
      <c r="B33" s="86" t="str">
        <f ca="1">IFERROR(__xludf.DUMMYFUNCTION("""COMPUTED_VALUE"""),"#69")</f>
        <v>#69</v>
      </c>
      <c r="C33" s="63">
        <f ca="1">IFERROR(__xludf.DUMMYFUNCTION("""COMPUTED_VALUE"""),46072.4166666666)</f>
        <v>46072.416666666599</v>
      </c>
      <c r="D33" s="17">
        <f ca="1">IFERROR(__xludf.DUMMYFUNCTION("""COMPUTED_VALUE"""),449.98)</f>
        <v>449.98</v>
      </c>
      <c r="E33" s="17" t="str">
        <f ca="1">IFERROR(__xludf.DUMMYFUNCTION("""COMPUTED_VALUE"""),"MXN")</f>
        <v>MXN</v>
      </c>
      <c r="F33" s="17" t="str">
        <f ca="1">IFERROR(__xludf.DUMMYFUNCTION("""COMPUTED_VALUE"""),"Gustavo Rivas")</f>
        <v>Gustavo Rivas</v>
      </c>
      <c r="G33" s="17" t="str">
        <f ca="1">IFERROR(__xludf.DUMMYFUNCTION("""COMPUTED_VALUE"""),"UBER * PENDING         CMX           MEX")</f>
        <v>UBER * PENDING         CMX           MEX</v>
      </c>
      <c r="H33" s="17" t="str">
        <f ca="1">IFERROR(__xludf.DUMMYFUNCTION("""COMPUTED_VALUE"""),"Uber")</f>
        <v>Uber</v>
      </c>
      <c r="I33" s="17" t="str">
        <f ca="1">IFERROR(__xludf.DUMMYFUNCTION("""COMPUTED_VALUE"""),"Sales")</f>
        <v>Sales</v>
      </c>
      <c r="J33" s="17" t="str">
        <f ca="1">IFERROR(__xludf.DUMMYFUNCTION("""COMPUTED_VALUE"""),"PO 2264")</f>
        <v>PO 2264</v>
      </c>
      <c r="K33" s="17"/>
      <c r="L33" s="17"/>
      <c r="M33" s="17"/>
      <c r="N33" s="17"/>
      <c r="O33" s="17"/>
    </row>
    <row r="34" spans="1:15" ht="12.5">
      <c r="A34" s="17" t="str">
        <f ca="1">IFERROR(__xludf.DUMMYFUNCTION("""COMPUTED_VALUE"""),"TRX1188")</f>
        <v>TRX1188</v>
      </c>
      <c r="B34" s="86" t="str">
        <f ca="1">IFERROR(__xludf.DUMMYFUNCTION("""COMPUTED_VALUE"""),"#69")</f>
        <v>#69</v>
      </c>
      <c r="C34" s="63">
        <f ca="1">IFERROR(__xludf.DUMMYFUNCTION("""COMPUTED_VALUE"""),46072.4166666666)</f>
        <v>46072.416666666599</v>
      </c>
      <c r="D34" s="65">
        <f ca="1">IFERROR(__xludf.DUMMYFUNCTION("""COMPUTED_VALUE"""),179.98)</f>
        <v>179.98</v>
      </c>
      <c r="E34" s="17" t="str">
        <f ca="1">IFERROR(__xludf.DUMMYFUNCTION("""COMPUTED_VALUE"""),"MXN")</f>
        <v>MXN</v>
      </c>
      <c r="F34" s="17" t="str">
        <f ca="1">IFERROR(__xludf.DUMMYFUNCTION("""COMPUTED_VALUE"""),"Gustavo Rivas")</f>
        <v>Gustavo Rivas</v>
      </c>
      <c r="G34" s="17" t="str">
        <f ca="1">IFERROR(__xludf.DUMMYFUNCTION("""COMPUTED_VALUE"""),"UBER * PENDING         CMX           MEX")</f>
        <v>UBER * PENDING         CMX           MEX</v>
      </c>
      <c r="H34" s="17" t="str">
        <f ca="1">IFERROR(__xludf.DUMMYFUNCTION("""COMPUTED_VALUE"""),"Uber")</f>
        <v>Uber</v>
      </c>
      <c r="I34" s="17" t="str">
        <f ca="1">IFERROR(__xludf.DUMMYFUNCTION("""COMPUTED_VALUE"""),"Sales")</f>
        <v>Sales</v>
      </c>
      <c r="J34" s="17" t="str">
        <f ca="1">IFERROR(__xludf.DUMMYFUNCTION("""COMPUTED_VALUE"""),"PO 2264")</f>
        <v>PO 2264</v>
      </c>
      <c r="K34" s="17"/>
      <c r="L34" s="17"/>
      <c r="M34" s="17"/>
      <c r="N34" s="17"/>
      <c r="O34" s="17"/>
    </row>
    <row r="35" spans="1:15" ht="12.5">
      <c r="A35" s="17" t="str">
        <f ca="1">IFERROR(__xludf.DUMMYFUNCTION("""COMPUTED_VALUE"""),"TRX1185")</f>
        <v>TRX1185</v>
      </c>
      <c r="B35" s="86" t="str">
        <f ca="1">IFERROR(__xludf.DUMMYFUNCTION("""COMPUTED_VALUE"""),"#69")</f>
        <v>#69</v>
      </c>
      <c r="C35" s="63">
        <f ca="1">IFERROR(__xludf.DUMMYFUNCTION("""COMPUTED_VALUE"""),46072.4166666666)</f>
        <v>46072.416666666599</v>
      </c>
      <c r="D35" s="65">
        <f ca="1">IFERROR(__xludf.DUMMYFUNCTION("""COMPUTED_VALUE"""),52)</f>
        <v>52</v>
      </c>
      <c r="E35" s="17" t="str">
        <f ca="1">IFERROR(__xludf.DUMMYFUNCTION("""COMPUTED_VALUE"""),"MXN")</f>
        <v>MXN</v>
      </c>
      <c r="F35" s="17" t="str">
        <f ca="1">IFERROR(__xludf.DUMMYFUNCTION("""COMPUTED_VALUE"""),"Gustavo Rivas")</f>
        <v>Gustavo Rivas</v>
      </c>
      <c r="G35" s="17" t="str">
        <f ca="1">IFERROR(__xludf.DUMMYFUNCTION("""COMPUTED_VALUE"""),"VTA A BORDO VAEROBUS   CIUDAD DE MEX MEX")</f>
        <v>VTA A BORDO VAEROBUS   CIUDAD DE MEX MEX</v>
      </c>
      <c r="H35" s="17" t="str">
        <f ca="1">IFERROR(__xludf.DUMMYFUNCTION("""COMPUTED_VALUE"""),"Vta A Bordo Vaerobus Ciudad De Mex Mex")</f>
        <v>Vta A Bordo Vaerobus Ciudad De Mex Mex</v>
      </c>
      <c r="I35" s="17" t="str">
        <f ca="1">IFERROR(__xludf.DUMMYFUNCTION("""COMPUTED_VALUE"""),"Sales")</f>
        <v>Sales</v>
      </c>
      <c r="J35" s="17" t="str">
        <f ca="1">IFERROR(__xludf.DUMMYFUNCTION("""COMPUTED_VALUE"""),"PO 2264")</f>
        <v>PO 2264</v>
      </c>
      <c r="K35" s="17" t="str">
        <f ca="1">IFERROR(__xludf.DUMMYFUNCTION("""COMPUTED_VALUE"""),"E9BEF934-27F7-419B-A48C-9B9D2C51D502")</f>
        <v>E9BEF934-27F7-419B-A48C-9B9D2C51D502</v>
      </c>
      <c r="L35" s="17"/>
      <c r="M35" s="17"/>
      <c r="N35" s="17"/>
      <c r="O35" s="17"/>
    </row>
    <row r="36" spans="1:15" ht="12.5">
      <c r="A36" s="17" t="str">
        <f ca="1">IFERROR(__xludf.DUMMYFUNCTION("""COMPUTED_VALUE"""),"TRX1059")</f>
        <v>TRX1059</v>
      </c>
      <c r="B36" s="86" t="str">
        <f ca="1">IFERROR(__xludf.DUMMYFUNCTION("""COMPUTED_VALUE"""),"#69")</f>
        <v>#69</v>
      </c>
      <c r="C36" s="63">
        <f ca="1">IFERROR(__xludf.DUMMYFUNCTION("""COMPUTED_VALUE"""),46075.4166666666)</f>
        <v>46075.416666666599</v>
      </c>
      <c r="D36" s="65">
        <f ca="1">IFERROR(__xludf.DUMMYFUNCTION("""COMPUTED_VALUE"""),2335.65)</f>
        <v>2335.65</v>
      </c>
      <c r="E36" s="17" t="str">
        <f ca="1">IFERROR(__xludf.DUMMYFUNCTION("""COMPUTED_VALUE"""),"MXN")</f>
        <v>MXN</v>
      </c>
      <c r="F36" s="17" t="str">
        <f ca="1">IFERROR(__xludf.DUMMYFUNCTION("""COMPUTED_VALUE"""),"Gustavo Rivas")</f>
        <v>Gustavo Rivas</v>
      </c>
      <c r="G36" s="17" t="str">
        <f ca="1">IFERROR(__xludf.DUMMYFUNCTION("""COMPUTED_VALUE"""),"MOCHOMOS ARCOS BOSQUES CIUDAD DE MEX MEX")</f>
        <v>MOCHOMOS ARCOS BOSQUES CIUDAD DE MEX MEX</v>
      </c>
      <c r="H36" s="17" t="str">
        <f ca="1">IFERROR(__xludf.DUMMYFUNCTION("""COMPUTED_VALUE"""),"Mochomos Arcos Bosques Ciudad De Mex Mex")</f>
        <v>Mochomos Arcos Bosques Ciudad De Mex Mex</v>
      </c>
      <c r="I36" s="17" t="str">
        <f ca="1">IFERROR(__xludf.DUMMYFUNCTION("""COMPUTED_VALUE"""),"Sales")</f>
        <v>Sales</v>
      </c>
      <c r="J36" s="17"/>
      <c r="K36" s="17"/>
      <c r="L36" s="17"/>
      <c r="M36" s="17"/>
      <c r="N36" s="17"/>
      <c r="O36" s="17"/>
    </row>
    <row r="37" spans="1:15" ht="12.5">
      <c r="A37" s="17" t="str">
        <f ca="1">IFERROR(__xludf.DUMMYFUNCTION("""COMPUTED_VALUE"""),"TRX1255")</f>
        <v>TRX1255</v>
      </c>
      <c r="B37" s="86" t="str">
        <f ca="1">IFERROR(__xludf.DUMMYFUNCTION("""COMPUTED_VALUE"""),"#69")</f>
        <v>#69</v>
      </c>
      <c r="C37" s="63">
        <f ca="1">IFERROR(__xludf.DUMMYFUNCTION("""COMPUTED_VALUE"""),46081.4166666666)</f>
        <v>46081.416666666599</v>
      </c>
      <c r="D37" s="65">
        <f ca="1">IFERROR(__xludf.DUMMYFUNCTION("""COMPUTED_VALUE"""),85)</f>
        <v>85</v>
      </c>
      <c r="E37" s="17" t="str">
        <f ca="1">IFERROR(__xludf.DUMMYFUNCTION("""COMPUTED_VALUE"""),"MXN")</f>
        <v>MXN</v>
      </c>
      <c r="F37" s="17" t="str">
        <f ca="1">IFERROR(__xludf.DUMMYFUNCTION("""COMPUTED_VALUE"""),"Gustavo Rivas")</f>
        <v>Gustavo Rivas</v>
      </c>
      <c r="G37" s="17" t="str">
        <f ca="1">IFERROR(__xludf.DUMMYFUNCTION("""COMPUTED_VALUE"""),"ST REGIS               CIUDAD DE MEX MEX")</f>
        <v>ST REGIS               CIUDAD DE MEX MEX</v>
      </c>
      <c r="H37" s="17" t="str">
        <f ca="1">IFERROR(__xludf.DUMMYFUNCTION("""COMPUTED_VALUE"""),"St Regis Ciudad De Mex Mex")</f>
        <v>St Regis Ciudad De Mex Mex</v>
      </c>
      <c r="I37" s="17" t="str">
        <f ca="1">IFERROR(__xludf.DUMMYFUNCTION("""COMPUTED_VALUE"""),"Sales")</f>
        <v>Sales</v>
      </c>
      <c r="J37" s="17"/>
      <c r="K37" s="17"/>
      <c r="L37" s="17"/>
      <c r="M37" s="17"/>
      <c r="N37" s="17"/>
      <c r="O37" s="17"/>
    </row>
    <row r="38" spans="1:15" ht="12.5">
      <c r="A38" s="17" t="str">
        <f ca="1">IFERROR(__xludf.DUMMYFUNCTION("""COMPUTED_VALUE"""),"TRX1256")</f>
        <v>TRX1256</v>
      </c>
      <c r="B38" s="86" t="str">
        <f ca="1">IFERROR(__xludf.DUMMYFUNCTION("""COMPUTED_VALUE"""),"#69")</f>
        <v>#69</v>
      </c>
      <c r="C38" s="63">
        <f ca="1">IFERROR(__xludf.DUMMYFUNCTION("""COMPUTED_VALUE"""),46081.4166666666)</f>
        <v>46081.416666666599</v>
      </c>
      <c r="D38" s="65">
        <f ca="1">IFERROR(__xludf.DUMMYFUNCTION("""COMPUTED_VALUE"""),240.39)</f>
        <v>240.39</v>
      </c>
      <c r="E38" s="17" t="str">
        <f ca="1">IFERROR(__xludf.DUMMYFUNCTION("""COMPUTED_VALUE"""),"MXN")</f>
        <v>MXN</v>
      </c>
      <c r="F38" s="17" t="str">
        <f ca="1">IFERROR(__xludf.DUMMYFUNCTION("""COMPUTED_VALUE"""),"Gustavo Rivas")</f>
        <v>Gustavo Rivas</v>
      </c>
      <c r="G38" s="17" t="str">
        <f ca="1">IFERROR(__xludf.DUMMYFUNCTION("""COMPUTED_VALUE"""),"DLO*UBER RIDES         CIUDAD DE MEX MEX")</f>
        <v>DLO*UBER RIDES         CIUDAD DE MEX MEX</v>
      </c>
      <c r="H38" s="17" t="str">
        <f ca="1">IFERROR(__xludf.DUMMYFUNCTION("""COMPUTED_VALUE"""),"Uber")</f>
        <v>Uber</v>
      </c>
      <c r="I38" s="17" t="str">
        <f ca="1">IFERROR(__xludf.DUMMYFUNCTION("""COMPUTED_VALUE"""),"Sales")</f>
        <v>Sales</v>
      </c>
      <c r="J38" s="17" t="str">
        <f ca="1">IFERROR(__xludf.DUMMYFUNCTION("""COMPUTED_VALUE"""),"Sin PO")</f>
        <v>Sin PO</v>
      </c>
      <c r="K38" s="17"/>
      <c r="L38" s="17"/>
      <c r="M38" s="17"/>
      <c r="N38" s="17"/>
      <c r="O38" s="17"/>
    </row>
    <row r="39" spans="1:15" ht="12.5">
      <c r="A39" s="17" t="str">
        <f ca="1">IFERROR(__xludf.DUMMYFUNCTION("""COMPUTED_VALUE"""),"TRX1270")</f>
        <v>TRX1270</v>
      </c>
      <c r="B39" s="86" t="str">
        <f ca="1">IFERROR(__xludf.DUMMYFUNCTION("""COMPUTED_VALUE"""),"#69")</f>
        <v>#69</v>
      </c>
      <c r="C39" s="63">
        <f ca="1">IFERROR(__xludf.DUMMYFUNCTION("""COMPUTED_VALUE"""),46081.4166666666)</f>
        <v>46081.416666666599</v>
      </c>
      <c r="D39" s="17">
        <f ca="1">IFERROR(__xludf.DUMMYFUNCTION("""COMPUTED_VALUE"""),291.92)</f>
        <v>291.92</v>
      </c>
      <c r="E39" s="17" t="str">
        <f ca="1">IFERROR(__xludf.DUMMYFUNCTION("""COMPUTED_VALUE"""),"MXN")</f>
        <v>MXN</v>
      </c>
      <c r="F39" s="17" t="str">
        <f ca="1">IFERROR(__xludf.DUMMYFUNCTION("""COMPUTED_VALUE"""),"Gustavo Rivas")</f>
        <v>Gustavo Rivas</v>
      </c>
      <c r="G39" s="17" t="str">
        <f ca="1">IFERROR(__xludf.DUMMYFUNCTION("""COMPUTED_VALUE"""),"DLO*Uber               CDMX          MEX")</f>
        <v>DLO*Uber               CDMX          MEX</v>
      </c>
      <c r="H39" s="17" t="str">
        <f ca="1">IFERROR(__xludf.DUMMYFUNCTION("""COMPUTED_VALUE"""),"Uber")</f>
        <v>Uber</v>
      </c>
      <c r="I39" s="17" t="str">
        <f ca="1">IFERROR(__xludf.DUMMYFUNCTION("""COMPUTED_VALUE"""),"Sales")</f>
        <v>Sales</v>
      </c>
      <c r="J39" s="17" t="str">
        <f ca="1">IFERROR(__xludf.DUMMYFUNCTION("""COMPUTED_VALUE"""),"Sin PO")</f>
        <v>Sin PO</v>
      </c>
      <c r="K39" s="17"/>
      <c r="L39" s="17"/>
      <c r="M39" s="17"/>
      <c r="N39" s="17"/>
      <c r="O39" s="17"/>
    </row>
    <row r="40" spans="1:15" ht="12.5">
      <c r="A40" s="17"/>
      <c r="B40" s="24"/>
      <c r="C40" s="24"/>
      <c r="D40" s="17"/>
      <c r="E40" s="17"/>
      <c r="F40" s="17"/>
      <c r="G40" s="17"/>
      <c r="H40" s="17"/>
      <c r="I40" s="17" t="str">
        <f ca="1">IFERROR(__xludf.DUMMYFUNCTION("""COMPUTED_VALUE"""),"Sales")</f>
        <v>Sales</v>
      </c>
      <c r="J40" s="17"/>
      <c r="K40" s="17"/>
      <c r="L40" s="17"/>
      <c r="M40" s="17"/>
      <c r="N40" s="17"/>
      <c r="O40" s="17"/>
    </row>
    <row r="41" spans="1:15" ht="12.5">
      <c r="A41" s="17"/>
      <c r="B41" s="24"/>
      <c r="C41" s="24"/>
      <c r="D41" s="17"/>
      <c r="E41" s="17"/>
      <c r="F41" s="17"/>
      <c r="G41" s="17"/>
      <c r="H41" s="17"/>
      <c r="I41" s="17" t="str">
        <f ca="1">IFERROR(__xludf.DUMMYFUNCTION("""COMPUTED_VALUE"""),"Sales")</f>
        <v>Sales</v>
      </c>
      <c r="J41" s="17"/>
      <c r="K41" s="17"/>
      <c r="L41" s="17"/>
      <c r="M41" s="17"/>
      <c r="N41" s="17"/>
      <c r="O41" s="17"/>
    </row>
    <row r="42" spans="1:15" ht="12.5">
      <c r="A42" s="17"/>
      <c r="B42" s="24"/>
      <c r="C42" s="24"/>
      <c r="D42" s="17"/>
      <c r="E42" s="17"/>
      <c r="F42" s="17"/>
      <c r="G42" s="17"/>
      <c r="H42" s="17"/>
      <c r="I42" s="17" t="str">
        <f ca="1">IFERROR(__xludf.DUMMYFUNCTION("""COMPUTED_VALUE"""),"Sales")</f>
        <v>Sales</v>
      </c>
      <c r="J42" s="17"/>
      <c r="K42" s="17"/>
      <c r="L42" s="17"/>
      <c r="M42" s="17"/>
      <c r="N42" s="17"/>
      <c r="O42" s="17"/>
    </row>
    <row r="43" spans="1:15" ht="12.5">
      <c r="A43" s="17"/>
      <c r="B43" s="24"/>
      <c r="C43" s="24"/>
      <c r="D43" s="17"/>
      <c r="E43" s="17"/>
      <c r="F43" s="17"/>
      <c r="G43" s="17"/>
      <c r="H43" s="17"/>
      <c r="I43" s="17" t="str">
        <f ca="1">IFERROR(__xludf.DUMMYFUNCTION("""COMPUTED_VALUE"""),"Sales")</f>
        <v>Sales</v>
      </c>
      <c r="J43" s="17"/>
      <c r="K43" s="17"/>
      <c r="L43" s="17"/>
      <c r="M43" s="17"/>
      <c r="N43" s="17"/>
      <c r="O43" s="17"/>
    </row>
    <row r="44" spans="1:15" ht="12.5">
      <c r="A44" s="17"/>
      <c r="B44" s="24"/>
      <c r="C44" s="24"/>
      <c r="D44" s="17"/>
      <c r="E44" s="17"/>
      <c r="F44" s="17"/>
      <c r="G44" s="17"/>
      <c r="H44" s="17"/>
      <c r="I44" s="17" t="str">
        <f ca="1">IFERROR(__xludf.DUMMYFUNCTION("""COMPUTED_VALUE"""),"Sales")</f>
        <v>Sales</v>
      </c>
      <c r="J44" s="17"/>
      <c r="K44" s="17"/>
      <c r="L44" s="17"/>
      <c r="M44" s="17"/>
      <c r="N44" s="17"/>
      <c r="O44" s="17"/>
    </row>
    <row r="45" spans="1:15" ht="12.5">
      <c r="A45" s="17"/>
      <c r="B45" s="24"/>
      <c r="C45" s="24"/>
      <c r="D45" s="17"/>
      <c r="E45" s="17"/>
      <c r="F45" s="17"/>
      <c r="G45" s="17"/>
      <c r="H45" s="17"/>
      <c r="I45" s="17" t="str">
        <f ca="1">IFERROR(__xludf.DUMMYFUNCTION("""COMPUTED_VALUE"""),"Sales")</f>
        <v>Sales</v>
      </c>
      <c r="J45" s="17"/>
      <c r="K45" s="17"/>
      <c r="L45" s="17"/>
      <c r="M45" s="17"/>
      <c r="N45" s="17"/>
      <c r="O45" s="17"/>
    </row>
    <row r="46" spans="1:15" ht="12.5">
      <c r="A46" s="17"/>
      <c r="B46" s="24"/>
      <c r="C46" s="24"/>
      <c r="D46" s="17"/>
      <c r="E46" s="17"/>
      <c r="F46" s="17"/>
      <c r="G46" s="17"/>
      <c r="H46" s="17"/>
      <c r="I46" s="17" t="str">
        <f ca="1">IFERROR(__xludf.DUMMYFUNCTION("""COMPUTED_VALUE"""),"Sales")</f>
        <v>Sales</v>
      </c>
      <c r="J46" s="17"/>
      <c r="K46" s="17"/>
      <c r="L46" s="17"/>
      <c r="M46" s="17"/>
      <c r="N46" s="17"/>
      <c r="O46" s="17"/>
    </row>
    <row r="47" spans="1:15" ht="12.5">
      <c r="A47" s="17"/>
      <c r="B47" s="24"/>
      <c r="C47" s="24"/>
      <c r="D47" s="17"/>
      <c r="E47" s="17"/>
      <c r="F47" s="17"/>
      <c r="G47" s="17"/>
      <c r="H47" s="17"/>
      <c r="I47" s="17" t="str">
        <f ca="1">IFERROR(__xludf.DUMMYFUNCTION("""COMPUTED_VALUE"""),"Sales")</f>
        <v>Sales</v>
      </c>
      <c r="J47" s="17"/>
      <c r="K47" s="17"/>
      <c r="L47" s="17"/>
      <c r="M47" s="17"/>
      <c r="N47" s="17"/>
      <c r="O47" s="17"/>
    </row>
    <row r="48" spans="1:15" ht="12.5">
      <c r="A48" s="17"/>
      <c r="B48" s="24"/>
      <c r="C48" s="24"/>
      <c r="D48" s="17"/>
      <c r="E48" s="17"/>
      <c r="F48" s="17"/>
      <c r="G48" s="17"/>
      <c r="H48" s="17"/>
      <c r="I48" s="17" t="str">
        <f ca="1">IFERROR(__xludf.DUMMYFUNCTION("""COMPUTED_VALUE"""),"Sales")</f>
        <v>Sales</v>
      </c>
      <c r="J48" s="17"/>
      <c r="K48" s="17"/>
      <c r="L48" s="17"/>
      <c r="M48" s="17"/>
      <c r="N48" s="17"/>
      <c r="O48" s="17"/>
    </row>
    <row r="49" spans="1:15" ht="12.5">
      <c r="A49" s="17"/>
      <c r="B49" s="24"/>
      <c r="C49" s="24"/>
      <c r="D49" s="17"/>
      <c r="E49" s="17"/>
      <c r="F49" s="17"/>
      <c r="G49" s="17"/>
      <c r="H49" s="17"/>
      <c r="I49" s="17" t="str">
        <f ca="1">IFERROR(__xludf.DUMMYFUNCTION("""COMPUTED_VALUE"""),"Sales")</f>
        <v>Sales</v>
      </c>
      <c r="J49" s="17"/>
      <c r="K49" s="17"/>
      <c r="L49" s="17"/>
      <c r="M49" s="17"/>
      <c r="N49" s="17"/>
      <c r="O49" s="17"/>
    </row>
    <row r="50" spans="1:15" ht="12.5">
      <c r="A50" s="17"/>
      <c r="B50" s="24"/>
      <c r="C50" s="24"/>
      <c r="D50" s="17"/>
      <c r="E50" s="17"/>
      <c r="F50" s="17"/>
      <c r="G50" s="17"/>
      <c r="H50" s="17"/>
      <c r="I50" s="17" t="str">
        <f ca="1">IFERROR(__xludf.DUMMYFUNCTION("""COMPUTED_VALUE"""),"Sales")</f>
        <v>Sales</v>
      </c>
      <c r="J50" s="17"/>
      <c r="K50" s="17"/>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5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119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13"/>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Sept'!$J$12:$J$1700=$A$2)"),"TRX1100")</f>
        <v>TRX1100</v>
      </c>
      <c r="B12" s="86" t="str">
        <f ca="1">IFERROR(__xludf.DUMMYFUNCTION("""COMPUTED_VALUE"""),"#70")</f>
        <v>#70</v>
      </c>
      <c r="C12" s="86">
        <f ca="1">IFERROR(__xludf.DUMMYFUNCTION("""COMPUTED_VALUE"""),46064.4166666666)</f>
        <v>46064.416666666599</v>
      </c>
      <c r="D12" s="65">
        <f ca="1">IFERROR(__xludf.DUMMYFUNCTION("FILTER('Edo Cta Jeeves Sept'!$G$12:$G$1700,'Edo Cta Jeeves Sept'!$J$12:$J$1700=$A$2)"),166.32)</f>
        <v>166.32</v>
      </c>
      <c r="E12" s="17" t="str">
        <f ca="1">IFERROR(__xludf.DUMMYFUNCTION("FILTER('Edo Cta Jeeves Sept'!$I$12:$I$1700,'Edo Cta Jeeves Sept'!$J$12:$J$1700=$A$2)"),"MXN")</f>
        <v>MXN</v>
      </c>
      <c r="F12" s="17" t="str">
        <f ca="1">IFERROR(__xludf.DUMMYFUNCTION("FILTER('Edo Cta Jeeves Sept'!$J$12:$J$1700,'Edo Cta Jeeves Sept'!$J$12:$J$1700=$A$2)"),"Alfonso Bello")</f>
        <v>Alfonso Bello</v>
      </c>
      <c r="G12" s="17" t="str">
        <f ca="1">IFERROR(__xludf.DUMMYFUNCTION("FILTER('Edo Cta Jeeves Sept'!$K$12:$L$1700,'Edo Cta Jeeves Sept'!$J$12:$J$1700=$A$2)"),"UBER * PENDING         CMX           MEX")</f>
        <v>UBER * PENDING         CMX           MEX</v>
      </c>
      <c r="H12" s="17" t="str">
        <f ca="1">IFERROR(__xludf.DUMMYFUNCTION("""COMPUTED_VALUE"""),"Uber")</f>
        <v>Uber</v>
      </c>
      <c r="I12" s="17" t="str">
        <f ca="1">IFERROR(__xludf.DUMMYFUNCTION("IMPORTRANGE(""https://docs.google.com/spreadsheets/d/16O0MP-dzMtEMGIdBizEruqHG794nByH32xiWGbR2eEg/edit?gid=1404531132#gid=1404531132"",""I12:K80"")"),"G&amp;A expenses")</f>
        <v>G&amp;A expenses</v>
      </c>
      <c r="J12" s="17" t="str">
        <f ca="1">IFERROR(__xludf.DUMMYFUNCTION("""COMPUTED_VALUE"""),"P.O 1162 - Transporte")</f>
        <v>P.O 1162 - Transporte</v>
      </c>
      <c r="K12" s="17" t="str">
        <f ca="1">IFERROR(__xludf.DUMMYFUNCTION("""COMPUTED_VALUE"""),".")</f>
        <v>.</v>
      </c>
      <c r="L12" s="17"/>
      <c r="M12" s="17"/>
      <c r="N12" s="17"/>
      <c r="O12" s="17"/>
    </row>
    <row r="13" spans="1:15" ht="15.75" customHeight="1">
      <c r="A13" s="24" t="str">
        <f ca="1">IFERROR(__xludf.DUMMYFUNCTION("""COMPUTED_VALUE"""),"TRX1915")</f>
        <v>TRX1915</v>
      </c>
      <c r="B13" s="86" t="str">
        <f ca="1">IFERROR(__xludf.DUMMYFUNCTION("""COMPUTED_VALUE"""),"-")</f>
        <v>-</v>
      </c>
      <c r="C13" s="63">
        <f ca="1">IFERROR(__xludf.DUMMYFUNCTION("""COMPUTED_VALUE"""),46064.4166666666)</f>
        <v>46064.416666666599</v>
      </c>
      <c r="D13" s="65">
        <f ca="1">IFERROR(__xludf.DUMMYFUNCTION("""COMPUTED_VALUE"""),142.84)</f>
        <v>142.84</v>
      </c>
      <c r="E13" s="17" t="str">
        <f ca="1">IFERROR(__xludf.DUMMYFUNCTION("""COMPUTED_VALUE"""),"MXN")</f>
        <v>MXN</v>
      </c>
      <c r="F13" s="17" t="str">
        <f ca="1">IFERROR(__xludf.DUMMYFUNCTION("""COMPUTED_VALUE"""),"Alfonso Bello")</f>
        <v>Alfonso Bello</v>
      </c>
      <c r="G13" s="17" t="str">
        <f ca="1">IFERROR(__xludf.DUMMYFUNCTION("""COMPUTED_VALUE"""),"UBER * PENDING         CMX           MEX")</f>
        <v>UBER * PENDING         CMX           MEX</v>
      </c>
      <c r="H13" s="17" t="str">
        <f ca="1">IFERROR(__xludf.DUMMYFUNCTION("""COMPUTED_VALUE"""),"Uber")</f>
        <v>Uber</v>
      </c>
      <c r="I13" s="17" t="str">
        <f ca="1">IFERROR(__xludf.DUMMYFUNCTION("""COMPUTED_VALUE"""),"G&amp;A expenses")</f>
        <v>G&amp;A expenses</v>
      </c>
      <c r="J13" s="17" t="str">
        <f ca="1">IFERROR(__xludf.DUMMYFUNCTION("""COMPUTED_VALUE"""),"P.O 1162 - Transporte")</f>
        <v>P.O 1162 - Transporte</v>
      </c>
      <c r="K13" s="17" t="str">
        <f ca="1">IFERROR(__xludf.DUMMYFUNCTION("""COMPUTED_VALUE"""),".")</f>
        <v>.</v>
      </c>
      <c r="L13" s="17"/>
      <c r="M13" s="17"/>
      <c r="N13" s="17"/>
      <c r="O13" s="17"/>
    </row>
    <row r="14" spans="1:15" ht="15.75" customHeight="1">
      <c r="A14" s="24" t="str">
        <f ca="1">IFERROR(__xludf.DUMMYFUNCTION("""COMPUTED_VALUE"""),"TRX1706")</f>
        <v>TRX1706</v>
      </c>
      <c r="B14" s="86" t="str">
        <f ca="1">IFERROR(__xludf.DUMMYFUNCTION("""COMPUTED_VALUE"""),"-")</f>
        <v>-</v>
      </c>
      <c r="C14" s="63">
        <f ca="1">IFERROR(__xludf.DUMMYFUNCTION("""COMPUTED_VALUE"""),46066.4166666666)</f>
        <v>46066.416666666599</v>
      </c>
      <c r="D14" s="65">
        <f ca="1">IFERROR(__xludf.DUMMYFUNCTION("""COMPUTED_VALUE"""),301.15)</f>
        <v>301.14999999999998</v>
      </c>
      <c r="E14" s="17" t="str">
        <f ca="1">IFERROR(__xludf.DUMMYFUNCTION("""COMPUTED_VALUE"""),"MXN")</f>
        <v>MXN</v>
      </c>
      <c r="F14" s="17" t="str">
        <f ca="1">IFERROR(__xludf.DUMMYFUNCTION("""COMPUTED_VALUE"""),"Alfonso Bello")</f>
        <v>Alfonso Bello</v>
      </c>
      <c r="G14" s="17" t="str">
        <f ca="1">IFERROR(__xludf.DUMMYFUNCTION("""COMPUTED_VALUE"""),"UBER * PENDING         CMX           MEX")</f>
        <v>UBER * PENDING         CMX           MEX</v>
      </c>
      <c r="H14" s="17" t="str">
        <f ca="1">IFERROR(__xludf.DUMMYFUNCTION("""COMPUTED_VALUE"""),"Uber")</f>
        <v>Uber</v>
      </c>
      <c r="I14" s="17" t="str">
        <f ca="1">IFERROR(__xludf.DUMMYFUNCTION("""COMPUTED_VALUE"""),"G&amp;A expenses")</f>
        <v>G&amp;A expenses</v>
      </c>
      <c r="J14" s="17" t="str">
        <f ca="1">IFERROR(__xludf.DUMMYFUNCTION("""COMPUTED_VALUE"""),"P.O 1162 - Transporte")</f>
        <v>P.O 1162 - Transporte</v>
      </c>
      <c r="K14" s="17" t="str">
        <f ca="1">IFERROR(__xludf.DUMMYFUNCTION("""COMPUTED_VALUE"""),".")</f>
        <v>.</v>
      </c>
      <c r="L14" s="17"/>
      <c r="M14" s="17"/>
      <c r="N14" s="17"/>
      <c r="O14" s="17"/>
    </row>
    <row r="15" spans="1:15" ht="15.75" customHeight="1">
      <c r="A15" s="24" t="str">
        <f ca="1">IFERROR(__xludf.DUMMYFUNCTION("""COMPUTED_VALUE"""),"TRX1901")</f>
        <v>TRX1901</v>
      </c>
      <c r="B15" s="86" t="str">
        <f ca="1">IFERROR(__xludf.DUMMYFUNCTION("""COMPUTED_VALUE"""),"-")</f>
        <v>-</v>
      </c>
      <c r="C15" s="63">
        <f ca="1">IFERROR(__xludf.DUMMYFUNCTION("""COMPUTED_VALUE"""),46066.4166666666)</f>
        <v>46066.416666666599</v>
      </c>
      <c r="D15" s="65">
        <f ca="1">IFERROR(__xludf.DUMMYFUNCTION("""COMPUTED_VALUE"""),205.77)</f>
        <v>205.77</v>
      </c>
      <c r="E15" s="17" t="str">
        <f ca="1">IFERROR(__xludf.DUMMYFUNCTION("""COMPUTED_VALUE"""),"MXN")</f>
        <v>MXN</v>
      </c>
      <c r="F15" s="17" t="str">
        <f ca="1">IFERROR(__xludf.DUMMYFUNCTION("""COMPUTED_VALUE"""),"Alfonso Bello")</f>
        <v>Alfonso Bello</v>
      </c>
      <c r="G15" s="17" t="str">
        <f ca="1">IFERROR(__xludf.DUMMYFUNCTION("""COMPUTED_VALUE"""),"UBER *TRIP HELP.UBER.C CMX           MEX")</f>
        <v>UBER *TRIP HELP.UBER.C CMX           MEX</v>
      </c>
      <c r="H15" s="17" t="str">
        <f ca="1">IFERROR(__xludf.DUMMYFUNCTION("""COMPUTED_VALUE"""),"Uber")</f>
        <v>Uber</v>
      </c>
      <c r="I15" s="17" t="str">
        <f ca="1">IFERROR(__xludf.DUMMYFUNCTION("""COMPUTED_VALUE"""),"G&amp;A expenses")</f>
        <v>G&amp;A expenses</v>
      </c>
      <c r="J15" s="17" t="str">
        <f ca="1">IFERROR(__xludf.DUMMYFUNCTION("""COMPUTED_VALUE"""),"P.O 1162 - Transporte")</f>
        <v>P.O 1162 - Transporte</v>
      </c>
      <c r="K15" s="17" t="str">
        <f ca="1">IFERROR(__xludf.DUMMYFUNCTION("""COMPUTED_VALUE"""),".")</f>
        <v>.</v>
      </c>
      <c r="L15" s="17"/>
      <c r="M15" s="17"/>
      <c r="N15" s="17"/>
      <c r="O15" s="17"/>
    </row>
    <row r="16" spans="1:15" ht="15.75" customHeight="1">
      <c r="A16" s="17"/>
      <c r="B16" s="24"/>
      <c r="C16" s="24"/>
      <c r="D16" s="133"/>
      <c r="E16" s="17"/>
      <c r="F16" s="17"/>
      <c r="G16" s="17"/>
      <c r="H16" s="17"/>
      <c r="I16" s="17" t="str">
        <f ca="1">IFERROR(__xludf.DUMMYFUNCTION("""COMPUTED_VALUE"""),"G&amp;A expenses")</f>
        <v>G&amp;A expenses</v>
      </c>
      <c r="J16" s="17" t="str">
        <f ca="1">IFERROR(__xludf.DUMMYFUNCTION("""COMPUTED_VALUE"""),"P.O 1507 - Combustible")</f>
        <v>P.O 1507 - Combustible</v>
      </c>
      <c r="K16" s="17" t="str">
        <f ca="1">IFERROR(__xludf.DUMMYFUNCTION("""COMPUTED_VALUE"""),".")</f>
        <v>.</v>
      </c>
      <c r="L16" s="17"/>
      <c r="M16" s="17"/>
      <c r="N16" s="17"/>
      <c r="O16" s="17"/>
    </row>
    <row r="17" spans="1:15" ht="15.75" customHeight="1">
      <c r="A17" s="17"/>
      <c r="B17" s="24"/>
      <c r="C17" s="24"/>
      <c r="D17" s="133"/>
      <c r="E17" s="17"/>
      <c r="F17" s="17"/>
      <c r="G17" s="17"/>
      <c r="H17" s="17"/>
      <c r="I17" s="17" t="str">
        <f ca="1">IFERROR(__xludf.DUMMYFUNCTION("""COMPUTED_VALUE"""),"G&amp;A expenses")</f>
        <v>G&amp;A expenses</v>
      </c>
      <c r="J17" s="17" t="str">
        <f ca="1">IFERROR(__xludf.DUMMYFUNCTION("""COMPUTED_VALUE"""),"P.O 1507 - Transporte")</f>
        <v>P.O 1507 - Transporte</v>
      </c>
      <c r="K17" s="17" t="str">
        <f ca="1">IFERROR(__xludf.DUMMYFUNCTION("""COMPUTED_VALUE"""),".")</f>
        <v>.</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IFERROR(__xludf.DUMMYFUNCTION("""COMPUTED_VALUE"""),"P.O 1507 - Transporte")</f>
        <v>P.O 1507 - Transporte</v>
      </c>
      <c r="K18" s="17" t="str">
        <f ca="1">IFERROR(__xludf.DUMMYFUNCTION("""COMPUTED_VALUE"""),".")</f>
        <v>.</v>
      </c>
      <c r="L18" s="17"/>
      <c r="M18" s="17"/>
      <c r="N18" s="17"/>
      <c r="O18" s="17"/>
    </row>
    <row r="19" spans="1:15" ht="15.75" customHeight="1">
      <c r="A19" s="17"/>
      <c r="B19" s="24"/>
      <c r="C19" s="24"/>
      <c r="D19" s="133"/>
      <c r="E19" s="17"/>
      <c r="F19" s="17"/>
      <c r="G19" s="17"/>
      <c r="H19" s="17"/>
      <c r="I19" s="17" t="str">
        <f ca="1">IFERROR(__xludf.DUMMYFUNCTION("""COMPUTED_VALUE"""),"G&amp;A expenses")</f>
        <v>G&amp;A expenses</v>
      </c>
      <c r="J19" s="17" t="str">
        <f ca="1">IFERROR(__xludf.DUMMYFUNCTION("""COMPUTED_VALUE"""),"P.O 1507 - Alimentos")</f>
        <v>P.O 1507 - Alimentos</v>
      </c>
      <c r="K19" s="17" t="str">
        <f ca="1">IFERROR(__xludf.DUMMYFUNCTION("""COMPUTED_VALUE"""),".")</f>
        <v>.</v>
      </c>
      <c r="L19" s="17"/>
      <c r="M19" s="17"/>
      <c r="N19" s="17"/>
      <c r="O19" s="17"/>
    </row>
    <row r="20" spans="1:15" ht="12.5">
      <c r="A20" s="17"/>
      <c r="B20" s="24"/>
      <c r="C20" s="24"/>
      <c r="D20" s="133"/>
      <c r="E20" s="17"/>
      <c r="F20" s="17"/>
      <c r="G20" s="17"/>
      <c r="H20" s="17"/>
      <c r="I20" s="17" t="str">
        <f ca="1">IFERROR(__xludf.DUMMYFUNCTION("""COMPUTED_VALUE"""),"G&amp;A expenses")</f>
        <v>G&amp;A expenses</v>
      </c>
      <c r="J20" s="17" t="str">
        <f ca="1">IFERROR(__xludf.DUMMYFUNCTION("""COMPUTED_VALUE"""),"P.O 1507 - Alimentos")</f>
        <v>P.O 1507 - Alimentos</v>
      </c>
      <c r="K20" s="17" t="str">
        <f ca="1">IFERROR(__xludf.DUMMYFUNCTION("""COMPUTED_VALUE"""),".")</f>
        <v>.</v>
      </c>
      <c r="L20" s="17"/>
      <c r="M20" s="17"/>
      <c r="N20" s="17"/>
      <c r="O20" s="17"/>
    </row>
    <row r="21" spans="1:15" ht="12.5">
      <c r="A21" s="17"/>
      <c r="B21" s="24"/>
      <c r="C21" s="24"/>
      <c r="D21" s="133"/>
      <c r="E21" s="17"/>
      <c r="F21" s="17"/>
      <c r="G21" s="17"/>
      <c r="H21" s="17"/>
      <c r="I21" s="17" t="str">
        <f ca="1">IFERROR(__xludf.DUMMYFUNCTION("""COMPUTED_VALUE"""),"G&amp;A expenses")</f>
        <v>G&amp;A expenses</v>
      </c>
      <c r="J21" s="17" t="str">
        <f ca="1">IFERROR(__xludf.DUMMYFUNCTION("""COMPUTED_VALUE"""),"P.O 1507 - Combustible")</f>
        <v>P.O 1507 - Combustible</v>
      </c>
      <c r="K21" s="17" t="str">
        <f ca="1">IFERROR(__xludf.DUMMYFUNCTION("""COMPUTED_VALUE"""),".")</f>
        <v>.</v>
      </c>
      <c r="L21" s="17"/>
      <c r="M21" s="17"/>
      <c r="N21" s="17"/>
      <c r="O21" s="17"/>
    </row>
    <row r="22" spans="1:15" ht="12.5">
      <c r="A22" s="17"/>
      <c r="B22" s="24"/>
      <c r="C22" s="24"/>
      <c r="D22" s="17"/>
      <c r="E22" s="17"/>
      <c r="F22" s="17"/>
      <c r="G22" s="17"/>
      <c r="H22" s="17"/>
      <c r="I22" s="17" t="str">
        <f ca="1">IFERROR(__xludf.DUMMYFUNCTION("""COMPUTED_VALUE"""),"G&amp;A expenses")</f>
        <v>G&amp;A expenses</v>
      </c>
      <c r="J22" s="17" t="str">
        <f ca="1">IFERROR(__xludf.DUMMYFUNCTION("""COMPUTED_VALUE"""),"P.O 1507 - Combustible")</f>
        <v>P.O 1507 - Combustible</v>
      </c>
      <c r="K22" s="17" t="str">
        <f ca="1">IFERROR(__xludf.DUMMYFUNCTION("""COMPUTED_VALUE"""),".")</f>
        <v>.</v>
      </c>
      <c r="L22" s="17"/>
      <c r="M22" s="17"/>
      <c r="N22" s="17"/>
      <c r="O22" s="17"/>
    </row>
    <row r="23" spans="1:15" ht="12.5">
      <c r="A23" s="17"/>
      <c r="B23" s="24"/>
      <c r="C23" s="24"/>
      <c r="D23" s="17"/>
      <c r="E23" s="17"/>
      <c r="F23" s="17"/>
      <c r="G23" s="17"/>
      <c r="H23" s="17"/>
      <c r="I23" s="17" t="str">
        <f ca="1">IFERROR(__xludf.DUMMYFUNCTION("""COMPUTED_VALUE"""),"G&amp;A expenses")</f>
        <v>G&amp;A expenses</v>
      </c>
      <c r="J23" s="17" t="str">
        <f ca="1">IFERROR(__xludf.DUMMYFUNCTION("""COMPUTED_VALUE"""),"P.O 1507 - Transporte")</f>
        <v>P.O 1507 - Transporte</v>
      </c>
      <c r="K23" s="17" t="str">
        <f ca="1">IFERROR(__xludf.DUMMYFUNCTION("""COMPUTED_VALUE"""),".")</f>
        <v>.</v>
      </c>
      <c r="L23" s="17"/>
      <c r="M23" s="17"/>
      <c r="N23" s="17"/>
      <c r="O23" s="17"/>
    </row>
    <row r="24" spans="1:15" ht="12.5">
      <c r="A24" s="17"/>
      <c r="B24" s="24"/>
      <c r="C24" s="24"/>
      <c r="D24" s="17"/>
      <c r="E24" s="17"/>
      <c r="F24" s="17"/>
      <c r="G24" s="17"/>
      <c r="H24" s="17"/>
      <c r="I24" s="17" t="str">
        <f ca="1">IFERROR(__xludf.DUMMYFUNCTION("""COMPUTED_VALUE"""),"G&amp;A expenses")</f>
        <v>G&amp;A expenses</v>
      </c>
      <c r="J24" s="17" t="str">
        <f ca="1">IFERROR(__xludf.DUMMYFUNCTION("""COMPUTED_VALUE"""),"P.O 1507 - Alimentos")</f>
        <v>P.O 1507 - Alimentos</v>
      </c>
      <c r="K24" s="17" t="str">
        <f ca="1">IFERROR(__xludf.DUMMYFUNCTION("""COMPUTED_VALUE"""),".")</f>
        <v>.</v>
      </c>
      <c r="L24" s="17"/>
      <c r="M24" s="17"/>
      <c r="N24" s="17"/>
      <c r="O24" s="17"/>
    </row>
    <row r="25" spans="1:15" ht="12.5">
      <c r="A25" s="17"/>
      <c r="B25" s="24"/>
      <c r="C25" s="24"/>
      <c r="D25" s="17"/>
      <c r="E25" s="17"/>
      <c r="F25" s="17"/>
      <c r="G25" s="17"/>
      <c r="H25" s="17"/>
      <c r="I25" s="17" t="str">
        <f ca="1">IFERROR(__xludf.DUMMYFUNCTION("""COMPUTED_VALUE"""),"G&amp;A expenses")</f>
        <v>G&amp;A expenses</v>
      </c>
      <c r="J25" s="17" t="str">
        <f ca="1">IFERROR(__xludf.DUMMYFUNCTION("""COMPUTED_VALUE"""),"P.O 1507 - Alimentos")</f>
        <v>P.O 1507 - Alimentos</v>
      </c>
      <c r="K25" s="17" t="str">
        <f ca="1">IFERROR(__xludf.DUMMYFUNCTION("""COMPUTED_VALUE"""),".")</f>
        <v>.</v>
      </c>
      <c r="L25" s="17"/>
      <c r="M25" s="17"/>
      <c r="N25" s="17"/>
      <c r="O25" s="17"/>
    </row>
    <row r="26" spans="1:15" ht="12.5">
      <c r="A26" s="17"/>
      <c r="B26" s="24"/>
      <c r="C26" s="24"/>
      <c r="D26" s="17"/>
      <c r="E26" s="17"/>
      <c r="F26" s="17"/>
      <c r="G26" s="17"/>
      <c r="H26" s="17"/>
      <c r="I26" s="17" t="str">
        <f ca="1">IFERROR(__xludf.DUMMYFUNCTION("""COMPUTED_VALUE"""),"G&amp;A expenses")</f>
        <v>G&amp;A expenses</v>
      </c>
      <c r="J26" s="17" t="str">
        <f ca="1">IFERROR(__xludf.DUMMYFUNCTION("""COMPUTED_VALUE"""),"P.O 1507 - Transporte")</f>
        <v>P.O 1507 - Transporte</v>
      </c>
      <c r="K26" s="17" t="str">
        <f ca="1">IFERROR(__xludf.DUMMYFUNCTION("""COMPUTED_VALUE"""),".")</f>
        <v>.</v>
      </c>
      <c r="L26" s="17"/>
      <c r="M26" s="17"/>
      <c r="N26" s="17"/>
      <c r="O26" s="17"/>
    </row>
    <row r="27" spans="1:15" ht="12.5">
      <c r="A27" s="17"/>
      <c r="B27" s="24"/>
      <c r="C27" s="24"/>
      <c r="D27" s="17"/>
      <c r="E27" s="17"/>
      <c r="F27" s="17"/>
      <c r="G27" s="17"/>
      <c r="H27" s="17"/>
      <c r="I27" s="17" t="str">
        <f ca="1">IFERROR(__xludf.DUMMYFUNCTION("""COMPUTED_VALUE"""),"G&amp;A expenses")</f>
        <v>G&amp;A expenses</v>
      </c>
      <c r="J27" s="17" t="str">
        <f ca="1">IFERROR(__xludf.DUMMYFUNCTION("""COMPUTED_VALUE"""),"P.O 1507 - Hospedaje")</f>
        <v>P.O 1507 - Hospedaje</v>
      </c>
      <c r="K27" s="17" t="str">
        <f ca="1">IFERROR(__xludf.DUMMYFUNCTION("""COMPUTED_VALUE"""),".")</f>
        <v>.</v>
      </c>
      <c r="L27" s="17"/>
      <c r="M27" s="17"/>
      <c r="N27" s="17"/>
      <c r="O27" s="17"/>
    </row>
    <row r="28" spans="1:15" ht="12.5">
      <c r="A28" s="17"/>
      <c r="B28" s="24"/>
      <c r="C28" s="24"/>
      <c r="D28" s="17"/>
      <c r="E28" s="17"/>
      <c r="F28" s="17"/>
      <c r="G28" s="17"/>
      <c r="H28" s="17"/>
      <c r="I28" s="17" t="str">
        <f ca="1">IFERROR(__xludf.DUMMYFUNCTION("""COMPUTED_VALUE"""),"G&amp;A expenses")</f>
        <v>G&amp;A expenses</v>
      </c>
      <c r="J28" s="17" t="str">
        <f ca="1">IFERROR(__xludf.DUMMYFUNCTION("""COMPUTED_VALUE"""),"P.O 1507 - Transporte")</f>
        <v>P.O 1507 - Transporte</v>
      </c>
      <c r="K28" s="17" t="str">
        <f ca="1">IFERROR(__xludf.DUMMYFUNCTION("""COMPUTED_VALUE"""),".")</f>
        <v>.</v>
      </c>
      <c r="L28" s="17"/>
      <c r="M28" s="17"/>
      <c r="N28" s="17"/>
      <c r="O28" s="17"/>
    </row>
    <row r="29" spans="1:15" ht="12.5">
      <c r="A29" s="17"/>
      <c r="B29" s="24"/>
      <c r="C29" s="24"/>
      <c r="D29" s="17"/>
      <c r="E29" s="17"/>
      <c r="F29" s="17"/>
      <c r="G29" s="17"/>
      <c r="H29" s="17"/>
      <c r="I29" s="17" t="str">
        <f ca="1">IFERROR(__xludf.DUMMYFUNCTION("""COMPUTED_VALUE"""),"G&amp;A expenses")</f>
        <v>G&amp;A expenses</v>
      </c>
      <c r="J29" s="17" t="str">
        <f ca="1">IFERROR(__xludf.DUMMYFUNCTION("""COMPUTED_VALUE"""),"P.O 1507 - Transporte")</f>
        <v>P.O 1507 - Transporte</v>
      </c>
      <c r="K29" s="17" t="str">
        <f ca="1">IFERROR(__xludf.DUMMYFUNCTION("""COMPUTED_VALUE"""),".")</f>
        <v>.</v>
      </c>
      <c r="L29" s="17"/>
      <c r="M29" s="17"/>
      <c r="N29" s="17"/>
      <c r="O29" s="17"/>
    </row>
    <row r="30" spans="1:15" ht="12.5">
      <c r="A30" s="17"/>
      <c r="B30" s="24"/>
      <c r="C30" s="24"/>
      <c r="D30" s="17"/>
      <c r="E30" s="17"/>
      <c r="F30" s="17"/>
      <c r="G30" s="17"/>
      <c r="H30" s="17"/>
      <c r="I30" s="17" t="str">
        <f ca="1">IFERROR(__xludf.DUMMYFUNCTION("""COMPUTED_VALUE"""),"G&amp;A expenses")</f>
        <v>G&amp;A expenses</v>
      </c>
      <c r="J30" s="17" t="str">
        <f ca="1">IFERROR(__xludf.DUMMYFUNCTION("""COMPUTED_VALUE"""),"P.O 1507 - Vuelo Tijuana")</f>
        <v>P.O 1507 - Vuelo Tijuana</v>
      </c>
      <c r="K30" s="17" t="str">
        <f ca="1">IFERROR(__xludf.DUMMYFUNCTION("""COMPUTED_VALUE"""),".")</f>
        <v>.</v>
      </c>
      <c r="L30" s="17"/>
      <c r="M30" s="17"/>
      <c r="N30" s="17"/>
      <c r="O30" s="17"/>
    </row>
    <row r="31" spans="1:15" ht="12.5">
      <c r="A31" s="17"/>
      <c r="B31" s="24"/>
      <c r="C31" s="24"/>
      <c r="D31" s="17"/>
      <c r="E31" s="17"/>
      <c r="F31" s="17"/>
      <c r="G31" s="17"/>
      <c r="H31" s="17"/>
      <c r="I31" s="17" t="str">
        <f ca="1">IFERROR(__xludf.DUMMYFUNCTION("""COMPUTED_VALUE"""),"G&amp;A expenses")</f>
        <v>G&amp;A expenses</v>
      </c>
      <c r="J31" s="17" t="str">
        <f ca="1">IFERROR(__xludf.DUMMYFUNCTION("""COMPUTED_VALUE"""),"P.O 1507 - Transporte")</f>
        <v>P.O 1507 - Transporte</v>
      </c>
      <c r="K31" s="17" t="str">
        <f ca="1">IFERROR(__xludf.DUMMYFUNCTION("""COMPUTED_VALUE"""),".")</f>
        <v>.</v>
      </c>
      <c r="L31" s="17"/>
      <c r="M31" s="17"/>
      <c r="N31" s="17"/>
      <c r="O31" s="17"/>
    </row>
    <row r="32" spans="1:15" ht="12.5">
      <c r="A32" s="17"/>
      <c r="B32" s="24"/>
      <c r="C32" s="24"/>
      <c r="D32" s="17"/>
      <c r="E32" s="17"/>
      <c r="F32" s="17"/>
      <c r="G32" s="17"/>
      <c r="H32" s="17"/>
      <c r="I32" s="17" t="str">
        <f ca="1">IFERROR(__xludf.DUMMYFUNCTION("""COMPUTED_VALUE"""),"G&amp;A expenses")</f>
        <v>G&amp;A expenses</v>
      </c>
      <c r="J32" s="17" t="str">
        <f ca="1">IFERROR(__xludf.DUMMYFUNCTION("""COMPUTED_VALUE"""),"P.O 1507 - Combustible")</f>
        <v>P.O 1507 - Combustible</v>
      </c>
      <c r="K32" s="17" t="str">
        <f ca="1">IFERROR(__xludf.DUMMYFUNCTION("""COMPUTED_VALUE"""),".")</f>
        <v>.</v>
      </c>
      <c r="L32" s="17"/>
      <c r="M32" s="17"/>
      <c r="N32" s="17"/>
      <c r="O32" s="17"/>
    </row>
    <row r="33" spans="1:15" ht="12.5">
      <c r="A33" s="17"/>
      <c r="B33" s="24"/>
      <c r="C33" s="24"/>
      <c r="D33" s="17"/>
      <c r="E33" s="17"/>
      <c r="F33" s="17"/>
      <c r="G33" s="17"/>
      <c r="H33" s="17"/>
      <c r="I33" s="17" t="str">
        <f ca="1">IFERROR(__xludf.DUMMYFUNCTION("""COMPUTED_VALUE"""),"G&amp;A expenses")</f>
        <v>G&amp;A expenses</v>
      </c>
      <c r="J33" s="17" t="str">
        <f ca="1">IFERROR(__xludf.DUMMYFUNCTION("""COMPUTED_VALUE"""),"P.O 1507 - Combustible")</f>
        <v>P.O 1507 - Combustible</v>
      </c>
      <c r="K33" s="17" t="str">
        <f ca="1">IFERROR(__xludf.DUMMYFUNCTION("""COMPUTED_VALUE"""),".")</f>
        <v>.</v>
      </c>
      <c r="L33" s="17"/>
      <c r="M33" s="17"/>
      <c r="N33" s="17"/>
      <c r="O33" s="17"/>
    </row>
    <row r="34" spans="1:15" ht="12.5">
      <c r="A34" s="17"/>
      <c r="B34" s="24"/>
      <c r="C34" s="24"/>
      <c r="D34" s="17"/>
      <c r="E34" s="17"/>
      <c r="F34" s="17"/>
      <c r="G34" s="17"/>
      <c r="H34" s="17"/>
      <c r="I34" s="17" t="str">
        <f ca="1">IFERROR(__xludf.DUMMYFUNCTION("""COMPUTED_VALUE"""),"G&amp;A expenses")</f>
        <v>G&amp;A expenses</v>
      </c>
      <c r="J34" s="17" t="str">
        <f ca="1">IFERROR(__xludf.DUMMYFUNCTION("""COMPUTED_VALUE"""),"P.O 1507 - Alimentos")</f>
        <v>P.O 1507 - Alimentos</v>
      </c>
      <c r="K34" s="17" t="str">
        <f ca="1">IFERROR(__xludf.DUMMYFUNCTION("""COMPUTED_VALUE"""),".")</f>
        <v>.</v>
      </c>
      <c r="L34" s="17"/>
      <c r="M34" s="17"/>
      <c r="N34" s="17"/>
      <c r="O34" s="17"/>
    </row>
    <row r="35" spans="1:15" ht="12.5">
      <c r="A35" s="17"/>
      <c r="B35" s="24"/>
      <c r="C35" s="24"/>
      <c r="D35" s="17"/>
      <c r="E35" s="17"/>
      <c r="F35" s="17"/>
      <c r="G35" s="17"/>
      <c r="H35" s="17"/>
      <c r="I35" s="17" t="str">
        <f ca="1">IFERROR(__xludf.DUMMYFUNCTION("""COMPUTED_VALUE"""),"G&amp;A expenses")</f>
        <v>G&amp;A expenses</v>
      </c>
      <c r="J35" s="17" t="str">
        <f ca="1">IFERROR(__xludf.DUMMYFUNCTION("""COMPUTED_VALUE"""),"P.O 1507 - Transporte")</f>
        <v>P.O 1507 - Transporte</v>
      </c>
      <c r="K35" s="17" t="str">
        <f ca="1">IFERROR(__xludf.DUMMYFUNCTION("""COMPUTED_VALUE"""),".")</f>
        <v>.</v>
      </c>
      <c r="L35" s="17"/>
      <c r="M35" s="17"/>
      <c r="N35" s="17"/>
      <c r="O35" s="17"/>
    </row>
    <row r="36" spans="1:15" ht="12.5">
      <c r="A36" s="17"/>
      <c r="B36" s="24"/>
      <c r="C36" s="24"/>
      <c r="D36" s="17"/>
      <c r="E36" s="17"/>
      <c r="F36" s="17"/>
      <c r="G36" s="17"/>
      <c r="H36" s="17"/>
      <c r="I36" s="17" t="str">
        <f ca="1">IFERROR(__xludf.DUMMYFUNCTION("""COMPUTED_VALUE"""),"G&amp;A expenses")</f>
        <v>G&amp;A expenses</v>
      </c>
      <c r="J36" s="17" t="str">
        <f ca="1">IFERROR(__xludf.DUMMYFUNCTION("""COMPUTED_VALUE"""),"P.O 1507 - Alimentos")</f>
        <v>P.O 1507 - Alimentos</v>
      </c>
      <c r="K36" s="17" t="str">
        <f ca="1">IFERROR(__xludf.DUMMYFUNCTION("""COMPUTED_VALUE"""),".")</f>
        <v>.</v>
      </c>
      <c r="L36" s="17"/>
      <c r="M36" s="17"/>
      <c r="N36" s="17"/>
      <c r="O36" s="17"/>
    </row>
    <row r="37" spans="1:15" ht="12.5">
      <c r="A37" s="17"/>
      <c r="B37" s="24"/>
      <c r="C37" s="24"/>
      <c r="D37" s="17"/>
      <c r="E37" s="17"/>
      <c r="F37" s="17"/>
      <c r="G37" s="17"/>
      <c r="H37" s="17"/>
      <c r="I37" s="17" t="str">
        <f ca="1">IFERROR(__xludf.DUMMYFUNCTION("""COMPUTED_VALUE"""),"G&amp;A expenses")</f>
        <v>G&amp;A expenses</v>
      </c>
      <c r="J37" s="17" t="str">
        <f ca="1">IFERROR(__xludf.DUMMYFUNCTION("""COMPUTED_VALUE"""),"P.O 1507 - Transporte")</f>
        <v>P.O 1507 - Transporte</v>
      </c>
      <c r="K37" s="17" t="str">
        <f ca="1">IFERROR(__xludf.DUMMYFUNCTION("""COMPUTED_VALUE"""),".")</f>
        <v>.</v>
      </c>
      <c r="L37" s="17"/>
      <c r="M37" s="17"/>
      <c r="N37" s="17"/>
      <c r="O37" s="17"/>
    </row>
    <row r="38" spans="1:15" ht="12.5">
      <c r="A38" s="17"/>
      <c r="B38" s="24"/>
      <c r="C38" s="24"/>
      <c r="D38" s="17"/>
      <c r="E38" s="17"/>
      <c r="F38" s="17"/>
      <c r="G38" s="17"/>
      <c r="H38" s="17"/>
      <c r="I38" s="17" t="str">
        <f ca="1">IFERROR(__xludf.DUMMYFUNCTION("""COMPUTED_VALUE"""),"G&amp;A expenses")</f>
        <v>G&amp;A expenses</v>
      </c>
      <c r="J38" s="17" t="str">
        <f ca="1">IFERROR(__xludf.DUMMYFUNCTION("""COMPUTED_VALUE"""),"P.O 1507 - Alimentos")</f>
        <v>P.O 1507 - Alimentos</v>
      </c>
      <c r="K38" s="17" t="str">
        <f ca="1">IFERROR(__xludf.DUMMYFUNCTION("""COMPUTED_VALUE"""),".")</f>
        <v>.</v>
      </c>
      <c r="L38" s="17"/>
      <c r="M38" s="17"/>
      <c r="N38" s="17"/>
      <c r="O38" s="17"/>
    </row>
    <row r="39" spans="1:15" ht="12.5">
      <c r="A39" s="17"/>
      <c r="B39" s="24"/>
      <c r="C39" s="24"/>
      <c r="D39" s="17"/>
      <c r="E39" s="17"/>
      <c r="F39" s="17"/>
      <c r="G39" s="17"/>
      <c r="H39" s="17"/>
      <c r="I39" s="17" t="str">
        <f ca="1">IFERROR(__xludf.DUMMYFUNCTION("""COMPUTED_VALUE"""),"G&amp;A expenses")</f>
        <v>G&amp;A expenses</v>
      </c>
      <c r="J39" s="17" t="str">
        <f ca="1">IFERROR(__xludf.DUMMYFUNCTION("""COMPUTED_VALUE"""),"P.O 1507 - Alimentos")</f>
        <v>P.O 1507 - Alimentos</v>
      </c>
      <c r="K39" s="17" t="str">
        <f ca="1">IFERROR(__xludf.DUMMYFUNCTION("""COMPUTED_VALUE"""),".")</f>
        <v>.</v>
      </c>
      <c r="L39" s="17"/>
      <c r="M39" s="17"/>
      <c r="N39" s="17"/>
      <c r="O39" s="17"/>
    </row>
    <row r="40" spans="1:15" ht="12.5">
      <c r="A40" s="17"/>
      <c r="B40" s="24"/>
      <c r="C40" s="24"/>
      <c r="D40" s="17"/>
      <c r="E40" s="17"/>
      <c r="F40" s="17"/>
      <c r="G40" s="17"/>
      <c r="H40" s="17"/>
      <c r="I40" s="17" t="str">
        <f ca="1">IFERROR(__xludf.DUMMYFUNCTION("""COMPUTED_VALUE"""),"G&amp;A expenses")</f>
        <v>G&amp;A expenses</v>
      </c>
      <c r="J40" s="17" t="str">
        <f ca="1">IFERROR(__xludf.DUMMYFUNCTION("""COMPUTED_VALUE"""),"P.O 1507 - Alimentos")</f>
        <v>P.O 1507 - Alimentos</v>
      </c>
      <c r="K40" s="17"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IFERROR(__xludf.DUMMYFUNCTION("""COMPUTED_VALUE"""),"G&amp;A expenses")</f>
        <v>G&amp;A expenses</v>
      </c>
      <c r="J41" s="17" t="str">
        <f ca="1">IFERROR(__xludf.DUMMYFUNCTION("""COMPUTED_VALUE"""),"P.O 1507 - Alimentos")</f>
        <v>P.O 1507 - Alimentos</v>
      </c>
      <c r="K41" s="17"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IFERROR(__xludf.DUMMYFUNCTION("""COMPUTED_VALUE"""),"G&amp;A expenses")</f>
        <v>G&amp;A expenses</v>
      </c>
      <c r="J42" s="17" t="str">
        <f ca="1">IFERROR(__xludf.DUMMYFUNCTION("""COMPUTED_VALUE"""),"P.O 1507 - Combustible")</f>
        <v>P.O 1507 - Combustible</v>
      </c>
      <c r="K42" s="17"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IFERROR(__xludf.DUMMYFUNCTION("""COMPUTED_VALUE"""),"G&amp;A expenses")</f>
        <v>G&amp;A expenses</v>
      </c>
      <c r="J43" s="17" t="str">
        <f ca="1">IFERROR(__xludf.DUMMYFUNCTION("""COMPUTED_VALUE"""),"P.O 1507 - Transporte")</f>
        <v>P.O 1507 - Transporte</v>
      </c>
      <c r="K43" s="17"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IFERROR(__xludf.DUMMYFUNCTION("""COMPUTED_VALUE"""),"G&amp;A expenses")</f>
        <v>G&amp;A expenses</v>
      </c>
      <c r="J44" s="17" t="str">
        <f ca="1">IFERROR(__xludf.DUMMYFUNCTION("""COMPUTED_VALUE"""),"P.O 1507 - Transporte")</f>
        <v>P.O 1507 - Transporte</v>
      </c>
      <c r="K44" s="17"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IFERROR(__xludf.DUMMYFUNCTION("""COMPUTED_VALUE"""),"G&amp;A expenses")</f>
        <v>G&amp;A expenses</v>
      </c>
      <c r="J45" s="17" t="str">
        <f ca="1">IFERROR(__xludf.DUMMYFUNCTION("""COMPUTED_VALUE"""),"P.O 1507 - Hospedaje")</f>
        <v>P.O 1507 - Hospedaje</v>
      </c>
      <c r="K45" s="17"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IFERROR(__xludf.DUMMYFUNCTION("""COMPUTED_VALUE"""),"G&amp;A expenses")</f>
        <v>G&amp;A expenses</v>
      </c>
      <c r="J46" s="17" t="str">
        <f ca="1">IFERROR(__xludf.DUMMYFUNCTION("""COMPUTED_VALUE"""),"P.O 1507 - Vuelo Tijuana")</f>
        <v>P.O 1507 - Vuelo Tijuana</v>
      </c>
      <c r="K46" s="17" t="str">
        <f ca="1">IFERROR(__xludf.DUMMYFUNCTION("""COMPUTED_VALUE"""),".")</f>
        <v>.</v>
      </c>
      <c r="L46" s="17"/>
      <c r="M46" s="17"/>
      <c r="N46" s="17"/>
      <c r="O46" s="17"/>
    </row>
    <row r="47" spans="1:15" ht="12.5">
      <c r="A47" s="17"/>
      <c r="B47" s="24"/>
      <c r="C47" s="24"/>
      <c r="D47" s="17"/>
      <c r="E47" s="17"/>
      <c r="F47" s="17"/>
      <c r="G47" s="17"/>
      <c r="H47" s="17"/>
      <c r="I47" s="17" t="str">
        <f ca="1">IFERROR(__xludf.DUMMYFUNCTION("""COMPUTED_VALUE"""),"G&amp;A expenses")</f>
        <v>G&amp;A expenses</v>
      </c>
      <c r="J47" s="17" t="str">
        <f ca="1">IFERROR(__xludf.DUMMYFUNCTION("""COMPUTED_VALUE"""),"P.O 1507 - Transporte")</f>
        <v>P.O 1507 - Transporte</v>
      </c>
      <c r="K47" s="17" t="str">
        <f ca="1">IFERROR(__xludf.DUMMYFUNCTION("""COMPUTED_VALUE"""),".")</f>
        <v>.</v>
      </c>
      <c r="L47" s="17"/>
      <c r="M47" s="17"/>
      <c r="N47" s="17"/>
      <c r="O47" s="17"/>
    </row>
    <row r="48" spans="1:15" ht="12.5">
      <c r="A48" s="17"/>
      <c r="B48" s="24"/>
      <c r="C48" s="24"/>
      <c r="D48" s="17"/>
      <c r="E48" s="17"/>
      <c r="F48" s="17"/>
      <c r="G48" s="17"/>
      <c r="H48" s="17"/>
      <c r="I48" s="17" t="str">
        <f ca="1">IFERROR(__xludf.DUMMYFUNCTION("""COMPUTED_VALUE"""),"G&amp;A expenses")</f>
        <v>G&amp;A expenses</v>
      </c>
      <c r="J48" s="17" t="str">
        <f ca="1">IFERROR(__xludf.DUMMYFUNCTION("""COMPUTED_VALUE"""),"P.O 1507 - Transporte")</f>
        <v>P.O 1507 - Transporte</v>
      </c>
      <c r="K48" s="17" t="str">
        <f ca="1">IFERROR(__xludf.DUMMYFUNCTION("""COMPUTED_VALUE"""),".")</f>
        <v>.</v>
      </c>
      <c r="L48" s="17"/>
      <c r="M48" s="17"/>
      <c r="N48" s="17"/>
      <c r="O48" s="17"/>
    </row>
    <row r="49" spans="1:15" ht="12.5">
      <c r="A49" s="17"/>
      <c r="B49" s="24"/>
      <c r="C49" s="24"/>
      <c r="D49" s="17"/>
      <c r="E49" s="17"/>
      <c r="F49" s="17"/>
      <c r="G49" s="17"/>
      <c r="H49" s="17"/>
      <c r="I49" s="17" t="str">
        <f ca="1">IFERROR(__xludf.DUMMYFUNCTION("""COMPUTED_VALUE"""),"G&amp;A expenses")</f>
        <v>G&amp;A expenses</v>
      </c>
      <c r="J49" s="17" t="str">
        <f ca="1">IFERROR(__xludf.DUMMYFUNCTION("""COMPUTED_VALUE"""),"P.O 1507 - Alimentos")</f>
        <v>P.O 1507 - Alimentos</v>
      </c>
      <c r="K49" s="17" t="str">
        <f ca="1">IFERROR(__xludf.DUMMYFUNCTION("""COMPUTED_VALUE"""),".")</f>
        <v>.</v>
      </c>
      <c r="L49" s="17"/>
      <c r="M49" s="17"/>
      <c r="N49" s="17"/>
      <c r="O49" s="17"/>
    </row>
    <row r="50" spans="1:15" ht="12.5">
      <c r="A50" s="17"/>
      <c r="B50" s="24"/>
      <c r="C50" s="24"/>
      <c r="D50" s="17"/>
      <c r="E50" s="17"/>
      <c r="F50" s="17"/>
      <c r="G50" s="17"/>
      <c r="H50" s="17"/>
      <c r="I50" s="17" t="str">
        <f ca="1">IFERROR(__xludf.DUMMYFUNCTION("""COMPUTED_VALUE"""),"G&amp;A expenses")</f>
        <v>G&amp;A expenses</v>
      </c>
      <c r="J50" s="17" t="str">
        <f ca="1">IFERROR(__xludf.DUMMYFUNCTION("""COMPUTED_VALUE"""),"P.O 1507 - Alimentos")</f>
        <v>P.O 1507 - Alimentos</v>
      </c>
      <c r="K50" s="17" t="str">
        <f ca="1">IFERROR(__xludf.DUMMYFUNCTION("""COMPUTED_VALUE"""),".")</f>
        <v>.</v>
      </c>
      <c r="L50" s="17"/>
      <c r="M50" s="17"/>
      <c r="N50" s="17"/>
      <c r="O50" s="17"/>
    </row>
    <row r="51" spans="1:15" ht="12.5">
      <c r="A51" s="17"/>
      <c r="B51" s="24"/>
      <c r="C51" s="24"/>
      <c r="D51" s="17"/>
      <c r="E51" s="17"/>
      <c r="F51" s="17"/>
      <c r="G51" s="17"/>
      <c r="H51" s="17"/>
      <c r="I51" s="17" t="str">
        <f ca="1">IFERROR(__xludf.DUMMYFUNCTION("""COMPUTED_VALUE"""),"G&amp;A expenses")</f>
        <v>G&amp;A expenses</v>
      </c>
      <c r="J51" s="17" t="str">
        <f ca="1">IFERROR(__xludf.DUMMYFUNCTION("""COMPUTED_VALUE"""),"P.O 1507 - Combustible")</f>
        <v>P.O 1507 - Combustible</v>
      </c>
      <c r="K51" s="17" t="str">
        <f ca="1">IFERROR(__xludf.DUMMYFUNCTION("""COMPUTED_VALUE"""),".")</f>
        <v>.</v>
      </c>
      <c r="L51" s="17"/>
      <c r="M51" s="17"/>
      <c r="N51" s="17"/>
      <c r="O51" s="17"/>
    </row>
    <row r="52" spans="1:15" ht="12.5">
      <c r="A52" s="17"/>
      <c r="B52" s="24"/>
      <c r="C52" s="24"/>
      <c r="D52" s="17"/>
      <c r="E52" s="17"/>
      <c r="F52" s="17"/>
      <c r="G52" s="17"/>
      <c r="H52" s="17"/>
      <c r="I52" s="17" t="str">
        <f ca="1">IFERROR(__xludf.DUMMYFUNCTION("""COMPUTED_VALUE"""),"G&amp;A expenses")</f>
        <v>G&amp;A expenses</v>
      </c>
      <c r="J52" s="17" t="str">
        <f ca="1">IFERROR(__xludf.DUMMYFUNCTION("""COMPUTED_VALUE"""),"P.O 1507 - Alimentos")</f>
        <v>P.O 1507 - Alimentos</v>
      </c>
      <c r="K52" s="17" t="str">
        <f ca="1">IFERROR(__xludf.DUMMYFUNCTION("""COMPUTED_VALUE"""),".")</f>
        <v>.</v>
      </c>
      <c r="L52" s="17"/>
      <c r="M52" s="17"/>
      <c r="N52" s="17"/>
      <c r="O52" s="17"/>
    </row>
    <row r="53" spans="1:15" ht="12.5">
      <c r="A53" s="17"/>
      <c r="B53" s="24"/>
      <c r="C53" s="24"/>
      <c r="D53" s="17"/>
      <c r="E53" s="17"/>
      <c r="F53" s="17"/>
      <c r="G53" s="17"/>
      <c r="H53" s="17"/>
      <c r="I53" s="17" t="str">
        <f ca="1">IFERROR(__xludf.DUMMYFUNCTION("""COMPUTED_VALUE"""),"G&amp;A expenses")</f>
        <v>G&amp;A expenses</v>
      </c>
      <c r="J53" s="17" t="str">
        <f ca="1">IFERROR(__xludf.DUMMYFUNCTION("""COMPUTED_VALUE"""),"P.O 1507 - Combustible")</f>
        <v>P.O 1507 - Combustible</v>
      </c>
      <c r="K53" s="17" t="str">
        <f ca="1">IFERROR(__xludf.DUMMYFUNCTION("""COMPUTED_VALUE"""),".")</f>
        <v>.</v>
      </c>
      <c r="L53" s="17"/>
      <c r="M53" s="17"/>
      <c r="N53" s="17"/>
      <c r="O53" s="17"/>
    </row>
    <row r="54" spans="1:15" ht="12.5">
      <c r="A54" s="17"/>
      <c r="B54" s="24"/>
      <c r="C54" s="24"/>
      <c r="D54" s="17"/>
      <c r="E54" s="17"/>
      <c r="F54" s="17"/>
      <c r="G54" s="17"/>
      <c r="H54" s="17"/>
      <c r="I54" s="17" t="str">
        <f ca="1">IFERROR(__xludf.DUMMYFUNCTION("""COMPUTED_VALUE"""),"G&amp;A expenses")</f>
        <v>G&amp;A expenses</v>
      </c>
      <c r="J54" s="17" t="str">
        <f ca="1">IFERROR(__xludf.DUMMYFUNCTION("""COMPUTED_VALUE"""),"P.O 1507 - Alimentos")</f>
        <v>P.O 1507 - Alimentos</v>
      </c>
      <c r="K54" s="17" t="str">
        <f ca="1">IFERROR(__xludf.DUMMYFUNCTION("""COMPUTED_VALUE"""),".")</f>
        <v>.</v>
      </c>
      <c r="L54" s="17"/>
      <c r="M54" s="17"/>
      <c r="N54" s="17"/>
      <c r="O54" s="17"/>
    </row>
    <row r="55" spans="1:15" ht="12.5">
      <c r="A55" s="17"/>
      <c r="B55" s="24"/>
      <c r="C55" s="24"/>
      <c r="D55" s="17"/>
      <c r="E55" s="17"/>
      <c r="F55" s="17"/>
      <c r="G55" s="17"/>
      <c r="H55" s="17"/>
      <c r="I55" s="17" t="str">
        <f ca="1">IFERROR(__xludf.DUMMYFUNCTION("""COMPUTED_VALUE"""),"G&amp;A expenses")</f>
        <v>G&amp;A expenses</v>
      </c>
      <c r="J55" s="17" t="str">
        <f ca="1">IFERROR(__xludf.DUMMYFUNCTION("""COMPUTED_VALUE"""),"P.O 1507 - Hospedaje")</f>
        <v>P.O 1507 - Hospedaje</v>
      </c>
      <c r="K55" s="17" t="str">
        <f ca="1">IFERROR(__xludf.DUMMYFUNCTION("""COMPUTED_VALUE"""),".")</f>
        <v>.</v>
      </c>
      <c r="L55" s="17"/>
      <c r="M55" s="17"/>
      <c r="N55" s="17"/>
      <c r="O55" s="17"/>
    </row>
    <row r="56" spans="1:15" ht="12.5">
      <c r="A56" s="17"/>
      <c r="B56" s="24"/>
      <c r="C56" s="24"/>
      <c r="D56" s="17"/>
      <c r="E56" s="17"/>
      <c r="F56" s="17"/>
      <c r="G56" s="17"/>
      <c r="H56" s="17"/>
      <c r="I56" s="17" t="str">
        <f ca="1">IFERROR(__xludf.DUMMYFUNCTION("""COMPUTED_VALUE"""),"G&amp;A expenses")</f>
        <v>G&amp;A expenses</v>
      </c>
      <c r="J56" s="17" t="str">
        <f ca="1">IFERROR(__xludf.DUMMYFUNCTION("""COMPUTED_VALUE"""),"P.O 1507 - Combustible")</f>
        <v>P.O 1507 - Combustible</v>
      </c>
      <c r="K56" s="17" t="str">
        <f ca="1">IFERROR(__xludf.DUMMYFUNCTION("""COMPUTED_VALUE"""),".")</f>
        <v>.</v>
      </c>
      <c r="L56" s="17"/>
      <c r="M56" s="17"/>
      <c r="N56" s="17"/>
      <c r="O56" s="17"/>
    </row>
    <row r="57" spans="1:15" ht="12.5">
      <c r="A57" s="17"/>
      <c r="B57" s="24"/>
      <c r="C57" s="24"/>
      <c r="D57" s="17"/>
      <c r="E57" s="17"/>
      <c r="F57" s="17"/>
      <c r="G57" s="17"/>
      <c r="H57" s="17"/>
      <c r="I57" s="17" t="str">
        <f ca="1">IFERROR(__xludf.DUMMYFUNCTION("""COMPUTED_VALUE"""),"G&amp;A expenses")</f>
        <v>G&amp;A expenses</v>
      </c>
      <c r="J57" s="17" t="str">
        <f ca="1">IFERROR(__xludf.DUMMYFUNCTION("""COMPUTED_VALUE"""),"P.O 1507 - Alimentos")</f>
        <v>P.O 1507 - Alimentos</v>
      </c>
      <c r="K57" s="17" t="str">
        <f ca="1">IFERROR(__xludf.DUMMYFUNCTION("""COMPUTED_VALUE"""),".")</f>
        <v>.</v>
      </c>
      <c r="L57" s="17"/>
      <c r="M57" s="17"/>
      <c r="N57" s="17"/>
      <c r="O57" s="17"/>
    </row>
    <row r="58" spans="1:15" ht="12.5">
      <c r="A58" s="17"/>
      <c r="B58" s="24"/>
      <c r="C58" s="24"/>
      <c r="D58" s="17"/>
      <c r="E58" s="17"/>
      <c r="F58" s="17"/>
      <c r="G58" s="17"/>
      <c r="H58" s="17"/>
      <c r="I58" s="17" t="str">
        <f ca="1">IFERROR(__xludf.DUMMYFUNCTION("""COMPUTED_VALUE"""),"G&amp;A expenses")</f>
        <v>G&amp;A expenses</v>
      </c>
      <c r="J58" s="17" t="str">
        <f ca="1">IFERROR(__xludf.DUMMYFUNCTION("""COMPUTED_VALUE"""),"P.O 1507 - Hospedaje")</f>
        <v>P.O 1507 - Hospedaje</v>
      </c>
      <c r="K58" s="17" t="str">
        <f ca="1">IFERROR(__xludf.DUMMYFUNCTION("""COMPUTED_VALUE"""),".")</f>
        <v>.</v>
      </c>
      <c r="L58" s="17"/>
      <c r="M58" s="17"/>
      <c r="N58" s="17"/>
      <c r="O58" s="17"/>
    </row>
    <row r="59" spans="1:15" ht="12.5">
      <c r="A59" s="17"/>
      <c r="B59" s="24"/>
      <c r="C59" s="24"/>
      <c r="D59" s="17"/>
      <c r="E59" s="17"/>
      <c r="F59" s="17"/>
      <c r="G59" s="17"/>
      <c r="H59" s="17"/>
      <c r="I59" s="17" t="str">
        <f ca="1">IFERROR(__xludf.DUMMYFUNCTION("""COMPUTED_VALUE"""),"G&amp;A expenses")</f>
        <v>G&amp;A expenses</v>
      </c>
      <c r="J59" s="17" t="str">
        <f ca="1">IFERROR(__xludf.DUMMYFUNCTION("""COMPUTED_VALUE"""),"P.O 1507 - Alimentos")</f>
        <v>P.O 1507 - Alimentos</v>
      </c>
      <c r="K59" s="17" t="str">
        <f ca="1">IFERROR(__xludf.DUMMYFUNCTION("""COMPUTED_VALUE"""),".")</f>
        <v>.</v>
      </c>
      <c r="L59" s="17"/>
      <c r="M59" s="17"/>
      <c r="N59" s="17"/>
      <c r="O59" s="17"/>
    </row>
    <row r="60" spans="1:15" ht="12.5">
      <c r="A60" s="17"/>
      <c r="B60" s="24"/>
      <c r="C60" s="24"/>
      <c r="D60" s="17"/>
      <c r="E60" s="17"/>
      <c r="F60" s="17"/>
      <c r="G60" s="17"/>
      <c r="H60" s="17"/>
      <c r="I60" s="17" t="str">
        <f ca="1">IFERROR(__xludf.DUMMYFUNCTION("""COMPUTED_VALUE"""),"G&amp;A expenses")</f>
        <v>G&amp;A expenses</v>
      </c>
      <c r="J60" s="17" t="str">
        <f ca="1">IFERROR(__xludf.DUMMYFUNCTION("""COMPUTED_VALUE"""),"P.O 1507 - Transporte")</f>
        <v>P.O 1507 - Transporte</v>
      </c>
      <c r="K60" s="17" t="str">
        <f ca="1">IFERROR(__xludf.DUMMYFUNCTION("""COMPUTED_VALUE"""),".")</f>
        <v>.</v>
      </c>
      <c r="L60" s="17"/>
      <c r="M60" s="17"/>
      <c r="N60" s="17"/>
      <c r="O60" s="17"/>
    </row>
    <row r="61" spans="1:15" ht="12.5">
      <c r="A61" s="17"/>
      <c r="B61" s="24"/>
      <c r="C61" s="24"/>
      <c r="D61" s="17"/>
      <c r="E61" s="17"/>
      <c r="F61" s="17"/>
      <c r="G61" s="17"/>
      <c r="H61" s="17"/>
      <c r="I61" s="17" t="str">
        <f ca="1">IFERROR(__xludf.DUMMYFUNCTION("""COMPUTED_VALUE"""),"G&amp;A expenses")</f>
        <v>G&amp;A expenses</v>
      </c>
      <c r="J61" s="17" t="str">
        <f ca="1">IFERROR(__xludf.DUMMYFUNCTION("""COMPUTED_VALUE"""),"P.O 1507 - Hospedaje")</f>
        <v>P.O 1507 - Hospedaje</v>
      </c>
      <c r="K61" s="17" t="str">
        <f ca="1">IFERROR(__xludf.DUMMYFUNCTION("""COMPUTED_VALUE"""),".")</f>
        <v>.</v>
      </c>
      <c r="L61" s="17"/>
      <c r="M61" s="17"/>
      <c r="N61" s="17"/>
      <c r="O61" s="17"/>
    </row>
    <row r="62" spans="1:15" ht="12.5">
      <c r="A62" s="17"/>
      <c r="B62" s="24"/>
      <c r="C62" s="24"/>
      <c r="D62" s="17"/>
      <c r="E62" s="17"/>
      <c r="F62" s="17"/>
      <c r="G62" s="17"/>
      <c r="H62" s="17"/>
      <c r="I62" s="17" t="str">
        <f ca="1">IFERROR(__xludf.DUMMYFUNCTION("""COMPUTED_VALUE"""),"G&amp;A expenses")</f>
        <v>G&amp;A expenses</v>
      </c>
      <c r="J62" s="17" t="str">
        <f ca="1">IFERROR(__xludf.DUMMYFUNCTION("""COMPUTED_VALUE"""),"P.O 1162 - Alimentos")</f>
        <v>P.O 1162 - Alimentos</v>
      </c>
      <c r="K62" s="17" t="str">
        <f ca="1">IFERROR(__xludf.DUMMYFUNCTION("""COMPUTED_VALUE"""),".")</f>
        <v>.</v>
      </c>
      <c r="L62" s="17"/>
      <c r="M62" s="17"/>
      <c r="N62" s="17"/>
      <c r="O62" s="17"/>
    </row>
    <row r="63" spans="1:15" ht="12.5">
      <c r="A63" s="17"/>
      <c r="B63" s="24"/>
      <c r="C63" s="24"/>
      <c r="D63" s="17"/>
      <c r="E63" s="17"/>
      <c r="F63" s="17"/>
      <c r="G63" s="17"/>
      <c r="H63" s="17"/>
      <c r="I63" s="17" t="str">
        <f ca="1">IFERROR(__xludf.DUMMYFUNCTION("""COMPUTED_VALUE"""),"G&amp;A expenses")</f>
        <v>G&amp;A expenses</v>
      </c>
      <c r="J63" s="17" t="str">
        <f ca="1">IFERROR(__xludf.DUMMYFUNCTION("""COMPUTED_VALUE"""),"P.O 1507 - Vuelo Tijuana")</f>
        <v>P.O 1507 - Vuelo Tijuana</v>
      </c>
      <c r="K63" s="17" t="str">
        <f ca="1">IFERROR(__xludf.DUMMYFUNCTION("""COMPUTED_VALUE"""),".")</f>
        <v>.</v>
      </c>
      <c r="L63" s="17"/>
      <c r="M63" s="17"/>
      <c r="N63" s="17"/>
      <c r="O63" s="17"/>
    </row>
    <row r="64" spans="1:15" ht="12.5">
      <c r="A64" s="17"/>
      <c r="B64" s="24"/>
      <c r="C64" s="24"/>
      <c r="D64" s="17"/>
      <c r="E64" s="17"/>
      <c r="F64" s="17"/>
      <c r="G64" s="17"/>
      <c r="H64" s="17"/>
      <c r="I64" s="17" t="str">
        <f ca="1">IFERROR(__xludf.DUMMYFUNCTION("""COMPUTED_VALUE"""),"G&amp;A expenses")</f>
        <v>G&amp;A expenses</v>
      </c>
      <c r="J64" s="17" t="str">
        <f ca="1">IFERROR(__xludf.DUMMYFUNCTION("""COMPUTED_VALUE"""),"P.O 1507 - Combustible")</f>
        <v>P.O 1507 - Combustible</v>
      </c>
      <c r="K64" s="17" t="str">
        <f ca="1">IFERROR(__xludf.DUMMYFUNCTION("""COMPUTED_VALUE"""),".")</f>
        <v>.</v>
      </c>
      <c r="L64" s="17"/>
      <c r="M64" s="17"/>
      <c r="N64" s="17"/>
      <c r="O64" s="17"/>
    </row>
    <row r="65" spans="1:15" ht="12.5">
      <c r="A65" s="17"/>
      <c r="B65" s="24"/>
      <c r="C65" s="24"/>
      <c r="D65" s="17"/>
      <c r="E65" s="17"/>
      <c r="F65" s="17"/>
      <c r="G65" s="17"/>
      <c r="H65" s="17"/>
      <c r="I65" s="17" t="str">
        <f ca="1">IFERROR(__xludf.DUMMYFUNCTION("""COMPUTED_VALUE"""),"G&amp;A expenses")</f>
        <v>G&amp;A expenses</v>
      </c>
      <c r="J65" s="17" t="str">
        <f ca="1">IFERROR(__xludf.DUMMYFUNCTION("""COMPUTED_VALUE"""),"P.O 1507 - Transporte")</f>
        <v>P.O 1507 - Transporte</v>
      </c>
      <c r="K65" s="17" t="str">
        <f ca="1">IFERROR(__xludf.DUMMYFUNCTION("""COMPUTED_VALUE"""),".")</f>
        <v>.</v>
      </c>
      <c r="L65" s="17"/>
      <c r="M65" s="17"/>
      <c r="N65" s="17"/>
      <c r="O65" s="17"/>
    </row>
    <row r="66" spans="1:15" ht="12.5">
      <c r="A66" s="17"/>
      <c r="B66" s="24"/>
      <c r="C66" s="24"/>
      <c r="D66" s="17"/>
      <c r="E66" s="17"/>
      <c r="F66" s="17"/>
      <c r="G66" s="17"/>
      <c r="H66" s="17"/>
      <c r="I66" s="17" t="str">
        <f ca="1">IFERROR(__xludf.DUMMYFUNCTION("""COMPUTED_VALUE"""),"G&amp;A expenses")</f>
        <v>G&amp;A expenses</v>
      </c>
      <c r="J66" s="17" t="str">
        <f ca="1">IFERROR(__xludf.DUMMYFUNCTION("""COMPUTED_VALUE"""),"P.O 1507 - Consumibles y Herramientas")</f>
        <v>P.O 1507 - Consumibles y Herramientas</v>
      </c>
      <c r="K66" s="17" t="str">
        <f ca="1">IFERROR(__xludf.DUMMYFUNCTION("""COMPUTED_VALUE"""),".")</f>
        <v>.</v>
      </c>
      <c r="L66" s="17"/>
      <c r="M66" s="17"/>
      <c r="N66" s="17"/>
      <c r="O66" s="17"/>
    </row>
    <row r="67" spans="1:15" ht="12.5">
      <c r="A67" s="17"/>
      <c r="B67" s="24"/>
      <c r="C67" s="24"/>
      <c r="D67" s="17"/>
      <c r="E67" s="17"/>
      <c r="F67" s="17"/>
      <c r="G67" s="17"/>
      <c r="H67" s="17"/>
      <c r="I67" s="17" t="str">
        <f ca="1">IFERROR(__xludf.DUMMYFUNCTION("""COMPUTED_VALUE"""),"G&amp;A expenses")</f>
        <v>G&amp;A expenses</v>
      </c>
      <c r="J67" s="17" t="str">
        <f ca="1">IFERROR(__xludf.DUMMYFUNCTION("""COMPUTED_VALUE"""),"P.O 1507 - Alimentos")</f>
        <v>P.O 1507 - Alimentos</v>
      </c>
      <c r="K67" s="17" t="str">
        <f ca="1">IFERROR(__xludf.DUMMYFUNCTION("""COMPUTED_VALUE"""),".")</f>
        <v>.</v>
      </c>
      <c r="L67" s="17"/>
      <c r="M67" s="17"/>
      <c r="N67" s="17"/>
      <c r="O67" s="17"/>
    </row>
    <row r="68" spans="1:15" ht="12.5">
      <c r="A68" s="17"/>
      <c r="B68" s="24"/>
      <c r="C68" s="24"/>
      <c r="D68" s="17"/>
      <c r="E68" s="17"/>
      <c r="F68" s="17"/>
      <c r="G68" s="17"/>
      <c r="H68" s="17"/>
      <c r="I68" s="17" t="str">
        <f ca="1">IFERROR(__xludf.DUMMYFUNCTION("""COMPUTED_VALUE"""),"G&amp;A expenses")</f>
        <v>G&amp;A expenses</v>
      </c>
      <c r="J68" s="17" t="str">
        <f ca="1">IFERROR(__xludf.DUMMYFUNCTION("""COMPUTED_VALUE"""),"P.O 1507 - Alimentos")</f>
        <v>P.O 1507 - Alimentos</v>
      </c>
      <c r="K68" s="17" t="str">
        <f ca="1">IFERROR(__xludf.DUMMYFUNCTION("""COMPUTED_VALUE"""),".")</f>
        <v>.</v>
      </c>
      <c r="L68" s="17"/>
      <c r="M68" s="17"/>
      <c r="N68" s="17"/>
      <c r="O68" s="17"/>
    </row>
    <row r="69" spans="1:15" ht="12.5">
      <c r="A69" s="17"/>
      <c r="B69" s="24"/>
      <c r="C69" s="24"/>
      <c r="D69" s="17"/>
      <c r="E69" s="17"/>
      <c r="F69" s="17"/>
      <c r="G69" s="17"/>
      <c r="H69" s="17"/>
      <c r="I69" s="17" t="str">
        <f ca="1">IFERROR(__xludf.DUMMYFUNCTION("""COMPUTED_VALUE"""),"G&amp;A expenses")</f>
        <v>G&amp;A expenses</v>
      </c>
      <c r="J69" s="17" t="str">
        <f ca="1">IFERROR(__xludf.DUMMYFUNCTION("""COMPUTED_VALUE"""),"P.O 1507 - Alimentos")</f>
        <v>P.O 1507 - Alimentos</v>
      </c>
      <c r="K69" s="17" t="str">
        <f ca="1">IFERROR(__xludf.DUMMYFUNCTION("""COMPUTED_VALUE"""),".")</f>
        <v>.</v>
      </c>
      <c r="L69" s="17"/>
      <c r="M69" s="17"/>
      <c r="N69" s="17"/>
      <c r="O69" s="17"/>
    </row>
    <row r="70" spans="1:15" ht="12.5">
      <c r="A70" s="17"/>
      <c r="B70" s="24"/>
      <c r="C70" s="24"/>
      <c r="D70" s="17"/>
      <c r="E70" s="17"/>
      <c r="F70" s="17"/>
      <c r="G70" s="17"/>
      <c r="H70" s="17"/>
      <c r="I70" s="17" t="str">
        <f ca="1">IFERROR(__xludf.DUMMYFUNCTION("""COMPUTED_VALUE"""),"G&amp;A expenses")</f>
        <v>G&amp;A expenses</v>
      </c>
      <c r="J70" s="17" t="str">
        <f ca="1">IFERROR(__xludf.DUMMYFUNCTION("""COMPUTED_VALUE"""),"P.O 1507 - Consumibles y Herramientas")</f>
        <v>P.O 1507 - Consumibles y Herramientas</v>
      </c>
      <c r="K70" s="17" t="str">
        <f ca="1">IFERROR(__xludf.DUMMYFUNCTION("""COMPUTED_VALUE"""),".")</f>
        <v>.</v>
      </c>
      <c r="L70" s="17"/>
      <c r="M70" s="17"/>
      <c r="N70" s="17"/>
      <c r="O70" s="17"/>
    </row>
    <row r="71" spans="1:15" ht="12.5">
      <c r="A71" s="17"/>
      <c r="B71" s="24"/>
      <c r="C71" s="24"/>
      <c r="D71" s="17"/>
      <c r="E71" s="17"/>
      <c r="F71" s="17"/>
      <c r="G71" s="17"/>
      <c r="H71" s="17"/>
      <c r="I71" s="17" t="str">
        <f ca="1">IFERROR(__xludf.DUMMYFUNCTION("""COMPUTED_VALUE"""),"G&amp;A expenses")</f>
        <v>G&amp;A expenses</v>
      </c>
      <c r="J71" s="17" t="str">
        <f ca="1">IFERROR(__xludf.DUMMYFUNCTION("""COMPUTED_VALUE"""),"P.O 1507 - Alimentos")</f>
        <v>P.O 1507 - Alimentos</v>
      </c>
      <c r="K71" s="17" t="str">
        <f ca="1">IFERROR(__xludf.DUMMYFUNCTION("""COMPUTED_VALUE"""),".")</f>
        <v>.</v>
      </c>
      <c r="L71" s="17"/>
      <c r="M71" s="17"/>
      <c r="N71" s="17"/>
      <c r="O71" s="17"/>
    </row>
    <row r="72" spans="1:15" ht="12.5">
      <c r="A72" s="17"/>
      <c r="B72" s="24"/>
      <c r="C72" s="24"/>
      <c r="D72" s="17"/>
      <c r="E72" s="17"/>
      <c r="F72" s="17"/>
      <c r="G72" s="17"/>
      <c r="H72" s="17"/>
      <c r="I72" s="17" t="str">
        <f ca="1">IFERROR(__xludf.DUMMYFUNCTION("""COMPUTED_VALUE"""),"G&amp;A expenses")</f>
        <v>G&amp;A expenses</v>
      </c>
      <c r="J72" s="17" t="str">
        <f ca="1">IFERROR(__xludf.DUMMYFUNCTION("""COMPUTED_VALUE"""),"P.O 1507 - Alimentos")</f>
        <v>P.O 1507 - Alimentos</v>
      </c>
      <c r="K72" s="17" t="str">
        <f ca="1">IFERROR(__xludf.DUMMYFUNCTION("""COMPUTED_VALUE"""),".")</f>
        <v>.</v>
      </c>
      <c r="L72" s="17"/>
      <c r="M72" s="17"/>
      <c r="N72" s="17"/>
      <c r="O72" s="17"/>
    </row>
    <row r="73" spans="1:15" ht="12.5">
      <c r="A73" s="17"/>
      <c r="B73" s="24"/>
      <c r="C73" s="24"/>
      <c r="D73" s="17"/>
      <c r="E73" s="17"/>
      <c r="F73" s="17"/>
      <c r="G73" s="17"/>
      <c r="H73" s="17"/>
      <c r="I73" s="17" t="str">
        <f ca="1">IFERROR(__xludf.DUMMYFUNCTION("""COMPUTED_VALUE"""),"G&amp;A expenses")</f>
        <v>G&amp;A expenses</v>
      </c>
      <c r="J73" s="17" t="str">
        <f ca="1">IFERROR(__xludf.DUMMYFUNCTION("""COMPUTED_VALUE"""),"P.O 1507 - Transporte")</f>
        <v>P.O 1507 - Transporte</v>
      </c>
      <c r="K73" s="17" t="str">
        <f ca="1">IFERROR(__xludf.DUMMYFUNCTION("""COMPUTED_VALUE"""),".")</f>
        <v>.</v>
      </c>
      <c r="L73" s="17"/>
      <c r="M73" s="17"/>
      <c r="N73" s="17"/>
      <c r="O73" s="17"/>
    </row>
    <row r="74" spans="1:15" ht="12.5">
      <c r="A74" s="17"/>
      <c r="B74" s="24"/>
      <c r="C74" s="24"/>
      <c r="D74" s="17"/>
      <c r="E74" s="17"/>
      <c r="F74" s="17"/>
      <c r="G74" s="17"/>
      <c r="H74" s="17"/>
      <c r="I74" s="17" t="str">
        <f ca="1">IFERROR(__xludf.DUMMYFUNCTION("""COMPUTED_VALUE"""),"G&amp;A expenses")</f>
        <v>G&amp;A expenses</v>
      </c>
      <c r="J74" s="17" t="str">
        <f ca="1">IFERROR(__xludf.DUMMYFUNCTION("""COMPUTED_VALUE"""),"P.O 1507 - Transporte")</f>
        <v>P.O 1507 - Transporte</v>
      </c>
      <c r="K74" s="17" t="str">
        <f ca="1">IFERROR(__xludf.DUMMYFUNCTION("""COMPUTED_VALUE"""),".")</f>
        <v>.</v>
      </c>
      <c r="L74" s="17"/>
      <c r="M74" s="17"/>
      <c r="N74" s="17"/>
      <c r="O74" s="17"/>
    </row>
    <row r="75" spans="1:15" ht="12.5">
      <c r="A75" s="17"/>
      <c r="B75" s="24"/>
      <c r="C75" s="24"/>
      <c r="D75" s="17"/>
      <c r="E75" s="17"/>
      <c r="F75" s="17"/>
      <c r="G75" s="17"/>
      <c r="H75" s="17"/>
      <c r="I75" s="17" t="str">
        <f ca="1">IFERROR(__xludf.DUMMYFUNCTION("""COMPUTED_VALUE"""),"G&amp;A expenses")</f>
        <v>G&amp;A expenses</v>
      </c>
      <c r="J75" s="17" t="str">
        <f ca="1">IFERROR(__xludf.DUMMYFUNCTION("""COMPUTED_VALUE"""),"P.O 1507 - Transporte")</f>
        <v>P.O 1507 - Transporte</v>
      </c>
      <c r="K75" s="17" t="str">
        <f ca="1">IFERROR(__xludf.DUMMYFUNCTION("""COMPUTED_VALUE"""),".")</f>
        <v>.</v>
      </c>
      <c r="L75" s="17"/>
      <c r="M75" s="17"/>
      <c r="N75" s="17"/>
      <c r="O75" s="17"/>
    </row>
    <row r="76" spans="1:15" ht="12.5">
      <c r="A76" s="17"/>
      <c r="B76" s="24"/>
      <c r="C76" s="24"/>
      <c r="D76" s="17"/>
      <c r="E76" s="17"/>
      <c r="F76" s="17"/>
      <c r="G76" s="17"/>
      <c r="H76" s="17"/>
      <c r="I76" s="17" t="str">
        <f ca="1">IFERROR(__xludf.DUMMYFUNCTION("""COMPUTED_VALUE"""),"G&amp;A expenses")</f>
        <v>G&amp;A expenses</v>
      </c>
      <c r="J76" s="17" t="str">
        <f ca="1">IFERROR(__xludf.DUMMYFUNCTION("""COMPUTED_VALUE"""),"P.O 1507 - Transporte")</f>
        <v>P.O 1507 - Transporte</v>
      </c>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FF00FF"/>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1967</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Sept'!$G$12:$G$1700,'Edo Cta Jeeves Sept'!$J$12:$J$1700=$A$2)"),"#N/A")</f>
        <v>#N/A</v>
      </c>
      <c r="E12" s="17" t="str">
        <f ca="1">IFERROR(__xludf.DUMMYFUNCTION("FILTER('Edo Cta Jeeves Sept'!$I$12:$I$1700,'Edo Cta Jeeves Sept'!$J$12:$J$1700=$A$2)"),"#N/A")</f>
        <v>#N/A</v>
      </c>
      <c r="F12" s="17" t="str">
        <f ca="1">IFERROR(__xludf.DUMMYFUNCTION("FILTER('Edo Cta Jeeves Sept'!$J$12:$J$1700,'Edo Cta Jeeves Sept'!$J$12:$J$1700=$A$2)"),"#N/A")</f>
        <v>#N/A</v>
      </c>
      <c r="G12" s="17" t="str">
        <f ca="1">IFERROR(__xludf.DUMMYFUNCTION("FILTER('Edo Cta Jeeves Sept'!$K$12:$L$1700,'Edo Cta Jeeves Sept'!$J$12:$J$1700=$A$2)"),"#N/A")</f>
        <v>#N/A</v>
      </c>
      <c r="H12" s="17"/>
      <c r="I12" s="17" t="str">
        <f ca="1">IFERROR(__xludf.DUMMYFUNCTION("IMPORTRANGE(""https://docs.google.com/spreadsheets/d/11MWYp3vV_ApRYEqHY59_8Qf33zC4SUuzz2-yj0zL09U/edit?gid=1404531132#gid=1404531132"",""I12:K80"")"),"Sales")</f>
        <v>Sales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IFERROR(__xludf.DUMMYFUNCTION("""COMPUTED_VALUE"""),"Sales")</f>
        <v>Sales</v>
      </c>
      <c r="J14" s="17"/>
      <c r="K14" s="17" t="str">
        <f ca="1">IFERROR(__xludf.DUMMYFUNCTION("""COMPUTED_VALUE"""),".")</f>
        <v>.</v>
      </c>
      <c r="L14" s="17"/>
      <c r="M14" s="17"/>
      <c r="N14" s="17"/>
      <c r="O14" s="17"/>
    </row>
    <row r="15" spans="1:15" ht="15.75" customHeight="1">
      <c r="A15" s="24"/>
      <c r="B15" s="24"/>
      <c r="C15" s="24"/>
      <c r="D15" s="17"/>
      <c r="E15" s="17"/>
      <c r="F15" s="17"/>
      <c r="G15" s="17"/>
      <c r="H15" s="17"/>
      <c r="I15" s="17" t="str">
        <f ca="1">IFERROR(__xludf.DUMMYFUNCTION("""COMPUTED_VALUE"""),"Sales")</f>
        <v>Sales</v>
      </c>
      <c r="J15" s="17"/>
      <c r="K15" s="17" t="str">
        <f ca="1">IFERROR(__xludf.DUMMYFUNCTION("""COMPUTED_VALUE"""),".")</f>
        <v>.</v>
      </c>
      <c r="L15" s="17"/>
      <c r="M15" s="17"/>
      <c r="N15" s="17"/>
      <c r="O15" s="17"/>
    </row>
    <row r="16" spans="1:15" ht="15.75" customHeight="1">
      <c r="A16" s="17"/>
      <c r="B16" s="24"/>
      <c r="C16" s="24"/>
      <c r="D16" s="133"/>
      <c r="E16" s="17"/>
      <c r="F16" s="17"/>
      <c r="G16" s="17"/>
      <c r="H16" s="17"/>
      <c r="I16" s="17"/>
      <c r="J16" s="17"/>
      <c r="K16" s="17" t="str">
        <f ca="1">IFERROR(__xludf.DUMMYFUNCTION("""COMPUTED_VALUE"""),".")</f>
        <v>.</v>
      </c>
      <c r="L16" s="17"/>
      <c r="M16" s="17"/>
      <c r="N16" s="17"/>
      <c r="O16" s="17"/>
    </row>
    <row r="17" spans="1:15" ht="15.75" customHeight="1">
      <c r="A17" s="17"/>
      <c r="B17" s="24"/>
      <c r="C17" s="24"/>
      <c r="D17" s="133"/>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33"/>
      <c r="E19" s="17"/>
      <c r="F19" s="17"/>
      <c r="G19" s="17"/>
      <c r="H19" s="17"/>
      <c r="I19" s="17"/>
      <c r="J19" s="17"/>
      <c r="K19" s="17" t="str">
        <f ca="1">IFERROR(__xludf.DUMMYFUNCTION("""COMPUTED_VALUE"""),".")</f>
        <v>.</v>
      </c>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7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1968</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IFERROR(__xludf.DUMMYFUNCTION("IMPORTRANGE(""https://docs.google.com/spreadsheets/d/1v03imj-CmbFvfgdhbAcfRQsf82VAop6KDtxsIqptYic/edit?gid=1404531132#gid=1404531132"",""I12:K80"")"),"G&amp;A expenses")</f>
        <v>G&amp;A expenses</v>
      </c>
      <c r="J12" s="17" t="str">
        <f ca="1">IFERROR(__xludf.DUMMYFUNCTION("""COMPUTED_VALUE"""),"Compra de asientos para no perder el vuelo de regreso")</f>
        <v>Compra de asientos para no perder el vuelo de regreso</v>
      </c>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IFERROR(__xludf.DUMMYFUNCTION("""COMPUTED_VALUE"""),"G&amp;A expenses")</f>
        <v>G&amp;A expenses</v>
      </c>
      <c r="J13" s="17" t="str">
        <f ca="1">IFERROR(__xludf.DUMMYFUNCTION("""COMPUTED_VALUE"""),"Uber del aeropuerto de MTY al hotel")</f>
        <v>Uber del aeropuerto de MTY al hotel</v>
      </c>
      <c r="K13" s="17" t="str">
        <f ca="1">IFERROR(__xludf.DUMMYFUNCTION("""COMPUTED_VALUE"""),".")</f>
        <v>.</v>
      </c>
      <c r="L13" s="17"/>
      <c r="M13" s="17"/>
      <c r="N13" s="17"/>
      <c r="O13" s="17"/>
    </row>
    <row r="14" spans="1:15" ht="15.75" customHeight="1">
      <c r="A14" s="24"/>
      <c r="B14" s="24"/>
      <c r="C14" s="24"/>
      <c r="D14" s="17"/>
      <c r="E14" s="17"/>
      <c r="F14" s="17"/>
      <c r="G14" s="17"/>
      <c r="H14" s="17"/>
      <c r="I14" s="17" t="str">
        <f ca="1">IFERROR(__xludf.DUMMYFUNCTION("""COMPUTED_VALUE"""),"G&amp;A expenses")</f>
        <v>G&amp;A expenses</v>
      </c>
      <c r="J14" s="17" t="str">
        <f ca="1">IFERROR(__xludf.DUMMYFUNCTION("""COMPUTED_VALUE"""),"Comida en MTY para Aldahir y Mariano")</f>
        <v>Comida en MTY para Aldahir y Mariano</v>
      </c>
      <c r="K14" s="17" t="str">
        <f ca="1">IFERROR(__xludf.DUMMYFUNCTION("""COMPUTED_VALUE"""),"EATS-33661035")</f>
        <v>EATS-33661035</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t="str">
        <f ca="1">IFERROR(__xludf.DUMMYFUNCTION("""COMPUTED_VALUE"""),"Estacionamiento Expo Acero")</f>
        <v>Estacionamiento Expo Acero</v>
      </c>
      <c r="K15" s="17" t="str">
        <f ca="1">IFERROR(__xludf.DUMMYFUNCTION("""COMPUTED_VALUE"""),".")</f>
        <v>.</v>
      </c>
      <c r="L15" s="17"/>
      <c r="M15" s="17"/>
      <c r="N15" s="17"/>
      <c r="O15" s="17"/>
    </row>
    <row r="16" spans="1:15" ht="15.75" customHeight="1">
      <c r="A16" s="17"/>
      <c r="B16" s="24"/>
      <c r="C16" s="24"/>
      <c r="D16" s="133"/>
      <c r="E16" s="17"/>
      <c r="F16" s="17"/>
      <c r="G16" s="17"/>
      <c r="H16" s="17"/>
      <c r="I16" s="17" t="str">
        <f ca="1">IFERROR(__xludf.DUMMYFUNCTION("""COMPUTED_VALUE"""),"G&amp;A expenses")</f>
        <v>G&amp;A expenses</v>
      </c>
      <c r="J16" s="17" t="str">
        <f ca="1">IFERROR(__xludf.DUMMYFUNCTION("""COMPUTED_VALUE"""),"Uber a Iirsacero para visita a proveedor")</f>
        <v>Uber a Iirsacero para visita a proveedor</v>
      </c>
      <c r="K16" s="17" t="str">
        <f ca="1">IFERROR(__xludf.DUMMYFUNCTION("""COMPUTED_VALUE"""),"1E2DD-0002879")</f>
        <v>1E2DD-0002879</v>
      </c>
      <c r="L16" s="17"/>
      <c r="M16" s="17"/>
      <c r="N16" s="17"/>
      <c r="O16" s="17"/>
    </row>
    <row r="17" spans="1:15" ht="15.75" customHeight="1">
      <c r="A17" s="17"/>
      <c r="B17" s="24"/>
      <c r="C17" s="24"/>
      <c r="D17" s="133"/>
      <c r="E17" s="17"/>
      <c r="F17" s="17"/>
      <c r="G17" s="17"/>
      <c r="H17" s="17"/>
      <c r="I17" s="17" t="str">
        <f ca="1">IFERROR(__xludf.DUMMYFUNCTION("""COMPUTED_VALUE"""),"G&amp;A expenses")</f>
        <v>G&amp;A expenses</v>
      </c>
      <c r="J17" s="17" t="str">
        <f ca="1">IFERROR(__xludf.DUMMYFUNCTION("""COMPUTED_VALUE"""),"Uber del hotel de MTY a la Expo Acero")</f>
        <v>Uber del hotel de MTY a la Expo Acero</v>
      </c>
      <c r="K17" s="17" t="str">
        <f ca="1">IFERROR(__xludf.DUMMYFUNCTION("""COMPUTED_VALUE"""),"TER-103418531")</f>
        <v>TER-103418531</v>
      </c>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t="str">
        <f ca="1">IFERROR(__xludf.DUMMYFUNCTION("""COMPUTED_VALUE"""),"Estacionamiento aeropuerto Toluca")</f>
        <v>Estacionamiento aeropuerto Toluca</v>
      </c>
      <c r="K18" s="17">
        <f ca="1">IFERROR(__xludf.DUMMYFUNCTION("""COMPUTED_VALUE"""),80795)</f>
        <v>80795</v>
      </c>
      <c r="L18" s="17"/>
      <c r="M18" s="17"/>
      <c r="N18" s="17"/>
      <c r="O18" s="17"/>
    </row>
    <row r="19" spans="1:15" ht="15.75" customHeight="1">
      <c r="A19" s="17"/>
      <c r="B19" s="24"/>
      <c r="C19" s="24"/>
      <c r="D19" s="133"/>
      <c r="E19" s="17"/>
      <c r="F19" s="17"/>
      <c r="G19" s="17"/>
      <c r="H19" s="17"/>
      <c r="I19" s="17"/>
      <c r="J19" s="17"/>
      <c r="K19" s="17" t="str">
        <f ca="1">IFERROR(__xludf.DUMMYFUNCTION("""COMPUTED_VALUE"""),".")</f>
        <v>.</v>
      </c>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8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1969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Sept'!$G$12:$G$1003,'Edo Cta Jeeves Sept'!$J$12:$J$1003=$A$2)"),"#N/A")</f>
        <v>#N/A</v>
      </c>
      <c r="E12" s="17" t="str">
        <f ca="1">IFERROR(__xludf.DUMMYFUNCTION("FILTER('Edo Cta Jeeves Sept'!$I$12:$I$1003,'Edo Cta Jeeves Sept'!$J$12:$J$1003=$A$2)"),"#N/A")</f>
        <v>#N/A</v>
      </c>
      <c r="F12" s="17" t="str">
        <f ca="1">IFERROR(__xludf.DUMMYFUNCTION("FILTER('Edo Cta Jeeves Sept'!$J$12:$J$1003,'Edo Cta Jeeves Sept'!$J$12:$J$1003=$A$2)"),"#N/A")</f>
        <v>#N/A</v>
      </c>
      <c r="G12" s="17" t="str">
        <f ca="1">IFERROR(__xludf.DUMMYFUNCTION("FILTER('Edo Cta Jeeves Sept'!$K$12:$L$1003,'Edo Cta Jeeves Sept'!$J$12:$J$1003=$A$2)"),"#N/A")</f>
        <v>#N/A</v>
      </c>
      <c r="H12" s="17"/>
      <c r="I12" s="17" t="str">
        <f ca="1">IFERROR(__xludf.DUMMYFUNCTION("IMPORTRANGE(""https://docs.google.com/spreadsheets/d/1TLMajq9Z7tHh2v5QDtKEUUJwIdbnbF4YJLzBFwdvt-g/edit?gid=1404531132#gid=1404531132"",""I12:K80"")"),"Sales")</f>
        <v>Sales</v>
      </c>
      <c r="J12" s="17"/>
      <c r="K12" s="17" t="str">
        <f ca="1">IFERROR(__xludf.DUMMYFUNCTION("""COMPUTED_VALUE"""),".")</f>
        <v>.</v>
      </c>
      <c r="L12" s="17"/>
      <c r="M12" s="17"/>
      <c r="N12" s="17"/>
      <c r="O12" s="17"/>
    </row>
    <row r="13" spans="1:15" ht="15.75" customHeight="1">
      <c r="A13" s="24"/>
      <c r="B13" s="24"/>
      <c r="C13" s="24"/>
      <c r="D13" s="17"/>
      <c r="E13" s="17"/>
      <c r="F13" s="17"/>
      <c r="G13" s="17"/>
      <c r="H13" s="17"/>
      <c r="I13" s="17" t="str">
        <f ca="1">IFERROR(__xludf.DUMMYFUNCTION("""COMPUTED_VALUE"""),"Sales")</f>
        <v>Sales</v>
      </c>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33"/>
      <c r="E16" s="17"/>
      <c r="F16" s="17"/>
      <c r="G16" s="17"/>
      <c r="H16" s="17"/>
      <c r="I16" s="17"/>
      <c r="J16" s="17"/>
      <c r="K16" s="17" t="str">
        <f ca="1">IFERROR(__xludf.DUMMYFUNCTION("""COMPUTED_VALUE"""),".")</f>
        <v>.</v>
      </c>
      <c r="L16" s="17"/>
      <c r="M16" s="17"/>
      <c r="N16" s="17"/>
      <c r="O16" s="17"/>
    </row>
    <row r="17" spans="1:15" ht="15.75" customHeight="1">
      <c r="A17" s="17"/>
      <c r="B17" s="24"/>
      <c r="C17" s="24"/>
      <c r="D17" s="133"/>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33"/>
      <c r="E19" s="17"/>
      <c r="F19" s="17"/>
      <c r="G19" s="17"/>
      <c r="H19" s="17"/>
      <c r="I19" s="17"/>
      <c r="J19" s="17"/>
      <c r="K19" s="17" t="str">
        <f ca="1">IFERROR(__xludf.DUMMYFUNCTION("""COMPUTED_VALUE"""),".")</f>
        <v>.</v>
      </c>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9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286</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Sept'!$J$12:$J$1700=$A$2)"),"TRX1254")</f>
        <v>TRX1254</v>
      </c>
      <c r="B12" s="86" t="str">
        <f ca="1">IFERROR(__xludf.DUMMYFUNCTION("""COMPUTED_VALUE"""),"#74")</f>
        <v>#74</v>
      </c>
      <c r="C12" s="86">
        <f ca="1">IFERROR(__xludf.DUMMYFUNCTION("""COMPUTED_VALUE"""),46058.4166666666)</f>
        <v>46058.416666666599</v>
      </c>
      <c r="D12" s="65">
        <f ca="1">IFERROR(__xludf.DUMMYFUNCTION("FILTER('Edo Cta Jeeves Sept'!$G$12:$G$1300,'Edo Cta Jeeves Sept'!$J$12:$J$1300=$A$2)"),59.94)</f>
        <v>59.94</v>
      </c>
      <c r="E12" s="17" t="str">
        <f ca="1">IFERROR(__xludf.DUMMYFUNCTION("FILTER('Edo Cta Jeeves Sept'!$I$12:$I$1300,'Edo Cta Jeeves Sept'!$J$12:$J$1300=$A$2)"),"MXN")</f>
        <v>MXN</v>
      </c>
      <c r="F12" s="17" t="str">
        <f ca="1">IFERROR(__xludf.DUMMYFUNCTION("FILTER('Edo Cta Jeeves Sept'!$J$12:$J$1300,'Edo Cta Jeeves Sept'!$J$12:$J$1300=$A$2)"),"Julio Cesar Guemes Reynoso")</f>
        <v>Julio Cesar Guemes Reynoso</v>
      </c>
      <c r="G12" s="17" t="str">
        <f ca="1">IFERROR(__xludf.DUMMYFUNCTION("FILTER('Edo Cta Jeeves Sept'!$K$12:$L$1300,'Edo Cta Jeeves Sept'!$J$12:$J$1300=$A$2)"),"UBER * PENDING         CMX           MEX")</f>
        <v>UBER * PENDING         CMX           MEX</v>
      </c>
      <c r="H12" s="17" t="str">
        <f ca="1">IFERROR(__xludf.DUMMYFUNCTION("""COMPUTED_VALUE"""),"Uber")</f>
        <v>Uber</v>
      </c>
      <c r="I12" s="17" t="str">
        <f ca="1">IFERROR(__xludf.DUMMYFUNCTION("IMPORTRANGE(""https://docs.google.com/spreadsheets/d/1QnG7fc0FbGOKBc0_P1irHEHN5nluO9HULlZbjzsaTDs/edit?gid=1404531132#gid=1404531132"",""I12:K80"")"),"Sales")</f>
        <v>Sales</v>
      </c>
      <c r="J12" s="17" t="str">
        <f ca="1">IFERROR(__xludf.DUMMYFUNCTION("""COMPUTED_VALUE"""),"Traslados en CDMX")</f>
        <v>Traslados en CDMX</v>
      </c>
      <c r="K12" s="17"/>
      <c r="L12" s="17"/>
      <c r="M12" s="17"/>
      <c r="N12" s="17"/>
      <c r="O12" s="17"/>
    </row>
    <row r="13" spans="1:15" ht="15.75" customHeight="1">
      <c r="A13" s="24" t="str">
        <f ca="1">IFERROR(__xludf.DUMMYFUNCTION("""COMPUTED_VALUE"""),"TRX1253")</f>
        <v>TRX1253</v>
      </c>
      <c r="B13" s="86" t="str">
        <f ca="1">IFERROR(__xludf.DUMMYFUNCTION("""COMPUTED_VALUE"""),"#74")</f>
        <v>#74</v>
      </c>
      <c r="C13" s="63">
        <f ca="1">IFERROR(__xludf.DUMMYFUNCTION("""COMPUTED_VALUE"""),46058.4166666666)</f>
        <v>46058.416666666599</v>
      </c>
      <c r="D13" s="65">
        <f ca="1">IFERROR(__xludf.DUMMYFUNCTION("""COMPUTED_VALUE"""),70.81)</f>
        <v>70.81</v>
      </c>
      <c r="E13" s="17" t="str">
        <f ca="1">IFERROR(__xludf.DUMMYFUNCTION("""COMPUTED_VALUE"""),"MXN")</f>
        <v>MXN</v>
      </c>
      <c r="F13" s="17" t="str">
        <f ca="1">IFERROR(__xludf.DUMMYFUNCTION("""COMPUTED_VALUE"""),"Julio Cesar Guemes Reynoso")</f>
        <v>Julio Cesar Guemes Reynoso</v>
      </c>
      <c r="G13" s="17" t="str">
        <f ca="1">IFERROR(__xludf.DUMMYFUNCTION("""COMPUTED_VALUE"""),"UBER *TRIP HELP.UBER.C CMX           MEX")</f>
        <v>UBER *TRIP HELP.UBER.C CMX           MEX</v>
      </c>
      <c r="H13" s="17" t="str">
        <f ca="1">IFERROR(__xludf.DUMMYFUNCTION("""COMPUTED_VALUE"""),"Uber")</f>
        <v>Uber</v>
      </c>
      <c r="I13" s="17" t="str">
        <f ca="1">IFERROR(__xludf.DUMMYFUNCTION("""COMPUTED_VALUE"""),"Sales")</f>
        <v>Sales</v>
      </c>
      <c r="J13" s="17" t="str">
        <f ca="1">IFERROR(__xludf.DUMMYFUNCTION("""COMPUTED_VALUE"""),"Traslados en CDMX")</f>
        <v>Traslados en CDMX</v>
      </c>
      <c r="K13" s="17"/>
      <c r="L13" s="17"/>
      <c r="M13" s="17"/>
      <c r="N13" s="17"/>
      <c r="O13" s="17"/>
    </row>
    <row r="14" spans="1:15" ht="15.75" customHeight="1">
      <c r="A14" s="24" t="str">
        <f ca="1">IFERROR(__xludf.DUMMYFUNCTION("""COMPUTED_VALUE"""),"TRX1250")</f>
        <v>TRX1250</v>
      </c>
      <c r="B14" s="86" t="str">
        <f ca="1">IFERROR(__xludf.DUMMYFUNCTION("""COMPUTED_VALUE"""),"#74")</f>
        <v>#74</v>
      </c>
      <c r="C14" s="63">
        <f ca="1">IFERROR(__xludf.DUMMYFUNCTION("""COMPUTED_VALUE"""),46058.4166666666)</f>
        <v>46058.416666666599</v>
      </c>
      <c r="D14" s="65">
        <f ca="1">IFERROR(__xludf.DUMMYFUNCTION("""COMPUTED_VALUE"""),69.95)</f>
        <v>69.95</v>
      </c>
      <c r="E14" s="17" t="str">
        <f ca="1">IFERROR(__xludf.DUMMYFUNCTION("""COMPUTED_VALUE"""),"MXN")</f>
        <v>MXN</v>
      </c>
      <c r="F14" s="17" t="str">
        <f ca="1">IFERROR(__xludf.DUMMYFUNCTION("""COMPUTED_VALUE"""),"Julio Cesar Guemes Reynoso")</f>
        <v>Julio Cesar Guemes Reynoso</v>
      </c>
      <c r="G14" s="17" t="str">
        <f ca="1">IFERROR(__xludf.DUMMYFUNCTION("""COMPUTED_VALUE"""),"UBER * PENDING         CMX           MEX")</f>
        <v>UBER * PENDING         CMX           MEX</v>
      </c>
      <c r="H14" s="17" t="str">
        <f ca="1">IFERROR(__xludf.DUMMYFUNCTION("""COMPUTED_VALUE"""),"Uber")</f>
        <v>Uber</v>
      </c>
      <c r="I14" s="17" t="str">
        <f ca="1">IFERROR(__xludf.DUMMYFUNCTION("""COMPUTED_VALUE"""),"Sales")</f>
        <v>Sales</v>
      </c>
      <c r="J14" s="17" t="str">
        <f ca="1">IFERROR(__xludf.DUMMYFUNCTION("""COMPUTED_VALUE"""),"Traslados en CDMX")</f>
        <v>Traslados en CDMX</v>
      </c>
      <c r="K14" s="17"/>
      <c r="L14" s="17"/>
      <c r="M14" s="17"/>
      <c r="N14" s="17"/>
      <c r="O14" s="17"/>
    </row>
    <row r="15" spans="1:15" ht="15.75" customHeight="1">
      <c r="A15" s="24" t="str">
        <f ca="1">IFERROR(__xludf.DUMMYFUNCTION("""COMPUTED_VALUE"""),"TRX1245")</f>
        <v>TRX1245</v>
      </c>
      <c r="B15" s="86" t="str">
        <f ca="1">IFERROR(__xludf.DUMMYFUNCTION("""COMPUTED_VALUE"""),"#74")</f>
        <v>#74</v>
      </c>
      <c r="C15" s="63">
        <f ca="1">IFERROR(__xludf.DUMMYFUNCTION("""COMPUTED_VALUE"""),46058.4166666666)</f>
        <v>46058.416666666599</v>
      </c>
      <c r="D15" s="65">
        <f ca="1">IFERROR(__xludf.DUMMYFUNCTION("""COMPUTED_VALUE"""),459.94)</f>
        <v>459.94</v>
      </c>
      <c r="E15" s="17" t="str">
        <f ca="1">IFERROR(__xludf.DUMMYFUNCTION("""COMPUTED_VALUE"""),"MXN")</f>
        <v>MXN</v>
      </c>
      <c r="F15" s="17" t="str">
        <f ca="1">IFERROR(__xludf.DUMMYFUNCTION("""COMPUTED_VALUE"""),"Julio Cesar Guemes Reynoso")</f>
        <v>Julio Cesar Guemes Reynoso</v>
      </c>
      <c r="G15" s="17" t="str">
        <f ca="1">IFERROR(__xludf.DUMMYFUNCTION("""COMPUTED_VALUE"""),"UBER * PENDING         CMX           MEX")</f>
        <v>UBER * PENDING         CMX           MEX</v>
      </c>
      <c r="H15" s="17" t="str">
        <f ca="1">IFERROR(__xludf.DUMMYFUNCTION("""COMPUTED_VALUE"""),"Uber")</f>
        <v>Uber</v>
      </c>
      <c r="I15" s="17" t="str">
        <f ca="1">IFERROR(__xludf.DUMMYFUNCTION("""COMPUTED_VALUE"""),"Sales")</f>
        <v>Sales</v>
      </c>
      <c r="J15" s="17" t="str">
        <f ca="1">IFERROR(__xludf.DUMMYFUNCTION("""COMPUTED_VALUE"""),"Traslados en CDMX")</f>
        <v>Traslados en CDMX</v>
      </c>
      <c r="K15" s="17"/>
      <c r="L15" s="17"/>
      <c r="M15" s="17"/>
      <c r="N15" s="17"/>
      <c r="O15" s="17"/>
    </row>
    <row r="16" spans="1:15" ht="15.75" customHeight="1">
      <c r="A16" s="17" t="str">
        <f ca="1">IFERROR(__xludf.DUMMYFUNCTION("""COMPUTED_VALUE"""),"TRX1243")</f>
        <v>TRX1243</v>
      </c>
      <c r="B16" s="86" t="str">
        <f ca="1">IFERROR(__xludf.DUMMYFUNCTION("""COMPUTED_VALUE"""),"#74")</f>
        <v>#74</v>
      </c>
      <c r="C16" s="63">
        <f ca="1">IFERROR(__xludf.DUMMYFUNCTION("""COMPUTED_VALUE"""),46058.4166666666)</f>
        <v>46058.416666666599</v>
      </c>
      <c r="D16" s="132">
        <f ca="1">IFERROR(__xludf.DUMMYFUNCTION("""COMPUTED_VALUE"""),462)</f>
        <v>462</v>
      </c>
      <c r="E16" s="17" t="str">
        <f ca="1">IFERROR(__xludf.DUMMYFUNCTION("""COMPUTED_VALUE"""),"MXN")</f>
        <v>MXN</v>
      </c>
      <c r="F16" s="17" t="str">
        <f ca="1">IFERROR(__xludf.DUMMYFUNCTION("""COMPUTED_VALUE"""),"Julio Cesar Guemes Reynoso")</f>
        <v>Julio Cesar Guemes Reynoso</v>
      </c>
      <c r="G16" s="17" t="str">
        <f ca="1">IFERROR(__xludf.DUMMYFUNCTION("""COMPUTED_VALUE"""),"CASA BENELL SUE TB     APODACA NL    MEX")</f>
        <v>CASA BENELL SUE TB     APODACA NL    MEX</v>
      </c>
      <c r="H16" s="17" t="str">
        <f ca="1">IFERROR(__xludf.DUMMYFUNCTION("""COMPUTED_VALUE"""),"Casa Benell Sue Tb Apodaca Nl Mex")</f>
        <v>Casa Benell Sue Tb Apodaca Nl Mex</v>
      </c>
      <c r="I16" s="17" t="str">
        <f ca="1">IFERROR(__xludf.DUMMYFUNCTION("""COMPUTED_VALUE"""),"Sales")</f>
        <v>Sales</v>
      </c>
      <c r="J16" s="17" t="str">
        <f ca="1">IFERROR(__xludf.DUMMYFUNCTION("""COMPUTED_VALUE"""),"Hotel Visita a Areya")</f>
        <v>Hotel Visita a Areya</v>
      </c>
      <c r="K16" s="17"/>
      <c r="L16" s="17"/>
      <c r="M16" s="17"/>
      <c r="N16" s="17"/>
      <c r="O16" s="17"/>
    </row>
    <row r="17" spans="1:15" ht="15.75" customHeight="1">
      <c r="A17" s="17" t="str">
        <f ca="1">IFERROR(__xludf.DUMMYFUNCTION("""COMPUTED_VALUE"""),"TRX1229")</f>
        <v>TRX1229</v>
      </c>
      <c r="B17" s="86" t="str">
        <f ca="1">IFERROR(__xludf.DUMMYFUNCTION("""COMPUTED_VALUE"""),"#74")</f>
        <v>#74</v>
      </c>
      <c r="C17" s="63">
        <f ca="1">IFERROR(__xludf.DUMMYFUNCTION("""COMPUTED_VALUE"""),46058.4166666666)</f>
        <v>46058.416666666599</v>
      </c>
      <c r="D17" s="132">
        <f ca="1">IFERROR(__xludf.DUMMYFUNCTION("""COMPUTED_VALUE"""),4468.56)</f>
        <v>4468.5600000000004</v>
      </c>
      <c r="E17" s="17" t="str">
        <f ca="1">IFERROR(__xludf.DUMMYFUNCTION("""COMPUTED_VALUE"""),"MXN")</f>
        <v>MXN</v>
      </c>
      <c r="F17" s="17" t="str">
        <f ca="1">IFERROR(__xludf.DUMMYFUNCTION("""COMPUTED_VALUE"""),"Julio Cesar Guemes Reynoso")</f>
        <v>Julio Cesar Guemes Reynoso</v>
      </c>
      <c r="G17" s="17" t="str">
        <f ca="1">IFERROR(__xludf.DUMMYFUNCTION("""COMPUTED_VALUE"""),"HOTELES COM            CIUDAD DE MEX MEX")</f>
        <v>HOTELES COM            CIUDAD DE MEX MEX</v>
      </c>
      <c r="H17" s="17" t="str">
        <f ca="1">IFERROR(__xludf.DUMMYFUNCTION("""COMPUTED_VALUE"""),"Hoteles Com Ciudad De Mex Mex")</f>
        <v>Hoteles Com Ciudad De Mex Mex</v>
      </c>
      <c r="I17" s="17" t="str">
        <f ca="1">IFERROR(__xludf.DUMMYFUNCTION("""COMPUTED_VALUE"""),"Sales")</f>
        <v>Sales</v>
      </c>
      <c r="J17" s="17" t="str">
        <f ca="1">IFERROR(__xludf.DUMMYFUNCTION("""COMPUTED_VALUE"""),"Hotel Phoenix visita a M3")</f>
        <v>Hotel Phoenix visita a M3</v>
      </c>
      <c r="K17" s="17"/>
      <c r="L17" s="17"/>
      <c r="M17" s="17"/>
      <c r="N17" s="17"/>
      <c r="O17" s="17"/>
    </row>
    <row r="18" spans="1:15" ht="15.75" customHeight="1">
      <c r="A18" s="17" t="str">
        <f ca="1">IFERROR(__xludf.DUMMYFUNCTION("""COMPUTED_VALUE"""),"TRX1227")</f>
        <v>TRX1227</v>
      </c>
      <c r="B18" s="86" t="str">
        <f ca="1">IFERROR(__xludf.DUMMYFUNCTION("""COMPUTED_VALUE"""),"#74")</f>
        <v>#74</v>
      </c>
      <c r="C18" s="63">
        <f ca="1">IFERROR(__xludf.DUMMYFUNCTION("""COMPUTED_VALUE"""),46058.4166666666)</f>
        <v>46058.416666666599</v>
      </c>
      <c r="D18" s="65">
        <f ca="1">IFERROR(__xludf.DUMMYFUNCTION("""COMPUTED_VALUE"""),5423.7)</f>
        <v>5423.7</v>
      </c>
      <c r="E18" s="17" t="str">
        <f ca="1">IFERROR(__xludf.DUMMYFUNCTION("""COMPUTED_VALUE"""),"MXN")</f>
        <v>MXN</v>
      </c>
      <c r="F18" s="17" t="str">
        <f ca="1">IFERROR(__xludf.DUMMYFUNCTION("""COMPUTED_VALUE"""),"Julio Cesar Guemes Reynoso")</f>
        <v>Julio Cesar Guemes Reynoso</v>
      </c>
      <c r="G18" s="17" t="str">
        <f ca="1">IFERROR(__xludf.DUMMYFUNCTION("""COMPUTED_VALUE"""),"VIVA AEROBUS CIB       APODACA       MEX")</f>
        <v>VIVA AEROBUS CIB       APODACA       MEX</v>
      </c>
      <c r="H18" s="17" t="str">
        <f ca="1">IFERROR(__xludf.DUMMYFUNCTION("""COMPUTED_VALUE"""),"Viva Aerobus Cib Apodaca Mex")</f>
        <v>Viva Aerobus Cib Apodaca Mex</v>
      </c>
      <c r="I18" s="17" t="str">
        <f ca="1">IFERROR(__xludf.DUMMYFUNCTION("""COMPUTED_VALUE"""),"Sales")</f>
        <v>Sales</v>
      </c>
      <c r="J18" s="17" t="str">
        <f ca="1">IFERROR(__xludf.DUMMYFUNCTION("""COMPUTED_VALUE"""),"Vuelo a Mty visita a Areya")</f>
        <v>Vuelo a Mty visita a Areya</v>
      </c>
      <c r="K18" s="17"/>
      <c r="L18" s="17"/>
      <c r="M18" s="17"/>
      <c r="N18" s="17"/>
      <c r="O18" s="17"/>
    </row>
    <row r="19" spans="1:15" ht="15.75" customHeight="1">
      <c r="A19" s="17" t="str">
        <f ca="1">IFERROR(__xludf.DUMMYFUNCTION("""COMPUTED_VALUE"""),"TRX1778")</f>
        <v>TRX1778</v>
      </c>
      <c r="B19" s="86" t="str">
        <f ca="1">IFERROR(__xludf.DUMMYFUNCTION("""COMPUTED_VALUE"""),"-")</f>
        <v>-</v>
      </c>
      <c r="C19" s="63">
        <f ca="1">IFERROR(__xludf.DUMMYFUNCTION("""COMPUTED_VALUE"""),46059.4173611111)</f>
        <v>46059.417361111096</v>
      </c>
      <c r="D19" s="132">
        <f ca="1">IFERROR(__xludf.DUMMYFUNCTION("""COMPUTED_VALUE"""),2719)</f>
        <v>2719</v>
      </c>
      <c r="E19" s="17" t="str">
        <f ca="1">IFERROR(__xludf.DUMMYFUNCTION("""COMPUTED_VALUE"""),"MXN")</f>
        <v>MXN</v>
      </c>
      <c r="F19" s="17" t="str">
        <f ca="1">IFERROR(__xludf.DUMMYFUNCTION("""COMPUTED_VALUE"""),"Julio Cesar Guemes Reynoso")</f>
        <v>Julio Cesar Guemes Reynoso</v>
      </c>
      <c r="G19" s="17" t="str">
        <f ca="1">IFERROR(__xludf.DUMMYFUNCTION("""COMPUTED_VALUE"""),"AEROMEXICO WEB PN      CIUDAD DE MEX MEX")</f>
        <v>AEROMEXICO WEB PN      CIUDAD DE MEX MEX</v>
      </c>
      <c r="H19" s="17" t="str">
        <f ca="1">IFERROR(__xludf.DUMMYFUNCTION("""COMPUTED_VALUE"""),"Aeromexico")</f>
        <v>Aeromexico</v>
      </c>
      <c r="I19" s="17" t="str">
        <f ca="1">IFERROR(__xludf.DUMMYFUNCTION("""COMPUTED_VALUE"""),"Sales")</f>
        <v>Sales</v>
      </c>
      <c r="J19" s="17" t="str">
        <f ca="1">IFERROR(__xludf.DUMMYFUNCTION("""COMPUTED_VALUE"""),"Vuelo a CDMX")</f>
        <v>Vuelo a CDMX</v>
      </c>
      <c r="K19" s="17"/>
      <c r="L19" s="17"/>
      <c r="M19" s="17"/>
      <c r="N19" s="17"/>
      <c r="O19" s="17"/>
    </row>
    <row r="20" spans="1:15" ht="12.5">
      <c r="A20" s="17" t="str">
        <f ca="1">IFERROR(__xludf.DUMMYFUNCTION("""COMPUTED_VALUE"""),"TRX1430")</f>
        <v>TRX1430</v>
      </c>
      <c r="B20" s="86" t="str">
        <f ca="1">IFERROR(__xludf.DUMMYFUNCTION("""COMPUTED_VALUE"""),"#74")</f>
        <v>#74</v>
      </c>
      <c r="C20" s="63">
        <f ca="1">IFERROR(__xludf.DUMMYFUNCTION("""COMPUTED_VALUE"""),46060.4166666666)</f>
        <v>46060.416666666599</v>
      </c>
      <c r="D20" s="132">
        <f ca="1">IFERROR(__xludf.DUMMYFUNCTION("""COMPUTED_VALUE"""),174.36)</f>
        <v>174.36</v>
      </c>
      <c r="E20" s="17" t="str">
        <f ca="1">IFERROR(__xludf.DUMMYFUNCTION("""COMPUTED_VALUE"""),"MXN")</f>
        <v>MXN</v>
      </c>
      <c r="F20" s="17" t="str">
        <f ca="1">IFERROR(__xludf.DUMMYFUNCTION("""COMPUTED_VALUE"""),"Julio Cesar Guemes Reynoso")</f>
        <v>Julio Cesar Guemes Reynoso</v>
      </c>
      <c r="G20" s="17" t="str">
        <f ca="1">IFERROR(__xludf.DUMMYFUNCTION("""COMPUTED_VALUE"""),"UBER * PENDING         CMX           MEX")</f>
        <v>UBER * PENDING         CMX           MEX</v>
      </c>
      <c r="H20" s="17" t="str">
        <f ca="1">IFERROR(__xludf.DUMMYFUNCTION("""COMPUTED_VALUE"""),"Uber")</f>
        <v>Uber</v>
      </c>
      <c r="I20" s="17" t="str">
        <f ca="1">IFERROR(__xludf.DUMMYFUNCTION("""COMPUTED_VALUE"""),"Sales")</f>
        <v>Sales</v>
      </c>
      <c r="J20" s="17" t="str">
        <f ca="1">IFERROR(__xludf.DUMMYFUNCTION("""COMPUTED_VALUE"""),"Traslados en CDMX")</f>
        <v>Traslados en CDMX</v>
      </c>
      <c r="K20" s="17"/>
      <c r="L20" s="17"/>
      <c r="M20" s="17"/>
      <c r="N20" s="17"/>
      <c r="O20" s="17"/>
    </row>
    <row r="21" spans="1:15" ht="12.5">
      <c r="A21" s="17" t="str">
        <f ca="1">IFERROR(__xludf.DUMMYFUNCTION("""COMPUTED_VALUE"""),"TRX1717")</f>
        <v>TRX1717</v>
      </c>
      <c r="B21" s="86" t="str">
        <f ca="1">IFERROR(__xludf.DUMMYFUNCTION("""COMPUTED_VALUE"""),"#74")</f>
        <v>#74</v>
      </c>
      <c r="C21" s="63">
        <f ca="1">IFERROR(__xludf.DUMMYFUNCTION("""COMPUTED_VALUE"""),46060.4166666666)</f>
        <v>46060.416666666599</v>
      </c>
      <c r="D21" s="132">
        <f ca="1">IFERROR(__xludf.DUMMYFUNCTION("""COMPUTED_VALUE"""),265.3)</f>
        <v>265.3</v>
      </c>
      <c r="E21" s="17" t="str">
        <f ca="1">IFERROR(__xludf.DUMMYFUNCTION("""COMPUTED_VALUE"""),"MXN")</f>
        <v>MXN</v>
      </c>
      <c r="F21" s="17" t="str">
        <f ca="1">IFERROR(__xludf.DUMMYFUNCTION("""COMPUTED_VALUE"""),"Julio Cesar Guemes Reynoso")</f>
        <v>Julio Cesar Guemes Reynoso</v>
      </c>
      <c r="G21" s="17" t="str">
        <f ca="1">IFERROR(__xludf.DUMMYFUNCTION("""COMPUTED_VALUE"""),"UBER *TRIP HELP.UBER.C CMX           MEX")</f>
        <v>UBER *TRIP HELP.UBER.C CMX           MEX</v>
      </c>
      <c r="H21" s="17" t="str">
        <f ca="1">IFERROR(__xludf.DUMMYFUNCTION("""COMPUTED_VALUE"""),"Uber")</f>
        <v>Uber</v>
      </c>
      <c r="I21" s="17" t="str">
        <f ca="1">IFERROR(__xludf.DUMMYFUNCTION("""COMPUTED_VALUE"""),"Sales")</f>
        <v>Sales</v>
      </c>
      <c r="J21" s="17" t="str">
        <f ca="1">IFERROR(__xludf.DUMMYFUNCTION("""COMPUTED_VALUE"""),"Traslados en CDMX")</f>
        <v>Traslados en CDMX</v>
      </c>
      <c r="K21" s="17" t="str">
        <f ca="1">IFERROR(__xludf.DUMMYFUNCTION("""COMPUTED_VALUE"""),".")</f>
        <v>.</v>
      </c>
      <c r="L21" s="17"/>
      <c r="M21" s="17"/>
      <c r="N21" s="17"/>
      <c r="O21" s="17"/>
    </row>
    <row r="22" spans="1:15" ht="12.5">
      <c r="A22" s="17" t="str">
        <f ca="1">IFERROR(__xludf.DUMMYFUNCTION("""COMPUTED_VALUE"""),"TRX1046")</f>
        <v>TRX1046</v>
      </c>
      <c r="B22" s="86" t="str">
        <f ca="1">IFERROR(__xludf.DUMMYFUNCTION("""COMPUTED_VALUE"""),"#74")</f>
        <v>#74</v>
      </c>
      <c r="C22" s="63">
        <f ca="1">IFERROR(__xludf.DUMMYFUNCTION("""COMPUTED_VALUE"""),46060.4166666666)</f>
        <v>46060.416666666599</v>
      </c>
      <c r="D22" s="65">
        <f ca="1">IFERROR(__xludf.DUMMYFUNCTION("""COMPUTED_VALUE"""),324.97)</f>
        <v>324.97000000000003</v>
      </c>
      <c r="E22" s="17" t="str">
        <f ca="1">IFERROR(__xludf.DUMMYFUNCTION("""COMPUTED_VALUE"""),"MXN")</f>
        <v>MXN</v>
      </c>
      <c r="F22" s="17" t="str">
        <f ca="1">IFERROR(__xludf.DUMMYFUNCTION("""COMPUTED_VALUE"""),"Julio Cesar Guemes Reynoso")</f>
        <v>Julio Cesar Guemes Reynoso</v>
      </c>
      <c r="G22" s="17" t="str">
        <f ca="1">IFERROR(__xludf.DUMMYFUNCTION("""COMPUTED_VALUE"""),"UBER *TRIP HELP.UBER.C CMX           MEX")</f>
        <v>UBER *TRIP HELP.UBER.C CMX           MEX</v>
      </c>
      <c r="H22" s="17" t="str">
        <f ca="1">IFERROR(__xludf.DUMMYFUNCTION("""COMPUTED_VALUE"""),"Uber")</f>
        <v>Uber</v>
      </c>
      <c r="I22" s="17" t="str">
        <f ca="1">IFERROR(__xludf.DUMMYFUNCTION("""COMPUTED_VALUE"""),"Sales")</f>
        <v>Sales</v>
      </c>
      <c r="J22" s="17" t="str">
        <f ca="1">IFERROR(__xludf.DUMMYFUNCTION("""COMPUTED_VALUE"""),"Traslados en CDMX")</f>
        <v>Traslados en CDMX</v>
      </c>
      <c r="K22" s="17" t="str">
        <f ca="1">IFERROR(__xludf.DUMMYFUNCTION("""COMPUTED_VALUE"""),".")</f>
        <v>.</v>
      </c>
      <c r="L22" s="17"/>
      <c r="M22" s="17"/>
      <c r="N22" s="17"/>
      <c r="O22" s="17"/>
    </row>
    <row r="23" spans="1:15" ht="12.5">
      <c r="A23" s="17" t="str">
        <f ca="1">IFERROR(__xludf.DUMMYFUNCTION("""COMPUTED_VALUE"""),"TRX1009")</f>
        <v>TRX1009</v>
      </c>
      <c r="B23" s="86" t="str">
        <f ca="1">IFERROR(__xludf.DUMMYFUNCTION("""COMPUTED_VALUE"""),"#74")</f>
        <v>#74</v>
      </c>
      <c r="C23" s="63">
        <f ca="1">IFERROR(__xludf.DUMMYFUNCTION("""COMPUTED_VALUE"""),46060.4173611111)</f>
        <v>46060.417361111096</v>
      </c>
      <c r="D23" s="65">
        <f ca="1">IFERROR(__xludf.DUMMYFUNCTION("""COMPUTED_VALUE"""),815.5)</f>
        <v>815.5</v>
      </c>
      <c r="E23" s="17" t="str">
        <f ca="1">IFERROR(__xludf.DUMMYFUNCTION("""COMPUTED_VALUE"""),"MXN")</f>
        <v>MXN</v>
      </c>
      <c r="F23" s="17" t="str">
        <f ca="1">IFERROR(__xludf.DUMMYFUNCTION("""COMPUTED_VALUE"""),"Julio Cesar Guemes Reynoso")</f>
        <v>Julio Cesar Guemes Reynoso</v>
      </c>
      <c r="G23" s="17" t="str">
        <f ca="1">IFERROR(__xludf.DUMMYFUNCTION("""COMPUTED_VALUE"""),"AEB WEB ECOMMERCE      CIUDAD DE MEX MEX")</f>
        <v>AEB WEB ECOMMERCE      CIUDAD DE MEX MEX</v>
      </c>
      <c r="H23" s="17" t="str">
        <f ca="1">IFERROR(__xludf.DUMMYFUNCTION("""COMPUTED_VALUE"""),"Aeb Web Ecommerce Ciudad De Mex Mex")</f>
        <v>Aeb Web Ecommerce Ciudad De Mex Mex</v>
      </c>
      <c r="I23" s="17" t="str">
        <f ca="1">IFERROR(__xludf.DUMMYFUNCTION("""COMPUTED_VALUE"""),"Sales")</f>
        <v>Sales</v>
      </c>
      <c r="J23" s="17" t="str">
        <f ca="1">IFERROR(__xludf.DUMMYFUNCTION("""COMPUTED_VALUE"""),"Gasolina CDMX-SLP")</f>
        <v>Gasolina CDMX-SLP</v>
      </c>
      <c r="K23" s="17" t="str">
        <f ca="1">IFERROR(__xludf.DUMMYFUNCTION("""COMPUTED_VALUE"""),".")</f>
        <v>.</v>
      </c>
      <c r="L23" s="17"/>
      <c r="M23" s="17"/>
      <c r="N23" s="17"/>
      <c r="O23" s="17"/>
    </row>
    <row r="24" spans="1:15" ht="12.5">
      <c r="A24" s="17" t="str">
        <f ca="1">IFERROR(__xludf.DUMMYFUNCTION("""COMPUTED_VALUE"""),"TRX1977")</f>
        <v>TRX1977</v>
      </c>
      <c r="B24" s="86" t="str">
        <f ca="1">IFERROR(__xludf.DUMMYFUNCTION("""COMPUTED_VALUE"""),"-")</f>
        <v>-</v>
      </c>
      <c r="C24" s="63">
        <f ca="1">IFERROR(__xludf.DUMMYFUNCTION("""COMPUTED_VALUE"""),46060.4173611111)</f>
        <v>46060.417361111096</v>
      </c>
      <c r="D24" s="65">
        <f ca="1">IFERROR(__xludf.DUMMYFUNCTION("""COMPUTED_VALUE"""),328.9)</f>
        <v>328.9</v>
      </c>
      <c r="E24" s="17" t="str">
        <f ca="1">IFERROR(__xludf.DUMMYFUNCTION("""COMPUTED_VALUE"""),"MXN")</f>
        <v>MXN</v>
      </c>
      <c r="F24" s="17" t="str">
        <f ca="1">IFERROR(__xludf.DUMMYFUNCTION("""COMPUTED_VALUE"""),"Julio Cesar Guemes Reynoso")</f>
        <v>Julio Cesar Guemes Reynoso</v>
      </c>
      <c r="G24" s="17" t="str">
        <f ca="1">IFERROR(__xludf.DUMMYFUNCTION("""COMPUTED_VALUE"""),"REST NX DE MEXICO IKAA SOLEDAD DE GR MEX")</f>
        <v>REST NX DE MEXICO IKAA SOLEDAD DE GR MEX</v>
      </c>
      <c r="H24" s="17" t="str">
        <f ca="1">IFERROR(__xludf.DUMMYFUNCTION("""COMPUTED_VALUE"""),"Rest Nx De Mexico Ikaa Soledad De Gr Mex")</f>
        <v>Rest Nx De Mexico Ikaa Soledad De Gr Mex</v>
      </c>
      <c r="I24" s="17" t="str">
        <f ca="1">IFERROR(__xludf.DUMMYFUNCTION("""COMPUTED_VALUE"""),"Sales")</f>
        <v>Sales</v>
      </c>
      <c r="J24" s="17" t="str">
        <f ca="1">IFERROR(__xludf.DUMMYFUNCTION("""COMPUTED_VALUE"""),"Desayuno camino a CDMX")</f>
        <v>Desayuno camino a CDMX</v>
      </c>
      <c r="K24" s="17" t="str">
        <f ca="1">IFERROR(__xludf.DUMMYFUNCTION("""COMPUTED_VALUE"""),".")</f>
        <v>.</v>
      </c>
      <c r="L24" s="17"/>
      <c r="M24" s="17"/>
      <c r="N24" s="17"/>
      <c r="O24" s="17"/>
    </row>
    <row r="25" spans="1:15" ht="12.5">
      <c r="A25" s="17" t="str">
        <f ca="1">IFERROR(__xludf.DUMMYFUNCTION("""COMPUTED_VALUE"""),"TRX1311")</f>
        <v>TRX1311</v>
      </c>
      <c r="B25" s="86" t="str">
        <f ca="1">IFERROR(__xludf.DUMMYFUNCTION("""COMPUTED_VALUE"""),"#74")</f>
        <v>#74</v>
      </c>
      <c r="C25" s="63">
        <f ca="1">IFERROR(__xludf.DUMMYFUNCTION("""COMPUTED_VALUE"""),46060.4173611111)</f>
        <v>46060.417361111096</v>
      </c>
      <c r="D25" s="65">
        <f ca="1">IFERROR(__xludf.DUMMYFUNCTION("""COMPUTED_VALUE"""),185)</f>
        <v>185</v>
      </c>
      <c r="E25" s="17" t="str">
        <f ca="1">IFERROR(__xludf.DUMMYFUNCTION("""COMPUTED_VALUE"""),"MXN")</f>
        <v>MXN</v>
      </c>
      <c r="F25" s="17" t="str">
        <f ca="1">IFERROR(__xludf.DUMMYFUNCTION("""COMPUTED_VALUE"""),"Julio Cesar Guemes Reynoso")</f>
        <v>Julio Cesar Guemes Reynoso</v>
      </c>
      <c r="G25" s="17" t="str">
        <f ca="1">IFERROR(__xludf.DUMMYFUNCTION("""COMPUTED_VALUE"""),"PANDA EXPRESS PRADO NT CIUDAD DE MEX MEX")</f>
        <v>PANDA EXPRESS PRADO NT CIUDAD DE MEX MEX</v>
      </c>
      <c r="H25" s="17" t="str">
        <f ca="1">IFERROR(__xludf.DUMMYFUNCTION("""COMPUTED_VALUE"""),"Panda Express")</f>
        <v>Panda Express</v>
      </c>
      <c r="I25" s="17" t="str">
        <f ca="1">IFERROR(__xludf.DUMMYFUNCTION("""COMPUTED_VALUE"""),"Sales")</f>
        <v>Sales</v>
      </c>
      <c r="J25" s="17" t="str">
        <f ca="1">IFERROR(__xludf.DUMMYFUNCTION("""COMPUTED_VALUE"""),"Comida en CDMX")</f>
        <v>Comida en CDMX</v>
      </c>
      <c r="K25" s="17" t="str">
        <f ca="1">IFERROR(__xludf.DUMMYFUNCTION("""COMPUTED_VALUE"""),".")</f>
        <v>.</v>
      </c>
      <c r="L25" s="17"/>
      <c r="M25" s="17"/>
      <c r="N25" s="17"/>
      <c r="O25" s="17"/>
    </row>
    <row r="26" spans="1:15" ht="12.5">
      <c r="A26" s="17" t="str">
        <f ca="1">IFERROR(__xludf.DUMMYFUNCTION("""COMPUTED_VALUE"""),"TRX1165")</f>
        <v>TRX1165</v>
      </c>
      <c r="B26" s="86" t="str">
        <f ca="1">IFERROR(__xludf.DUMMYFUNCTION("""COMPUTED_VALUE"""),"#74")</f>
        <v>#74</v>
      </c>
      <c r="C26" s="63">
        <f ca="1">IFERROR(__xludf.DUMMYFUNCTION("""COMPUTED_VALUE"""),46061.4166666666)</f>
        <v>46061.416666666599</v>
      </c>
      <c r="D26" s="65">
        <f ca="1">IFERROR(__xludf.DUMMYFUNCTION("""COMPUTED_VALUE"""),452.47)</f>
        <v>452.47</v>
      </c>
      <c r="E26" s="17" t="str">
        <f ca="1">IFERROR(__xludf.DUMMYFUNCTION("""COMPUTED_VALUE"""),"MXN")</f>
        <v>MXN</v>
      </c>
      <c r="F26" s="17" t="str">
        <f ca="1">IFERROR(__xludf.DUMMYFUNCTION("""COMPUTED_VALUE"""),"Julio Cesar Guemes Reynoso")</f>
        <v>Julio Cesar Guemes Reynoso</v>
      </c>
      <c r="G26" s="17" t="str">
        <f ca="1">IFERROR(__xludf.DUMMYFUNCTION("""COMPUTED_VALUE"""),"UBER *TRIP HELP.UBER.C CMX           MEX")</f>
        <v>UBER *TRIP HELP.UBER.C CMX           MEX</v>
      </c>
      <c r="H26" s="17" t="str">
        <f ca="1">IFERROR(__xludf.DUMMYFUNCTION("""COMPUTED_VALUE"""),"Uber")</f>
        <v>Uber</v>
      </c>
      <c r="I26" s="17" t="str">
        <f ca="1">IFERROR(__xludf.DUMMYFUNCTION("""COMPUTED_VALUE"""),"Sales")</f>
        <v>Sales</v>
      </c>
      <c r="J26" s="17" t="str">
        <f ca="1">IFERROR(__xludf.DUMMYFUNCTION("""COMPUTED_VALUE"""),"Traslados en CDMX")</f>
        <v>Traslados en CDMX</v>
      </c>
      <c r="K26" s="17" t="str">
        <f ca="1">IFERROR(__xludf.DUMMYFUNCTION("""COMPUTED_VALUE"""),".")</f>
        <v>.</v>
      </c>
      <c r="L26" s="17"/>
      <c r="M26" s="17"/>
      <c r="N26" s="17"/>
      <c r="O26" s="17"/>
    </row>
    <row r="27" spans="1:15" ht="12.5">
      <c r="A27" s="17" t="str">
        <f ca="1">IFERROR(__xludf.DUMMYFUNCTION("""COMPUTED_VALUE"""),"TRX1693")</f>
        <v>TRX1693</v>
      </c>
      <c r="B27" s="86" t="str">
        <f ca="1">IFERROR(__xludf.DUMMYFUNCTION("""COMPUTED_VALUE"""),"#74")</f>
        <v>#74</v>
      </c>
      <c r="C27" s="63">
        <f ca="1">IFERROR(__xludf.DUMMYFUNCTION("""COMPUTED_VALUE"""),46064.4166666666)</f>
        <v>46064.416666666599</v>
      </c>
      <c r="D27" s="65">
        <f ca="1">IFERROR(__xludf.DUMMYFUNCTION("""COMPUTED_VALUE"""),411.4)</f>
        <v>411.4</v>
      </c>
      <c r="E27" s="17" t="str">
        <f ca="1">IFERROR(__xludf.DUMMYFUNCTION("""COMPUTED_VALUE"""),"MXN")</f>
        <v>MXN</v>
      </c>
      <c r="F27" s="17" t="str">
        <f ca="1">IFERROR(__xludf.DUMMYFUNCTION("""COMPUTED_VALUE"""),"Julio Cesar Guemes Reynoso")</f>
        <v>Julio Cesar Guemes Reynoso</v>
      </c>
      <c r="G27" s="17" t="str">
        <f ca="1">IFERROR(__xludf.DUMMYFUNCTION("""COMPUTED_VALUE"""),"UN LUGAR DE LA MANCHA  CIUDAD DE MEX MEX")</f>
        <v>UN LUGAR DE LA MANCHA  CIUDAD DE MEX MEX</v>
      </c>
      <c r="H27" s="17" t="str">
        <f ca="1">IFERROR(__xludf.DUMMYFUNCTION("""COMPUTED_VALUE"""),"Un Lugar De La Mancha Ciudad De Mex Mex")</f>
        <v>Un Lugar De La Mancha Ciudad De Mex Mex</v>
      </c>
      <c r="I27" s="17" t="str">
        <f ca="1">IFERROR(__xludf.DUMMYFUNCTION("""COMPUTED_VALUE"""),"Sales")</f>
        <v>Sales</v>
      </c>
      <c r="J27" s="17" t="str">
        <f ca="1">IFERROR(__xludf.DUMMYFUNCTION("""COMPUTED_VALUE"""),"Comida en CDMX")</f>
        <v>Comida en CDMX</v>
      </c>
      <c r="K27" s="17" t="str">
        <f ca="1">IFERROR(__xludf.DUMMYFUNCTION("""COMPUTED_VALUE"""),".")</f>
        <v>.</v>
      </c>
      <c r="L27" s="17"/>
      <c r="M27" s="17"/>
      <c r="N27" s="17"/>
      <c r="O27" s="17"/>
    </row>
    <row r="28" spans="1:15" ht="12.5">
      <c r="A28" s="17" t="str">
        <f ca="1">IFERROR(__xludf.DUMMYFUNCTION("""COMPUTED_VALUE"""),"TRX1515")</f>
        <v>TRX1515</v>
      </c>
      <c r="B28" s="86" t="str">
        <f ca="1">IFERROR(__xludf.DUMMYFUNCTION("""COMPUTED_VALUE"""),"#74")</f>
        <v>#74</v>
      </c>
      <c r="C28" s="63">
        <f ca="1">IFERROR(__xludf.DUMMYFUNCTION("""COMPUTED_VALUE"""),46065.4166666666)</f>
        <v>46065.416666666599</v>
      </c>
      <c r="D28" s="65">
        <f ca="1">IFERROR(__xludf.DUMMYFUNCTION("""COMPUTED_VALUE"""),149.95)</f>
        <v>149.94999999999999</v>
      </c>
      <c r="E28" s="17" t="str">
        <f ca="1">IFERROR(__xludf.DUMMYFUNCTION("""COMPUTED_VALUE"""),"MXN")</f>
        <v>MXN</v>
      </c>
      <c r="F28" s="17" t="str">
        <f ca="1">IFERROR(__xludf.DUMMYFUNCTION("""COMPUTED_VALUE"""),"Julio Cesar Guemes Reynoso")</f>
        <v>Julio Cesar Guemes Reynoso</v>
      </c>
      <c r="G28" s="17" t="str">
        <f ca="1">IFERROR(__xludf.DUMMYFUNCTION("""COMPUTED_VALUE"""),"UBER * PENDING         CMX           MEX")</f>
        <v>UBER * PENDING         CMX           MEX</v>
      </c>
      <c r="H28" s="17" t="str">
        <f ca="1">IFERROR(__xludf.DUMMYFUNCTION("""COMPUTED_VALUE"""),"Uber")</f>
        <v>Uber</v>
      </c>
      <c r="I28" s="17" t="str">
        <f ca="1">IFERROR(__xludf.DUMMYFUNCTION("""COMPUTED_VALUE"""),"Sales")</f>
        <v>Sales</v>
      </c>
      <c r="J28" s="17" t="str">
        <f ca="1">IFERROR(__xludf.DUMMYFUNCTION("""COMPUTED_VALUE"""),"Traslados en Chihuahua")</f>
        <v>Traslados en Chihuahua</v>
      </c>
      <c r="K28" s="17" t="str">
        <f ca="1">IFERROR(__xludf.DUMMYFUNCTION("""COMPUTED_VALUE"""),".")</f>
        <v>.</v>
      </c>
      <c r="L28" s="17"/>
      <c r="M28" s="17"/>
      <c r="N28" s="17"/>
      <c r="O28" s="17"/>
    </row>
    <row r="29" spans="1:15" ht="12.5">
      <c r="A29" s="17" t="str">
        <f ca="1">IFERROR(__xludf.DUMMYFUNCTION("""COMPUTED_VALUE"""),"TRX1987")</f>
        <v>TRX1987</v>
      </c>
      <c r="B29" s="86" t="str">
        <f ca="1">IFERROR(__xludf.DUMMYFUNCTION("""COMPUTED_VALUE"""),"#74")</f>
        <v>#74</v>
      </c>
      <c r="C29" s="63">
        <f ca="1">IFERROR(__xludf.DUMMYFUNCTION("""COMPUTED_VALUE"""),46066.4166666666)</f>
        <v>46066.416666666599</v>
      </c>
      <c r="D29" s="65">
        <f ca="1">IFERROR(__xludf.DUMMYFUNCTION("""COMPUTED_VALUE"""),568.86)</f>
        <v>568.86</v>
      </c>
      <c r="E29" s="17" t="str">
        <f ca="1">IFERROR(__xludf.DUMMYFUNCTION("""COMPUTED_VALUE"""),"MXN")</f>
        <v>MXN</v>
      </c>
      <c r="F29" s="17" t="str">
        <f ca="1">IFERROR(__xludf.DUMMYFUNCTION("""COMPUTED_VALUE"""),"Julio Cesar Guemes Reynoso")</f>
        <v>Julio Cesar Guemes Reynoso</v>
      </c>
      <c r="G29" s="17" t="str">
        <f ca="1">IFERROR(__xludf.DUMMYFUNCTION("""COMPUTED_VALUE"""),"UBER *TRIP HELP.UBER.C CMX           MEX")</f>
        <v>UBER *TRIP HELP.UBER.C CMX           MEX</v>
      </c>
      <c r="H29" s="17" t="str">
        <f ca="1">IFERROR(__xludf.DUMMYFUNCTION("""COMPUTED_VALUE"""),"Uber")</f>
        <v>Uber</v>
      </c>
      <c r="I29" s="17" t="str">
        <f ca="1">IFERROR(__xludf.DUMMYFUNCTION("""COMPUTED_VALUE"""),"Sales")</f>
        <v>Sales</v>
      </c>
      <c r="J29" s="17" t="str">
        <f ca="1">IFERROR(__xludf.DUMMYFUNCTION("""COMPUTED_VALUE"""),"Traslados en Chihuahua")</f>
        <v>Traslados en Chihuahua</v>
      </c>
      <c r="K29" s="17" t="str">
        <f ca="1">IFERROR(__xludf.DUMMYFUNCTION("""COMPUTED_VALUE"""),".")</f>
        <v>.</v>
      </c>
      <c r="L29" s="17"/>
      <c r="M29" s="17"/>
      <c r="N29" s="17"/>
      <c r="O29" s="17"/>
    </row>
    <row r="30" spans="1:15" ht="12.5">
      <c r="A30" s="17" t="str">
        <f ca="1">IFERROR(__xludf.DUMMYFUNCTION("""COMPUTED_VALUE"""),"TRX1209")</f>
        <v>TRX1209</v>
      </c>
      <c r="B30" s="86" t="str">
        <f ca="1">IFERROR(__xludf.DUMMYFUNCTION("""COMPUTED_VALUE"""),"#74")</f>
        <v>#74</v>
      </c>
      <c r="C30" s="63">
        <f ca="1">IFERROR(__xludf.DUMMYFUNCTION("""COMPUTED_VALUE"""),46066.4173611111)</f>
        <v>46066.417361111096</v>
      </c>
      <c r="D30" s="65">
        <f ca="1">IFERROR(__xludf.DUMMYFUNCTION("""COMPUTED_VALUE"""),183)</f>
        <v>183</v>
      </c>
      <c r="E30" s="17" t="str">
        <f ca="1">IFERROR(__xludf.DUMMYFUNCTION("""COMPUTED_VALUE"""),"MXN")</f>
        <v>MXN</v>
      </c>
      <c r="F30" s="17" t="str">
        <f ca="1">IFERROR(__xludf.DUMMYFUNCTION("""COMPUTED_VALUE"""),"Julio Cesar Guemes Reynoso")</f>
        <v>Julio Cesar Guemes Reynoso</v>
      </c>
      <c r="G30" s="17" t="str">
        <f ca="1">IFERROR(__xludf.DUMMYFUNCTION("""COMPUTED_VALUE"""),"PANDA EXPRESS PRADO NT CIUDAD DE MEX MEX")</f>
        <v>PANDA EXPRESS PRADO NT CIUDAD DE MEX MEX</v>
      </c>
      <c r="H30" s="17" t="str">
        <f ca="1">IFERROR(__xludf.DUMMYFUNCTION("""COMPUTED_VALUE"""),"Panda Express")</f>
        <v>Panda Express</v>
      </c>
      <c r="I30" s="17" t="str">
        <f ca="1">IFERROR(__xludf.DUMMYFUNCTION("""COMPUTED_VALUE"""),"Sales")</f>
        <v>Sales</v>
      </c>
      <c r="J30" s="17" t="str">
        <f ca="1">IFERROR(__xludf.DUMMYFUNCTION("""COMPUTED_VALUE"""),"Comida en CDMX")</f>
        <v>Comida en CDMX</v>
      </c>
      <c r="K30" s="17" t="str">
        <f ca="1">IFERROR(__xludf.DUMMYFUNCTION("""COMPUTED_VALUE"""),".")</f>
        <v>.</v>
      </c>
      <c r="L30" s="17"/>
      <c r="M30" s="17"/>
      <c r="N30" s="17"/>
      <c r="O30" s="17"/>
    </row>
    <row r="31" spans="1:15" ht="12.5">
      <c r="A31" s="17" t="str">
        <f ca="1">IFERROR(__xludf.DUMMYFUNCTION("""COMPUTED_VALUE"""),"TRX1511")</f>
        <v>TRX1511</v>
      </c>
      <c r="B31" s="86" t="str">
        <f ca="1">IFERROR(__xludf.DUMMYFUNCTION("""COMPUTED_VALUE"""),"#74")</f>
        <v>#74</v>
      </c>
      <c r="C31" s="63">
        <f ca="1">IFERROR(__xludf.DUMMYFUNCTION("""COMPUTED_VALUE"""),46067.4166666666)</f>
        <v>46067.416666666599</v>
      </c>
      <c r="D31" s="65">
        <f ca="1">IFERROR(__xludf.DUMMYFUNCTION("""COMPUTED_VALUE"""),186.76)</f>
        <v>186.76</v>
      </c>
      <c r="E31" s="17" t="str">
        <f ca="1">IFERROR(__xludf.DUMMYFUNCTION("""COMPUTED_VALUE"""),"MXN")</f>
        <v>MXN</v>
      </c>
      <c r="F31" s="17" t="str">
        <f ca="1">IFERROR(__xludf.DUMMYFUNCTION("""COMPUTED_VALUE"""),"Julio Cesar Guemes Reynoso")</f>
        <v>Julio Cesar Guemes Reynoso</v>
      </c>
      <c r="G31" s="17" t="str">
        <f ca="1">IFERROR(__xludf.DUMMYFUNCTION("""COMPUTED_VALUE"""),"UBER *TRIP HELP.UBER.C CMX           MEX")</f>
        <v>UBER *TRIP HELP.UBER.C CMX           MEX</v>
      </c>
      <c r="H31" s="17" t="str">
        <f ca="1">IFERROR(__xludf.DUMMYFUNCTION("""COMPUTED_VALUE"""),"Uber")</f>
        <v>Uber</v>
      </c>
      <c r="I31" s="17" t="str">
        <f ca="1">IFERROR(__xludf.DUMMYFUNCTION("""COMPUTED_VALUE"""),"Sales")</f>
        <v>Sales</v>
      </c>
      <c r="J31" s="17" t="str">
        <f ca="1">IFERROR(__xludf.DUMMYFUNCTION("""COMPUTED_VALUE"""),"Traslados en Chihuahua")</f>
        <v>Traslados en Chihuahua</v>
      </c>
      <c r="K31" s="17" t="str">
        <f ca="1">IFERROR(__xludf.DUMMYFUNCTION("""COMPUTED_VALUE"""),".")</f>
        <v>.</v>
      </c>
      <c r="L31" s="17"/>
      <c r="M31" s="17"/>
      <c r="N31" s="17"/>
      <c r="O31" s="17"/>
    </row>
    <row r="32" spans="1:15" ht="12.5">
      <c r="A32" s="17" t="str">
        <f ca="1">IFERROR(__xludf.DUMMYFUNCTION("""COMPUTED_VALUE"""),"TRX1814")</f>
        <v>TRX1814</v>
      </c>
      <c r="B32" s="86" t="str">
        <f ca="1">IFERROR(__xludf.DUMMYFUNCTION("""COMPUTED_VALUE"""),"#74")</f>
        <v>#74</v>
      </c>
      <c r="C32" s="63">
        <f ca="1">IFERROR(__xludf.DUMMYFUNCTION("""COMPUTED_VALUE"""),46067.4166666666)</f>
        <v>46067.416666666599</v>
      </c>
      <c r="D32" s="65">
        <f ca="1">IFERROR(__xludf.DUMMYFUNCTION("""COMPUTED_VALUE"""),46.39)</f>
        <v>46.39</v>
      </c>
      <c r="E32" s="17" t="str">
        <f ca="1">IFERROR(__xludf.DUMMYFUNCTION("""COMPUTED_VALUE"""),"MXN")</f>
        <v>MXN</v>
      </c>
      <c r="F32" s="17" t="str">
        <f ca="1">IFERROR(__xludf.DUMMYFUNCTION("""COMPUTED_VALUE"""),"Julio Cesar Guemes Reynoso")</f>
        <v>Julio Cesar Guemes Reynoso</v>
      </c>
      <c r="G32" s="17" t="str">
        <f ca="1">IFERROR(__xludf.DUMMYFUNCTION("""COMPUTED_VALUE"""),"UBER *TRIP HELP.UBER.C CMX           MEX")</f>
        <v>UBER *TRIP HELP.UBER.C CMX           MEX</v>
      </c>
      <c r="H32" s="17" t="str">
        <f ca="1">IFERROR(__xludf.DUMMYFUNCTION("""COMPUTED_VALUE"""),"Uber")</f>
        <v>Uber</v>
      </c>
      <c r="I32" s="17" t="str">
        <f ca="1">IFERROR(__xludf.DUMMYFUNCTION("""COMPUTED_VALUE"""),"Sales")</f>
        <v>Sales</v>
      </c>
      <c r="J32" s="17" t="str">
        <f ca="1">IFERROR(__xludf.DUMMYFUNCTION("""COMPUTED_VALUE"""),"Traslados en Chihuahua")</f>
        <v>Traslados en Chihuahua</v>
      </c>
      <c r="K32" s="17" t="str">
        <f ca="1">IFERROR(__xludf.DUMMYFUNCTION("""COMPUTED_VALUE"""),".")</f>
        <v>.</v>
      </c>
      <c r="L32" s="17"/>
      <c r="M32" s="17"/>
      <c r="N32" s="17"/>
      <c r="O32" s="17"/>
    </row>
    <row r="33" spans="1:15" ht="12.5">
      <c r="A33" s="17" t="str">
        <f ca="1">IFERROR(__xludf.DUMMYFUNCTION("""COMPUTED_VALUE"""),"TRX1177")</f>
        <v>TRX1177</v>
      </c>
      <c r="B33" s="86" t="str">
        <f ca="1">IFERROR(__xludf.DUMMYFUNCTION("""COMPUTED_VALUE"""),"#74")</f>
        <v>#74</v>
      </c>
      <c r="C33" s="63">
        <f ca="1">IFERROR(__xludf.DUMMYFUNCTION("""COMPUTED_VALUE"""),46067.4166666666)</f>
        <v>46067.416666666599</v>
      </c>
      <c r="D33" s="65">
        <f ca="1">IFERROR(__xludf.DUMMYFUNCTION("""COMPUTED_VALUE"""),43.12)</f>
        <v>43.12</v>
      </c>
      <c r="E33" s="17" t="str">
        <f ca="1">IFERROR(__xludf.DUMMYFUNCTION("""COMPUTED_VALUE"""),"MXN")</f>
        <v>MXN</v>
      </c>
      <c r="F33" s="17" t="str">
        <f ca="1">IFERROR(__xludf.DUMMYFUNCTION("""COMPUTED_VALUE"""),"Julio Cesar Guemes Reynoso")</f>
        <v>Julio Cesar Guemes Reynoso</v>
      </c>
      <c r="G33" s="17" t="str">
        <f ca="1">IFERROR(__xludf.DUMMYFUNCTION("""COMPUTED_VALUE"""),"UBER * PENDING         CMX           MEX")</f>
        <v>UBER * PENDING         CMX           MEX</v>
      </c>
      <c r="H33" s="17" t="str">
        <f ca="1">IFERROR(__xludf.DUMMYFUNCTION("""COMPUTED_VALUE"""),"Uber")</f>
        <v>Uber</v>
      </c>
      <c r="I33" s="17" t="str">
        <f ca="1">IFERROR(__xludf.DUMMYFUNCTION("""COMPUTED_VALUE"""),"Sales")</f>
        <v>Sales</v>
      </c>
      <c r="J33" s="17" t="str">
        <f ca="1">IFERROR(__xludf.DUMMYFUNCTION("""COMPUTED_VALUE"""),"Traslados en Chihuahua")</f>
        <v>Traslados en Chihuahua</v>
      </c>
      <c r="K33" s="17" t="str">
        <f ca="1">IFERROR(__xludf.DUMMYFUNCTION("""COMPUTED_VALUE"""),".")</f>
        <v>.</v>
      </c>
      <c r="L33" s="17"/>
      <c r="M33" s="17"/>
      <c r="N33" s="17"/>
      <c r="O33" s="17"/>
    </row>
    <row r="34" spans="1:15" ht="12.5">
      <c r="A34" s="17" t="str">
        <f ca="1">IFERROR(__xludf.DUMMYFUNCTION("""COMPUTED_VALUE"""),"TRX1774")</f>
        <v>TRX1774</v>
      </c>
      <c r="B34" s="86" t="str">
        <f ca="1">IFERROR(__xludf.DUMMYFUNCTION("""COMPUTED_VALUE"""),"#74")</f>
        <v>#74</v>
      </c>
      <c r="C34" s="63">
        <f ca="1">IFERROR(__xludf.DUMMYFUNCTION("""COMPUTED_VALUE"""),46067.4166666666)</f>
        <v>46067.416666666599</v>
      </c>
      <c r="D34" s="65">
        <f ca="1">IFERROR(__xludf.DUMMYFUNCTION("""COMPUTED_VALUE"""),248.74)</f>
        <v>248.74</v>
      </c>
      <c r="E34" s="17" t="str">
        <f ca="1">IFERROR(__xludf.DUMMYFUNCTION("""COMPUTED_VALUE"""),"MXN")</f>
        <v>MXN</v>
      </c>
      <c r="F34" s="17" t="str">
        <f ca="1">IFERROR(__xludf.DUMMYFUNCTION("""COMPUTED_VALUE"""),"Julio Cesar Guemes Reynoso")</f>
        <v>Julio Cesar Guemes Reynoso</v>
      </c>
      <c r="G34" s="17" t="str">
        <f ca="1">IFERROR(__xludf.DUMMYFUNCTION("""COMPUTED_VALUE"""),"UBER *TRIP HELP.UBER.C CMX           MEX")</f>
        <v>UBER *TRIP HELP.UBER.C CMX           MEX</v>
      </c>
      <c r="H34" s="17" t="str">
        <f ca="1">IFERROR(__xludf.DUMMYFUNCTION("""COMPUTED_VALUE"""),"Uber")</f>
        <v>Uber</v>
      </c>
      <c r="I34" s="17" t="str">
        <f ca="1">IFERROR(__xludf.DUMMYFUNCTION("""COMPUTED_VALUE"""),"Sales")</f>
        <v>Sales</v>
      </c>
      <c r="J34" s="17" t="str">
        <f ca="1">IFERROR(__xludf.DUMMYFUNCTION("""COMPUTED_VALUE"""),"Traslados en CDMX")</f>
        <v>Traslados en CDMX</v>
      </c>
      <c r="K34" s="17" t="str">
        <f ca="1">IFERROR(__xludf.DUMMYFUNCTION("""COMPUTED_VALUE"""),".")</f>
        <v>.</v>
      </c>
      <c r="L34" s="17"/>
      <c r="M34" s="17"/>
      <c r="N34" s="17"/>
      <c r="O34" s="17"/>
    </row>
    <row r="35" spans="1:15" ht="12.5">
      <c r="A35" s="17" t="str">
        <f ca="1">IFERROR(__xludf.DUMMYFUNCTION("""COMPUTED_VALUE"""),"TRX1359")</f>
        <v>TRX1359</v>
      </c>
      <c r="B35" s="86" t="str">
        <f ca="1">IFERROR(__xludf.DUMMYFUNCTION("""COMPUTED_VALUE"""),"#74")</f>
        <v>#74</v>
      </c>
      <c r="C35" s="63">
        <f ca="1">IFERROR(__xludf.DUMMYFUNCTION("""COMPUTED_VALUE"""),46067.4166666666)</f>
        <v>46067.416666666599</v>
      </c>
      <c r="D35" s="65">
        <f ca="1">IFERROR(__xludf.DUMMYFUNCTION("""COMPUTED_VALUE"""),49.99)</f>
        <v>49.99</v>
      </c>
      <c r="E35" s="17" t="str">
        <f ca="1">IFERROR(__xludf.DUMMYFUNCTION("""COMPUTED_VALUE"""),"MXN")</f>
        <v>MXN</v>
      </c>
      <c r="F35" s="17" t="str">
        <f ca="1">IFERROR(__xludf.DUMMYFUNCTION("""COMPUTED_VALUE"""),"Julio Cesar Guemes Reynoso")</f>
        <v>Julio Cesar Guemes Reynoso</v>
      </c>
      <c r="G35" s="17" t="str">
        <f ca="1">IFERROR(__xludf.DUMMYFUNCTION("""COMPUTED_VALUE"""),"UBER * PENDING         CMX           MEX")</f>
        <v>UBER * PENDING         CMX           MEX</v>
      </c>
      <c r="H35" s="17" t="str">
        <f ca="1">IFERROR(__xludf.DUMMYFUNCTION("""COMPUTED_VALUE"""),"Uber")</f>
        <v>Uber</v>
      </c>
      <c r="I35" s="17" t="str">
        <f ca="1">IFERROR(__xludf.DUMMYFUNCTION("""COMPUTED_VALUE"""),"Sales")</f>
        <v>Sales</v>
      </c>
      <c r="J35" s="17" t="str">
        <f ca="1">IFERROR(__xludf.DUMMYFUNCTION("""COMPUTED_VALUE"""),"Traslados en Cdmx")</f>
        <v>Traslados en Cdmx</v>
      </c>
      <c r="K35" s="17" t="str">
        <f ca="1">IFERROR(__xludf.DUMMYFUNCTION("""COMPUTED_VALUE"""),".")</f>
        <v>.</v>
      </c>
      <c r="L35" s="17"/>
      <c r="M35" s="17"/>
      <c r="N35" s="17"/>
      <c r="O35" s="17"/>
    </row>
    <row r="36" spans="1:15" ht="12.5">
      <c r="A36" s="17" t="str">
        <f ca="1">IFERROR(__xludf.DUMMYFUNCTION("""COMPUTED_VALUE"""),"TRX1399")</f>
        <v>TRX1399</v>
      </c>
      <c r="B36" s="86" t="str">
        <f ca="1">IFERROR(__xludf.DUMMYFUNCTION("""COMPUTED_VALUE"""),"#74")</f>
        <v>#74</v>
      </c>
      <c r="C36" s="63">
        <f ca="1">IFERROR(__xludf.DUMMYFUNCTION("""COMPUTED_VALUE"""),46067.4166666666)</f>
        <v>46067.416666666599</v>
      </c>
      <c r="D36" s="65">
        <f ca="1">IFERROR(__xludf.DUMMYFUNCTION("""COMPUTED_VALUE"""),152.94)</f>
        <v>152.94</v>
      </c>
      <c r="E36" s="17" t="str">
        <f ca="1">IFERROR(__xludf.DUMMYFUNCTION("""COMPUTED_VALUE"""),"MXN")</f>
        <v>MXN</v>
      </c>
      <c r="F36" s="17" t="str">
        <f ca="1">IFERROR(__xludf.DUMMYFUNCTION("""COMPUTED_VALUE"""),"Julio Cesar Guemes Reynoso")</f>
        <v>Julio Cesar Guemes Reynoso</v>
      </c>
      <c r="G36" s="17" t="str">
        <f ca="1">IFERROR(__xludf.DUMMYFUNCTION("""COMPUTED_VALUE"""),"UBER * PENDING         CMX           MEX")</f>
        <v>UBER * PENDING         CMX           MEX</v>
      </c>
      <c r="H36" s="17" t="str">
        <f ca="1">IFERROR(__xludf.DUMMYFUNCTION("""COMPUTED_VALUE"""),"Uber")</f>
        <v>Uber</v>
      </c>
      <c r="I36" s="17" t="str">
        <f ca="1">IFERROR(__xludf.DUMMYFUNCTION("""COMPUTED_VALUE"""),"Sales")</f>
        <v>Sales</v>
      </c>
      <c r="J36" s="17" t="str">
        <f ca="1">IFERROR(__xludf.DUMMYFUNCTION("""COMPUTED_VALUE"""),"Traslados en Cdmx")</f>
        <v>Traslados en Cdmx</v>
      </c>
      <c r="K36" s="17" t="str">
        <f ca="1">IFERROR(__xludf.DUMMYFUNCTION("""COMPUTED_VALUE"""),".")</f>
        <v>.</v>
      </c>
      <c r="L36" s="17"/>
      <c r="M36" s="17"/>
      <c r="N36" s="17"/>
      <c r="O36" s="17"/>
    </row>
    <row r="37" spans="1:15" ht="12.5">
      <c r="A37" s="17" t="str">
        <f ca="1">IFERROR(__xludf.DUMMYFUNCTION("""COMPUTED_VALUE"""),"TRX1751")</f>
        <v>TRX1751</v>
      </c>
      <c r="B37" s="86" t="str">
        <f ca="1">IFERROR(__xludf.DUMMYFUNCTION("""COMPUTED_VALUE"""),"-")</f>
        <v>-</v>
      </c>
      <c r="C37" s="63">
        <f ca="1">IFERROR(__xludf.DUMMYFUNCTION("""COMPUTED_VALUE"""),46067.4173611111)</f>
        <v>46067.417361111096</v>
      </c>
      <c r="D37" s="65">
        <f ca="1">IFERROR(__xludf.DUMMYFUNCTION("""COMPUTED_VALUE"""),1724.8)</f>
        <v>1724.8</v>
      </c>
      <c r="E37" s="17" t="str">
        <f ca="1">IFERROR(__xludf.DUMMYFUNCTION("""COMPUTED_VALUE"""),"MXN")</f>
        <v>MXN</v>
      </c>
      <c r="F37" s="17" t="str">
        <f ca="1">IFERROR(__xludf.DUMMYFUNCTION("""COMPUTED_VALUE"""),"Julio Cesar Guemes Reynoso")</f>
        <v>Julio Cesar Guemes Reynoso</v>
      </c>
      <c r="G37" s="17" t="str">
        <f ca="1">IFERROR(__xludf.DUMMYFUNCTION("""COMPUTED_VALUE"""),"REST LA CASONA         CHIHUAHUA CHI MEX")</f>
        <v>REST LA CASONA         CHIHUAHUA CHI MEX</v>
      </c>
      <c r="H37" s="17" t="str">
        <f ca="1">IFERROR(__xludf.DUMMYFUNCTION("""COMPUTED_VALUE"""),"Rest La Casona Chihuahua Chi Mex")</f>
        <v>Rest La Casona Chihuahua Chi Mex</v>
      </c>
      <c r="I37" s="17" t="str">
        <f ca="1">IFERROR(__xludf.DUMMYFUNCTION("""COMPUTED_VALUE"""),"Sales")</f>
        <v>Sales</v>
      </c>
      <c r="J37" s="17" t="str">
        <f ca="1">IFERROR(__xludf.DUMMYFUNCTION("""COMPUTED_VALUE"""),"Comida Chihuahua Encuentro de Negocios con Carlos Abogado")</f>
        <v>Comida Chihuahua Encuentro de Negocios con Carlos Abogado</v>
      </c>
      <c r="K37" s="17" t="str">
        <f ca="1">IFERROR(__xludf.DUMMYFUNCTION("""COMPUTED_VALUE"""),".")</f>
        <v>.</v>
      </c>
      <c r="L37" s="17"/>
      <c r="M37" s="17"/>
      <c r="N37" s="17"/>
      <c r="O37" s="17"/>
    </row>
    <row r="38" spans="1:15" ht="12.5">
      <c r="A38" s="17" t="str">
        <f ca="1">IFERROR(__xludf.DUMMYFUNCTION("""COMPUTED_VALUE"""),"TRX1091")</f>
        <v>TRX1091</v>
      </c>
      <c r="B38" s="86" t="str">
        <f ca="1">IFERROR(__xludf.DUMMYFUNCTION("""COMPUTED_VALUE"""),"#74")</f>
        <v>#74</v>
      </c>
      <c r="C38" s="63">
        <f ca="1">IFERROR(__xludf.DUMMYFUNCTION("""COMPUTED_VALUE"""),46067.4173611111)</f>
        <v>46067.417361111096</v>
      </c>
      <c r="D38" s="65">
        <f ca="1">IFERROR(__xludf.DUMMYFUNCTION("""COMPUTED_VALUE"""),880)</f>
        <v>880</v>
      </c>
      <c r="E38" s="17" t="str">
        <f ca="1">IFERROR(__xludf.DUMMYFUNCTION("""COMPUTED_VALUE"""),"MXN")</f>
        <v>MXN</v>
      </c>
      <c r="F38" s="17" t="str">
        <f ca="1">IFERROR(__xludf.DUMMYFUNCTION("""COMPUTED_VALUE"""),"Julio Cesar Guemes Reynoso")</f>
        <v>Julio Cesar Guemes Reynoso</v>
      </c>
      <c r="G38" s="17" t="str">
        <f ca="1">IFERROR(__xludf.DUMMYFUNCTION("""COMPUTED_VALUE"""),"IBIS CHIHUAHUA         CHIHUAHUA CHI MEX")</f>
        <v>IBIS CHIHUAHUA         CHIHUAHUA CHI MEX</v>
      </c>
      <c r="H38" s="17" t="str">
        <f ca="1">IFERROR(__xludf.DUMMYFUNCTION("""COMPUTED_VALUE"""),"Ibis Chihuahua Chihuahua Chi Mex")</f>
        <v>Ibis Chihuahua Chihuahua Chi Mex</v>
      </c>
      <c r="I38" s="17" t="str">
        <f ca="1">IFERROR(__xludf.DUMMYFUNCTION("""COMPUTED_VALUE"""),"Sales")</f>
        <v>Sales</v>
      </c>
      <c r="J38" s="17" t="str">
        <f ca="1">IFERROR(__xludf.DUMMYFUNCTION("""COMPUTED_VALUE"""),"Hotel Chihuahua Encuentro de Negocios Mineria")</f>
        <v>Hotel Chihuahua Encuentro de Negocios Mineria</v>
      </c>
      <c r="K38" s="17" t="str">
        <f ca="1">IFERROR(__xludf.DUMMYFUNCTION("""COMPUTED_VALUE"""),".")</f>
        <v>.</v>
      </c>
      <c r="L38" s="17"/>
      <c r="M38" s="17"/>
      <c r="N38" s="17"/>
      <c r="O38" s="17"/>
    </row>
    <row r="39" spans="1:15" ht="12.5">
      <c r="A39" s="17" t="str">
        <f ca="1">IFERROR(__xludf.DUMMYFUNCTION("""COMPUTED_VALUE"""),"TRX1448")</f>
        <v>TRX1448</v>
      </c>
      <c r="B39" s="86" t="str">
        <f ca="1">IFERROR(__xludf.DUMMYFUNCTION("""COMPUTED_VALUE"""),"#74")</f>
        <v>#74</v>
      </c>
      <c r="C39" s="63">
        <f ca="1">IFERROR(__xludf.DUMMYFUNCTION("""COMPUTED_VALUE"""),46068.4166666666)</f>
        <v>46068.416666666599</v>
      </c>
      <c r="D39" s="65">
        <f ca="1">IFERROR(__xludf.DUMMYFUNCTION("""COMPUTED_VALUE"""),125.3)</f>
        <v>125.3</v>
      </c>
      <c r="E39" s="17" t="str">
        <f ca="1">IFERROR(__xludf.DUMMYFUNCTION("""COMPUTED_VALUE"""),"MXN")</f>
        <v>MXN</v>
      </c>
      <c r="F39" s="17" t="str">
        <f ca="1">IFERROR(__xludf.DUMMYFUNCTION("""COMPUTED_VALUE"""),"Julio Cesar Guemes Reynoso")</f>
        <v>Julio Cesar Guemes Reynoso</v>
      </c>
      <c r="G39" s="17" t="str">
        <f ca="1">IFERROR(__xludf.DUMMYFUNCTION("""COMPUTED_VALUE"""),"UBER *TRIP HELP.UBER.C CMX           MEX")</f>
        <v>UBER *TRIP HELP.UBER.C CMX           MEX</v>
      </c>
      <c r="H39" s="17" t="str">
        <f ca="1">IFERROR(__xludf.DUMMYFUNCTION("""COMPUTED_VALUE"""),"Uber")</f>
        <v>Uber</v>
      </c>
      <c r="I39" s="17" t="str">
        <f ca="1">IFERROR(__xludf.DUMMYFUNCTION("""COMPUTED_VALUE"""),"Sales")</f>
        <v>Sales</v>
      </c>
      <c r="J39" s="17" t="str">
        <f ca="1">IFERROR(__xludf.DUMMYFUNCTION("""COMPUTED_VALUE"""),"Traslados en Cdmx")</f>
        <v>Traslados en Cdmx</v>
      </c>
      <c r="K39" s="17" t="str">
        <f ca="1">IFERROR(__xludf.DUMMYFUNCTION("""COMPUTED_VALUE"""),".")</f>
        <v>.</v>
      </c>
      <c r="L39" s="17"/>
      <c r="M39" s="17"/>
      <c r="N39" s="17"/>
      <c r="O39" s="17"/>
    </row>
    <row r="40" spans="1:15" ht="12.5">
      <c r="A40" s="17" t="str">
        <f ca="1">IFERROR(__xludf.DUMMYFUNCTION("""COMPUTED_VALUE"""),"TRX1560")</f>
        <v>TRX1560</v>
      </c>
      <c r="B40" s="86" t="str">
        <f ca="1">IFERROR(__xludf.DUMMYFUNCTION("""COMPUTED_VALUE"""),"#74")</f>
        <v>#74</v>
      </c>
      <c r="C40" s="63">
        <f ca="1">IFERROR(__xludf.DUMMYFUNCTION("""COMPUTED_VALUE"""),46068.4166666666)</f>
        <v>46068.416666666599</v>
      </c>
      <c r="D40" s="65">
        <f ca="1">IFERROR(__xludf.DUMMYFUNCTION("""COMPUTED_VALUE"""),28.54)</f>
        <v>28.54</v>
      </c>
      <c r="E40" s="17" t="str">
        <f ca="1">IFERROR(__xludf.DUMMYFUNCTION("""COMPUTED_VALUE"""),"MXN")</f>
        <v>MXN</v>
      </c>
      <c r="F40" s="17" t="str">
        <f ca="1">IFERROR(__xludf.DUMMYFUNCTION("""COMPUTED_VALUE"""),"Julio Cesar Guemes Reynoso")</f>
        <v>Julio Cesar Guemes Reynoso</v>
      </c>
      <c r="G40" s="17" t="str">
        <f ca="1">IFERROR(__xludf.DUMMYFUNCTION("""COMPUTED_VALUE"""),"UBER *TRIP HELP.UBER.C CMX           MEX")</f>
        <v>UBER *TRIP HELP.UBER.C CMX           MEX</v>
      </c>
      <c r="H40" s="17" t="str">
        <f ca="1">IFERROR(__xludf.DUMMYFUNCTION("""COMPUTED_VALUE"""),"Uber")</f>
        <v>Uber</v>
      </c>
      <c r="I40" s="17" t="str">
        <f ca="1">IFERROR(__xludf.DUMMYFUNCTION("""COMPUTED_VALUE"""),"Sales")</f>
        <v>Sales</v>
      </c>
      <c r="J40" s="17" t="str">
        <f ca="1">IFERROR(__xludf.DUMMYFUNCTION("""COMPUTED_VALUE"""),"Traslados en Cdmx")</f>
        <v>Traslados en Cdmx</v>
      </c>
      <c r="K40" s="17" t="str">
        <f ca="1">IFERROR(__xludf.DUMMYFUNCTION("""COMPUTED_VALUE"""),".")</f>
        <v>.</v>
      </c>
      <c r="L40" s="17"/>
      <c r="M40" s="17"/>
      <c r="N40" s="17"/>
      <c r="O40" s="17"/>
    </row>
    <row r="41" spans="1:15" ht="12.5">
      <c r="A41" s="17" t="str">
        <f ca="1">IFERROR(__xludf.DUMMYFUNCTION("""COMPUTED_VALUE"""),"TRX1728")</f>
        <v>TRX1728</v>
      </c>
      <c r="B41" s="86" t="str">
        <f ca="1">IFERROR(__xludf.DUMMYFUNCTION("""COMPUTED_VALUE"""),"-")</f>
        <v>-</v>
      </c>
      <c r="C41" s="63">
        <f ca="1">IFERROR(__xludf.DUMMYFUNCTION("""COMPUTED_VALUE"""),46068.4166666666)</f>
        <v>46068.416666666599</v>
      </c>
      <c r="D41" s="65">
        <f ca="1">IFERROR(__xludf.DUMMYFUNCTION("""COMPUTED_VALUE"""),48.11)</f>
        <v>48.11</v>
      </c>
      <c r="E41" s="17" t="str">
        <f ca="1">IFERROR(__xludf.DUMMYFUNCTION("""COMPUTED_VALUE"""),"MXN")</f>
        <v>MXN</v>
      </c>
      <c r="F41" s="17" t="str">
        <f ca="1">IFERROR(__xludf.DUMMYFUNCTION("""COMPUTED_VALUE"""),"Julio Cesar Guemes Reynoso")</f>
        <v>Julio Cesar Guemes Reynoso</v>
      </c>
      <c r="G41" s="17" t="str">
        <f ca="1">IFERROR(__xludf.DUMMYFUNCTION("""COMPUTED_VALUE"""),"UBER * PENDING         CMX           MEX")</f>
        <v>UBER * PENDING         CMX           MEX</v>
      </c>
      <c r="H41" s="17" t="str">
        <f ca="1">IFERROR(__xludf.DUMMYFUNCTION("""COMPUTED_VALUE"""),"Uber")</f>
        <v>Uber</v>
      </c>
      <c r="I41" s="17" t="str">
        <f ca="1">IFERROR(__xludf.DUMMYFUNCTION("""COMPUTED_VALUE"""),"Sales")</f>
        <v>Sales</v>
      </c>
      <c r="J41" s="17" t="str">
        <f ca="1">IFERROR(__xludf.DUMMYFUNCTION("""COMPUTED_VALUE"""),"Traslados en Cdmx")</f>
        <v>Traslados en Cdmx</v>
      </c>
      <c r="K41" s="17" t="str">
        <f ca="1">IFERROR(__xludf.DUMMYFUNCTION("""COMPUTED_VALUE"""),".")</f>
        <v>.</v>
      </c>
      <c r="L41" s="17"/>
      <c r="M41" s="17"/>
      <c r="N41" s="17"/>
      <c r="O41" s="17"/>
    </row>
    <row r="42" spans="1:15" ht="12.5">
      <c r="A42" s="17" t="str">
        <f ca="1">IFERROR(__xludf.DUMMYFUNCTION("""COMPUTED_VALUE"""),"TRX1456")</f>
        <v>TRX1456</v>
      </c>
      <c r="B42" s="86" t="str">
        <f ca="1">IFERROR(__xludf.DUMMYFUNCTION("""COMPUTED_VALUE"""),"#74")</f>
        <v>#74</v>
      </c>
      <c r="C42" s="63">
        <f ca="1">IFERROR(__xludf.DUMMYFUNCTION("""COMPUTED_VALUE"""),46069.4166666666)</f>
        <v>46069.416666666599</v>
      </c>
      <c r="D42" s="65">
        <f ca="1">IFERROR(__xludf.DUMMYFUNCTION("""COMPUTED_VALUE"""),369.98)</f>
        <v>369.98</v>
      </c>
      <c r="E42" s="17" t="str">
        <f ca="1">IFERROR(__xludf.DUMMYFUNCTION("""COMPUTED_VALUE"""),"MXN")</f>
        <v>MXN</v>
      </c>
      <c r="F42" s="17" t="str">
        <f ca="1">IFERROR(__xludf.DUMMYFUNCTION("""COMPUTED_VALUE"""),"Julio Cesar Guemes Reynoso")</f>
        <v>Julio Cesar Guemes Reynoso</v>
      </c>
      <c r="G42" s="17" t="str">
        <f ca="1">IFERROR(__xludf.DUMMYFUNCTION("""COMPUTED_VALUE"""),"UBER * PENDING         CMX           MEX")</f>
        <v>UBER * PENDING         CMX           MEX</v>
      </c>
      <c r="H42" s="17" t="str">
        <f ca="1">IFERROR(__xludf.DUMMYFUNCTION("""COMPUTED_VALUE"""),"Uber")</f>
        <v>Uber</v>
      </c>
      <c r="I42" s="17" t="str">
        <f ca="1">IFERROR(__xludf.DUMMYFUNCTION("""COMPUTED_VALUE"""),"Sales")</f>
        <v>Sales</v>
      </c>
      <c r="J42" s="17" t="str">
        <f ca="1">IFERROR(__xludf.DUMMYFUNCTION("""COMPUTED_VALUE"""),"Traslados en Cdmx")</f>
        <v>Traslados en Cdmx</v>
      </c>
      <c r="K42" s="17" t="str">
        <f ca="1">IFERROR(__xludf.DUMMYFUNCTION("""COMPUTED_VALUE"""),".")</f>
        <v>.</v>
      </c>
      <c r="L42" s="17"/>
      <c r="M42" s="17"/>
      <c r="N42" s="17"/>
      <c r="O42" s="17"/>
    </row>
    <row r="43" spans="1:15" ht="12.5">
      <c r="A43" s="17" t="str">
        <f ca="1">IFERROR(__xludf.DUMMYFUNCTION("""COMPUTED_VALUE"""),"TRX1748")</f>
        <v>TRX1748</v>
      </c>
      <c r="B43" s="86" t="str">
        <f ca="1">IFERROR(__xludf.DUMMYFUNCTION("""COMPUTED_VALUE"""),"-")</f>
        <v>-</v>
      </c>
      <c r="C43" s="63">
        <f ca="1">IFERROR(__xludf.DUMMYFUNCTION("""COMPUTED_VALUE"""),46069.4166666666)</f>
        <v>46069.416666666599</v>
      </c>
      <c r="D43" s="65">
        <f ca="1">IFERROR(__xludf.DUMMYFUNCTION("""COMPUTED_VALUE"""),224.45)</f>
        <v>224.45</v>
      </c>
      <c r="E43" s="17" t="str">
        <f ca="1">IFERROR(__xludf.DUMMYFUNCTION("""COMPUTED_VALUE"""),"MXN")</f>
        <v>MXN</v>
      </c>
      <c r="F43" s="17" t="str">
        <f ca="1">IFERROR(__xludf.DUMMYFUNCTION("""COMPUTED_VALUE"""),"Julio Cesar Guemes Reynoso")</f>
        <v>Julio Cesar Guemes Reynoso</v>
      </c>
      <c r="G43" s="17" t="str">
        <f ca="1">IFERROR(__xludf.DUMMYFUNCTION("""COMPUTED_VALUE"""),"UBER *TRIP HELP.UBER.C CMX           MEX")</f>
        <v>UBER *TRIP HELP.UBER.C CMX           MEX</v>
      </c>
      <c r="H43" s="17" t="str">
        <f ca="1">IFERROR(__xludf.DUMMYFUNCTION("""COMPUTED_VALUE"""),"Uber")</f>
        <v>Uber</v>
      </c>
      <c r="I43" s="17" t="str">
        <f ca="1">IFERROR(__xludf.DUMMYFUNCTION("""COMPUTED_VALUE"""),"Sales")</f>
        <v>Sales</v>
      </c>
      <c r="J43" s="17" t="str">
        <f ca="1">IFERROR(__xludf.DUMMYFUNCTION("""COMPUTED_VALUE"""),"Traslados en Cdmx")</f>
        <v>Traslados en Cdmx</v>
      </c>
      <c r="K43" s="17" t="str">
        <f ca="1">IFERROR(__xludf.DUMMYFUNCTION("""COMPUTED_VALUE"""),".")</f>
        <v>.</v>
      </c>
      <c r="L43" s="17"/>
      <c r="M43" s="17"/>
      <c r="N43" s="17"/>
      <c r="O43" s="17"/>
    </row>
    <row r="44" spans="1:15" ht="12.5">
      <c r="A44" s="17" t="str">
        <f ca="1">IFERROR(__xludf.DUMMYFUNCTION("""COMPUTED_VALUE"""),"TRX1697")</f>
        <v>TRX1697</v>
      </c>
      <c r="B44" s="86" t="str">
        <f ca="1">IFERROR(__xludf.DUMMYFUNCTION("""COMPUTED_VALUE"""),"-")</f>
        <v>-</v>
      </c>
      <c r="C44" s="63">
        <f ca="1">IFERROR(__xludf.DUMMYFUNCTION("""COMPUTED_VALUE"""),46069.4166666666)</f>
        <v>46069.416666666599</v>
      </c>
      <c r="D44" s="65">
        <f ca="1">IFERROR(__xludf.DUMMYFUNCTION("""COMPUTED_VALUE"""),1000)</f>
        <v>1000</v>
      </c>
      <c r="E44" s="17" t="str">
        <f ca="1">IFERROR(__xludf.DUMMYFUNCTION("""COMPUTED_VALUE"""),"MXN")</f>
        <v>MXN</v>
      </c>
      <c r="F44" s="17" t="str">
        <f ca="1">IFERROR(__xludf.DUMMYFUNCTION("""COMPUTED_VALUE"""),"Julio Cesar Guemes Reynoso")</f>
        <v>Julio Cesar Guemes Reynoso</v>
      </c>
      <c r="G44" s="17" t="str">
        <f ca="1">IFERROR(__xludf.DUMMYFUNCTION("""COMPUTED_VALUE"""),"CLIP MX*PAQ EL SHADAI  ZUMPANGO      MEX")</f>
        <v>CLIP MX*PAQ EL SHADAI  ZUMPANGO      MEX</v>
      </c>
      <c r="H44" s="17" t="str">
        <f ca="1">IFERROR(__xludf.DUMMYFUNCTION("""COMPUTED_VALUE"""),"Clip Mx Paq El Shadai Zumpango Mex")</f>
        <v>Clip Mx Paq El Shadai Zumpango Mex</v>
      </c>
      <c r="I44" s="17" t="str">
        <f ca="1">IFERROR(__xludf.DUMMYFUNCTION("""COMPUTED_VALUE"""),"Sales")</f>
        <v>Sales</v>
      </c>
      <c r="J44" s="17" t="str">
        <f ca="1">IFERROR(__xludf.DUMMYFUNCTION("""COMPUTED_VALUE"""),"Taxi AIFA-CDMX")</f>
        <v>Taxi AIFA-CDMX</v>
      </c>
      <c r="K44" s="17" t="str">
        <f ca="1">IFERROR(__xludf.DUMMYFUNCTION("""COMPUTED_VALUE"""),".")</f>
        <v>.</v>
      </c>
      <c r="L44" s="17"/>
      <c r="M44" s="17"/>
      <c r="N44" s="17"/>
      <c r="O44" s="17"/>
    </row>
    <row r="45" spans="1:15" ht="12.5">
      <c r="A45" s="17" t="str">
        <f ca="1">IFERROR(__xludf.DUMMYFUNCTION("""COMPUTED_VALUE"""),"TRX2009")</f>
        <v>TRX2009</v>
      </c>
      <c r="B45" s="86" t="str">
        <f ca="1">IFERROR(__xludf.DUMMYFUNCTION("""COMPUTED_VALUE"""),"#74")</f>
        <v>#74</v>
      </c>
      <c r="C45" s="63">
        <f ca="1">IFERROR(__xludf.DUMMYFUNCTION("""COMPUTED_VALUE"""),46071.4166666666)</f>
        <v>46071.416666666599</v>
      </c>
      <c r="D45" s="17">
        <f ca="1">IFERROR(__xludf.DUMMYFUNCTION("""COMPUTED_VALUE"""),69.98)</f>
        <v>69.98</v>
      </c>
      <c r="E45" s="17" t="str">
        <f ca="1">IFERROR(__xludf.DUMMYFUNCTION("""COMPUTED_VALUE"""),"MXN")</f>
        <v>MXN</v>
      </c>
      <c r="F45" s="17" t="str">
        <f ca="1">IFERROR(__xludf.DUMMYFUNCTION("""COMPUTED_VALUE"""),"Julio Cesar Guemes Reynoso")</f>
        <v>Julio Cesar Guemes Reynoso</v>
      </c>
      <c r="G45" s="17" t="str">
        <f ca="1">IFERROR(__xludf.DUMMYFUNCTION("""COMPUTED_VALUE"""),"UBER * PENDING         CMX           MEX")</f>
        <v>UBER * PENDING         CMX           MEX</v>
      </c>
      <c r="H45" s="17" t="str">
        <f ca="1">IFERROR(__xludf.DUMMYFUNCTION("""COMPUTED_VALUE"""),"Uber")</f>
        <v>Uber</v>
      </c>
      <c r="I45" s="17" t="str">
        <f ca="1">IFERROR(__xludf.DUMMYFUNCTION("""COMPUTED_VALUE"""),"Sales")</f>
        <v>Sales</v>
      </c>
      <c r="J45" s="17" t="str">
        <f ca="1">IFERROR(__xludf.DUMMYFUNCTION("""COMPUTED_VALUE"""),"Traslados en Cdmx")</f>
        <v>Traslados en Cdmx</v>
      </c>
      <c r="K45" s="17" t="str">
        <f ca="1">IFERROR(__xludf.DUMMYFUNCTION("""COMPUTED_VALUE"""),".")</f>
        <v>.</v>
      </c>
      <c r="L45" s="17"/>
      <c r="M45" s="17"/>
      <c r="N45" s="17"/>
      <c r="O45" s="17"/>
    </row>
    <row r="46" spans="1:15" ht="12.5">
      <c r="A46" s="17" t="str">
        <f ca="1">IFERROR(__xludf.DUMMYFUNCTION("""COMPUTED_VALUE"""),"TRX1295")</f>
        <v>TRX1295</v>
      </c>
      <c r="B46" s="86" t="str">
        <f ca="1">IFERROR(__xludf.DUMMYFUNCTION("""COMPUTED_VALUE"""),"#74")</f>
        <v>#74</v>
      </c>
      <c r="C46" s="63">
        <f ca="1">IFERROR(__xludf.DUMMYFUNCTION("""COMPUTED_VALUE"""),46071.4166666666)</f>
        <v>46071.416666666599</v>
      </c>
      <c r="D46" s="65">
        <f ca="1">IFERROR(__xludf.DUMMYFUNCTION("""COMPUTED_VALUE"""),59.94)</f>
        <v>59.94</v>
      </c>
      <c r="E46" s="17" t="str">
        <f ca="1">IFERROR(__xludf.DUMMYFUNCTION("""COMPUTED_VALUE"""),"MXN")</f>
        <v>MXN</v>
      </c>
      <c r="F46" s="17" t="str">
        <f ca="1">IFERROR(__xludf.DUMMYFUNCTION("""COMPUTED_VALUE"""),"Julio Cesar Guemes Reynoso")</f>
        <v>Julio Cesar Guemes Reynoso</v>
      </c>
      <c r="G46" s="17" t="str">
        <f ca="1">IFERROR(__xludf.DUMMYFUNCTION("""COMPUTED_VALUE"""),"UBER * PENDING         CMX           MEX")</f>
        <v>UBER * PENDING         CMX           MEX</v>
      </c>
      <c r="H46" s="17" t="str">
        <f ca="1">IFERROR(__xludf.DUMMYFUNCTION("""COMPUTED_VALUE"""),"Uber")</f>
        <v>Uber</v>
      </c>
      <c r="I46" s="17" t="str">
        <f ca="1">IFERROR(__xludf.DUMMYFUNCTION("""COMPUTED_VALUE"""),"Sales")</f>
        <v>Sales</v>
      </c>
      <c r="J46" s="17" t="str">
        <f ca="1">IFERROR(__xludf.DUMMYFUNCTION("""COMPUTED_VALUE"""),"Traslados en Cdmx")</f>
        <v>Traslados en Cdmx</v>
      </c>
      <c r="K46" s="17" t="str">
        <f ca="1">IFERROR(__xludf.DUMMYFUNCTION("""COMPUTED_VALUE"""),".")</f>
        <v>.</v>
      </c>
      <c r="L46" s="17"/>
      <c r="M46" s="17"/>
      <c r="N46" s="17"/>
      <c r="O46" s="17"/>
    </row>
    <row r="47" spans="1:15" ht="12.5">
      <c r="A47" s="17" t="str">
        <f ca="1">IFERROR(__xludf.DUMMYFUNCTION("""COMPUTED_VALUE"""),"TRX1088")</f>
        <v>TRX1088</v>
      </c>
      <c r="B47" s="86" t="str">
        <f ca="1">IFERROR(__xludf.DUMMYFUNCTION("""COMPUTED_VALUE"""),"#74")</f>
        <v>#74</v>
      </c>
      <c r="C47" s="63">
        <f ca="1">IFERROR(__xludf.DUMMYFUNCTION("""COMPUTED_VALUE"""),46071.4166666666)</f>
        <v>46071.416666666599</v>
      </c>
      <c r="D47" s="65">
        <f ca="1">IFERROR(__xludf.DUMMYFUNCTION("""COMPUTED_VALUE"""),149.97)</f>
        <v>149.97</v>
      </c>
      <c r="E47" s="17" t="str">
        <f ca="1">IFERROR(__xludf.DUMMYFUNCTION("""COMPUTED_VALUE"""),"MXN")</f>
        <v>MXN</v>
      </c>
      <c r="F47" s="17" t="str">
        <f ca="1">IFERROR(__xludf.DUMMYFUNCTION("""COMPUTED_VALUE"""),"Julio Cesar Guemes Reynoso")</f>
        <v>Julio Cesar Guemes Reynoso</v>
      </c>
      <c r="G47" s="17" t="str">
        <f ca="1">IFERROR(__xludf.DUMMYFUNCTION("""COMPUTED_VALUE"""),"UBER * PENDING         CMX           MEX")</f>
        <v>UBER * PENDING         CMX           MEX</v>
      </c>
      <c r="H47" s="17" t="str">
        <f ca="1">IFERROR(__xludf.DUMMYFUNCTION("""COMPUTED_VALUE"""),"Uber")</f>
        <v>Uber</v>
      </c>
      <c r="I47" s="17" t="str">
        <f ca="1">IFERROR(__xludf.DUMMYFUNCTION("""COMPUTED_VALUE"""),"Sales")</f>
        <v>Sales</v>
      </c>
      <c r="J47" s="17" t="str">
        <f ca="1">IFERROR(__xludf.DUMMYFUNCTION("""COMPUTED_VALUE"""),"Traslados en Cdmx")</f>
        <v>Traslados en Cdmx</v>
      </c>
      <c r="K47" s="17" t="str">
        <f ca="1">IFERROR(__xludf.DUMMYFUNCTION("""COMPUTED_VALUE"""),".")</f>
        <v>.</v>
      </c>
      <c r="L47" s="17"/>
      <c r="M47" s="17"/>
      <c r="N47" s="17"/>
      <c r="O47" s="17"/>
    </row>
    <row r="48" spans="1:15" ht="12.5">
      <c r="A48" s="17" t="str">
        <f ca="1">IFERROR(__xludf.DUMMYFUNCTION("""COMPUTED_VALUE"""),"TRX1735")</f>
        <v>TRX1735</v>
      </c>
      <c r="B48" s="86" t="str">
        <f ca="1">IFERROR(__xludf.DUMMYFUNCTION("""COMPUTED_VALUE"""),"-")</f>
        <v>-</v>
      </c>
      <c r="C48" s="63">
        <f ca="1">IFERROR(__xludf.DUMMYFUNCTION("""COMPUTED_VALUE"""),46071.4166666666)</f>
        <v>46071.416666666599</v>
      </c>
      <c r="D48" s="65">
        <f ca="1">IFERROR(__xludf.DUMMYFUNCTION("""COMPUTED_VALUE"""),156.01)</f>
        <v>156.01</v>
      </c>
      <c r="E48" s="17" t="str">
        <f ca="1">IFERROR(__xludf.DUMMYFUNCTION("""COMPUTED_VALUE"""),"MXN")</f>
        <v>MXN</v>
      </c>
      <c r="F48" s="17" t="str">
        <f ca="1">IFERROR(__xludf.DUMMYFUNCTION("""COMPUTED_VALUE"""),"Julio Cesar Guemes Reynoso")</f>
        <v>Julio Cesar Guemes Reynoso</v>
      </c>
      <c r="G48" s="17" t="str">
        <f ca="1">IFERROR(__xludf.DUMMYFUNCTION("""COMPUTED_VALUE"""),"UBER *TRIP HELP.UBER.C CMX           MEX")</f>
        <v>UBER *TRIP HELP.UBER.C CMX           MEX</v>
      </c>
      <c r="H48" s="17" t="str">
        <f ca="1">IFERROR(__xludf.DUMMYFUNCTION("""COMPUTED_VALUE"""),"Uber")</f>
        <v>Uber</v>
      </c>
      <c r="I48" s="17" t="str">
        <f ca="1">IFERROR(__xludf.DUMMYFUNCTION("""COMPUTED_VALUE"""),"Sales")</f>
        <v>Sales</v>
      </c>
      <c r="J48" s="17" t="str">
        <f ca="1">IFERROR(__xludf.DUMMYFUNCTION("""COMPUTED_VALUE"""),"Traslados en Cdmx")</f>
        <v>Traslados en Cdmx</v>
      </c>
      <c r="K48" s="17" t="str">
        <f ca="1">IFERROR(__xludf.DUMMYFUNCTION("""COMPUTED_VALUE"""),".")</f>
        <v>.</v>
      </c>
      <c r="L48" s="17"/>
      <c r="M48" s="17"/>
      <c r="N48" s="17"/>
      <c r="O48" s="17"/>
    </row>
    <row r="49" spans="1:15" ht="12.5">
      <c r="A49" s="17" t="str">
        <f ca="1">IFERROR(__xludf.DUMMYFUNCTION("""COMPUTED_VALUE"""),"TRX1199")</f>
        <v>TRX1199</v>
      </c>
      <c r="B49" s="86" t="str">
        <f ca="1">IFERROR(__xludf.DUMMYFUNCTION("""COMPUTED_VALUE"""),"#74")</f>
        <v>#74</v>
      </c>
      <c r="C49" s="63">
        <f ca="1">IFERROR(__xludf.DUMMYFUNCTION("""COMPUTED_VALUE"""),46072.4166666666)</f>
        <v>46072.416666666599</v>
      </c>
      <c r="D49" s="65">
        <f ca="1">IFERROR(__xludf.DUMMYFUNCTION("""COMPUTED_VALUE"""),129.97)</f>
        <v>129.97</v>
      </c>
      <c r="E49" s="17" t="str">
        <f ca="1">IFERROR(__xludf.DUMMYFUNCTION("""COMPUTED_VALUE"""),"MXN")</f>
        <v>MXN</v>
      </c>
      <c r="F49" s="17" t="str">
        <f ca="1">IFERROR(__xludf.DUMMYFUNCTION("""COMPUTED_VALUE"""),"Julio Cesar Guemes Reynoso")</f>
        <v>Julio Cesar Guemes Reynoso</v>
      </c>
      <c r="G49" s="17" t="str">
        <f ca="1">IFERROR(__xludf.DUMMYFUNCTION("""COMPUTED_VALUE"""),"UBER * PENDING         CMX           MEX")</f>
        <v>UBER * PENDING         CMX           MEX</v>
      </c>
      <c r="H49" s="17" t="str">
        <f ca="1">IFERROR(__xludf.DUMMYFUNCTION("""COMPUTED_VALUE"""),"Uber")</f>
        <v>Uber</v>
      </c>
      <c r="I49" s="17" t="str">
        <f ca="1">IFERROR(__xludf.DUMMYFUNCTION("""COMPUTED_VALUE"""),"Sales")</f>
        <v>Sales</v>
      </c>
      <c r="J49" s="17" t="str">
        <f ca="1">IFERROR(__xludf.DUMMYFUNCTION("""COMPUTED_VALUE"""),"Traslados en Cdmx")</f>
        <v>Traslados en Cdmx</v>
      </c>
      <c r="K49" s="17" t="str">
        <f ca="1">IFERROR(__xludf.DUMMYFUNCTION("""COMPUTED_VALUE"""),".")</f>
        <v>.</v>
      </c>
      <c r="L49" s="17"/>
      <c r="M49" s="17"/>
      <c r="N49" s="17"/>
      <c r="O49" s="17"/>
    </row>
    <row r="50" spans="1:15" ht="12.5">
      <c r="A50" s="17" t="str">
        <f ca="1">IFERROR(__xludf.DUMMYFUNCTION("""COMPUTED_VALUE"""),"TRX1181")</f>
        <v>TRX1181</v>
      </c>
      <c r="B50" s="86" t="str">
        <f ca="1">IFERROR(__xludf.DUMMYFUNCTION("""COMPUTED_VALUE"""),"#74")</f>
        <v>#74</v>
      </c>
      <c r="C50" s="63">
        <f ca="1">IFERROR(__xludf.DUMMYFUNCTION("""COMPUTED_VALUE"""),46072.4166666666)</f>
        <v>46072.416666666599</v>
      </c>
      <c r="D50" s="65">
        <f ca="1">IFERROR(__xludf.DUMMYFUNCTION("""COMPUTED_VALUE"""),489.99)</f>
        <v>489.99</v>
      </c>
      <c r="E50" s="17" t="str">
        <f ca="1">IFERROR(__xludf.DUMMYFUNCTION("""COMPUTED_VALUE"""),"MXN")</f>
        <v>MXN</v>
      </c>
      <c r="F50" s="17" t="str">
        <f ca="1">IFERROR(__xludf.DUMMYFUNCTION("""COMPUTED_VALUE"""),"Julio Cesar Guemes Reynoso")</f>
        <v>Julio Cesar Guemes Reynoso</v>
      </c>
      <c r="G50" s="17" t="str">
        <f ca="1">IFERROR(__xludf.DUMMYFUNCTION("""COMPUTED_VALUE"""),"UBER * PENDING         CMX           MEX")</f>
        <v>UBER * PENDING         CMX           MEX</v>
      </c>
      <c r="H50" s="17" t="str">
        <f ca="1">IFERROR(__xludf.DUMMYFUNCTION("""COMPUTED_VALUE"""),"Uber")</f>
        <v>Uber</v>
      </c>
      <c r="I50" s="17" t="str">
        <f ca="1">IFERROR(__xludf.DUMMYFUNCTION("""COMPUTED_VALUE"""),"Sales")</f>
        <v>Sales</v>
      </c>
      <c r="J50" s="17" t="str">
        <f ca="1">IFERROR(__xludf.DUMMYFUNCTION("""COMPUTED_VALUE"""),"Traslados en Cdmx")</f>
        <v>Traslados en Cdmx</v>
      </c>
      <c r="K50" s="17" t="str">
        <f ca="1">IFERROR(__xludf.DUMMYFUNCTION("""COMPUTED_VALUE"""),".")</f>
        <v>.</v>
      </c>
      <c r="L50" s="17"/>
      <c r="M50" s="17"/>
      <c r="N50" s="17"/>
      <c r="O50" s="17"/>
    </row>
    <row r="51" spans="1:15" ht="12.5">
      <c r="A51" s="17" t="str">
        <f ca="1">IFERROR(__xludf.DUMMYFUNCTION("""COMPUTED_VALUE"""),"TRX1437")</f>
        <v>TRX1437</v>
      </c>
      <c r="B51" s="86" t="str">
        <f ca="1">IFERROR(__xludf.DUMMYFUNCTION("""COMPUTED_VALUE"""),"#74")</f>
        <v>#74</v>
      </c>
      <c r="C51" s="63">
        <f ca="1">IFERROR(__xludf.DUMMYFUNCTION("""COMPUTED_VALUE"""),46073.4166666666)</f>
        <v>46073.416666666599</v>
      </c>
      <c r="D51" s="65">
        <f ca="1">IFERROR(__xludf.DUMMYFUNCTION("""COMPUTED_VALUE"""),71.11)</f>
        <v>71.11</v>
      </c>
      <c r="E51" s="17" t="str">
        <f ca="1">IFERROR(__xludf.DUMMYFUNCTION("""COMPUTED_VALUE"""),"MXN")</f>
        <v>MXN</v>
      </c>
      <c r="F51" s="17" t="str">
        <f ca="1">IFERROR(__xludf.DUMMYFUNCTION("""COMPUTED_VALUE"""),"Julio Cesar Guemes Reynoso")</f>
        <v>Julio Cesar Guemes Reynoso</v>
      </c>
      <c r="G51" s="17" t="str">
        <f ca="1">IFERROR(__xludf.DUMMYFUNCTION("""COMPUTED_VALUE"""),"UBER * PENDING         CMX           MEX")</f>
        <v>UBER * PENDING         CMX           MEX</v>
      </c>
      <c r="H51" s="17" t="str">
        <f ca="1">IFERROR(__xludf.DUMMYFUNCTION("""COMPUTED_VALUE"""),"Uber")</f>
        <v>Uber</v>
      </c>
      <c r="I51" s="17" t="str">
        <f ca="1">IFERROR(__xludf.DUMMYFUNCTION("""COMPUTED_VALUE"""),"Sales")</f>
        <v>Sales</v>
      </c>
      <c r="J51" s="17" t="str">
        <f ca="1">IFERROR(__xludf.DUMMYFUNCTION("""COMPUTED_VALUE"""),"Traslados en Cdmx")</f>
        <v>Traslados en Cdmx</v>
      </c>
      <c r="K51" s="17" t="str">
        <f ca="1">IFERROR(__xludf.DUMMYFUNCTION("""COMPUTED_VALUE"""),".")</f>
        <v>.</v>
      </c>
      <c r="L51" s="17"/>
      <c r="M51" s="17"/>
      <c r="N51" s="17"/>
      <c r="O51" s="17"/>
    </row>
    <row r="52" spans="1:15" ht="12.5">
      <c r="A52" s="17" t="str">
        <f ca="1">IFERROR(__xludf.DUMMYFUNCTION("""COMPUTED_VALUE"""),"TRX1465")</f>
        <v>TRX1465</v>
      </c>
      <c r="B52" s="86" t="str">
        <f ca="1">IFERROR(__xludf.DUMMYFUNCTION("""COMPUTED_VALUE"""),"#74")</f>
        <v>#74</v>
      </c>
      <c r="C52" s="63">
        <f ca="1">IFERROR(__xludf.DUMMYFUNCTION("""COMPUTED_VALUE"""),46073.4166666666)</f>
        <v>46073.416666666599</v>
      </c>
      <c r="D52" s="65">
        <f ca="1">IFERROR(__xludf.DUMMYFUNCTION("""COMPUTED_VALUE"""),99.99)</f>
        <v>99.99</v>
      </c>
      <c r="E52" s="17" t="str">
        <f ca="1">IFERROR(__xludf.DUMMYFUNCTION("""COMPUTED_VALUE"""),"MXN")</f>
        <v>MXN</v>
      </c>
      <c r="F52" s="17" t="str">
        <f ca="1">IFERROR(__xludf.DUMMYFUNCTION("""COMPUTED_VALUE"""),"Julio Cesar Guemes Reynoso")</f>
        <v>Julio Cesar Guemes Reynoso</v>
      </c>
      <c r="G52" s="17" t="str">
        <f ca="1">IFERROR(__xludf.DUMMYFUNCTION("""COMPUTED_VALUE"""),"UBER * PENDING         CMX           MEX")</f>
        <v>UBER * PENDING         CMX           MEX</v>
      </c>
      <c r="H52" s="17" t="str">
        <f ca="1">IFERROR(__xludf.DUMMYFUNCTION("""COMPUTED_VALUE"""),"Uber")</f>
        <v>Uber</v>
      </c>
      <c r="I52" s="17" t="str">
        <f ca="1">IFERROR(__xludf.DUMMYFUNCTION("""COMPUTED_VALUE"""),"Sales")</f>
        <v>Sales</v>
      </c>
      <c r="J52" s="17" t="str">
        <f ca="1">IFERROR(__xludf.DUMMYFUNCTION("""COMPUTED_VALUE"""),"Traslados en Cdmx")</f>
        <v>Traslados en Cdmx</v>
      </c>
      <c r="K52" s="17" t="str">
        <f ca="1">IFERROR(__xludf.DUMMYFUNCTION("""COMPUTED_VALUE"""),".")</f>
        <v>.</v>
      </c>
      <c r="L52" s="17"/>
      <c r="M52" s="17"/>
      <c r="N52" s="17"/>
      <c r="O52" s="17"/>
    </row>
    <row r="53" spans="1:15" ht="12.5">
      <c r="A53" s="17" t="str">
        <f ca="1">IFERROR(__xludf.DUMMYFUNCTION("""COMPUTED_VALUE"""),"TRX1129")</f>
        <v>TRX1129</v>
      </c>
      <c r="B53" s="86" t="str">
        <f ca="1">IFERROR(__xludf.DUMMYFUNCTION("""COMPUTED_VALUE"""),"#74")</f>
        <v>#74</v>
      </c>
      <c r="C53" s="63">
        <f ca="1">IFERROR(__xludf.DUMMYFUNCTION("""COMPUTED_VALUE"""),46073.4166666666)</f>
        <v>46073.416666666599</v>
      </c>
      <c r="D53" s="65">
        <f ca="1">IFERROR(__xludf.DUMMYFUNCTION("""COMPUTED_VALUE"""),442.96)</f>
        <v>442.96</v>
      </c>
      <c r="E53" s="17" t="str">
        <f ca="1">IFERROR(__xludf.DUMMYFUNCTION("""COMPUTED_VALUE"""),"MXN")</f>
        <v>MXN</v>
      </c>
      <c r="F53" s="17" t="str">
        <f ca="1">IFERROR(__xludf.DUMMYFUNCTION("""COMPUTED_VALUE"""),"Julio Cesar Guemes Reynoso")</f>
        <v>Julio Cesar Guemes Reynoso</v>
      </c>
      <c r="G53" s="17" t="str">
        <f ca="1">IFERROR(__xludf.DUMMYFUNCTION("""COMPUTED_VALUE"""),"UBER *TRIP HELP.UBER.C CMX           MEX")</f>
        <v>UBER *TRIP HELP.UBER.C CMX           MEX</v>
      </c>
      <c r="H53" s="17" t="str">
        <f ca="1">IFERROR(__xludf.DUMMYFUNCTION("""COMPUTED_VALUE"""),"Uber")</f>
        <v>Uber</v>
      </c>
      <c r="I53" s="17" t="str">
        <f ca="1">IFERROR(__xludf.DUMMYFUNCTION("""COMPUTED_VALUE"""),"Sales")</f>
        <v>Sales</v>
      </c>
      <c r="J53" s="17" t="str">
        <f ca="1">IFERROR(__xludf.DUMMYFUNCTION("""COMPUTED_VALUE"""),"Traslados en Cdmx")</f>
        <v>Traslados en Cdmx</v>
      </c>
      <c r="K53" s="17" t="str">
        <f ca="1">IFERROR(__xludf.DUMMYFUNCTION("""COMPUTED_VALUE"""),".")</f>
        <v>.</v>
      </c>
      <c r="L53" s="17"/>
      <c r="M53" s="17"/>
      <c r="N53" s="17"/>
      <c r="O53" s="17"/>
    </row>
    <row r="54" spans="1:15" ht="12.5">
      <c r="A54" s="17" t="str">
        <f ca="1">IFERROR(__xludf.DUMMYFUNCTION("""COMPUTED_VALUE"""),"TRX1365")</f>
        <v>TRX1365</v>
      </c>
      <c r="B54" s="86" t="str">
        <f ca="1">IFERROR(__xludf.DUMMYFUNCTION("""COMPUTED_VALUE"""),"#74")</f>
        <v>#74</v>
      </c>
      <c r="C54" s="63">
        <f ca="1">IFERROR(__xludf.DUMMYFUNCTION("""COMPUTED_VALUE"""),46073.4166666666)</f>
        <v>46073.416666666599</v>
      </c>
      <c r="D54" s="65">
        <f ca="1">IFERROR(__xludf.DUMMYFUNCTION("""COMPUTED_VALUE"""),189)</f>
        <v>189</v>
      </c>
      <c r="E54" s="17" t="str">
        <f ca="1">IFERROR(__xludf.DUMMYFUNCTION("""COMPUTED_VALUE"""),"MXN")</f>
        <v>MXN</v>
      </c>
      <c r="F54" s="17" t="str">
        <f ca="1">IFERROR(__xludf.DUMMYFUNCTION("""COMPUTED_VALUE"""),"Julio Cesar Guemes Reynoso")</f>
        <v>Julio Cesar Guemes Reynoso</v>
      </c>
      <c r="G54" s="17" t="str">
        <f ca="1">IFERROR(__xludf.DUMMYFUNCTION("""COMPUTED_VALUE"""),"COM RAP VIPS SENDEROS  CIUDAD DE MEX MEX")</f>
        <v>COM RAP VIPS SENDEROS  CIUDAD DE MEX MEX</v>
      </c>
      <c r="H54" s="17" t="str">
        <f ca="1">IFERROR(__xludf.DUMMYFUNCTION("""COMPUTED_VALUE"""),"Com Rap Vips Senderos Ciudad De Mex Mex")</f>
        <v>Com Rap Vips Senderos Ciudad De Mex Mex</v>
      </c>
      <c r="I54" s="17" t="str">
        <f ca="1">IFERROR(__xludf.DUMMYFUNCTION("""COMPUTED_VALUE"""),"Sales")</f>
        <v>Sales</v>
      </c>
      <c r="J54" s="17" t="str">
        <f ca="1">IFERROR(__xludf.DUMMYFUNCTION("""COMPUTED_VALUE"""),"Comida central de camiones")</f>
        <v>Comida central de camiones</v>
      </c>
      <c r="K54" s="17" t="str">
        <f ca="1">IFERROR(__xludf.DUMMYFUNCTION("""COMPUTED_VALUE"""),".")</f>
        <v>.</v>
      </c>
      <c r="L54" s="17"/>
      <c r="M54" s="17"/>
      <c r="N54" s="17"/>
      <c r="O54" s="17"/>
    </row>
    <row r="55" spans="1:15" ht="12.5">
      <c r="A55" s="17" t="str">
        <f ca="1">IFERROR(__xludf.DUMMYFUNCTION("""COMPUTED_VALUE"""),"TRX1196")</f>
        <v>TRX1196</v>
      </c>
      <c r="B55" s="86" t="str">
        <f ca="1">IFERROR(__xludf.DUMMYFUNCTION("""COMPUTED_VALUE"""),"#74")</f>
        <v>#74</v>
      </c>
      <c r="C55" s="63">
        <f ca="1">IFERROR(__xludf.DUMMYFUNCTION("""COMPUTED_VALUE"""),46073.4173611111)</f>
        <v>46073.417361111096</v>
      </c>
      <c r="D55" s="65">
        <f ca="1">IFERROR(__xludf.DUMMYFUNCTION("""COMPUTED_VALUE"""),875.6)</f>
        <v>875.6</v>
      </c>
      <c r="E55" s="17" t="str">
        <f ca="1">IFERROR(__xludf.DUMMYFUNCTION("""COMPUTED_VALUE"""),"MXN")</f>
        <v>MXN</v>
      </c>
      <c r="F55" s="17" t="str">
        <f ca="1">IFERROR(__xludf.DUMMYFUNCTION("""COMPUTED_VALUE"""),"Julio Cesar Guemes Reynoso")</f>
        <v>Julio Cesar Guemes Reynoso</v>
      </c>
      <c r="G55" s="17" t="str">
        <f ca="1">IFERROR(__xludf.DUMMYFUNCTION("""COMPUTED_VALUE"""),"UN LUGAR DE LA MANCHA  CIUDAD DE MEX MEX")</f>
        <v>UN LUGAR DE LA MANCHA  CIUDAD DE MEX MEX</v>
      </c>
      <c r="H55" s="17" t="str">
        <f ca="1">IFERROR(__xludf.DUMMYFUNCTION("""COMPUTED_VALUE"""),"Un Lugar De La Mancha Ciudad De Mex Mex")</f>
        <v>Un Lugar De La Mancha Ciudad De Mex Mex</v>
      </c>
      <c r="I55" s="17" t="str">
        <f ca="1">IFERROR(__xludf.DUMMYFUNCTION("""COMPUTED_VALUE"""),"Sales")</f>
        <v>Sales</v>
      </c>
      <c r="J55" s="17" t="str">
        <f ca="1">IFERROR(__xludf.DUMMYFUNCTION("""COMPUTED_VALUE"""),"Comida en CDMX")</f>
        <v>Comida en CDMX</v>
      </c>
      <c r="K55" s="17" t="str">
        <f ca="1">IFERROR(__xludf.DUMMYFUNCTION("""COMPUTED_VALUE"""),".")</f>
        <v>.</v>
      </c>
      <c r="L55" s="17"/>
      <c r="M55" s="17"/>
      <c r="N55" s="17"/>
      <c r="O55" s="17"/>
    </row>
    <row r="56" spans="1:15" ht="12.5">
      <c r="A56" s="17" t="str">
        <f ca="1">IFERROR(__xludf.DUMMYFUNCTION("""COMPUTED_VALUE"""),"TRX1332")</f>
        <v>TRX1332</v>
      </c>
      <c r="B56" s="86" t="str">
        <f ca="1">IFERROR(__xludf.DUMMYFUNCTION("""COMPUTED_VALUE"""),"#74")</f>
        <v>#74</v>
      </c>
      <c r="C56" s="63">
        <f ca="1">IFERROR(__xludf.DUMMYFUNCTION("""COMPUTED_VALUE"""),46073.4173611111)</f>
        <v>46073.417361111096</v>
      </c>
      <c r="D56" s="65">
        <f ca="1">IFERROR(__xludf.DUMMYFUNCTION("""COMPUTED_VALUE"""),805.5)</f>
        <v>805.5</v>
      </c>
      <c r="E56" s="17" t="str">
        <f ca="1">IFERROR(__xludf.DUMMYFUNCTION("""COMPUTED_VALUE"""),"MXN")</f>
        <v>MXN</v>
      </c>
      <c r="F56" s="17" t="str">
        <f ca="1">IFERROR(__xludf.DUMMYFUNCTION("""COMPUTED_VALUE"""),"Julio Cesar Guemes Reynoso")</f>
        <v>Julio Cesar Guemes Reynoso</v>
      </c>
      <c r="G56" s="17" t="str">
        <f ca="1">IFERROR(__xludf.DUMMYFUNCTION("""COMPUTED_VALUE"""),"AEB WEB ECOMMERCE      CIUDAD DE MEX MEX")</f>
        <v>AEB WEB ECOMMERCE      CIUDAD DE MEX MEX</v>
      </c>
      <c r="H56" s="17" t="str">
        <f ca="1">IFERROR(__xludf.DUMMYFUNCTION("""COMPUTED_VALUE"""),"Aeb Web Ecommerce Ciudad De Mex Mex")</f>
        <v>Aeb Web Ecommerce Ciudad De Mex Mex</v>
      </c>
      <c r="I56" s="17" t="str">
        <f ca="1">IFERROR(__xludf.DUMMYFUNCTION("""COMPUTED_VALUE"""),"Sales")</f>
        <v>Sales</v>
      </c>
      <c r="J56" s="17" t="str">
        <f ca="1">IFERROR(__xludf.DUMMYFUNCTION("""COMPUTED_VALUE"""),"Camion CDMX-SLP")</f>
        <v>Camion CDMX-SLP</v>
      </c>
      <c r="K56" s="17" t="str">
        <f ca="1">IFERROR(__xludf.DUMMYFUNCTION("""COMPUTED_VALUE"""),".")</f>
        <v>.</v>
      </c>
      <c r="L56" s="17"/>
      <c r="M56" s="17"/>
      <c r="N56" s="17"/>
      <c r="O56" s="17"/>
    </row>
    <row r="57" spans="1:15" ht="12.5">
      <c r="A57" s="17" t="str">
        <f ca="1">IFERROR(__xludf.DUMMYFUNCTION("""COMPUTED_VALUE"""),"TRX1120")</f>
        <v>TRX1120</v>
      </c>
      <c r="B57" s="86" t="str">
        <f ca="1">IFERROR(__xludf.DUMMYFUNCTION("""COMPUTED_VALUE"""),"#74")</f>
        <v>#74</v>
      </c>
      <c r="C57" s="63">
        <f ca="1">IFERROR(__xludf.DUMMYFUNCTION("""COMPUTED_VALUE"""),46074.4166666666)</f>
        <v>46074.416666666599</v>
      </c>
      <c r="D57" s="65">
        <f ca="1">IFERROR(__xludf.DUMMYFUNCTION("""COMPUTED_VALUE"""),156)</f>
        <v>156</v>
      </c>
      <c r="E57" s="17" t="str">
        <f ca="1">IFERROR(__xludf.DUMMYFUNCTION("""COMPUTED_VALUE"""),"MXN")</f>
        <v>MXN</v>
      </c>
      <c r="F57" s="17" t="str">
        <f ca="1">IFERROR(__xludf.DUMMYFUNCTION("""COMPUTED_VALUE"""),"Julio Cesar Guemes Reynoso")</f>
        <v>Julio Cesar Guemes Reynoso</v>
      </c>
      <c r="G57" s="17" t="str">
        <f ca="1">IFERROR(__xludf.DUMMYFUNCTION("""COMPUTED_VALUE"""),"DLO DIDI RIDES MX      CIUDAD DE MEX MEX")</f>
        <v>DLO DIDI RIDES MX      CIUDAD DE MEX MEX</v>
      </c>
      <c r="H57" s="17" t="str">
        <f ca="1">IFERROR(__xludf.DUMMYFUNCTION("""COMPUTED_VALUE"""),"Didi Chuxing")</f>
        <v>Didi Chuxing</v>
      </c>
      <c r="I57" s="17" t="str">
        <f ca="1">IFERROR(__xludf.DUMMYFUNCTION("""COMPUTED_VALUE"""),"Sales")</f>
        <v>Sales</v>
      </c>
      <c r="J57" s="17" t="str">
        <f ca="1">IFERROR(__xludf.DUMMYFUNCTION("""COMPUTED_VALUE"""),"Traslado central de camiones SLP")</f>
        <v>Traslado central de camiones SLP</v>
      </c>
      <c r="K57" s="17" t="str">
        <f ca="1">IFERROR(__xludf.DUMMYFUNCTION("""COMPUTED_VALUE"""),".")</f>
        <v>.</v>
      </c>
      <c r="L57" s="17"/>
      <c r="M57" s="17"/>
      <c r="N57" s="17"/>
      <c r="O57" s="17"/>
    </row>
    <row r="58" spans="1:15" ht="12.5">
      <c r="A58" s="17" t="str">
        <f ca="1">IFERROR(__xludf.DUMMYFUNCTION("""COMPUTED_VALUE"""),"TRX1052")</f>
        <v>TRX1052</v>
      </c>
      <c r="B58" s="86" t="str">
        <f ca="1">IFERROR(__xludf.DUMMYFUNCTION("""COMPUTED_VALUE"""),"#74")</f>
        <v>#74</v>
      </c>
      <c r="C58" s="63">
        <f ca="1">IFERROR(__xludf.DUMMYFUNCTION("""COMPUTED_VALUE"""),46075.4166666666)</f>
        <v>46075.416666666599</v>
      </c>
      <c r="D58" s="65">
        <f ca="1">IFERROR(__xludf.DUMMYFUNCTION("""COMPUTED_VALUE"""),111)</f>
        <v>111</v>
      </c>
      <c r="E58" s="17" t="str">
        <f ca="1">IFERROR(__xludf.DUMMYFUNCTION("""COMPUTED_VALUE"""),"MXN")</f>
        <v>MXN</v>
      </c>
      <c r="F58" s="17" t="str">
        <f ca="1">IFERROR(__xludf.DUMMYFUNCTION("""COMPUTED_VALUE"""),"Julio Cesar Guemes Reynoso")</f>
        <v>Julio Cesar Guemes Reynoso</v>
      </c>
      <c r="G58" s="17" t="str">
        <f ca="1">IFERROR(__xludf.DUMMYFUNCTION("""COMPUTED_VALUE"""),"UBER *TRIP HELP.UBER.C CMX           MEX")</f>
        <v>UBER *TRIP HELP.UBER.C CMX           MEX</v>
      </c>
      <c r="H58" s="17" t="str">
        <f ca="1">IFERROR(__xludf.DUMMYFUNCTION("""COMPUTED_VALUE"""),"Uber")</f>
        <v>Uber</v>
      </c>
      <c r="I58" s="17" t="str">
        <f ca="1">IFERROR(__xludf.DUMMYFUNCTION("""COMPUTED_VALUE"""),"Sales")</f>
        <v>Sales</v>
      </c>
      <c r="J58" s="17" t="str">
        <f ca="1">IFERROR(__xludf.DUMMYFUNCTION("""COMPUTED_VALUE"""),"Traslados CMDX")</f>
        <v>Traslados CMDX</v>
      </c>
      <c r="K58" s="17" t="str">
        <f ca="1">IFERROR(__xludf.DUMMYFUNCTION("""COMPUTED_VALUE"""),".")</f>
        <v>.</v>
      </c>
      <c r="L58" s="17"/>
      <c r="M58" s="17"/>
      <c r="N58" s="17"/>
      <c r="O58" s="17"/>
    </row>
    <row r="59" spans="1:15" ht="12.5">
      <c r="A59" s="17" t="str">
        <f ca="1">IFERROR(__xludf.DUMMYFUNCTION("""COMPUTED_VALUE"""),"TRX1053")</f>
        <v>TRX1053</v>
      </c>
      <c r="B59" s="86" t="str">
        <f ca="1">IFERROR(__xludf.DUMMYFUNCTION("""COMPUTED_VALUE"""),"#74")</f>
        <v>#74</v>
      </c>
      <c r="C59" s="63">
        <f ca="1">IFERROR(__xludf.DUMMYFUNCTION("""COMPUTED_VALUE"""),46075.4166666666)</f>
        <v>46075.416666666599</v>
      </c>
      <c r="D59" s="65">
        <f ca="1">IFERROR(__xludf.DUMMYFUNCTION("""COMPUTED_VALUE"""),80)</f>
        <v>80</v>
      </c>
      <c r="E59" s="17" t="str">
        <f ca="1">IFERROR(__xludf.DUMMYFUNCTION("""COMPUTED_VALUE"""),"MXN")</f>
        <v>MXN</v>
      </c>
      <c r="F59" s="17" t="str">
        <f ca="1">IFERROR(__xludf.DUMMYFUNCTION("""COMPUTED_VALUE"""),"Julio Cesar Guemes Reynoso")</f>
        <v>Julio Cesar Guemes Reynoso</v>
      </c>
      <c r="G59" s="17" t="str">
        <f ca="1">IFERROR(__xludf.DUMMYFUNCTION("""COMPUTED_VALUE"""),"UBER *TRIP HELP.UBER.C CMX           MEX")</f>
        <v>UBER *TRIP HELP.UBER.C CMX           MEX</v>
      </c>
      <c r="H59" s="17" t="str">
        <f ca="1">IFERROR(__xludf.DUMMYFUNCTION("""COMPUTED_VALUE"""),"Uber")</f>
        <v>Uber</v>
      </c>
      <c r="I59" s="17" t="str">
        <f ca="1">IFERROR(__xludf.DUMMYFUNCTION("""COMPUTED_VALUE"""),"Sales")</f>
        <v>Sales</v>
      </c>
      <c r="J59" s="17" t="str">
        <f ca="1">IFERROR(__xludf.DUMMYFUNCTION("""COMPUTED_VALUE"""),"Traslados CDMX")</f>
        <v>Traslados CDMX</v>
      </c>
      <c r="K59" s="17" t="str">
        <f ca="1">IFERROR(__xludf.DUMMYFUNCTION("""COMPUTED_VALUE"""),".")</f>
        <v>.</v>
      </c>
      <c r="L59" s="17"/>
      <c r="M59" s="17"/>
      <c r="N59" s="17"/>
      <c r="O59" s="17"/>
    </row>
    <row r="60" spans="1:15" ht="12.5">
      <c r="A60" s="17" t="str">
        <f ca="1">IFERROR(__xludf.DUMMYFUNCTION("""COMPUTED_VALUE"""),"TRX1222")</f>
        <v>TRX1222</v>
      </c>
      <c r="B60" s="86" t="str">
        <f ca="1">IFERROR(__xludf.DUMMYFUNCTION("""COMPUTED_VALUE"""),"#74")</f>
        <v>#74</v>
      </c>
      <c r="C60" s="63">
        <f ca="1">IFERROR(__xludf.DUMMYFUNCTION("""COMPUTED_VALUE"""),46080.4166666666)</f>
        <v>46080.416666666599</v>
      </c>
      <c r="D60" s="65">
        <f ca="1">IFERROR(__xludf.DUMMYFUNCTION("""COMPUTED_VALUE"""),1314.5)</f>
        <v>1314.5</v>
      </c>
      <c r="E60" s="17" t="str">
        <f ca="1">IFERROR(__xludf.DUMMYFUNCTION("""COMPUTED_VALUE"""),"MXN")</f>
        <v>MXN</v>
      </c>
      <c r="F60" s="17" t="str">
        <f ca="1">IFERROR(__xludf.DUMMYFUNCTION("""COMPUTED_VALUE"""),"Julio Cesar Guemes Reynoso")</f>
        <v>Julio Cesar Guemes Reynoso</v>
      </c>
      <c r="G60" s="17" t="str">
        <f ca="1">IFERROR(__xludf.DUMMYFUNCTION("""COMPUTED_VALUE"""),"GAS ESTAC SERV BOLONIA CIUDAD DE MEX MEX")</f>
        <v>GAS ESTAC SERV BOLONIA CIUDAD DE MEX MEX</v>
      </c>
      <c r="H60" s="17" t="str">
        <f ca="1">IFERROR(__xludf.DUMMYFUNCTION("""COMPUTED_VALUE"""),"Gas Estac Serv Bolonia Ciudad De Mex Mex")</f>
        <v>Gas Estac Serv Bolonia Ciudad De Mex Mex</v>
      </c>
      <c r="I60" s="17" t="str">
        <f ca="1">IFERROR(__xludf.DUMMYFUNCTION("""COMPUTED_VALUE"""),"Sales")</f>
        <v>Sales</v>
      </c>
      <c r="J60" s="17" t="str">
        <f ca="1">IFERROR(__xludf.DUMMYFUNCTION("""COMPUTED_VALUE"""),"Gasolina SLP-CDMX")</f>
        <v>Gasolina SLP-CDMX</v>
      </c>
      <c r="K60" s="17" t="str">
        <f ca="1">IFERROR(__xludf.DUMMYFUNCTION("""COMPUTED_VALUE"""),".")</f>
        <v>.</v>
      </c>
      <c r="L60" s="17"/>
      <c r="M60" s="17"/>
      <c r="N60" s="17"/>
      <c r="O60" s="17"/>
    </row>
    <row r="61" spans="1:15" ht="12.5">
      <c r="A61" s="17" t="str">
        <f ca="1">IFERROR(__xludf.DUMMYFUNCTION("""COMPUTED_VALUE"""),"TRX1237")</f>
        <v>TRX1237</v>
      </c>
      <c r="B61" s="86" t="str">
        <f ca="1">IFERROR(__xludf.DUMMYFUNCTION("""COMPUTED_VALUE"""),"#74")</f>
        <v>#74</v>
      </c>
      <c r="C61" s="63">
        <f ca="1">IFERROR(__xludf.DUMMYFUNCTION("""COMPUTED_VALUE"""),46080.4173611111)</f>
        <v>46080.417361111096</v>
      </c>
      <c r="D61" s="65">
        <f ca="1">IFERROR(__xludf.DUMMYFUNCTION("""COMPUTED_VALUE"""),367.4)</f>
        <v>367.4</v>
      </c>
      <c r="E61" s="17" t="str">
        <f ca="1">IFERROR(__xludf.DUMMYFUNCTION("""COMPUTED_VALUE"""),"MXN")</f>
        <v>MXN</v>
      </c>
      <c r="F61" s="17" t="str">
        <f ca="1">IFERROR(__xludf.DUMMYFUNCTION("""COMPUTED_VALUE"""),"Julio Cesar Guemes Reynoso")</f>
        <v>Julio Cesar Guemes Reynoso</v>
      </c>
      <c r="G61" s="17" t="str">
        <f ca="1">IFERROR(__xludf.DUMMYFUNCTION("""COMPUTED_VALUE"""),"VIPS APTO S BRAVO      CIUDAD DE MEX MEX")</f>
        <v>VIPS APTO S BRAVO      CIUDAD DE MEX MEX</v>
      </c>
      <c r="H61" s="17" t="str">
        <f ca="1">IFERROR(__xludf.DUMMYFUNCTION("""COMPUTED_VALUE"""),"Vips Apto S Bravo Ciudad De Mex Mex")</f>
        <v>Vips Apto S Bravo Ciudad De Mex Mex</v>
      </c>
      <c r="I61" s="17" t="str">
        <f ca="1">IFERROR(__xludf.DUMMYFUNCTION("""COMPUTED_VALUE"""),"Sales")</f>
        <v>Sales</v>
      </c>
      <c r="J61" s="17" t="str">
        <f ca="1">IFERROR(__xludf.DUMMYFUNCTION("""COMPUTED_VALUE"""),"Comida central de camiones")</f>
        <v>Comida central de camiones</v>
      </c>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A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343</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Sept'!$J$12:$J$1700=$A$2)"),"TRX1228")</f>
        <v>TRX1228</v>
      </c>
      <c r="B12" s="86" t="str">
        <f ca="1">IFERROR(__xludf.DUMMYFUNCTION("""COMPUTED_VALUE"""),"-")</f>
        <v>-</v>
      </c>
      <c r="C12" s="86">
        <f ca="1">IFERROR(__xludf.DUMMYFUNCTION("""COMPUTED_VALUE"""),46058.4166666666)</f>
        <v>46058.416666666599</v>
      </c>
      <c r="D12" s="65">
        <f ca="1">IFERROR(__xludf.DUMMYFUNCTION("FILTER('Edo Cta Jeeves Sept'!$G$12:$G$1700,'Edo Cta Jeeves Sept'!$J$12:$J$1700=$A$2)"),80)</f>
        <v>80</v>
      </c>
      <c r="E12" s="17" t="str">
        <f ca="1">IFERROR(__xludf.DUMMYFUNCTION("FILTER('Edo Cta Jeeves Sept'!$I$12:$I$1700,'Edo Cta Jeeves Sept'!$J$12:$J$1700=$A$2)"),"MXN")</f>
        <v>MXN</v>
      </c>
      <c r="F12" s="17" t="str">
        <f ca="1">IFERROR(__xludf.DUMMYFUNCTION("FILTER('Edo Cta Jeeves Sept'!$J$12:$J$1700,'Edo Cta Jeeves Sept'!$J$12:$J$1700=$A$2)"),"Manuel Caldera Urcuyo")</f>
        <v>Manuel Caldera Urcuyo</v>
      </c>
      <c r="G12" s="17" t="str">
        <f ca="1">IFERROR(__xludf.DUMMYFUNCTION("FILTER('Edo Cta Jeeves Sept'!$K$12:$L$1700,'Edo Cta Jeeves Sept'!$J$12:$J$1700=$A$2)"),"G68 THE MARKET         APODACA NL    MEX")</f>
        <v>G68 THE MARKET         APODACA NL    MEX</v>
      </c>
      <c r="H12" s="17" t="str">
        <f ca="1">IFERROR(__xludf.DUMMYFUNCTION("""COMPUTED_VALUE"""),"G68 The Market Apodaca Nl Mex")</f>
        <v>G68 The Market Apodaca Nl Mex</v>
      </c>
      <c r="I12" s="17" t="str">
        <f ca="1">IFERROR(__xludf.DUMMYFUNCTION("IMPORTRANGE(""https://docs.google.com/spreadsheets/d/12JCB6hhl9O91-86VqK8pE9xcpuAbysSeyHHQARoQlWk/edit?gid=1404531132#gid=1404531132"",""I12:K80"")"),"Sales")</f>
        <v>Sales</v>
      </c>
      <c r="J12" s="17" t="str">
        <f ca="1">IFERROR(__xludf.DUMMYFUNCTION("""COMPUTED_VALUE"""),"subscription for editing proposals")</f>
        <v>subscription for editing proposals</v>
      </c>
      <c r="K12" s="17"/>
      <c r="L12" s="17"/>
      <c r="M12" s="17"/>
      <c r="N12" s="17"/>
      <c r="O12" s="17"/>
    </row>
    <row r="13" spans="1:15" ht="15.75" customHeight="1">
      <c r="A13" s="24" t="str">
        <f ca="1">IFERROR(__xludf.DUMMYFUNCTION("""COMPUTED_VALUE"""),"TRX1194")</f>
        <v>TRX1194</v>
      </c>
      <c r="B13" s="86" t="str">
        <f ca="1">IFERROR(__xludf.DUMMYFUNCTION("""COMPUTED_VALUE"""),"-")</f>
        <v>-</v>
      </c>
      <c r="C13" s="63">
        <f ca="1">IFERROR(__xludf.DUMMYFUNCTION("""COMPUTED_VALUE"""),46058.4180555555)</f>
        <v>46058.418055555499</v>
      </c>
      <c r="D13" s="65">
        <f ca="1">IFERROR(__xludf.DUMMYFUNCTION("""COMPUTED_VALUE"""),3540.75)</f>
        <v>3540.75</v>
      </c>
      <c r="E13" s="17" t="str">
        <f ca="1">IFERROR(__xludf.DUMMYFUNCTION("""COMPUTED_VALUE"""),"USD")</f>
        <v>USD</v>
      </c>
      <c r="F13" s="17" t="str">
        <f ca="1">IFERROR(__xludf.DUMMYFUNCTION("""COMPUTED_VALUE"""),"Manuel Caldera Urcuyo")</f>
        <v>Manuel Caldera Urcuyo</v>
      </c>
      <c r="G13" s="17" t="str">
        <f ca="1">IFERROR(__xludf.DUMMYFUNCTION("""COMPUTED_VALUE"""),"THE CANNON - BERING    HOUSTON       USA")</f>
        <v>THE CANNON - BERING    HOUSTON       USA</v>
      </c>
      <c r="H13" s="17" t="str">
        <f ca="1">IFERROR(__xludf.DUMMYFUNCTION("""COMPUTED_VALUE"""),"The Cannon Bering Houston USA")</f>
        <v>The Cannon Bering Houston USA</v>
      </c>
      <c r="I13" s="17" t="str">
        <f ca="1">IFERROR(__xludf.DUMMYFUNCTION("""COMPUTED_VALUE"""),"Sales")</f>
        <v>Sales</v>
      </c>
      <c r="J13" s="17" t="str">
        <f ca="1">IFERROR(__xludf.DUMMYFUNCTION("""COMPUTED_VALUE"""),"subscription for editing proposals")</f>
        <v>subscription for editing proposals</v>
      </c>
      <c r="K13" s="17"/>
      <c r="L13" s="17"/>
      <c r="M13" s="17"/>
      <c r="N13" s="17"/>
      <c r="O13" s="17"/>
    </row>
    <row r="14" spans="1:15" ht="15.75" customHeight="1">
      <c r="A14" s="24" t="str">
        <f ca="1">IFERROR(__xludf.DUMMYFUNCTION("""COMPUTED_VALUE"""),"TRX1191")</f>
        <v>TRX1191</v>
      </c>
      <c r="B14" s="86" t="str">
        <f ca="1">IFERROR(__xludf.DUMMYFUNCTION("""COMPUTED_VALUE"""),"-")</f>
        <v>-</v>
      </c>
      <c r="C14" s="63">
        <f ca="1">IFERROR(__xludf.DUMMYFUNCTION("""COMPUTED_VALUE"""),46058.4180555555)</f>
        <v>46058.418055555499</v>
      </c>
      <c r="D14" s="65">
        <f ca="1">IFERROR(__xludf.DUMMYFUNCTION("""COMPUTED_VALUE"""),113.49)</f>
        <v>113.49</v>
      </c>
      <c r="E14" s="17" t="str">
        <f ca="1">IFERROR(__xludf.DUMMYFUNCTION("""COMPUTED_VALUE"""),"USD")</f>
        <v>USD</v>
      </c>
      <c r="F14" s="17" t="str">
        <f ca="1">IFERROR(__xludf.DUMMYFUNCTION("""COMPUTED_VALUE"""),"Manuel Caldera Urcuyo")</f>
        <v>Manuel Caldera Urcuyo</v>
      </c>
      <c r="G14" s="17" t="str">
        <f ca="1">IFERROR(__xludf.DUMMYFUNCTION("""COMPUTED_VALUE"""),"THE CANNON - BERING    HOUSTON       USA")</f>
        <v>THE CANNON - BERING    HOUSTON       USA</v>
      </c>
      <c r="H14" s="17" t="str">
        <f ca="1">IFERROR(__xludf.DUMMYFUNCTION("""COMPUTED_VALUE"""),"The Cannon Bering Houston USA")</f>
        <v>The Cannon Bering Houston USA</v>
      </c>
      <c r="I14" s="17" t="str">
        <f ca="1">IFERROR(__xludf.DUMMYFUNCTION("""COMPUTED_VALUE"""),"Sales")</f>
        <v>Sales</v>
      </c>
      <c r="J14" s="17" t="str">
        <f ca="1">IFERROR(__xludf.DUMMYFUNCTION("""COMPUTED_VALUE"""),"Westminster invoicing")</f>
        <v>Westminster invoicing</v>
      </c>
      <c r="K14" s="17"/>
      <c r="L14" s="17"/>
      <c r="M14" s="17"/>
      <c r="N14" s="17"/>
      <c r="O14" s="17"/>
    </row>
    <row r="15" spans="1:15" ht="15.75" customHeight="1">
      <c r="A15" s="24" t="str">
        <f ca="1">IFERROR(__xludf.DUMMYFUNCTION("""COMPUTED_VALUE"""),"TRX1188")</f>
        <v>TRX1188</v>
      </c>
      <c r="B15" s="86" t="str">
        <f ca="1">IFERROR(__xludf.DUMMYFUNCTION("""COMPUTED_VALUE"""),"-")</f>
        <v>-</v>
      </c>
      <c r="C15" s="63">
        <f ca="1">IFERROR(__xludf.DUMMYFUNCTION("""COMPUTED_VALUE"""),46058.4180555555)</f>
        <v>46058.418055555499</v>
      </c>
      <c r="D15" s="65">
        <f ca="1">IFERROR(__xludf.DUMMYFUNCTION("""COMPUTED_VALUE"""),1970.84)</f>
        <v>1970.84</v>
      </c>
      <c r="E15" s="17" t="str">
        <f ca="1">IFERROR(__xludf.DUMMYFUNCTION("""COMPUTED_VALUE"""),"USD")</f>
        <v>USD</v>
      </c>
      <c r="F15" s="17" t="str">
        <f ca="1">IFERROR(__xludf.DUMMYFUNCTION("""COMPUTED_VALUE"""),"Manuel Caldera Urcuyo")</f>
        <v>Manuel Caldera Urcuyo</v>
      </c>
      <c r="G15" s="17" t="str">
        <f ca="1">IFERROR(__xludf.DUMMYFUNCTION("""COMPUTED_VALUE"""),"PAMPA GRILL &amp; MARKET   HOUSTON       USA")</f>
        <v>PAMPA GRILL &amp; MARKET   HOUSTON       USA</v>
      </c>
      <c r="H15" s="17" t="str">
        <f ca="1">IFERROR(__xludf.DUMMYFUNCTION("""COMPUTED_VALUE"""),"Pampa Grill &amp; Market Houston USA")</f>
        <v>Pampa Grill &amp; Market Houston USA</v>
      </c>
      <c r="I15" s="17" t="str">
        <f ca="1">IFERROR(__xludf.DUMMYFUNCTION("""COMPUTED_VALUE"""),"Sales")</f>
        <v>Sales</v>
      </c>
      <c r="J15" s="17" t="str">
        <f ca="1">IFERROR(__xludf.DUMMYFUNCTION("""COMPUTED_VALUE"""),"Printing for Westminster project")</f>
        <v>Printing for Westminster project</v>
      </c>
      <c r="K15" s="17"/>
      <c r="L15" s="17"/>
      <c r="M15" s="17"/>
      <c r="N15" s="17"/>
      <c r="O15" s="17"/>
    </row>
    <row r="16" spans="1:15" ht="15.75" customHeight="1">
      <c r="A16" s="17" t="str">
        <f ca="1">IFERROR(__xludf.DUMMYFUNCTION("""COMPUTED_VALUE"""),"TRX1175")</f>
        <v>TRX1175</v>
      </c>
      <c r="B16" s="86" t="str">
        <f ca="1">IFERROR(__xludf.DUMMYFUNCTION("""COMPUTED_VALUE"""),"-")</f>
        <v>-</v>
      </c>
      <c r="C16" s="63">
        <f ca="1">IFERROR(__xludf.DUMMYFUNCTION("""COMPUTED_VALUE"""),46059.4166666666)</f>
        <v>46059.416666666599</v>
      </c>
      <c r="D16" s="132">
        <f ca="1">IFERROR(__xludf.DUMMYFUNCTION("""COMPUTED_VALUE"""),20)</f>
        <v>20</v>
      </c>
      <c r="E16" s="17" t="str">
        <f ca="1">IFERROR(__xludf.DUMMYFUNCTION("""COMPUTED_VALUE"""),"MXN")</f>
        <v>MXN</v>
      </c>
      <c r="F16" s="17" t="str">
        <f ca="1">IFERROR(__xludf.DUMMYFUNCTION("""COMPUTED_VALUE"""),"Manuel Caldera Urcuyo")</f>
        <v>Manuel Caldera Urcuyo</v>
      </c>
      <c r="G16" s="17" t="str">
        <f ca="1">IFERROR(__xludf.DUMMYFUNCTION("""COMPUTED_VALUE"""),"UBER *TRIP HELP.UBER.C CMX           MEX")</f>
        <v>UBER *TRIP HELP.UBER.C CMX           MEX</v>
      </c>
      <c r="H16" s="17" t="str">
        <f ca="1">IFERROR(__xludf.DUMMYFUNCTION("""COMPUTED_VALUE"""),"Uber")</f>
        <v>Uber</v>
      </c>
      <c r="I16" s="17" t="str">
        <f ca="1">IFERROR(__xludf.DUMMYFUNCTION("""COMPUTED_VALUE"""),"Sales")</f>
        <v>Sales</v>
      </c>
      <c r="J16" s="17" t="str">
        <f ca="1">IFERROR(__xludf.DUMMYFUNCTION("""COMPUTED_VALUE"""),"Travel meal")</f>
        <v>Travel meal</v>
      </c>
      <c r="K16" s="17"/>
      <c r="L16" s="17"/>
      <c r="M16" s="17"/>
      <c r="N16" s="17"/>
      <c r="O16" s="17"/>
    </row>
    <row r="17" spans="1:15" ht="15.75" customHeight="1">
      <c r="A17" s="17" t="str">
        <f ca="1">IFERROR(__xludf.DUMMYFUNCTION("""COMPUTED_VALUE"""),"TRX1172")</f>
        <v>TRX1172</v>
      </c>
      <c r="B17" s="86" t="str">
        <f ca="1">IFERROR(__xludf.DUMMYFUNCTION("""COMPUTED_VALUE"""),"-")</f>
        <v>-</v>
      </c>
      <c r="C17" s="63">
        <f ca="1">IFERROR(__xludf.DUMMYFUNCTION("""COMPUTED_VALUE"""),46059.4166666666)</f>
        <v>46059.416666666599</v>
      </c>
      <c r="D17" s="132">
        <f ca="1">IFERROR(__xludf.DUMMYFUNCTION("""COMPUTED_VALUE"""),2203.88)</f>
        <v>2203.88</v>
      </c>
      <c r="E17" s="17" t="str">
        <f ca="1">IFERROR(__xludf.DUMMYFUNCTION("""COMPUTED_VALUE"""),"MXN")</f>
        <v>MXN</v>
      </c>
      <c r="F17" s="17" t="str">
        <f ca="1">IFERROR(__xludf.DUMMYFUNCTION("""COMPUTED_VALUE"""),"Manuel Caldera Urcuyo")</f>
        <v>Manuel Caldera Urcuyo</v>
      </c>
      <c r="G17" s="17" t="str">
        <f ca="1">IFERROR(__xludf.DUMMYFUNCTION("""COMPUTED_VALUE"""),"SMARTPY*HOTCITYCEMTA   KAPA          MEX")</f>
        <v>SMARTPY*HOTCITYCEMTA   KAPA          MEX</v>
      </c>
      <c r="H17" s="17" t="str">
        <f ca="1">IFERROR(__xludf.DUMMYFUNCTION("""COMPUTED_VALUE"""),"Smartpy Hotcitycemta Kapa Mex")</f>
        <v>Smartpy Hotcitycemta Kapa Mex</v>
      </c>
      <c r="I17" s="17" t="str">
        <f ca="1">IFERROR(__xludf.DUMMYFUNCTION("""COMPUTED_VALUE"""),"Sales")</f>
        <v>Sales</v>
      </c>
      <c r="J17" s="17" t="str">
        <f ca="1">IFERROR(__xludf.DUMMYFUNCTION("""COMPUTED_VALUE"""),"Notarization for Westminster billing")</f>
        <v>Notarization for Westminster billing</v>
      </c>
      <c r="K17" s="17" t="str">
        <f ca="1">IFERROR(__xludf.DUMMYFUNCTION("""COMPUTED_VALUE"""),".")</f>
        <v>.</v>
      </c>
      <c r="L17" s="17"/>
      <c r="M17" s="17"/>
      <c r="N17" s="17"/>
      <c r="O17" s="17"/>
    </row>
    <row r="18" spans="1:15" ht="15.75" customHeight="1">
      <c r="A18" s="17" t="str">
        <f ca="1">IFERROR(__xludf.DUMMYFUNCTION("""COMPUTED_VALUE"""),"TRX1162")</f>
        <v>TRX1162</v>
      </c>
      <c r="B18" s="86" t="str">
        <f ca="1">IFERROR(__xludf.DUMMYFUNCTION("""COMPUTED_VALUE"""),"-")</f>
        <v>-</v>
      </c>
      <c r="C18" s="63">
        <f ca="1">IFERROR(__xludf.DUMMYFUNCTION("""COMPUTED_VALUE"""),46059.4166666666)</f>
        <v>46059.416666666599</v>
      </c>
      <c r="D18" s="65">
        <f ca="1">IFERROR(__xludf.DUMMYFUNCTION("""COMPUTED_VALUE"""),689.97)</f>
        <v>689.97</v>
      </c>
      <c r="E18" s="17" t="str">
        <f ca="1">IFERROR(__xludf.DUMMYFUNCTION("""COMPUTED_VALUE"""),"MXN")</f>
        <v>MXN</v>
      </c>
      <c r="F18" s="17" t="str">
        <f ca="1">IFERROR(__xludf.DUMMYFUNCTION("""COMPUTED_VALUE"""),"Manuel Caldera Urcuyo")</f>
        <v>Manuel Caldera Urcuyo</v>
      </c>
      <c r="G18" s="17" t="str">
        <f ca="1">IFERROR(__xludf.DUMMYFUNCTION("""COMPUTED_VALUE"""),"DLO*UBER RIDE          CIUDAD DE MEX MEX")</f>
        <v>DLO*UBER RIDE          CIUDAD DE MEX MEX</v>
      </c>
      <c r="H18" s="17" t="str">
        <f ca="1">IFERROR(__xludf.DUMMYFUNCTION("""COMPUTED_VALUE"""),"Uber")</f>
        <v>Uber</v>
      </c>
      <c r="I18" s="17" t="str">
        <f ca="1">IFERROR(__xludf.DUMMYFUNCTION("""COMPUTED_VALUE"""),"Sales")</f>
        <v>Sales</v>
      </c>
      <c r="J18" s="17" t="str">
        <f ca="1">IFERROR(__xludf.DUMMYFUNCTION("""COMPUTED_VALUE"""),"Travel meal")</f>
        <v>Travel meal</v>
      </c>
      <c r="K18" s="17" t="str">
        <f ca="1">IFERROR(__xludf.DUMMYFUNCTION("""COMPUTED_VALUE"""),".")</f>
        <v>.</v>
      </c>
      <c r="L18" s="17"/>
      <c r="M18" s="17"/>
      <c r="N18" s="17"/>
      <c r="O18" s="17"/>
    </row>
    <row r="19" spans="1:15" ht="15.75" customHeight="1">
      <c r="A19" s="17" t="str">
        <f ca="1">IFERROR(__xludf.DUMMYFUNCTION("""COMPUTED_VALUE"""),"TRX1206")</f>
        <v>TRX1206</v>
      </c>
      <c r="B19" s="86" t="str">
        <f ca="1">IFERROR(__xludf.DUMMYFUNCTION("""COMPUTED_VALUE"""),"-")</f>
        <v>-</v>
      </c>
      <c r="C19" s="63">
        <f ca="1">IFERROR(__xludf.DUMMYFUNCTION("""COMPUTED_VALUE"""),46059.4173611111)</f>
        <v>46059.417361111096</v>
      </c>
      <c r="D19" s="132">
        <f ca="1">IFERROR(__xludf.DUMMYFUNCTION("""COMPUTED_VALUE"""),976.34)</f>
        <v>976.34</v>
      </c>
      <c r="E19" s="17" t="str">
        <f ca="1">IFERROR(__xludf.DUMMYFUNCTION("""COMPUTED_VALUE"""),"USD")</f>
        <v>USD</v>
      </c>
      <c r="F19" s="17" t="str">
        <f ca="1">IFERROR(__xludf.DUMMYFUNCTION("""COMPUTED_VALUE"""),"Manuel Caldera Urcuyo")</f>
        <v>Manuel Caldera Urcuyo</v>
      </c>
      <c r="G19" s="17" t="str">
        <f ca="1">IFERROR(__xludf.DUMMYFUNCTION("""COMPUTED_VALUE"""),"UBER   *TRIP           SAN FRANCISCO USA")</f>
        <v>UBER   *TRIP           SAN FRANCISCO USA</v>
      </c>
      <c r="H19" s="17" t="str">
        <f ca="1">IFERROR(__xludf.DUMMYFUNCTION("""COMPUTED_VALUE"""),"Uber")</f>
        <v>Uber</v>
      </c>
      <c r="I19" s="17" t="str">
        <f ca="1">IFERROR(__xludf.DUMMYFUNCTION("""COMPUTED_VALUE"""),"Sales")</f>
        <v>Sales</v>
      </c>
      <c r="J19" s="17" t="str">
        <f ca="1">IFERROR(__xludf.DUMMYFUNCTION("""COMPUTED_VALUE"""),"Hotel in Austin")</f>
        <v>Hotel in Austin</v>
      </c>
      <c r="K19" s="17" t="str">
        <f ca="1">IFERROR(__xludf.DUMMYFUNCTION("""COMPUTED_VALUE"""),".")</f>
        <v>.</v>
      </c>
      <c r="L19" s="17"/>
      <c r="M19" s="17"/>
      <c r="N19" s="17"/>
      <c r="O19" s="17"/>
    </row>
    <row r="20" spans="1:15" ht="12.5">
      <c r="A20" s="17" t="str">
        <f ca="1">IFERROR(__xludf.DUMMYFUNCTION("""COMPUTED_VALUE"""),"TRX1388")</f>
        <v>TRX1388</v>
      </c>
      <c r="B20" s="86" t="str">
        <f ca="1">IFERROR(__xludf.DUMMYFUNCTION("""COMPUTED_VALUE"""),"-")</f>
        <v>-</v>
      </c>
      <c r="C20" s="63">
        <f ca="1">IFERROR(__xludf.DUMMYFUNCTION("""COMPUTED_VALUE"""),46059.4173611111)</f>
        <v>46059.417361111096</v>
      </c>
      <c r="D20" s="132">
        <f ca="1">IFERROR(__xludf.DUMMYFUNCTION("""COMPUTED_VALUE"""),997.7)</f>
        <v>997.7</v>
      </c>
      <c r="E20" s="17" t="str">
        <f ca="1">IFERROR(__xludf.DUMMYFUNCTION("""COMPUTED_VALUE"""),"MXN")</f>
        <v>MXN</v>
      </c>
      <c r="F20" s="17" t="str">
        <f ca="1">IFERROR(__xludf.DUMMYFUNCTION("""COMPUTED_VALUE"""),"Manuel Caldera Urcuyo")</f>
        <v>Manuel Caldera Urcuyo</v>
      </c>
      <c r="G20" s="17" t="str">
        <f ca="1">IFERROR(__xludf.DUMMYFUNCTION("""COMPUTED_VALUE"""),"EL PAPALOTE PALO BLANC SN PEDRO GARZ MEX")</f>
        <v>EL PAPALOTE PALO BLANC SN PEDRO GARZ MEX</v>
      </c>
      <c r="H20" s="17" t="str">
        <f ca="1">IFERROR(__xludf.DUMMYFUNCTION("""COMPUTED_VALUE"""),"El Papalote Palo Blanc Sn Pedro Garz Mex")</f>
        <v>El Papalote Palo Blanc Sn Pedro Garz Mex</v>
      </c>
      <c r="I20" s="17" t="str">
        <f ca="1">IFERROR(__xludf.DUMMYFUNCTION("""COMPUTED_VALUE"""),"Sales")</f>
        <v>Sales</v>
      </c>
      <c r="J20" s="17" t="str">
        <f ca="1">IFERROR(__xludf.DUMMYFUNCTION("""COMPUTED_VALUE"""),"Travel meal")</f>
        <v>Travel meal</v>
      </c>
      <c r="K20" s="17" t="str">
        <f ca="1">IFERROR(__xludf.DUMMYFUNCTION("""COMPUTED_VALUE"""),".")</f>
        <v>.</v>
      </c>
      <c r="L20" s="17"/>
      <c r="M20" s="17"/>
      <c r="N20" s="17"/>
      <c r="O20" s="17"/>
    </row>
    <row r="21" spans="1:15" ht="12.5">
      <c r="A21" s="17" t="str">
        <f ca="1">IFERROR(__xludf.DUMMYFUNCTION("""COMPUTED_VALUE"""),"TRX1131")</f>
        <v>TRX1131</v>
      </c>
      <c r="B21" s="86" t="str">
        <f ca="1">IFERROR(__xludf.DUMMYFUNCTION("""COMPUTED_VALUE"""),"-")</f>
        <v>-</v>
      </c>
      <c r="C21" s="63">
        <f ca="1">IFERROR(__xludf.DUMMYFUNCTION("""COMPUTED_VALUE"""),46059.4173611111)</f>
        <v>46059.417361111096</v>
      </c>
      <c r="D21" s="132">
        <f ca="1">IFERROR(__xludf.DUMMYFUNCTION("""COMPUTED_VALUE"""),1083.25)</f>
        <v>1083.25</v>
      </c>
      <c r="E21" s="17" t="str">
        <f ca="1">IFERROR(__xludf.DUMMYFUNCTION("""COMPUTED_VALUE"""),"USD")</f>
        <v>USD</v>
      </c>
      <c r="F21" s="17" t="str">
        <f ca="1">IFERROR(__xludf.DUMMYFUNCTION("""COMPUTED_VALUE"""),"Manuel Caldera Urcuyo")</f>
        <v>Manuel Caldera Urcuyo</v>
      </c>
      <c r="G21" s="17" t="str">
        <f ca="1">IFERROR(__xludf.DUMMYFUNCTION("""COMPUTED_VALUE"""),"UBER   *TRIP           SAN FRANCISCO USA")</f>
        <v>UBER   *TRIP           SAN FRANCISCO USA</v>
      </c>
      <c r="H21" s="17" t="str">
        <f ca="1">IFERROR(__xludf.DUMMYFUNCTION("""COMPUTED_VALUE"""),"Uber")</f>
        <v>Uber</v>
      </c>
      <c r="I21" s="17" t="str">
        <f ca="1">IFERROR(__xludf.DUMMYFUNCTION("""COMPUTED_VALUE"""),"Sales")</f>
        <v>Sales</v>
      </c>
      <c r="J21" s="17" t="str">
        <f ca="1">IFERROR(__xludf.DUMMYFUNCTION("""COMPUTED_VALUE"""),"Bolts for Westminster project")</f>
        <v>Bolts for Westminster project</v>
      </c>
      <c r="K21" s="17" t="str">
        <f ca="1">IFERROR(__xludf.DUMMYFUNCTION("""COMPUTED_VALUE"""),".")</f>
        <v>.</v>
      </c>
      <c r="L21" s="17"/>
      <c r="M21" s="17"/>
      <c r="N21" s="17"/>
      <c r="O21" s="17"/>
    </row>
    <row r="22" spans="1:15" ht="12.5">
      <c r="A22" s="17" t="str">
        <f ca="1">IFERROR(__xludf.DUMMYFUNCTION("""COMPUTED_VALUE"""),"TRX1028")</f>
        <v>TRX1028</v>
      </c>
      <c r="B22" s="86" t="str">
        <f ca="1">IFERROR(__xludf.DUMMYFUNCTION("""COMPUTED_VALUE"""),"-")</f>
        <v>-</v>
      </c>
      <c r="C22" s="63">
        <f ca="1">IFERROR(__xludf.DUMMYFUNCTION("""COMPUTED_VALUE"""),46059.4173611111)</f>
        <v>46059.417361111096</v>
      </c>
      <c r="D22" s="65">
        <f ca="1">IFERROR(__xludf.DUMMYFUNCTION("""COMPUTED_VALUE"""),90.29)</f>
        <v>90.29</v>
      </c>
      <c r="E22" s="17" t="str">
        <f ca="1">IFERROR(__xludf.DUMMYFUNCTION("""COMPUTED_VALUE"""),"USD")</f>
        <v>USD</v>
      </c>
      <c r="F22" s="17" t="str">
        <f ca="1">IFERROR(__xludf.DUMMYFUNCTION("""COMPUTED_VALUE"""),"Manuel Caldera Urcuyo")</f>
        <v>Manuel Caldera Urcuyo</v>
      </c>
      <c r="G22" s="17" t="str">
        <f ca="1">IFERROR(__xludf.DUMMYFUNCTION("""COMPUTED_VALUE"""),"UBER   *TRIP           SAN FRANCISCO USA")</f>
        <v>UBER   *TRIP           SAN FRANCISCO USA</v>
      </c>
      <c r="H22" s="17" t="str">
        <f ca="1">IFERROR(__xludf.DUMMYFUNCTION("""COMPUTED_VALUE"""),"Uber")</f>
        <v>Uber</v>
      </c>
      <c r="I22" s="17" t="str">
        <f ca="1">IFERROR(__xludf.DUMMYFUNCTION("""COMPUTED_VALUE"""),"Sales")</f>
        <v>Sales</v>
      </c>
      <c r="J22" s="17" t="str">
        <f ca="1">IFERROR(__xludf.DUMMYFUNCTION("""COMPUTED_VALUE"""),"business cards for commercial ambassador")</f>
        <v>business cards for commercial ambassador</v>
      </c>
      <c r="K22" s="17" t="str">
        <f ca="1">IFERROR(__xludf.DUMMYFUNCTION("""COMPUTED_VALUE"""),".")</f>
        <v>.</v>
      </c>
      <c r="L22" s="17"/>
      <c r="M22" s="17"/>
      <c r="N22" s="17"/>
      <c r="O22" s="17"/>
    </row>
    <row r="23" spans="1:15" ht="12.5">
      <c r="A23" s="17" t="str">
        <f ca="1">IFERROR(__xludf.DUMMYFUNCTION("""COMPUTED_VALUE"""),"TRX1553")</f>
        <v>TRX1553</v>
      </c>
      <c r="B23" s="86" t="str">
        <f ca="1">IFERROR(__xludf.DUMMYFUNCTION("""COMPUTED_VALUE"""),"-")</f>
        <v>-</v>
      </c>
      <c r="C23" s="63">
        <f ca="1">IFERROR(__xludf.DUMMYFUNCTION("""COMPUTED_VALUE"""),46061.4173611111)</f>
        <v>46061.417361111096</v>
      </c>
      <c r="D23" s="65">
        <f ca="1">IFERROR(__xludf.DUMMYFUNCTION("""COMPUTED_VALUE"""),457.03)</f>
        <v>457.03</v>
      </c>
      <c r="E23" s="17" t="str">
        <f ca="1">IFERROR(__xludf.DUMMYFUNCTION("""COMPUTED_VALUE"""),"USD")</f>
        <v>USD</v>
      </c>
      <c r="F23" s="17" t="str">
        <f ca="1">IFERROR(__xludf.DUMMYFUNCTION("""COMPUTED_VALUE"""),"Manuel Caldera Urcuyo")</f>
        <v>Manuel Caldera Urcuyo</v>
      </c>
      <c r="G23" s="17" t="str">
        <f ca="1">IFERROR(__xludf.DUMMYFUNCTION("""COMPUTED_VALUE"""),"BONCHON - MIDTOWN      HOUSTON       USA")</f>
        <v>BONCHON - MIDTOWN      HOUSTON       USA</v>
      </c>
      <c r="H23" s="17" t="str">
        <f ca="1">IFERROR(__xludf.DUMMYFUNCTION("""COMPUTED_VALUE"""),"Bonchon Midtown Houston USA")</f>
        <v>Bonchon Midtown Houston USA</v>
      </c>
      <c r="I23" s="17" t="str">
        <f ca="1">IFERROR(__xludf.DUMMYFUNCTION("""COMPUTED_VALUE"""),"Sales")</f>
        <v>Sales</v>
      </c>
      <c r="J23" s="17" t="str">
        <f ca="1">IFERROR(__xludf.DUMMYFUNCTION("""COMPUTED_VALUE"""),"Travel meal")</f>
        <v>Travel meal</v>
      </c>
      <c r="K23" s="17" t="str">
        <f ca="1">IFERROR(__xludf.DUMMYFUNCTION("""COMPUTED_VALUE"""),".")</f>
        <v>.</v>
      </c>
      <c r="L23" s="17"/>
      <c r="M23" s="17"/>
      <c r="N23" s="17"/>
      <c r="O23" s="17"/>
    </row>
    <row r="24" spans="1:15" ht="12.5">
      <c r="A24" s="17" t="str">
        <f ca="1">IFERROR(__xludf.DUMMYFUNCTION("""COMPUTED_VALUE"""),"TRX1688")</f>
        <v>TRX1688</v>
      </c>
      <c r="B24" s="86" t="str">
        <f ca="1">IFERROR(__xludf.DUMMYFUNCTION("""COMPUTED_VALUE"""),"-")</f>
        <v>-</v>
      </c>
      <c r="C24" s="63">
        <f ca="1">IFERROR(__xludf.DUMMYFUNCTION("""COMPUTED_VALUE"""),46064.4173611111)</f>
        <v>46064.417361111096</v>
      </c>
      <c r="D24" s="65">
        <f ca="1">IFERROR(__xludf.DUMMYFUNCTION("""COMPUTED_VALUE"""),906.2)</f>
        <v>906.2</v>
      </c>
      <c r="E24" s="17" t="str">
        <f ca="1">IFERROR(__xludf.DUMMYFUNCTION("""COMPUTED_VALUE"""),"USD")</f>
        <v>USD</v>
      </c>
      <c r="F24" s="17" t="str">
        <f ca="1">IFERROR(__xludf.DUMMYFUNCTION("""COMPUTED_VALUE"""),"Manuel Caldera Urcuyo")</f>
        <v>Manuel Caldera Urcuyo</v>
      </c>
      <c r="G24" s="17" t="str">
        <f ca="1">IFERROR(__xludf.DUMMYFUNCTION("""COMPUTED_VALUE"""),"ASA-HOUSTON CHAPTER    HOUSTON       USA")</f>
        <v>ASA-HOUSTON CHAPTER    HOUSTON       USA</v>
      </c>
      <c r="H24" s="17" t="str">
        <f ca="1">IFERROR(__xludf.DUMMYFUNCTION("""COMPUTED_VALUE"""),"Asa Houston Chapter Houston USA")</f>
        <v>Asa Houston Chapter Houston USA</v>
      </c>
      <c r="I24" s="17" t="str">
        <f ca="1">IFERROR(__xludf.DUMMYFUNCTION("""COMPUTED_VALUE"""),"Sales")</f>
        <v>Sales</v>
      </c>
      <c r="J24" s="17" t="str">
        <f ca="1">IFERROR(__xludf.DUMMYFUNCTION("""COMPUTED_VALUE"""),"Subscription to sign contracts")</f>
        <v>Subscription to sign contracts</v>
      </c>
      <c r="K24" s="17" t="str">
        <f ca="1">IFERROR(__xludf.DUMMYFUNCTION("""COMPUTED_VALUE"""),".")</f>
        <v>.</v>
      </c>
      <c r="L24" s="17"/>
      <c r="M24" s="17"/>
      <c r="N24" s="17"/>
      <c r="O24" s="17"/>
    </row>
    <row r="25" spans="1:15" ht="12.5">
      <c r="A25" s="17" t="str">
        <f ca="1">IFERROR(__xludf.DUMMYFUNCTION("""COMPUTED_VALUE"""),"TRX1683")</f>
        <v>TRX1683</v>
      </c>
      <c r="B25" s="86" t="str">
        <f ca="1">IFERROR(__xludf.DUMMYFUNCTION("""COMPUTED_VALUE"""),"#75")</f>
        <v>#75</v>
      </c>
      <c r="C25" s="63">
        <f ca="1">IFERROR(__xludf.DUMMYFUNCTION("""COMPUTED_VALUE"""),46064.4173611111)</f>
        <v>46064.417361111096</v>
      </c>
      <c r="D25" s="65">
        <f ca="1">IFERROR(__xludf.DUMMYFUNCTION("""COMPUTED_VALUE"""),8424.73)</f>
        <v>8424.73</v>
      </c>
      <c r="E25" s="17" t="str">
        <f ca="1">IFERROR(__xludf.DUMMYFUNCTION("""COMPUTED_VALUE"""),"USD")</f>
        <v>USD</v>
      </c>
      <c r="F25" s="17" t="str">
        <f ca="1">IFERROR(__xludf.DUMMYFUNCTION("""COMPUTED_VALUE"""),"Manuel Caldera Urcuyo")</f>
        <v>Manuel Caldera Urcuyo</v>
      </c>
      <c r="G25" s="17" t="str">
        <f ca="1">IFERROR(__xludf.DUMMYFUNCTION("""COMPUTED_VALUE"""),"HOTELCOM73370269604291 SEATTLE       USA")</f>
        <v>HOTELCOM73370269604291 SEATTLE       USA</v>
      </c>
      <c r="H25" s="17" t="str">
        <f ca="1">IFERROR(__xludf.DUMMYFUNCTION("""COMPUTED_VALUE"""),"Hotelcom Seattle USA")</f>
        <v>Hotelcom Seattle USA</v>
      </c>
      <c r="I25" s="17" t="str">
        <f ca="1">IFERROR(__xludf.DUMMYFUNCTION("""COMPUTED_VALUE"""),"Sales")</f>
        <v>Sales</v>
      </c>
      <c r="J25" s="17" t="str">
        <f ca="1">IFERROR(__xludf.DUMMYFUNCTION("""COMPUTED_VALUE"""),"Travel transportation")</f>
        <v>Travel transportation</v>
      </c>
      <c r="K25" s="17" t="str">
        <f ca="1">IFERROR(__xludf.DUMMYFUNCTION("""COMPUTED_VALUE"""),".")</f>
        <v>.</v>
      </c>
      <c r="L25" s="17"/>
      <c r="M25" s="17"/>
      <c r="N25" s="17"/>
      <c r="O25" s="17"/>
    </row>
    <row r="26" spans="1:15" ht="12.5">
      <c r="A26" s="17" t="str">
        <f ca="1">IFERROR(__xludf.DUMMYFUNCTION("""COMPUTED_VALUE"""),"TRX1983")</f>
        <v>TRX1983</v>
      </c>
      <c r="B26" s="86" t="str">
        <f ca="1">IFERROR(__xludf.DUMMYFUNCTION("""COMPUTED_VALUE"""),"#75")</f>
        <v>#75</v>
      </c>
      <c r="C26" s="63">
        <f ca="1">IFERROR(__xludf.DUMMYFUNCTION("""COMPUTED_VALUE"""),46065.4173611111)</f>
        <v>46065.417361111096</v>
      </c>
      <c r="D26" s="65">
        <f ca="1">IFERROR(__xludf.DUMMYFUNCTION("""COMPUTED_VALUE"""),1359.3)</f>
        <v>1359.3</v>
      </c>
      <c r="E26" s="17" t="str">
        <f ca="1">IFERROR(__xludf.DUMMYFUNCTION("""COMPUTED_VALUE"""),"USD")</f>
        <v>USD</v>
      </c>
      <c r="F26" s="17" t="str">
        <f ca="1">IFERROR(__xludf.DUMMYFUNCTION("""COMPUTED_VALUE"""),"Manuel Caldera Urcuyo")</f>
        <v>Manuel Caldera Urcuyo</v>
      </c>
      <c r="G26" s="17" t="str">
        <f ca="1">IFERROR(__xludf.DUMMYFUNCTION("""COMPUTED_VALUE"""),"INSTITUTE SUPPLY MGMT  TEMPE         USA")</f>
        <v>INSTITUTE SUPPLY MGMT  TEMPE         USA</v>
      </c>
      <c r="H26" s="17" t="str">
        <f ca="1">IFERROR(__xludf.DUMMYFUNCTION("""COMPUTED_VALUE"""),"Institute Supply Mgmt Tempe USA")</f>
        <v>Institute Supply Mgmt Tempe USA</v>
      </c>
      <c r="I26" s="17" t="str">
        <f ca="1">IFERROR(__xludf.DUMMYFUNCTION("""COMPUTED_VALUE"""),"Sales")</f>
        <v>Sales</v>
      </c>
      <c r="J26" s="17" t="str">
        <f ca="1">IFERROR(__xludf.DUMMYFUNCTION("""COMPUTED_VALUE"""),"Travel transportation")</f>
        <v>Travel transportation</v>
      </c>
      <c r="K26" s="17" t="str">
        <f ca="1">IFERROR(__xludf.DUMMYFUNCTION("""COMPUTED_VALUE"""),".")</f>
        <v>.</v>
      </c>
      <c r="L26" s="17"/>
      <c r="M26" s="17"/>
      <c r="N26" s="17"/>
      <c r="O26" s="17"/>
    </row>
    <row r="27" spans="1:15" ht="12.5">
      <c r="A27" s="17" t="str">
        <f ca="1">IFERROR(__xludf.DUMMYFUNCTION("""COMPUTED_VALUE"""),"TRX1375")</f>
        <v>TRX1375</v>
      </c>
      <c r="B27" s="86" t="str">
        <f ca="1">IFERROR(__xludf.DUMMYFUNCTION("""COMPUTED_VALUE"""),"-")</f>
        <v>-</v>
      </c>
      <c r="C27" s="63">
        <f ca="1">IFERROR(__xludf.DUMMYFUNCTION("""COMPUTED_VALUE"""),46066.4166666666)</f>
        <v>46066.416666666599</v>
      </c>
      <c r="D27" s="65">
        <f ca="1">IFERROR(__xludf.DUMMYFUNCTION("""COMPUTED_VALUE"""),429.98)</f>
        <v>429.98</v>
      </c>
      <c r="E27" s="17" t="str">
        <f ca="1">IFERROR(__xludf.DUMMYFUNCTION("""COMPUTED_VALUE"""),"MXN")</f>
        <v>MXN</v>
      </c>
      <c r="F27" s="17" t="str">
        <f ca="1">IFERROR(__xludf.DUMMYFUNCTION("""COMPUTED_VALUE"""),"Manuel Caldera Urcuyo")</f>
        <v>Manuel Caldera Urcuyo</v>
      </c>
      <c r="G27" s="17" t="str">
        <f ca="1">IFERROR(__xludf.DUMMYFUNCTION("""COMPUTED_VALUE"""),"UBER * PENDING         CMX           MEX")</f>
        <v>UBER * PENDING         CMX           MEX</v>
      </c>
      <c r="H27" s="17" t="str">
        <f ca="1">IFERROR(__xludf.DUMMYFUNCTION("""COMPUTED_VALUE"""),"Uber")</f>
        <v>Uber</v>
      </c>
      <c r="I27" s="17" t="str">
        <f ca="1">IFERROR(__xludf.DUMMYFUNCTION("""COMPUTED_VALUE"""),"Sales")</f>
        <v>Sales</v>
      </c>
      <c r="J27" s="17" t="str">
        <f ca="1">IFERROR(__xludf.DUMMYFUNCTION("""COMPUTED_VALUE"""),"Travel meal")</f>
        <v>Travel meal</v>
      </c>
      <c r="K27" s="17" t="str">
        <f ca="1">IFERROR(__xludf.DUMMYFUNCTION("""COMPUTED_VALUE"""),".")</f>
        <v>.</v>
      </c>
      <c r="L27" s="17"/>
      <c r="M27" s="17"/>
      <c r="N27" s="17"/>
      <c r="O27" s="17"/>
    </row>
    <row r="28" spans="1:15" ht="12.5">
      <c r="A28" s="17" t="str">
        <f ca="1">IFERROR(__xludf.DUMMYFUNCTION("""COMPUTED_VALUE"""),"TRX1347")</f>
        <v>TRX1347</v>
      </c>
      <c r="B28" s="86" t="str">
        <f ca="1">IFERROR(__xludf.DUMMYFUNCTION("""COMPUTED_VALUE"""),"#75")</f>
        <v>#75</v>
      </c>
      <c r="C28" s="63">
        <f ca="1">IFERROR(__xludf.DUMMYFUNCTION("""COMPUTED_VALUE"""),46066.4166666666)</f>
        <v>46066.416666666599</v>
      </c>
      <c r="D28" s="65">
        <f ca="1">IFERROR(__xludf.DUMMYFUNCTION("""COMPUTED_VALUE"""),119.98)</f>
        <v>119.98</v>
      </c>
      <c r="E28" s="17" t="str">
        <f ca="1">IFERROR(__xludf.DUMMYFUNCTION("""COMPUTED_VALUE"""),"MXN")</f>
        <v>MXN</v>
      </c>
      <c r="F28" s="17" t="str">
        <f ca="1">IFERROR(__xludf.DUMMYFUNCTION("""COMPUTED_VALUE"""),"Manuel Caldera Urcuyo")</f>
        <v>Manuel Caldera Urcuyo</v>
      </c>
      <c r="G28" s="17" t="str">
        <f ca="1">IFERROR(__xludf.DUMMYFUNCTION("""COMPUTED_VALUE"""),"UBER * PENDING         CMX           MEX")</f>
        <v>UBER * PENDING         CMX           MEX</v>
      </c>
      <c r="H28" s="17" t="str">
        <f ca="1">IFERROR(__xludf.DUMMYFUNCTION("""COMPUTED_VALUE"""),"Uber")</f>
        <v>Uber</v>
      </c>
      <c r="I28" s="17" t="str">
        <f ca="1">IFERROR(__xludf.DUMMYFUNCTION("""COMPUTED_VALUE"""),"Sales")</f>
        <v>Sales</v>
      </c>
      <c r="J28" s="17" t="str">
        <f ca="1">IFERROR(__xludf.DUMMYFUNCTION("""COMPUTED_VALUE"""),"Travel transportation")</f>
        <v>Travel transportation</v>
      </c>
      <c r="K28" s="17" t="str">
        <f ca="1">IFERROR(__xludf.DUMMYFUNCTION("""COMPUTED_VALUE"""),".")</f>
        <v>.</v>
      </c>
      <c r="L28" s="17"/>
      <c r="M28" s="17"/>
      <c r="N28" s="17"/>
      <c r="O28" s="17"/>
    </row>
    <row r="29" spans="1:15" ht="12.5">
      <c r="A29" s="17" t="str">
        <f ca="1">IFERROR(__xludf.DUMMYFUNCTION("""COMPUTED_VALUE"""),"TRX1454")</f>
        <v>TRX1454</v>
      </c>
      <c r="B29" s="86" t="str">
        <f ca="1">IFERROR(__xludf.DUMMYFUNCTION("""COMPUTED_VALUE"""),"-")</f>
        <v>-</v>
      </c>
      <c r="C29" s="63">
        <f ca="1">IFERROR(__xludf.DUMMYFUNCTION("""COMPUTED_VALUE"""),46066.4166666666)</f>
        <v>46066.416666666599</v>
      </c>
      <c r="D29" s="65">
        <f ca="1">IFERROR(__xludf.DUMMYFUNCTION("""COMPUTED_VALUE"""),20)</f>
        <v>20</v>
      </c>
      <c r="E29" s="17" t="str">
        <f ca="1">IFERROR(__xludf.DUMMYFUNCTION("""COMPUTED_VALUE"""),"MXN")</f>
        <v>MXN</v>
      </c>
      <c r="F29" s="17" t="str">
        <f ca="1">IFERROR(__xludf.DUMMYFUNCTION("""COMPUTED_VALUE"""),"Manuel Caldera Urcuyo")</f>
        <v>Manuel Caldera Urcuyo</v>
      </c>
      <c r="G29" s="17" t="str">
        <f ca="1">IFERROR(__xludf.DUMMYFUNCTION("""COMPUTED_VALUE"""),"UBER *TRIP HELP.UBER.C CMX           MEX")</f>
        <v>UBER *TRIP HELP.UBER.C CMX           MEX</v>
      </c>
      <c r="H29" s="17" t="str">
        <f ca="1">IFERROR(__xludf.DUMMYFUNCTION("""COMPUTED_VALUE"""),"Uber")</f>
        <v>Uber</v>
      </c>
      <c r="I29" s="17" t="str">
        <f ca="1">IFERROR(__xludf.DUMMYFUNCTION("""COMPUTED_VALUE"""),"Sales")</f>
        <v>Sales</v>
      </c>
      <c r="J29" s="17" t="str">
        <f ca="1">IFERROR(__xludf.DUMMYFUNCTION("""COMPUTED_VALUE"""),"Travel transportation")</f>
        <v>Travel transportation</v>
      </c>
      <c r="K29" s="17" t="str">
        <f ca="1">IFERROR(__xludf.DUMMYFUNCTION("""COMPUTED_VALUE"""),".")</f>
        <v>.</v>
      </c>
      <c r="L29" s="17"/>
      <c r="M29" s="17"/>
      <c r="N29" s="17"/>
      <c r="O29" s="17"/>
    </row>
    <row r="30" spans="1:15" ht="12.5">
      <c r="A30" s="17" t="str">
        <f ca="1">IFERROR(__xludf.DUMMYFUNCTION("""COMPUTED_VALUE"""),"TRX1415")</f>
        <v>TRX1415</v>
      </c>
      <c r="B30" s="86" t="str">
        <f ca="1">IFERROR(__xludf.DUMMYFUNCTION("""COMPUTED_VALUE"""),"-")</f>
        <v>-</v>
      </c>
      <c r="C30" s="63">
        <f ca="1">IFERROR(__xludf.DUMMYFUNCTION("""COMPUTED_VALUE"""),46066.4173611111)</f>
        <v>46066.417361111096</v>
      </c>
      <c r="D30" s="65">
        <f ca="1">IFERROR(__xludf.DUMMYFUNCTION("""COMPUTED_VALUE"""),303.6)</f>
        <v>303.60000000000002</v>
      </c>
      <c r="E30" s="17" t="str">
        <f ca="1">IFERROR(__xludf.DUMMYFUNCTION("""COMPUTED_VALUE"""),"MXN")</f>
        <v>MXN</v>
      </c>
      <c r="F30" s="17" t="str">
        <f ca="1">IFERROR(__xludf.DUMMYFUNCTION("""COMPUTED_VALUE"""),"Manuel Caldera Urcuyo")</f>
        <v>Manuel Caldera Urcuyo</v>
      </c>
      <c r="G30" s="17" t="str">
        <f ca="1">IFERROR(__xludf.DUMMYFUNCTION("""COMPUTED_VALUE"""),"REST EL FOGONCI SALA 6 CIUDAD DE MEX MEX")</f>
        <v>REST EL FOGONCI SALA 6 CIUDAD DE MEX MEX</v>
      </c>
      <c r="H30" s="17" t="str">
        <f ca="1">IFERROR(__xludf.DUMMYFUNCTION("""COMPUTED_VALUE"""),"Rest El Fogonci Sala 6 Ciudad De Mex Mex")</f>
        <v>Rest El Fogonci Sala 6 Ciudad De Mex Mex</v>
      </c>
      <c r="I30" s="17" t="str">
        <f ca="1">IFERROR(__xludf.DUMMYFUNCTION("""COMPUTED_VALUE"""),"Sales")</f>
        <v>Sales</v>
      </c>
      <c r="J30" s="17" t="str">
        <f ca="1">IFERROR(__xludf.DUMMYFUNCTION("""COMPUTED_VALUE"""),"Travel transportation")</f>
        <v>Travel transportation</v>
      </c>
      <c r="K30" s="17" t="str">
        <f ca="1">IFERROR(__xludf.DUMMYFUNCTION("""COMPUTED_VALUE"""),".")</f>
        <v>.</v>
      </c>
      <c r="L30" s="17"/>
      <c r="M30" s="17"/>
      <c r="N30" s="17"/>
      <c r="O30" s="17"/>
    </row>
    <row r="31" spans="1:15" ht="12.5">
      <c r="A31" s="17" t="str">
        <f ca="1">IFERROR(__xludf.DUMMYFUNCTION("""COMPUTED_VALUE"""),"TRX1630")</f>
        <v>TRX1630</v>
      </c>
      <c r="B31" s="86" t="str">
        <f ca="1">IFERROR(__xludf.DUMMYFUNCTION("""COMPUTED_VALUE"""),"-")</f>
        <v>-</v>
      </c>
      <c r="C31" s="63">
        <f ca="1">IFERROR(__xludf.DUMMYFUNCTION("""COMPUTED_VALUE"""),46066.4173611111)</f>
        <v>46066.417361111096</v>
      </c>
      <c r="D31" s="65">
        <f ca="1">IFERROR(__xludf.DUMMYFUNCTION("""COMPUTED_VALUE"""),1219.15)</f>
        <v>1219.1500000000001</v>
      </c>
      <c r="E31" s="17" t="str">
        <f ca="1">IFERROR(__xludf.DUMMYFUNCTION("""COMPUTED_VALUE"""),"USD")</f>
        <v>USD</v>
      </c>
      <c r="F31" s="17" t="str">
        <f ca="1">IFERROR(__xludf.DUMMYFUNCTION("""COMPUTED_VALUE"""),"Manuel Caldera Urcuyo")</f>
        <v>Manuel Caldera Urcuyo</v>
      </c>
      <c r="G31" s="17" t="str">
        <f ca="1">IFERROR(__xludf.DUMMYFUNCTION("""COMPUTED_VALUE"""),"UBER   *TRIP           SAN FRANCISCO USA")</f>
        <v>UBER   *TRIP           SAN FRANCISCO USA</v>
      </c>
      <c r="H31" s="17" t="str">
        <f ca="1">IFERROR(__xludf.DUMMYFUNCTION("""COMPUTED_VALUE"""),"Uber")</f>
        <v>Uber</v>
      </c>
      <c r="I31" s="17" t="str">
        <f ca="1">IFERROR(__xludf.DUMMYFUNCTION("""COMPUTED_VALUE"""),"Sales")</f>
        <v>Sales</v>
      </c>
      <c r="J31" s="17" t="str">
        <f ca="1">IFERROR(__xludf.DUMMYFUNCTION("""COMPUTED_VALUE"""),"Travel transportation")</f>
        <v>Travel transportation</v>
      </c>
      <c r="K31" s="17" t="str">
        <f ca="1">IFERROR(__xludf.DUMMYFUNCTION("""COMPUTED_VALUE"""),".")</f>
        <v>.</v>
      </c>
      <c r="L31" s="17"/>
      <c r="M31" s="17"/>
      <c r="N31" s="17"/>
      <c r="O31" s="17"/>
    </row>
    <row r="32" spans="1:15" ht="12.5">
      <c r="A32" s="17" t="str">
        <f ca="1">IFERROR(__xludf.DUMMYFUNCTION("""COMPUTED_VALUE"""),"TRX1772")</f>
        <v>TRX1772</v>
      </c>
      <c r="B32" s="86" t="str">
        <f ca="1">IFERROR(__xludf.DUMMYFUNCTION("""COMPUTED_VALUE"""),"#75")</f>
        <v>#75</v>
      </c>
      <c r="C32" s="63">
        <f ca="1">IFERROR(__xludf.DUMMYFUNCTION("""COMPUTED_VALUE"""),46067.4166666666)</f>
        <v>46067.416666666599</v>
      </c>
      <c r="D32" s="65">
        <f ca="1">IFERROR(__xludf.DUMMYFUNCTION("""COMPUTED_VALUE"""),61.5)</f>
        <v>61.5</v>
      </c>
      <c r="E32" s="17" t="str">
        <f ca="1">IFERROR(__xludf.DUMMYFUNCTION("""COMPUTED_VALUE"""),"MXN")</f>
        <v>MXN</v>
      </c>
      <c r="F32" s="17" t="str">
        <f ca="1">IFERROR(__xludf.DUMMYFUNCTION("""COMPUTED_VALUE"""),"Manuel Caldera Urcuyo")</f>
        <v>Manuel Caldera Urcuyo</v>
      </c>
      <c r="G32" s="17" t="str">
        <f ca="1">IFERROR(__xludf.DUMMYFUNCTION("""COMPUTED_VALUE"""),"UBER *TRIP HELP.UBER.C CMX           MEX")</f>
        <v>UBER *TRIP HELP.UBER.C CMX           MEX</v>
      </c>
      <c r="H32" s="17" t="str">
        <f ca="1">IFERROR(__xludf.DUMMYFUNCTION("""COMPUTED_VALUE"""),"Uber")</f>
        <v>Uber</v>
      </c>
      <c r="I32" s="17" t="str">
        <f ca="1">IFERROR(__xludf.DUMMYFUNCTION("""COMPUTED_VALUE"""),"Sales")</f>
        <v>Sales</v>
      </c>
      <c r="J32" s="17" t="str">
        <f ca="1">IFERROR(__xludf.DUMMYFUNCTION("""COMPUTED_VALUE"""),"Travel transportation")</f>
        <v>Travel transportation</v>
      </c>
      <c r="K32" s="17" t="str">
        <f ca="1">IFERROR(__xludf.DUMMYFUNCTION("""COMPUTED_VALUE"""),".")</f>
        <v>.</v>
      </c>
      <c r="L32" s="17"/>
      <c r="M32" s="17"/>
      <c r="N32" s="17"/>
      <c r="O32" s="17"/>
    </row>
    <row r="33" spans="1:15" ht="12.5">
      <c r="A33" s="17" t="str">
        <f ca="1">IFERROR(__xludf.DUMMYFUNCTION("""COMPUTED_VALUE"""),"TRX1771")</f>
        <v>TRX1771</v>
      </c>
      <c r="B33" s="86" t="str">
        <f ca="1">IFERROR(__xludf.DUMMYFUNCTION("""COMPUTED_VALUE"""),"#75")</f>
        <v>#75</v>
      </c>
      <c r="C33" s="63">
        <f ca="1">IFERROR(__xludf.DUMMYFUNCTION("""COMPUTED_VALUE"""),46067.4166666666)</f>
        <v>46067.416666666599</v>
      </c>
      <c r="D33" s="65">
        <f ca="1">IFERROR(__xludf.DUMMYFUNCTION("""COMPUTED_VALUE"""),20)</f>
        <v>20</v>
      </c>
      <c r="E33" s="17" t="str">
        <f ca="1">IFERROR(__xludf.DUMMYFUNCTION("""COMPUTED_VALUE"""),"MXN")</f>
        <v>MXN</v>
      </c>
      <c r="F33" s="17" t="str">
        <f ca="1">IFERROR(__xludf.DUMMYFUNCTION("""COMPUTED_VALUE"""),"Manuel Caldera Urcuyo")</f>
        <v>Manuel Caldera Urcuyo</v>
      </c>
      <c r="G33" s="17" t="str">
        <f ca="1">IFERROR(__xludf.DUMMYFUNCTION("""COMPUTED_VALUE"""),"UBER *TRIP HELP.UBER.C CMX           MEX")</f>
        <v>UBER *TRIP HELP.UBER.C CMX           MEX</v>
      </c>
      <c r="H33" s="17" t="str">
        <f ca="1">IFERROR(__xludf.DUMMYFUNCTION("""COMPUTED_VALUE"""),"Uber")</f>
        <v>Uber</v>
      </c>
      <c r="I33" s="17" t="str">
        <f ca="1">IFERROR(__xludf.DUMMYFUNCTION("""COMPUTED_VALUE"""),"Sales")</f>
        <v>Sales</v>
      </c>
      <c r="J33" s="17" t="str">
        <f ca="1">IFERROR(__xludf.DUMMYFUNCTION("""COMPUTED_VALUE"""),"Travel meal")</f>
        <v>Travel meal</v>
      </c>
      <c r="K33" s="17" t="str">
        <f ca="1">IFERROR(__xludf.DUMMYFUNCTION("""COMPUTED_VALUE"""),".")</f>
        <v>.</v>
      </c>
      <c r="L33" s="17"/>
      <c r="M33" s="17"/>
      <c r="N33" s="17"/>
      <c r="O33" s="17"/>
    </row>
    <row r="34" spans="1:15" ht="12.5">
      <c r="A34" s="17" t="str">
        <f ca="1">IFERROR(__xludf.DUMMYFUNCTION("""COMPUTED_VALUE"""),"TRX1704")</f>
        <v>TRX1704</v>
      </c>
      <c r="B34" s="86" t="str">
        <f ca="1">IFERROR(__xludf.DUMMYFUNCTION("""COMPUTED_VALUE"""),"-")</f>
        <v>-</v>
      </c>
      <c r="C34" s="63">
        <f ca="1">IFERROR(__xludf.DUMMYFUNCTION("""COMPUTED_VALUE"""),46067.4166666666)</f>
        <v>46067.416666666599</v>
      </c>
      <c r="D34" s="65">
        <f ca="1">IFERROR(__xludf.DUMMYFUNCTION("""COMPUTED_VALUE"""),230)</f>
        <v>230</v>
      </c>
      <c r="E34" s="17" t="str">
        <f ca="1">IFERROR(__xludf.DUMMYFUNCTION("""COMPUTED_VALUE"""),"MXN")</f>
        <v>MXN</v>
      </c>
      <c r="F34" s="17" t="str">
        <f ca="1">IFERROR(__xludf.DUMMYFUNCTION("""COMPUTED_VALUE"""),"Manuel Caldera Urcuyo")</f>
        <v>Manuel Caldera Urcuyo</v>
      </c>
      <c r="G34" s="17" t="str">
        <f ca="1">IFERROR(__xludf.DUMMYFUNCTION("""COMPUTED_VALUE"""),"MERCADOPAGO *TACOSLO   Miguel Hidalg MEX")</f>
        <v>MERCADOPAGO *TACOSLO   Miguel Hidalg MEX</v>
      </c>
      <c r="H34" s="17" t="str">
        <f ca="1">IFERROR(__xludf.DUMMYFUNCTION("""COMPUTED_VALUE"""),"Mercadopago")</f>
        <v>Mercadopago</v>
      </c>
      <c r="I34" s="17" t="str">
        <f ca="1">IFERROR(__xludf.DUMMYFUNCTION("""COMPUTED_VALUE"""),"Sales")</f>
        <v>Sales</v>
      </c>
      <c r="J34" s="17" t="str">
        <f ca="1">IFERROR(__xludf.DUMMYFUNCTION("""COMPUTED_VALUE"""),"Travel transportation")</f>
        <v>Travel transportation</v>
      </c>
      <c r="K34" s="17" t="str">
        <f ca="1">IFERROR(__xludf.DUMMYFUNCTION("""COMPUTED_VALUE"""),".")</f>
        <v>.</v>
      </c>
      <c r="L34" s="17"/>
      <c r="M34" s="17"/>
      <c r="N34" s="17"/>
      <c r="O34" s="17"/>
    </row>
    <row r="35" spans="1:15" ht="12.5">
      <c r="A35" s="17" t="str">
        <f ca="1">IFERROR(__xludf.DUMMYFUNCTION("""COMPUTED_VALUE"""),"TRX1961")</f>
        <v>TRX1961</v>
      </c>
      <c r="B35" s="86" t="str">
        <f ca="1">IFERROR(__xludf.DUMMYFUNCTION("""COMPUTED_VALUE"""),"#75")</f>
        <v>#75</v>
      </c>
      <c r="C35" s="63">
        <f ca="1">IFERROR(__xludf.DUMMYFUNCTION("""COMPUTED_VALUE"""),46067.4173611111)</f>
        <v>46067.417361111096</v>
      </c>
      <c r="D35" s="65">
        <f ca="1">IFERROR(__xludf.DUMMYFUNCTION("""COMPUTED_VALUE"""),678.5)</f>
        <v>678.5</v>
      </c>
      <c r="E35" s="17" t="str">
        <f ca="1">IFERROR(__xludf.DUMMYFUNCTION("""COMPUTED_VALUE"""),"MXN")</f>
        <v>MXN</v>
      </c>
      <c r="F35" s="17" t="str">
        <f ca="1">IFERROR(__xludf.DUMMYFUNCTION("""COMPUTED_VALUE"""),"Manuel Caldera Urcuyo")</f>
        <v>Manuel Caldera Urcuyo</v>
      </c>
      <c r="G35" s="17" t="str">
        <f ca="1">IFERROR(__xludf.DUMMYFUNCTION("""COMPUTED_VALUE"""),"FOUGASSE PRADO NORTE 1 CIUDAD DE MEX MEX")</f>
        <v>FOUGASSE PRADO NORTE 1 CIUDAD DE MEX MEX</v>
      </c>
      <c r="H35" s="17" t="str">
        <f ca="1">IFERROR(__xludf.DUMMYFUNCTION("""COMPUTED_VALUE"""),"Fougasse Prado Norte 1 Ciudad De Mex Mex")</f>
        <v>Fougasse Prado Norte 1 Ciudad De Mex Mex</v>
      </c>
      <c r="I35" s="17" t="str">
        <f ca="1">IFERROR(__xludf.DUMMYFUNCTION("""COMPUTED_VALUE"""),"Sales")</f>
        <v>Sales</v>
      </c>
      <c r="J35" s="17" t="str">
        <f ca="1">IFERROR(__xludf.DUMMYFUNCTION("""COMPUTED_VALUE"""),"Travel meal")</f>
        <v>Travel meal</v>
      </c>
      <c r="K35" s="17" t="str">
        <f ca="1">IFERROR(__xludf.DUMMYFUNCTION("""COMPUTED_VALUE"""),".")</f>
        <v>.</v>
      </c>
      <c r="L35" s="17"/>
      <c r="M35" s="17"/>
      <c r="N35" s="17"/>
      <c r="O35" s="17"/>
    </row>
    <row r="36" spans="1:15" ht="12.5">
      <c r="A36" s="17" t="str">
        <f ca="1">IFERROR(__xludf.DUMMYFUNCTION("""COMPUTED_VALUE"""),"TRX1293")</f>
        <v>TRX1293</v>
      </c>
      <c r="B36" s="86" t="str">
        <f ca="1">IFERROR(__xludf.DUMMYFUNCTION("""COMPUTED_VALUE"""),"-")</f>
        <v>-</v>
      </c>
      <c r="C36" s="63">
        <f ca="1">IFERROR(__xludf.DUMMYFUNCTION("""COMPUTED_VALUE"""),46068.4166666666)</f>
        <v>46068.416666666599</v>
      </c>
      <c r="D36" s="65">
        <f ca="1">IFERROR(__xludf.DUMMYFUNCTION("""COMPUTED_VALUE"""),49.98)</f>
        <v>49.98</v>
      </c>
      <c r="E36" s="17" t="str">
        <f ca="1">IFERROR(__xludf.DUMMYFUNCTION("""COMPUTED_VALUE"""),"MXN")</f>
        <v>MXN</v>
      </c>
      <c r="F36" s="17" t="str">
        <f ca="1">IFERROR(__xludf.DUMMYFUNCTION("""COMPUTED_VALUE"""),"Manuel Caldera Urcuyo")</f>
        <v>Manuel Caldera Urcuyo</v>
      </c>
      <c r="G36" s="17" t="str">
        <f ca="1">IFERROR(__xludf.DUMMYFUNCTION("""COMPUTED_VALUE"""),"UBER * PENDING         CMX           MEX")</f>
        <v>UBER * PENDING         CMX           MEX</v>
      </c>
      <c r="H36" s="17" t="str">
        <f ca="1">IFERROR(__xludf.DUMMYFUNCTION("""COMPUTED_VALUE"""),"Uber")</f>
        <v>Uber</v>
      </c>
      <c r="I36" s="17" t="str">
        <f ca="1">IFERROR(__xludf.DUMMYFUNCTION("""COMPUTED_VALUE"""),"Sales")</f>
        <v>Sales</v>
      </c>
      <c r="J36" s="17" t="str">
        <f ca="1">IFERROR(__xludf.DUMMYFUNCTION("""COMPUTED_VALUE"""),"Hotel")</f>
        <v>Hotel</v>
      </c>
      <c r="K36" s="17" t="str">
        <f ca="1">IFERROR(__xludf.DUMMYFUNCTION("""COMPUTED_VALUE"""),".")</f>
        <v>.</v>
      </c>
      <c r="L36" s="17"/>
      <c r="M36" s="17"/>
      <c r="N36" s="17"/>
      <c r="O36" s="17"/>
    </row>
    <row r="37" spans="1:15" ht="12.5">
      <c r="A37" s="17" t="str">
        <f ca="1">IFERROR(__xludf.DUMMYFUNCTION("""COMPUTED_VALUE"""),"TRX1499")</f>
        <v>TRX1499</v>
      </c>
      <c r="B37" s="86" t="str">
        <f ca="1">IFERROR(__xludf.DUMMYFUNCTION("""COMPUTED_VALUE"""),"#75")</f>
        <v>#75</v>
      </c>
      <c r="C37" s="63">
        <f ca="1">IFERROR(__xludf.DUMMYFUNCTION("""COMPUTED_VALUE"""),46068.4166666666)</f>
        <v>46068.416666666599</v>
      </c>
      <c r="D37" s="65">
        <f ca="1">IFERROR(__xludf.DUMMYFUNCTION("""COMPUTED_VALUE"""),20)</f>
        <v>20</v>
      </c>
      <c r="E37" s="17" t="str">
        <f ca="1">IFERROR(__xludf.DUMMYFUNCTION("""COMPUTED_VALUE"""),"MXN")</f>
        <v>MXN</v>
      </c>
      <c r="F37" s="17" t="str">
        <f ca="1">IFERROR(__xludf.DUMMYFUNCTION("""COMPUTED_VALUE"""),"Manuel Caldera Urcuyo")</f>
        <v>Manuel Caldera Urcuyo</v>
      </c>
      <c r="G37" s="17" t="str">
        <f ca="1">IFERROR(__xludf.DUMMYFUNCTION("""COMPUTED_VALUE"""),"UBER *TRIP HELP.UBER.C CMX           MEX")</f>
        <v>UBER *TRIP HELP.UBER.C CMX           MEX</v>
      </c>
      <c r="H37" s="17" t="str">
        <f ca="1">IFERROR(__xludf.DUMMYFUNCTION("""COMPUTED_VALUE"""),"Uber")</f>
        <v>Uber</v>
      </c>
      <c r="I37" s="17" t="str">
        <f ca="1">IFERROR(__xludf.DUMMYFUNCTION("""COMPUTED_VALUE"""),"Sales")</f>
        <v>Sales</v>
      </c>
      <c r="J37" s="17" t="str">
        <f ca="1">IFERROR(__xludf.DUMMYFUNCTION("""COMPUTED_VALUE"""),"Travel meal")</f>
        <v>Travel meal</v>
      </c>
      <c r="K37" s="17" t="str">
        <f ca="1">IFERROR(__xludf.DUMMYFUNCTION("""COMPUTED_VALUE"""),".")</f>
        <v>.</v>
      </c>
      <c r="L37" s="17"/>
      <c r="M37" s="17"/>
      <c r="N37" s="17"/>
      <c r="O37" s="17"/>
    </row>
    <row r="38" spans="1:15" ht="12.5">
      <c r="A38" s="17" t="str">
        <f ca="1">IFERROR(__xludf.DUMMYFUNCTION("""COMPUTED_VALUE"""),"TRX1476")</f>
        <v>TRX1476</v>
      </c>
      <c r="B38" s="86" t="str">
        <f ca="1">IFERROR(__xludf.DUMMYFUNCTION("""COMPUTED_VALUE"""),"-")</f>
        <v>-</v>
      </c>
      <c r="C38" s="63">
        <f ca="1">IFERROR(__xludf.DUMMYFUNCTION("""COMPUTED_VALUE"""),46068.4166666666)</f>
        <v>46068.416666666599</v>
      </c>
      <c r="D38" s="65">
        <f ca="1">IFERROR(__xludf.DUMMYFUNCTION("""COMPUTED_VALUE"""),299.99)</f>
        <v>299.99</v>
      </c>
      <c r="E38" s="17" t="str">
        <f ca="1">IFERROR(__xludf.DUMMYFUNCTION("""COMPUTED_VALUE"""),"MXN")</f>
        <v>MXN</v>
      </c>
      <c r="F38" s="17" t="str">
        <f ca="1">IFERROR(__xludf.DUMMYFUNCTION("""COMPUTED_VALUE"""),"Manuel Caldera Urcuyo")</f>
        <v>Manuel Caldera Urcuyo</v>
      </c>
      <c r="G38" s="17" t="str">
        <f ca="1">IFERROR(__xludf.DUMMYFUNCTION("""COMPUTED_VALUE"""),"UBER * PENDING         CMX           MEX")</f>
        <v>UBER * PENDING         CMX           MEX</v>
      </c>
      <c r="H38" s="17" t="str">
        <f ca="1">IFERROR(__xludf.DUMMYFUNCTION("""COMPUTED_VALUE"""),"Uber")</f>
        <v>Uber</v>
      </c>
      <c r="I38" s="17" t="str">
        <f ca="1">IFERROR(__xludf.DUMMYFUNCTION("""COMPUTED_VALUE"""),"Sales")</f>
        <v>Sales</v>
      </c>
      <c r="J38" s="17" t="str">
        <f ca="1">IFERROR(__xludf.DUMMYFUNCTION("""COMPUTED_VALUE"""),"Prima office in Houston")</f>
        <v>Prima office in Houston</v>
      </c>
      <c r="K38" s="17" t="str">
        <f ca="1">IFERROR(__xludf.DUMMYFUNCTION("""COMPUTED_VALUE"""),".")</f>
        <v>.</v>
      </c>
      <c r="L38" s="17"/>
      <c r="M38" s="17"/>
      <c r="N38" s="17"/>
      <c r="O38" s="17"/>
    </row>
    <row r="39" spans="1:15" ht="12.5">
      <c r="A39" s="17" t="str">
        <f ca="1">IFERROR(__xludf.DUMMYFUNCTION("""COMPUTED_VALUE"""),"TRX1417")</f>
        <v>TRX1417</v>
      </c>
      <c r="B39" s="86" t="str">
        <f ca="1">IFERROR(__xludf.DUMMYFUNCTION("""COMPUTED_VALUE"""),"#75")</f>
        <v>#75</v>
      </c>
      <c r="C39" s="63">
        <f ca="1">IFERROR(__xludf.DUMMYFUNCTION("""COMPUTED_VALUE"""),46068.4166666666)</f>
        <v>46068.416666666599</v>
      </c>
      <c r="D39" s="65">
        <f ca="1">IFERROR(__xludf.DUMMYFUNCTION("""COMPUTED_VALUE"""),20)</f>
        <v>20</v>
      </c>
      <c r="E39" s="17" t="str">
        <f ca="1">IFERROR(__xludf.DUMMYFUNCTION("""COMPUTED_VALUE"""),"MXN")</f>
        <v>MXN</v>
      </c>
      <c r="F39" s="17" t="str">
        <f ca="1">IFERROR(__xludf.DUMMYFUNCTION("""COMPUTED_VALUE"""),"Manuel Caldera Urcuyo")</f>
        <v>Manuel Caldera Urcuyo</v>
      </c>
      <c r="G39" s="17" t="str">
        <f ca="1">IFERROR(__xludf.DUMMYFUNCTION("""COMPUTED_VALUE"""),"UBER *TRIP HELP.UBER.C CMX           MEX")</f>
        <v>UBER *TRIP HELP.UBER.C CMX           MEX</v>
      </c>
      <c r="H39" s="17" t="str">
        <f ca="1">IFERROR(__xludf.DUMMYFUNCTION("""COMPUTED_VALUE"""),"Uber")</f>
        <v>Uber</v>
      </c>
      <c r="I39" s="17" t="str">
        <f ca="1">IFERROR(__xludf.DUMMYFUNCTION("""COMPUTED_VALUE"""),"Sales")</f>
        <v>Sales</v>
      </c>
      <c r="J39" s="17" t="str">
        <f ca="1">IFERROR(__xludf.DUMMYFUNCTION("""COMPUTED_VALUE"""),"Travel meal")</f>
        <v>Travel meal</v>
      </c>
      <c r="K39" s="17" t="str">
        <f ca="1">IFERROR(__xludf.DUMMYFUNCTION("""COMPUTED_VALUE"""),".")</f>
        <v>.</v>
      </c>
      <c r="L39" s="17"/>
      <c r="M39" s="17"/>
      <c r="N39" s="17"/>
      <c r="O39" s="17"/>
    </row>
    <row r="40" spans="1:15" ht="12.5">
      <c r="A40" s="17" t="str">
        <f ca="1">IFERROR(__xludf.DUMMYFUNCTION("""COMPUTED_VALUE"""),"TRX1150")</f>
        <v>TRX1150</v>
      </c>
      <c r="B40" s="86" t="str">
        <f ca="1">IFERROR(__xludf.DUMMYFUNCTION("""COMPUTED_VALUE"""),"-")</f>
        <v>-</v>
      </c>
      <c r="C40" s="63">
        <f ca="1">IFERROR(__xludf.DUMMYFUNCTION("""COMPUTED_VALUE"""),46068.4166666666)</f>
        <v>46068.416666666599</v>
      </c>
      <c r="D40" s="65">
        <f ca="1">IFERROR(__xludf.DUMMYFUNCTION("""COMPUTED_VALUE"""),20)</f>
        <v>20</v>
      </c>
      <c r="E40" s="17" t="str">
        <f ca="1">IFERROR(__xludf.DUMMYFUNCTION("""COMPUTED_VALUE"""),"MXN")</f>
        <v>MXN</v>
      </c>
      <c r="F40" s="17" t="str">
        <f ca="1">IFERROR(__xludf.DUMMYFUNCTION("""COMPUTED_VALUE"""),"Manuel Caldera Urcuyo")</f>
        <v>Manuel Caldera Urcuyo</v>
      </c>
      <c r="G40" s="17" t="str">
        <f ca="1">IFERROR(__xludf.DUMMYFUNCTION("""COMPUTED_VALUE"""),"DLO*Uber               CDMX          MEX")</f>
        <v>DLO*Uber               CDMX          MEX</v>
      </c>
      <c r="H40" s="17" t="str">
        <f ca="1">IFERROR(__xludf.DUMMYFUNCTION("""COMPUTED_VALUE"""),"Uber")</f>
        <v>Uber</v>
      </c>
      <c r="I40" s="17" t="str">
        <f ca="1">IFERROR(__xludf.DUMMYFUNCTION("""COMPUTED_VALUE"""),"Sales")</f>
        <v>Sales</v>
      </c>
      <c r="J40" s="17" t="str">
        <f ca="1">IFERROR(__xludf.DUMMYFUNCTION("""COMPUTED_VALUE"""),"Hotel")</f>
        <v>Hotel</v>
      </c>
      <c r="K40" s="17" t="str">
        <f ca="1">IFERROR(__xludf.DUMMYFUNCTION("""COMPUTED_VALUE"""),".")</f>
        <v>.</v>
      </c>
      <c r="L40" s="17"/>
      <c r="M40" s="17"/>
      <c r="N40" s="17"/>
      <c r="O40" s="17"/>
    </row>
    <row r="41" spans="1:15" ht="12.5">
      <c r="A41" s="17" t="str">
        <f ca="1">IFERROR(__xludf.DUMMYFUNCTION("""COMPUTED_VALUE"""),"TRX1288")</f>
        <v>TRX1288</v>
      </c>
      <c r="B41" s="86" t="str">
        <f ca="1">IFERROR(__xludf.DUMMYFUNCTION("""COMPUTED_VALUE"""),"-")</f>
        <v>-</v>
      </c>
      <c r="C41" s="63">
        <f ca="1">IFERROR(__xludf.DUMMYFUNCTION("""COMPUTED_VALUE"""),46068.4173611111)</f>
        <v>46068.417361111096</v>
      </c>
      <c r="D41" s="65">
        <f ca="1">IFERROR(__xludf.DUMMYFUNCTION("""COMPUTED_VALUE"""),1317.12)</f>
        <v>1317.12</v>
      </c>
      <c r="E41" s="17" t="str">
        <f ca="1">IFERROR(__xludf.DUMMYFUNCTION("""COMPUTED_VALUE"""),"USD")</f>
        <v>USD</v>
      </c>
      <c r="F41" s="17" t="str">
        <f ca="1">IFERROR(__xludf.DUMMYFUNCTION("""COMPUTED_VALUE"""),"Manuel Caldera Urcuyo")</f>
        <v>Manuel Caldera Urcuyo</v>
      </c>
      <c r="G41" s="17" t="str">
        <f ca="1">IFERROR(__xludf.DUMMYFUNCTION("""COMPUTED_VALUE"""),"UBER   *TRIP           SAN FRANCISCO USA")</f>
        <v>UBER   *TRIP           SAN FRANCISCO USA</v>
      </c>
      <c r="H41" s="17" t="str">
        <f ca="1">IFERROR(__xludf.DUMMYFUNCTION("""COMPUTED_VALUE"""),"Uber")</f>
        <v>Uber</v>
      </c>
      <c r="I41" s="17" t="str">
        <f ca="1">IFERROR(__xludf.DUMMYFUNCTION("""COMPUTED_VALUE"""),"Sales")</f>
        <v>Sales</v>
      </c>
      <c r="J41" s="17" t="str">
        <f ca="1">IFERROR(__xludf.DUMMYFUNCTION("""COMPUTED_VALUE"""),"Travel meal")</f>
        <v>Travel meal</v>
      </c>
      <c r="K41" s="17" t="str">
        <f ca="1">IFERROR(__xludf.DUMMYFUNCTION("""COMPUTED_VALUE"""),".")</f>
        <v>.</v>
      </c>
      <c r="L41" s="17"/>
      <c r="M41" s="17"/>
      <c r="N41" s="17"/>
      <c r="O41" s="17"/>
    </row>
    <row r="42" spans="1:15" ht="12.5">
      <c r="A42" s="17" t="str">
        <f ca="1">IFERROR(__xludf.DUMMYFUNCTION("""COMPUTED_VALUE"""),"TRX1042")</f>
        <v>TRX1042</v>
      </c>
      <c r="B42" s="86" t="str">
        <f ca="1">IFERROR(__xludf.DUMMYFUNCTION("""COMPUTED_VALUE"""),"#75")</f>
        <v>#75</v>
      </c>
      <c r="C42" s="63">
        <f ca="1">IFERROR(__xludf.DUMMYFUNCTION("""COMPUTED_VALUE"""),46074.4180555555)</f>
        <v>46074.418055555499</v>
      </c>
      <c r="D42" s="65">
        <f ca="1">IFERROR(__xludf.DUMMYFUNCTION("""COMPUTED_VALUE"""),359.9)</f>
        <v>359.9</v>
      </c>
      <c r="E42" s="17" t="str">
        <f ca="1">IFERROR(__xludf.DUMMYFUNCTION("""COMPUTED_VALUE"""),"USD")</f>
        <v>USD</v>
      </c>
      <c r="F42" s="17" t="str">
        <f ca="1">IFERROR(__xludf.DUMMYFUNCTION("""COMPUTED_VALUE"""),"Manuel Caldera Urcuyo")</f>
        <v>Manuel Caldera Urcuyo</v>
      </c>
      <c r="G42" s="17" t="str">
        <f ca="1">IFERROR(__xludf.DUMMYFUNCTION("""COMPUTED_VALUE"""),"THE UPS STORE 1733     HOUSTON       USA")</f>
        <v>THE UPS STORE 1733     HOUSTON       USA</v>
      </c>
      <c r="H42" s="17" t="str">
        <f ca="1">IFERROR(__xludf.DUMMYFUNCTION("""COMPUTED_VALUE"""),"UPS")</f>
        <v>UPS</v>
      </c>
      <c r="I42" s="17" t="str">
        <f ca="1">IFERROR(__xludf.DUMMYFUNCTION("""COMPUTED_VALUE"""),"Sales")</f>
        <v>Sales</v>
      </c>
      <c r="J42" s="17" t="str">
        <f ca="1">IFERROR(__xludf.DUMMYFUNCTION("""COMPUTED_VALUE"""),"Hotel")</f>
        <v>Hotel</v>
      </c>
      <c r="K42" s="17" t="str">
        <f ca="1">IFERROR(__xludf.DUMMYFUNCTION("""COMPUTED_VALUE"""),".")</f>
        <v>.</v>
      </c>
      <c r="L42" s="17"/>
      <c r="M42" s="17"/>
      <c r="N42" s="17"/>
      <c r="O42" s="17"/>
    </row>
    <row r="43" spans="1:15" ht="12.5">
      <c r="A43" s="17" t="str">
        <f ca="1">IFERROR(__xludf.DUMMYFUNCTION("""COMPUTED_VALUE"""),"TRX1086")</f>
        <v>TRX1086</v>
      </c>
      <c r="B43" s="86" t="str">
        <f ca="1">IFERROR(__xludf.DUMMYFUNCTION("""COMPUTED_VALUE"""),"#75")</f>
        <v>#75</v>
      </c>
      <c r="C43" s="63">
        <f ca="1">IFERROR(__xludf.DUMMYFUNCTION("""COMPUTED_VALUE"""),46075.4173611111)</f>
        <v>46075.417361111096</v>
      </c>
      <c r="D43" s="65">
        <f ca="1">IFERROR(__xludf.DUMMYFUNCTION("""COMPUTED_VALUE"""),7774.91)</f>
        <v>7774.91</v>
      </c>
      <c r="E43" s="17" t="str">
        <f ca="1">IFERROR(__xludf.DUMMYFUNCTION("""COMPUTED_VALUE"""),"USD")</f>
        <v>USD</v>
      </c>
      <c r="F43" s="17" t="str">
        <f ca="1">IFERROR(__xludf.DUMMYFUNCTION("""COMPUTED_VALUE"""),"Manuel Caldera Urcuyo")</f>
        <v>Manuel Caldera Urcuyo</v>
      </c>
      <c r="G43" s="17" t="str">
        <f ca="1">IFERROR(__xludf.DUMMYFUNCTION("""COMPUTED_VALUE"""),"SPIRIT AIR ONLINE SALE MIRAMAR       USA")</f>
        <v>SPIRIT AIR ONLINE SALE MIRAMAR       USA</v>
      </c>
      <c r="H43" s="17" t="str">
        <f ca="1">IFERROR(__xludf.DUMMYFUNCTION("""COMPUTED_VALUE"""),"Spirit Airlines")</f>
        <v>Spirit Airlines</v>
      </c>
      <c r="I43" s="17" t="str">
        <f ca="1">IFERROR(__xludf.DUMMYFUNCTION("""COMPUTED_VALUE"""),"Sales")</f>
        <v>Sales</v>
      </c>
      <c r="J43" s="17" t="str">
        <f ca="1">IFERROR(__xludf.DUMMYFUNCTION("""COMPUTED_VALUE"""),"Travel transportation")</f>
        <v>Travel transportation</v>
      </c>
      <c r="K43" s="17" t="str">
        <f ca="1">IFERROR(__xludf.DUMMYFUNCTION("""COMPUTED_VALUE"""),".")</f>
        <v>.</v>
      </c>
      <c r="L43" s="17"/>
      <c r="M43" s="17"/>
      <c r="N43" s="17"/>
      <c r="O43" s="17"/>
    </row>
    <row r="44" spans="1:15" ht="12.5">
      <c r="A44" s="17" t="str">
        <f ca="1">IFERROR(__xludf.DUMMYFUNCTION("""COMPUTED_VALUE"""),"TRX1087")</f>
        <v>TRX1087</v>
      </c>
      <c r="B44" s="86" t="str">
        <f ca="1">IFERROR(__xludf.DUMMYFUNCTION("""COMPUTED_VALUE"""),"#75")</f>
        <v>#75</v>
      </c>
      <c r="C44" s="63">
        <f ca="1">IFERROR(__xludf.DUMMYFUNCTION("""COMPUTED_VALUE"""),46075.4173611111)</f>
        <v>46075.417361111096</v>
      </c>
      <c r="D44" s="65">
        <f ca="1">IFERROR(__xludf.DUMMYFUNCTION("""COMPUTED_VALUE"""),10827.55)</f>
        <v>10827.55</v>
      </c>
      <c r="E44" s="17" t="str">
        <f ca="1">IFERROR(__xludf.DUMMYFUNCTION("""COMPUTED_VALUE"""),"USD")</f>
        <v>USD</v>
      </c>
      <c r="F44" s="17" t="str">
        <f ca="1">IFERROR(__xludf.DUMMYFUNCTION("""COMPUTED_VALUE"""),"Manuel Caldera Urcuyo")</f>
        <v>Manuel Caldera Urcuyo</v>
      </c>
      <c r="G44" s="17" t="str">
        <f ca="1">IFERROR(__xludf.DUMMYFUNCTION("""COMPUTED_VALUE"""),"SPIRIT AIR ONLINE SALE MIRAMAR       USA")</f>
        <v>SPIRIT AIR ONLINE SALE MIRAMAR       USA</v>
      </c>
      <c r="H44" s="17" t="str">
        <f ca="1">IFERROR(__xludf.DUMMYFUNCTION("""COMPUTED_VALUE"""),"Spirit Airlines")</f>
        <v>Spirit Airlines</v>
      </c>
      <c r="I44" s="17" t="str">
        <f ca="1">IFERROR(__xludf.DUMMYFUNCTION("""COMPUTED_VALUE"""),"Sales")</f>
        <v>Sales</v>
      </c>
      <c r="J44" s="17"/>
      <c r="K44" s="17" t="str">
        <f ca="1">IFERROR(__xludf.DUMMYFUNCTION("""COMPUTED_VALUE"""),".")</f>
        <v>.</v>
      </c>
      <c r="L44" s="17"/>
      <c r="M44" s="17"/>
      <c r="N44" s="17"/>
      <c r="O44" s="17"/>
    </row>
    <row r="45" spans="1:15" ht="12.5">
      <c r="A45" s="17" t="str">
        <f ca="1">IFERROR(__xludf.DUMMYFUNCTION("""COMPUTED_VALUE"""),"TRX1089")</f>
        <v>TRX1089</v>
      </c>
      <c r="B45" s="86" t="str">
        <f ca="1">IFERROR(__xludf.DUMMYFUNCTION("""COMPUTED_VALUE"""),"#75")</f>
        <v>#75</v>
      </c>
      <c r="C45" s="63">
        <f ca="1">IFERROR(__xludf.DUMMYFUNCTION("""COMPUTED_VALUE"""),46075.4173611111)</f>
        <v>46075.417361111096</v>
      </c>
      <c r="D45" s="65">
        <f ca="1">IFERROR(__xludf.DUMMYFUNCTION("""COMPUTED_VALUE"""),719.78)</f>
        <v>719.78</v>
      </c>
      <c r="E45" s="17" t="str">
        <f ca="1">IFERROR(__xludf.DUMMYFUNCTION("""COMPUTED_VALUE"""),"USD")</f>
        <v>USD</v>
      </c>
      <c r="F45" s="17" t="str">
        <f ca="1">IFERROR(__xludf.DUMMYFUNCTION("""COMPUTED_VALUE"""),"Manuel Caldera Urcuyo")</f>
        <v>Manuel Caldera Urcuyo</v>
      </c>
      <c r="G45" s="17" t="str">
        <f ca="1">IFERROR(__xludf.DUMMYFUNCTION("""COMPUTED_VALUE"""),"CIRCLE K #2742588      HOUSTON       USA")</f>
        <v>CIRCLE K #2742588      HOUSTON       USA</v>
      </c>
      <c r="H45" s="17" t="str">
        <f ca="1">IFERROR(__xludf.DUMMYFUNCTION("""COMPUTED_VALUE"""),"Circle K")</f>
        <v>Circle K</v>
      </c>
      <c r="I45" s="17" t="str">
        <f ca="1">IFERROR(__xludf.DUMMYFUNCTION("""COMPUTED_VALUE"""),"Sales")</f>
        <v>Sales</v>
      </c>
      <c r="J45" s="17"/>
      <c r="K45" s="17" t="str">
        <f ca="1">IFERROR(__xludf.DUMMYFUNCTION("""COMPUTED_VALUE"""),".")</f>
        <v>.</v>
      </c>
      <c r="L45" s="17"/>
      <c r="M45" s="17"/>
      <c r="N45" s="17"/>
      <c r="O45" s="17"/>
    </row>
    <row r="46" spans="1:15" ht="12.5">
      <c r="A46" s="17" t="str">
        <f ca="1">IFERROR(__xludf.DUMMYFUNCTION("""COMPUTED_VALUE"""),"TRX1172")</f>
        <v>TRX1172</v>
      </c>
      <c r="B46" s="86" t="str">
        <f ca="1">IFERROR(__xludf.DUMMYFUNCTION("""COMPUTED_VALUE"""),"#75")</f>
        <v>#75</v>
      </c>
      <c r="C46" s="63">
        <f ca="1">IFERROR(__xludf.DUMMYFUNCTION("""COMPUTED_VALUE"""),46078.4173611111)</f>
        <v>46078.417361111096</v>
      </c>
      <c r="D46" s="65">
        <f ca="1">IFERROR(__xludf.DUMMYFUNCTION("""COMPUTED_VALUE"""),3376.73)</f>
        <v>3376.73</v>
      </c>
      <c r="E46" s="17" t="str">
        <f ca="1">IFERROR(__xludf.DUMMYFUNCTION("""COMPUTED_VALUE"""),"USD")</f>
        <v>USD</v>
      </c>
      <c r="F46" s="17" t="str">
        <f ca="1">IFERROR(__xludf.DUMMYFUNCTION("""COMPUTED_VALUE"""),"Manuel Caldera Urcuyo")</f>
        <v>Manuel Caldera Urcuyo</v>
      </c>
      <c r="G46" s="17" t="str">
        <f ca="1">IFERROR(__xludf.DUMMYFUNCTION("""COMPUTED_VALUE"""),"PAPPASITO'S CANTINA 32 HOUSTON       USA")</f>
        <v>PAPPASITO'S CANTINA 32 HOUSTON       USA</v>
      </c>
      <c r="H46" s="17" t="str">
        <f ca="1">IFERROR(__xludf.DUMMYFUNCTION("""COMPUTED_VALUE"""),"Pappasito's Cantina")</f>
        <v>Pappasito's Cantina</v>
      </c>
      <c r="I46" s="17" t="str">
        <f ca="1">IFERROR(__xludf.DUMMYFUNCTION("""COMPUTED_VALUE"""),"Sales")</f>
        <v>Sales</v>
      </c>
      <c r="J46" s="17"/>
      <c r="K46" s="17" t="str">
        <f ca="1">IFERROR(__xludf.DUMMYFUNCTION("""COMPUTED_VALUE"""),".")</f>
        <v>.</v>
      </c>
      <c r="L46" s="17"/>
      <c r="M46" s="17"/>
      <c r="N46" s="17"/>
      <c r="O46" s="17"/>
    </row>
    <row r="47" spans="1:15" ht="12.5">
      <c r="A47" s="17" t="str">
        <f ca="1">IFERROR(__xludf.DUMMYFUNCTION("""COMPUTED_VALUE"""),"TRX1238")</f>
        <v>TRX1238</v>
      </c>
      <c r="B47" s="86" t="str">
        <f ca="1">IFERROR(__xludf.DUMMYFUNCTION("""COMPUTED_VALUE"""),"#75")</f>
        <v>#75</v>
      </c>
      <c r="C47" s="63">
        <f ca="1">IFERROR(__xludf.DUMMYFUNCTION("""COMPUTED_VALUE"""),46080.4173611111)</f>
        <v>46080.417361111096</v>
      </c>
      <c r="D47" s="65">
        <f ca="1">IFERROR(__xludf.DUMMYFUNCTION("""COMPUTED_VALUE"""),609.3)</f>
        <v>609.29999999999995</v>
      </c>
      <c r="E47" s="17" t="str">
        <f ca="1">IFERROR(__xludf.DUMMYFUNCTION("""COMPUTED_VALUE"""),"USD")</f>
        <v>USD</v>
      </c>
      <c r="F47" s="17" t="str">
        <f ca="1">IFERROR(__xludf.DUMMYFUNCTION("""COMPUTED_VALUE"""),"Manuel Caldera Urcuyo")</f>
        <v>Manuel Caldera Urcuyo</v>
      </c>
      <c r="G47" s="17" t="str">
        <f ca="1">IFERROR(__xludf.DUMMYFUNCTION("""COMPUTED_VALUE"""),"UBER   *TRIP           SAN FRANCISCO USA")</f>
        <v>UBER   *TRIP           SAN FRANCISCO USA</v>
      </c>
      <c r="H47" s="17" t="str">
        <f ca="1">IFERROR(__xludf.DUMMYFUNCTION("""COMPUTED_VALUE"""),"Uber")</f>
        <v>Uber</v>
      </c>
      <c r="I47" s="17" t="str">
        <f ca="1">IFERROR(__xludf.DUMMYFUNCTION("""COMPUTED_VALUE"""),"Sales")</f>
        <v>Sales</v>
      </c>
      <c r="J47" s="17"/>
      <c r="K47" s="17" t="str">
        <f ca="1">IFERROR(__xludf.DUMMYFUNCTION("""COMPUTED_VALUE"""),".")</f>
        <v>.</v>
      </c>
      <c r="L47" s="17"/>
      <c r="M47" s="17"/>
      <c r="N47" s="17"/>
      <c r="O47" s="17"/>
    </row>
    <row r="48" spans="1:15" ht="12.5">
      <c r="A48" s="17" t="str">
        <f ca="1">IFERROR(__xludf.DUMMYFUNCTION("""COMPUTED_VALUE"""),"TRX1241")</f>
        <v>TRX1241</v>
      </c>
      <c r="B48" s="86" t="str">
        <f ca="1">IFERROR(__xludf.DUMMYFUNCTION("""COMPUTED_VALUE"""),"#75")</f>
        <v>#75</v>
      </c>
      <c r="C48" s="63">
        <f ca="1">IFERROR(__xludf.DUMMYFUNCTION("""COMPUTED_VALUE"""),46080.4173611111)</f>
        <v>46080.417361111096</v>
      </c>
      <c r="D48" s="65">
        <f ca="1">IFERROR(__xludf.DUMMYFUNCTION("""COMPUTED_VALUE"""),848.13)</f>
        <v>848.13</v>
      </c>
      <c r="E48" s="17" t="str">
        <f ca="1">IFERROR(__xludf.DUMMYFUNCTION("""COMPUTED_VALUE"""),"USD")</f>
        <v>USD</v>
      </c>
      <c r="F48" s="17" t="str">
        <f ca="1">IFERROR(__xludf.DUMMYFUNCTION("""COMPUTED_VALUE"""),"Manuel Caldera Urcuyo")</f>
        <v>Manuel Caldera Urcuyo</v>
      </c>
      <c r="G48" s="17" t="str">
        <f ca="1">IFERROR(__xludf.DUMMYFUNCTION("""COMPUTED_VALUE"""),"UBER   *TRIP           SAN FRANCISCO USA")</f>
        <v>UBER   *TRIP           SAN FRANCISCO USA</v>
      </c>
      <c r="H48" s="17" t="str">
        <f ca="1">IFERROR(__xludf.DUMMYFUNCTION("""COMPUTED_VALUE"""),"Uber")</f>
        <v>Uber</v>
      </c>
      <c r="I48" s="17"/>
      <c r="J48" s="17"/>
      <c r="K48" s="17" t="str">
        <f ca="1">IFERROR(__xludf.DUMMYFUNCTION("""COMPUTED_VALUE"""),".")</f>
        <v>.</v>
      </c>
      <c r="L48" s="17"/>
      <c r="M48" s="17"/>
      <c r="N48" s="17"/>
      <c r="O48" s="17"/>
    </row>
    <row r="49" spans="1:15" ht="12.5">
      <c r="A49" s="17" t="str">
        <f ca="1">IFERROR(__xludf.DUMMYFUNCTION("""COMPUTED_VALUE"""),"TRX1242")</f>
        <v>TRX1242</v>
      </c>
      <c r="B49" s="86" t="str">
        <f ca="1">IFERROR(__xludf.DUMMYFUNCTION("""COMPUTED_VALUE"""),"#75")</f>
        <v>#75</v>
      </c>
      <c r="C49" s="63">
        <f ca="1">IFERROR(__xludf.DUMMYFUNCTION("""COMPUTED_VALUE"""),46080.4173611111)</f>
        <v>46080.417361111096</v>
      </c>
      <c r="D49" s="65">
        <f ca="1">IFERROR(__xludf.DUMMYFUNCTION("""COMPUTED_VALUE"""),787.87)</f>
        <v>787.87</v>
      </c>
      <c r="E49" s="17" t="str">
        <f ca="1">IFERROR(__xludf.DUMMYFUNCTION("""COMPUTED_VALUE"""),"USD")</f>
        <v>USD</v>
      </c>
      <c r="F49" s="17" t="str">
        <f ca="1">IFERROR(__xludf.DUMMYFUNCTION("""COMPUTED_VALUE"""),"Manuel Caldera Urcuyo")</f>
        <v>Manuel Caldera Urcuyo</v>
      </c>
      <c r="G49" s="17" t="str">
        <f ca="1">IFERROR(__xludf.DUMMYFUNCTION("""COMPUTED_VALUE"""),"UBER   *TRIP           SAN FRANCISCO USA")</f>
        <v>UBER   *TRIP           SAN FRANCISCO USA</v>
      </c>
      <c r="H49" s="17" t="str">
        <f ca="1">IFERROR(__xludf.DUMMYFUNCTION("""COMPUTED_VALUE"""),"Uber")</f>
        <v>Uber</v>
      </c>
      <c r="I49" s="17"/>
      <c r="J49" s="17"/>
      <c r="K49" s="17" t="str">
        <f ca="1">IFERROR(__xludf.DUMMYFUNCTION("""COMPUTED_VALUE"""),".")</f>
        <v>.</v>
      </c>
      <c r="L49" s="17"/>
      <c r="M49" s="17"/>
      <c r="N49" s="17"/>
      <c r="O49" s="17"/>
    </row>
    <row r="50" spans="1:15" ht="12.5">
      <c r="A50" s="17" t="str">
        <f ca="1">IFERROR(__xludf.DUMMYFUNCTION("""COMPUTED_VALUE"""),"TRX1278")</f>
        <v>TRX1278</v>
      </c>
      <c r="B50" s="86" t="str">
        <f ca="1">IFERROR(__xludf.DUMMYFUNCTION("""COMPUTED_VALUE"""),"#75")</f>
        <v>#75</v>
      </c>
      <c r="C50" s="63">
        <f ca="1">IFERROR(__xludf.DUMMYFUNCTION("""COMPUTED_VALUE"""),46081.4173611111)</f>
        <v>46081.417361111096</v>
      </c>
      <c r="D50" s="17">
        <f ca="1">IFERROR(__xludf.DUMMYFUNCTION("""COMPUTED_VALUE"""),90.06)</f>
        <v>90.06</v>
      </c>
      <c r="E50" s="17" t="str">
        <f ca="1">IFERROR(__xludf.DUMMYFUNCTION("""COMPUTED_VALUE"""),"USD")</f>
        <v>USD</v>
      </c>
      <c r="F50" s="17" t="str">
        <f ca="1">IFERROR(__xludf.DUMMYFUNCTION("""COMPUTED_VALUE"""),"Manuel Caldera Urcuyo")</f>
        <v>Manuel Caldera Urcuyo</v>
      </c>
      <c r="G50" s="17" t="str">
        <f ca="1">IFERROR(__xludf.DUMMYFUNCTION("""COMPUTED_VALUE"""),"UBER   *TRIP           SAN FRANCISCO USA")</f>
        <v>UBER   *TRIP           SAN FRANCISCO USA</v>
      </c>
      <c r="H50" s="17" t="str">
        <f ca="1">IFERROR(__xludf.DUMMYFUNCTION("""COMPUTED_VALUE"""),"Uber")</f>
        <v>Uber</v>
      </c>
      <c r="I50" s="17"/>
      <c r="J50" s="17"/>
      <c r="K50" s="17" t="str">
        <f ca="1">IFERROR(__xludf.DUMMYFUNCTION("""COMPUTED_VALUE"""),".")</f>
        <v>.</v>
      </c>
      <c r="L50" s="17"/>
      <c r="M50" s="17"/>
      <c r="N50" s="17"/>
      <c r="O50" s="17"/>
    </row>
    <row r="51" spans="1:15" ht="12.5">
      <c r="A51" s="17" t="str">
        <f ca="1">IFERROR(__xludf.DUMMYFUNCTION("""COMPUTED_VALUE"""),"TRX1281")</f>
        <v>TRX1281</v>
      </c>
      <c r="B51" s="86" t="str">
        <f ca="1">IFERROR(__xludf.DUMMYFUNCTION("""COMPUTED_VALUE"""),"#75")</f>
        <v>#75</v>
      </c>
      <c r="C51" s="63">
        <f ca="1">IFERROR(__xludf.DUMMYFUNCTION("""COMPUTED_VALUE"""),46081.4173611111)</f>
        <v>46081.417361111096</v>
      </c>
      <c r="D51" s="17">
        <f ca="1">IFERROR(__xludf.DUMMYFUNCTION("""COMPUTED_VALUE"""),972.41)</f>
        <v>972.41</v>
      </c>
      <c r="E51" s="17" t="str">
        <f ca="1">IFERROR(__xludf.DUMMYFUNCTION("""COMPUTED_VALUE"""),"USD")</f>
        <v>USD</v>
      </c>
      <c r="F51" s="17" t="str">
        <f ca="1">IFERROR(__xludf.DUMMYFUNCTION("""COMPUTED_VALUE"""),"Manuel Caldera Urcuyo")</f>
        <v>Manuel Caldera Urcuyo</v>
      </c>
      <c r="G51" s="17" t="str">
        <f ca="1">IFERROR(__xludf.DUMMYFUNCTION("""COMPUTED_VALUE"""),"UBER   * PENDING       SAN FRANCISCO USA")</f>
        <v>UBER   * PENDING       SAN FRANCISCO USA</v>
      </c>
      <c r="H51" s="17" t="str">
        <f ca="1">IFERROR(__xludf.DUMMYFUNCTION("""COMPUTED_VALUE"""),"Uber")</f>
        <v>Uber</v>
      </c>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B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1970</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Sept'!$J$12:$J$1700=$A$2)"),"#N/A")</f>
        <v>#N/A</v>
      </c>
      <c r="B12" s="86"/>
      <c r="C12" s="86"/>
      <c r="D12" s="17" t="str">
        <f ca="1">IFERROR(__xludf.DUMMYFUNCTION("FILTER('Edo Cta Jeeves Sept'!$G$12:$G$1300,'Edo Cta Jeeves Sept'!$J$12:$J$1300=$A$2)"),"#N/A")</f>
        <v>#N/A</v>
      </c>
      <c r="E12" s="17" t="str">
        <f ca="1">IFERROR(__xludf.DUMMYFUNCTION("FILTER('Edo Cta Jeeves Sept'!$I$12:$I$1300,'Edo Cta Jeeves Sept'!$J$12:$J$1300=$A$2)"),"#N/A")</f>
        <v>#N/A</v>
      </c>
      <c r="F12" s="17" t="str">
        <f ca="1">IFERROR(__xludf.DUMMYFUNCTION("FILTER('Edo Cta Jeeves Sept'!$J$12:$J$1300,'Edo Cta Jeeves Sept'!$J$12:$J$1300=$A$2)"),"#N/A")</f>
        <v>#N/A</v>
      </c>
      <c r="G12" s="17" t="str">
        <f ca="1">IFERROR(__xludf.DUMMYFUNCTION("FILTER('Edo Cta Jeeves Sept'!$K$12:$L$1300,'Edo Cta Jeeves Sept'!$J$12:$J$1300=$A$2)"),"#N/A")</f>
        <v>#N/A</v>
      </c>
      <c r="H12" s="17"/>
      <c r="I12" s="17" t="str">
        <f ca="1">IFERROR(__xludf.DUMMYFUNCTION("IMPORTRANGE(""https://docs.google.com/spreadsheets/d/1i0MX37DliWevr17Lf288NkQN6V6L0PV_-ovQQC-cgkY/edit?gid=1404531132#gid=1404531132"",""I12:K80"")"),"")</f>
        <v/>
      </c>
      <c r="J12" s="17"/>
      <c r="K12" s="17" t="str">
        <f ca="1">IFERROR(__xludf.DUMMYFUNCTION("""COMPUTED_VALUE"""),".")</f>
        <v>.</v>
      </c>
      <c r="L12" s="17"/>
      <c r="M12" s="17"/>
      <c r="N12" s="17"/>
      <c r="O12" s="17"/>
    </row>
    <row r="13" spans="1:15" ht="15.75" customHeight="1">
      <c r="A13" s="24"/>
      <c r="B13" s="24"/>
      <c r="C13" s="24"/>
      <c r="D13" s="17"/>
      <c r="E13" s="17"/>
      <c r="F13" s="17"/>
      <c r="G13" s="17"/>
      <c r="H13" s="17"/>
      <c r="I13" s="17"/>
      <c r="J13" s="17"/>
      <c r="K13" s="17" t="str">
        <f ca="1">IFERROR(__xludf.DUMMYFUNCTION("""COMPUTED_VALUE"""),".")</f>
        <v>.</v>
      </c>
      <c r="L13" s="17"/>
      <c r="M13" s="17"/>
      <c r="N13" s="17"/>
      <c r="O13" s="17"/>
    </row>
    <row r="14" spans="1:15" ht="15.75" customHeight="1">
      <c r="A14" s="24"/>
      <c r="B14" s="24"/>
      <c r="C14" s="24"/>
      <c r="D14" s="17"/>
      <c r="E14" s="17"/>
      <c r="F14" s="17"/>
      <c r="G14" s="17"/>
      <c r="H14" s="17"/>
      <c r="I14" s="17"/>
      <c r="J14" s="17"/>
      <c r="K14" s="17" t="str">
        <f ca="1">IFERROR(__xludf.DUMMYFUNCTION("""COMPUTED_VALUE"""),".")</f>
        <v>.</v>
      </c>
      <c r="L14" s="17"/>
      <c r="M14" s="17"/>
      <c r="N14" s="17"/>
      <c r="O14" s="17"/>
    </row>
    <row r="15" spans="1:15" ht="15.75" customHeight="1">
      <c r="A15" s="24"/>
      <c r="B15" s="24"/>
      <c r="C15" s="24"/>
      <c r="D15" s="17"/>
      <c r="E15" s="17"/>
      <c r="F15" s="17"/>
      <c r="G15" s="17"/>
      <c r="H15" s="17"/>
      <c r="I15" s="17"/>
      <c r="J15" s="17"/>
      <c r="K15" s="17" t="str">
        <f ca="1">IFERROR(__xludf.DUMMYFUNCTION("""COMPUTED_VALUE"""),".")</f>
        <v>.</v>
      </c>
      <c r="L15" s="17"/>
      <c r="M15" s="17"/>
      <c r="N15" s="17"/>
      <c r="O15" s="17"/>
    </row>
    <row r="16" spans="1:15" ht="15.75" customHeight="1">
      <c r="A16" s="17"/>
      <c r="B16" s="24"/>
      <c r="C16" s="24"/>
      <c r="D16" s="133"/>
      <c r="E16" s="17"/>
      <c r="F16" s="17"/>
      <c r="G16" s="17"/>
      <c r="H16" s="17"/>
      <c r="I16" s="17"/>
      <c r="J16" s="17"/>
      <c r="K16" s="17" t="str">
        <f ca="1">IFERROR(__xludf.DUMMYFUNCTION("""COMPUTED_VALUE"""),".")</f>
        <v>.</v>
      </c>
      <c r="L16" s="17"/>
      <c r="M16" s="17"/>
      <c r="N16" s="17"/>
      <c r="O16" s="17"/>
    </row>
    <row r="17" spans="1:15" ht="15.75" customHeight="1">
      <c r="A17" s="17"/>
      <c r="B17" s="24"/>
      <c r="C17" s="24"/>
      <c r="D17" s="133"/>
      <c r="E17" s="17"/>
      <c r="F17" s="17"/>
      <c r="G17" s="17"/>
      <c r="H17" s="17"/>
      <c r="I17" s="17"/>
      <c r="J17" s="17"/>
      <c r="K17" s="17" t="str">
        <f ca="1">IFERROR(__xludf.DUMMYFUNCTION("""COMPUTED_VALUE"""),".")</f>
        <v>.</v>
      </c>
      <c r="L17" s="17"/>
      <c r="M17" s="17"/>
      <c r="N17" s="17"/>
      <c r="O17" s="17"/>
    </row>
    <row r="18" spans="1:15" ht="15.75" customHeight="1">
      <c r="A18" s="17"/>
      <c r="B18" s="24"/>
      <c r="C18" s="24"/>
      <c r="D18" s="17"/>
      <c r="E18" s="17"/>
      <c r="F18" s="17"/>
      <c r="G18" s="17"/>
      <c r="H18" s="17"/>
      <c r="I18" s="17"/>
      <c r="J18" s="17"/>
      <c r="K18" s="17" t="str">
        <f ca="1">IFERROR(__xludf.DUMMYFUNCTION("""COMPUTED_VALUE"""),".")</f>
        <v>.</v>
      </c>
      <c r="L18" s="17"/>
      <c r="M18" s="17"/>
      <c r="N18" s="17"/>
      <c r="O18" s="17"/>
    </row>
    <row r="19" spans="1:15" ht="15.75" customHeight="1">
      <c r="A19" s="17"/>
      <c r="B19" s="24"/>
      <c r="C19" s="24"/>
      <c r="D19" s="133"/>
      <c r="E19" s="17"/>
      <c r="F19" s="17"/>
      <c r="G19" s="17"/>
      <c r="H19" s="17"/>
      <c r="I19" s="17"/>
      <c r="J19" s="17"/>
      <c r="K19" s="17" t="str">
        <f ca="1">IFERROR(__xludf.DUMMYFUNCTION("""COMPUTED_VALUE"""),".")</f>
        <v>.</v>
      </c>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C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102</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Sept'!$J$12:$J$1700=$A$2)"),"TRX1257")</f>
        <v>TRX1257</v>
      </c>
      <c r="B12" s="86" t="str">
        <f ca="1">IFERROR(__xludf.DUMMYFUNCTION("""COMPUTED_VALUE"""),"-")</f>
        <v>-</v>
      </c>
      <c r="C12" s="86">
        <f ca="1">IFERROR(__xludf.DUMMYFUNCTION("""COMPUTED_VALUE"""),46058.4166666666)</f>
        <v>46058.416666666599</v>
      </c>
      <c r="D12" s="65">
        <f ca="1">IFERROR(__xludf.DUMMYFUNCTION("FILTER('Edo Cta Jeeves Sept'!$G$12:$G$1300,'Edo Cta Jeeves Sept'!$J$12:$J$1300=$A$2)"),89.94)</f>
        <v>89.94</v>
      </c>
      <c r="E12" s="17" t="str">
        <f ca="1">IFERROR(__xludf.DUMMYFUNCTION("FILTER('Edo Cta Jeeves Sept'!$I$12:$I$1300,'Edo Cta Jeeves Sept'!$J$12:$J$1300=$A$2)"),"MXN")</f>
        <v>MXN</v>
      </c>
      <c r="F12" s="17" t="str">
        <f ca="1">IFERROR(__xludf.DUMMYFUNCTION("FILTER('Edo Cta Jeeves Sept'!$J$12:$J$1300,'Edo Cta Jeeves Sept'!$J$12:$J$1300=$A$2)"),"Naomi Gonzalez")</f>
        <v>Naomi Gonzalez</v>
      </c>
      <c r="G12" s="17" t="str">
        <f ca="1">IFERROR(__xludf.DUMMYFUNCTION("FILTER('Edo Cta Jeeves Sept'!$K$12:$L$1300,'Edo Cta Jeeves Sept'!$J$12:$J$1300=$A$2)"),"UBER * PENDING         CMX           MEX")</f>
        <v>UBER * PENDING         CMX           MEX</v>
      </c>
      <c r="H12" s="17" t="str">
        <f ca="1">IFERROR(__xludf.DUMMYFUNCTION("""COMPUTED_VALUE"""),"Uber")</f>
        <v>Uber</v>
      </c>
      <c r="I12" s="17" t="str">
        <f ca="1">IFERROR(__xludf.DUMMYFUNCTION("IMPORTRANGE(""https://docs.google.com/spreadsheets/d/1Zif54HPNYG2XxV2erFz70O48p_jITLlInrCbB3sbKcU/edit?gid=1404531132#gid=1404531132"",""I12:K80"")"),"Transaction cost")</f>
        <v>Transaction cost</v>
      </c>
      <c r="J12" s="17" t="str">
        <f ca="1">IFERROR(__xludf.DUMMYFUNCTION("""COMPUTED_VALUE"""),"PO-1953 Envio de muestras ")</f>
        <v xml:space="preserve">PO-1953 Envio de muestras </v>
      </c>
      <c r="K12" s="17" t="str">
        <f ca="1">IFERROR(__xludf.DUMMYFUNCTION("""COMPUTED_VALUE"""),"No puede generar la factura")</f>
        <v>No puede generar la factura</v>
      </c>
      <c r="L12" s="17"/>
      <c r="M12" s="17"/>
      <c r="N12" s="17"/>
      <c r="O12" s="17"/>
    </row>
    <row r="13" spans="1:15" ht="15.75" customHeight="1">
      <c r="A13" s="24" t="str">
        <f ca="1">IFERROR(__xludf.DUMMYFUNCTION("""COMPUTED_VALUE"""),"TRX1220")</f>
        <v>TRX1220</v>
      </c>
      <c r="B13" s="86" t="str">
        <f ca="1">IFERROR(__xludf.DUMMYFUNCTION("""COMPUTED_VALUE"""),"-")</f>
        <v>-</v>
      </c>
      <c r="C13" s="63">
        <f ca="1">IFERROR(__xludf.DUMMYFUNCTION("""COMPUTED_VALUE"""),46058.4173611111)</f>
        <v>46058.417361111096</v>
      </c>
      <c r="D13" s="65">
        <f ca="1">IFERROR(__xludf.DUMMYFUNCTION("""COMPUTED_VALUE"""),446)</f>
        <v>446</v>
      </c>
      <c r="E13" s="17" t="str">
        <f ca="1">IFERROR(__xludf.DUMMYFUNCTION("""COMPUTED_VALUE"""),"MXN")</f>
        <v>MXN</v>
      </c>
      <c r="F13" s="17" t="str">
        <f ca="1">IFERROR(__xludf.DUMMYFUNCTION("""COMPUTED_VALUE"""),"Naomi Gonzalez")</f>
        <v>Naomi Gonzalez</v>
      </c>
      <c r="G13" s="17" t="str">
        <f ca="1">IFERROR(__xludf.DUMMYFUNCTION("""COMPUTED_VALUE"""),"CLIP MX*REST SHAKA 808 MIGUEL HIDALG MEX")</f>
        <v>CLIP MX*REST SHAKA 808 MIGUEL HIDALG MEX</v>
      </c>
      <c r="H13" s="17" t="str">
        <f ca="1">IFERROR(__xludf.DUMMYFUNCTION("""COMPUTED_VALUE"""),"Clip Mx Rest Shaka 808 Miguel Hidalg Mex")</f>
        <v>Clip Mx Rest Shaka 808 Miguel Hidalg Mex</v>
      </c>
      <c r="I13" s="17" t="str">
        <f ca="1">IFERROR(__xludf.DUMMYFUNCTION("""COMPUTED_VALUE"""),"Transaction cost")</f>
        <v>Transaction cost</v>
      </c>
      <c r="J13" s="17" t="str">
        <f ca="1">IFERROR(__xludf.DUMMYFUNCTION("""COMPUTED_VALUE"""),"PO-1953 Comida 2 personas ")</f>
        <v xml:space="preserve">PO-1953 Comida 2 personas </v>
      </c>
      <c r="K13" s="17">
        <f ca="1">IFERROR(__xludf.DUMMYFUNCTION("""COMPUTED_VALUE"""),1823)</f>
        <v>1823</v>
      </c>
      <c r="L13" s="17"/>
      <c r="M13" s="17"/>
      <c r="N13" s="17"/>
      <c r="O13" s="17"/>
    </row>
    <row r="14" spans="1:15" ht="15.75" customHeight="1">
      <c r="A14" s="24" t="str">
        <f ca="1">IFERROR(__xludf.DUMMYFUNCTION("""COMPUTED_VALUE"""),"TRX1229")</f>
        <v>TRX1229</v>
      </c>
      <c r="B14" s="86" t="str">
        <f ca="1">IFERROR(__xludf.DUMMYFUNCTION("""COMPUTED_VALUE"""),"-")</f>
        <v>-</v>
      </c>
      <c r="C14" s="63">
        <f ca="1">IFERROR(__xludf.DUMMYFUNCTION("""COMPUTED_VALUE"""),46067.4166666666)</f>
        <v>46067.416666666599</v>
      </c>
      <c r="D14" s="65">
        <f ca="1">IFERROR(__xludf.DUMMYFUNCTION("""COMPUTED_VALUE"""),79.96)</f>
        <v>79.959999999999994</v>
      </c>
      <c r="E14" s="17" t="str">
        <f ca="1">IFERROR(__xludf.DUMMYFUNCTION("""COMPUTED_VALUE"""),"MXN")</f>
        <v>MXN</v>
      </c>
      <c r="F14" s="17" t="str">
        <f ca="1">IFERROR(__xludf.DUMMYFUNCTION("""COMPUTED_VALUE"""),"Naomi Gonzalez")</f>
        <v>Naomi Gonzalez</v>
      </c>
      <c r="G14" s="17" t="str">
        <f ca="1">IFERROR(__xludf.DUMMYFUNCTION("""COMPUTED_VALUE"""),"UBER * PENDING         CMX           MEX")</f>
        <v>UBER * PENDING         CMX           MEX</v>
      </c>
      <c r="H14" s="17" t="str">
        <f ca="1">IFERROR(__xludf.DUMMYFUNCTION("""COMPUTED_VALUE"""),"Uber")</f>
        <v>Uber</v>
      </c>
      <c r="I14" s="17" t="str">
        <f ca="1">IFERROR(__xludf.DUMMYFUNCTION("""COMPUTED_VALUE"""),"Transaction cost")</f>
        <v>Transaction cost</v>
      </c>
      <c r="J14" s="17" t="str">
        <f ca="1">IFERROR(__xludf.DUMMYFUNCTION("""COMPUTED_VALUE"""),"PO-1953 Envio de muestras ")</f>
        <v xml:space="preserve">PO-1953 Envio de muestras </v>
      </c>
      <c r="K14" s="17" t="str">
        <f ca="1">IFERROR(__xludf.DUMMYFUNCTION("""COMPUTED_VALUE"""),"TER-143365272")</f>
        <v>TER-143365272</v>
      </c>
      <c r="L14" s="17"/>
      <c r="M14" s="17"/>
      <c r="N14" s="17"/>
      <c r="O14" s="17"/>
    </row>
    <row r="15" spans="1:15" ht="15.75" customHeight="1">
      <c r="A15" s="24" t="str">
        <f ca="1">IFERROR(__xludf.DUMMYFUNCTION("""COMPUTED_VALUE"""),"TRX1392")</f>
        <v>TRX1392</v>
      </c>
      <c r="B15" s="86" t="str">
        <f ca="1">IFERROR(__xludf.DUMMYFUNCTION("""COMPUTED_VALUE"""),"-")</f>
        <v>-</v>
      </c>
      <c r="C15" s="63">
        <f ca="1">IFERROR(__xludf.DUMMYFUNCTION("""COMPUTED_VALUE"""),46069.4166666666)</f>
        <v>46069.416666666599</v>
      </c>
      <c r="D15" s="65">
        <f ca="1">IFERROR(__xludf.DUMMYFUNCTION("""COMPUTED_VALUE"""),139)</f>
        <v>139</v>
      </c>
      <c r="E15" s="17" t="str">
        <f ca="1">IFERROR(__xludf.DUMMYFUNCTION("""COMPUTED_VALUE"""),"MXN")</f>
        <v>MXN</v>
      </c>
      <c r="F15" s="17" t="str">
        <f ca="1">IFERROR(__xludf.DUMMYFUNCTION("""COMPUTED_VALUE"""),"Naomi Gonzalez")</f>
        <v>Naomi Gonzalez</v>
      </c>
      <c r="G15" s="17" t="str">
        <f ca="1">IFERROR(__xludf.DUMMYFUNCTION("""COMPUTED_VALUE"""),"OFFICE DEPOT MIYANA    CIUDAD DE MEX MEX")</f>
        <v>OFFICE DEPOT MIYANA    CIUDAD DE MEX MEX</v>
      </c>
      <c r="H15" s="17" t="str">
        <f ca="1">IFERROR(__xludf.DUMMYFUNCTION("""COMPUTED_VALUE"""),"Office Depot")</f>
        <v>Office Depot</v>
      </c>
      <c r="I15" s="17" t="str">
        <f ca="1">IFERROR(__xludf.DUMMYFUNCTION("""COMPUTED_VALUE"""),"Office expenses")</f>
        <v>Office expenses</v>
      </c>
      <c r="J15" s="17" t="str">
        <f ca="1">IFERROR(__xludf.DUMMYFUNCTION("""COMPUTED_VALUE"""),"PO-1953 Baterias para laser medición ")</f>
        <v xml:space="preserve">PO-1953 Baterias para laser medición </v>
      </c>
      <c r="K15" s="17" t="str">
        <f ca="1">IFERROR(__xludf.DUMMYFUNCTION("""COMPUTED_VALUE"""),"POSE81725663")</f>
        <v>POSE81725663</v>
      </c>
      <c r="L15" s="17"/>
      <c r="M15" s="17"/>
      <c r="N15" s="17"/>
      <c r="O15" s="17"/>
    </row>
    <row r="16" spans="1:15" ht="15.75" customHeight="1">
      <c r="A16" s="17" t="str">
        <f ca="1">IFERROR(__xludf.DUMMYFUNCTION("""COMPUTED_VALUE"""),"TRX1886")</f>
        <v>TRX1886</v>
      </c>
      <c r="B16" s="86" t="str">
        <f ca="1">IFERROR(__xludf.DUMMYFUNCTION("""COMPUTED_VALUE"""),"-")</f>
        <v>-</v>
      </c>
      <c r="C16" s="63">
        <f ca="1">IFERROR(__xludf.DUMMYFUNCTION("""COMPUTED_VALUE"""),46070.4166666666)</f>
        <v>46070.416666666599</v>
      </c>
      <c r="D16" s="132">
        <f ca="1">IFERROR(__xludf.DUMMYFUNCTION("""COMPUTED_VALUE"""),182.74)</f>
        <v>182.74</v>
      </c>
      <c r="E16" s="17" t="str">
        <f ca="1">IFERROR(__xludf.DUMMYFUNCTION("""COMPUTED_VALUE"""),"MXN")</f>
        <v>MXN</v>
      </c>
      <c r="F16" s="17" t="str">
        <f ca="1">IFERROR(__xludf.DUMMYFUNCTION("""COMPUTED_VALUE"""),"Naomi Gonzalez")</f>
        <v>Naomi Gonzalez</v>
      </c>
      <c r="G16" s="17" t="str">
        <f ca="1">IFERROR(__xludf.DUMMYFUNCTION("""COMPUTED_VALUE"""),"UBER * PENDING         CMX           MEX")</f>
        <v>UBER * PENDING         CMX           MEX</v>
      </c>
      <c r="H16" s="17" t="str">
        <f ca="1">IFERROR(__xludf.DUMMYFUNCTION("""COMPUTED_VALUE"""),"Uber")</f>
        <v>Uber</v>
      </c>
      <c r="I16" s="17" t="str">
        <f ca="1">IFERROR(__xludf.DUMMYFUNCTION("""COMPUTED_VALUE"""),"Transaction cost")</f>
        <v>Transaction cost</v>
      </c>
      <c r="J16" s="17" t="str">
        <f ca="1">IFERROR(__xludf.DUMMYFUNCTION("""COMPUTED_VALUE"""),"Cliente Potencial Traslado a terminal autobus")</f>
        <v>Cliente Potencial Traslado a terminal autobus</v>
      </c>
      <c r="K16" s="17" t="str">
        <f ca="1">IFERROR(__xludf.DUMMYFUNCTION("""COMPUTED_VALUE"""),"45679-0002648")</f>
        <v>45679-0002648</v>
      </c>
      <c r="L16" s="17"/>
      <c r="M16" s="17"/>
      <c r="N16" s="17"/>
      <c r="O16" s="17"/>
    </row>
    <row r="17" spans="1:15" ht="15.75" customHeight="1">
      <c r="A17" s="17" t="str">
        <f ca="1">IFERROR(__xludf.DUMMYFUNCTION("""COMPUTED_VALUE"""),"TRX1510")</f>
        <v>TRX1510</v>
      </c>
      <c r="B17" s="86" t="str">
        <f ca="1">IFERROR(__xludf.DUMMYFUNCTION("""COMPUTED_VALUE"""),"-")</f>
        <v>-</v>
      </c>
      <c r="C17" s="63">
        <f ca="1">IFERROR(__xludf.DUMMYFUNCTION("""COMPUTED_VALUE"""),46071.4166666666)</f>
        <v>46071.416666666599</v>
      </c>
      <c r="D17" s="132">
        <f ca="1">IFERROR(__xludf.DUMMYFUNCTION("""COMPUTED_VALUE"""),178)</f>
        <v>178</v>
      </c>
      <c r="E17" s="17" t="str">
        <f ca="1">IFERROR(__xludf.DUMMYFUNCTION("""COMPUTED_VALUE"""),"MXN")</f>
        <v>MXN</v>
      </c>
      <c r="F17" s="17" t="str">
        <f ca="1">IFERROR(__xludf.DUMMYFUNCTION("""COMPUTED_VALUE"""),"Naomi Gonzalez")</f>
        <v>Naomi Gonzalez</v>
      </c>
      <c r="G17" s="17" t="str">
        <f ca="1">IFERROR(__xludf.DUMMYFUNCTION("""COMPUTED_VALUE"""),"MERCADOPAGO *EBUS      Ciudad de Mex MEX")</f>
        <v>MERCADOPAGO *EBUS      Ciudad de Mex MEX</v>
      </c>
      <c r="H17" s="17" t="str">
        <f ca="1">IFERROR(__xludf.DUMMYFUNCTION("""COMPUTED_VALUE"""),"Mercadopago")</f>
        <v>Mercadopago</v>
      </c>
      <c r="I17" s="17" t="str">
        <f ca="1">IFERROR(__xludf.DUMMYFUNCTION("""COMPUTED_VALUE"""),"Transaction cost")</f>
        <v>Transaction cost</v>
      </c>
      <c r="J17" s="17" t="str">
        <f ca="1">IFERROR(__xludf.DUMMYFUNCTION("""COMPUTED_VALUE"""),"Cliente Potencial Bus a aeropuerto ")</f>
        <v xml:space="preserve">Cliente Potencial Bus a aeropuerto </v>
      </c>
      <c r="K17" s="17" t="str">
        <f ca="1">IFERROR(__xludf.DUMMYFUNCTION("""COMPUTED_VALUE"""),"TTPD-820280")</f>
        <v>TTPD-820280</v>
      </c>
      <c r="L17" s="17"/>
      <c r="M17" s="17"/>
      <c r="N17" s="17"/>
      <c r="O17" s="17"/>
    </row>
    <row r="18" spans="1:15" ht="15.75" customHeight="1">
      <c r="A18" s="17" t="str">
        <f ca="1">IFERROR(__xludf.DUMMYFUNCTION("""COMPUTED_VALUE"""),"TRX1897")</f>
        <v>TRX1897</v>
      </c>
      <c r="B18" s="86" t="str">
        <f ca="1">IFERROR(__xludf.DUMMYFUNCTION("""COMPUTED_VALUE"""),"-")</f>
        <v>-</v>
      </c>
      <c r="C18" s="63">
        <f ca="1">IFERROR(__xludf.DUMMYFUNCTION("""COMPUTED_VALUE"""),46071.4173611111)</f>
        <v>46071.417361111096</v>
      </c>
      <c r="D18" s="65">
        <f ca="1">IFERROR(__xludf.DUMMYFUNCTION("""COMPUTED_VALUE"""),25)</f>
        <v>25</v>
      </c>
      <c r="E18" s="17" t="str">
        <f ca="1">IFERROR(__xludf.DUMMYFUNCTION("""COMPUTED_VALUE"""),"MXN")</f>
        <v>MXN</v>
      </c>
      <c r="F18" s="17" t="str">
        <f ca="1">IFERROR(__xludf.DUMMYFUNCTION("""COMPUTED_VALUE"""),"Naomi Gonzalez")</f>
        <v>Naomi Gonzalez</v>
      </c>
      <c r="G18" s="17" t="str">
        <f ca="1">IFERROR(__xludf.DUMMYFUNCTION("""COMPUTED_VALUE"""),"TELCEL RECARGAS FONY   CIUDAD DE MEX MEX")</f>
        <v>TELCEL RECARGAS FONY   CIUDAD DE MEX MEX</v>
      </c>
      <c r="H18" s="17" t="str">
        <f ca="1">IFERROR(__xludf.DUMMYFUNCTION("""COMPUTED_VALUE"""),"Telcel")</f>
        <v>Telcel</v>
      </c>
      <c r="I18" s="17" t="str">
        <f ca="1">IFERROR(__xludf.DUMMYFUNCTION("""COMPUTED_VALUE"""),"Transaction cost")</f>
        <v>Transaction cost</v>
      </c>
      <c r="J18" s="17"/>
      <c r="K18" s="17" t="str">
        <f ca="1">IFERROR(__xludf.DUMMYFUNCTION("""COMPUTED_VALUE"""),".")</f>
        <v>.</v>
      </c>
      <c r="L18" s="17"/>
      <c r="M18" s="17"/>
      <c r="N18" s="17"/>
      <c r="O18" s="17"/>
    </row>
    <row r="19" spans="1:15" ht="15.75" customHeight="1">
      <c r="A19" s="17" t="str">
        <f ca="1">IFERROR(__xludf.DUMMYFUNCTION("""COMPUTED_VALUE"""),"TRX1040")</f>
        <v>TRX1040</v>
      </c>
      <c r="B19" s="86" t="str">
        <f ca="1">IFERROR(__xludf.DUMMYFUNCTION("""COMPUTED_VALUE"""),"-")</f>
        <v>-</v>
      </c>
      <c r="C19" s="63">
        <f ca="1">IFERROR(__xludf.DUMMYFUNCTION("""COMPUTED_VALUE"""),46072.4166666666)</f>
        <v>46072.416666666599</v>
      </c>
      <c r="D19" s="132">
        <f ca="1">IFERROR(__xludf.DUMMYFUNCTION("""COMPUTED_VALUE"""),259.95)</f>
        <v>259.95</v>
      </c>
      <c r="E19" s="17" t="str">
        <f ca="1">IFERROR(__xludf.DUMMYFUNCTION("""COMPUTED_VALUE"""),"MXN")</f>
        <v>MXN</v>
      </c>
      <c r="F19" s="17" t="str">
        <f ca="1">IFERROR(__xludf.DUMMYFUNCTION("""COMPUTED_VALUE"""),"Naomi Gonzalez")</f>
        <v>Naomi Gonzalez</v>
      </c>
      <c r="G19" s="17" t="str">
        <f ca="1">IFERROR(__xludf.DUMMYFUNCTION("""COMPUTED_VALUE"""),"UBER * PENDING         CMX           MEX")</f>
        <v>UBER * PENDING         CMX           MEX</v>
      </c>
      <c r="H19" s="17" t="str">
        <f ca="1">IFERROR(__xludf.DUMMYFUNCTION("""COMPUTED_VALUE"""),"Uber")</f>
        <v>Uber</v>
      </c>
      <c r="I19" s="17" t="str">
        <f ca="1">IFERROR(__xludf.DUMMYFUNCTION("""COMPUTED_VALUE"""),"Transaction cost")</f>
        <v>Transaction cost</v>
      </c>
      <c r="J19" s="17" t="str">
        <f ca="1">IFERROR(__xludf.DUMMYFUNCTION("""COMPUTED_VALUE"""),"Cliente Potencial Traslado de aeropuerto")</f>
        <v>Cliente Potencial Traslado de aeropuerto</v>
      </c>
      <c r="K19" s="17" t="str">
        <f ca="1">IFERROR(__xludf.DUMMYFUNCTION("""COMPUTED_VALUE"""),"No puede generar la factura")</f>
        <v>No puede generar la factura</v>
      </c>
      <c r="L19" s="17"/>
      <c r="M19" s="17"/>
      <c r="N19" s="17"/>
      <c r="O19" s="17"/>
    </row>
    <row r="20" spans="1:15" ht="12.5">
      <c r="A20" s="17" t="str">
        <f ca="1">IFERROR(__xludf.DUMMYFUNCTION("""COMPUTED_VALUE"""),"TRX1756")</f>
        <v>TRX1756</v>
      </c>
      <c r="B20" s="86" t="str">
        <f ca="1">IFERROR(__xludf.DUMMYFUNCTION("""COMPUTED_VALUE"""),"#77")</f>
        <v>#77</v>
      </c>
      <c r="C20" s="63">
        <f ca="1">IFERROR(__xludf.DUMMYFUNCTION("""COMPUTED_VALUE"""),46072.4166666666)</f>
        <v>46072.416666666599</v>
      </c>
      <c r="D20" s="132">
        <f ca="1">IFERROR(__xludf.DUMMYFUNCTION("""COMPUTED_VALUE"""),204)</f>
        <v>204</v>
      </c>
      <c r="E20" s="17" t="str">
        <f ca="1">IFERROR(__xludf.DUMMYFUNCTION("""COMPUTED_VALUE"""),"MXN")</f>
        <v>MXN</v>
      </c>
      <c r="F20" s="17" t="str">
        <f ca="1">IFERROR(__xludf.DUMMYFUNCTION("""COMPUTED_VALUE"""),"Naomi Gonzalez")</f>
        <v>Naomi Gonzalez</v>
      </c>
      <c r="G20" s="17" t="str">
        <f ca="1">IFERROR(__xludf.DUMMYFUNCTION("""COMPUTED_VALUE"""),"COM RAP DRIVE VIA PONI TIJUANA BCN   MEX")</f>
        <v>COM RAP DRIVE VIA PONI TIJUANA BCN   MEX</v>
      </c>
      <c r="H20" s="17" t="str">
        <f ca="1">IFERROR(__xludf.DUMMYFUNCTION("""COMPUTED_VALUE"""),"Com Rap Drive Via Poni Tijuana Bcn Mex")</f>
        <v>Com Rap Drive Via Poni Tijuana Bcn Mex</v>
      </c>
      <c r="I20" s="17" t="str">
        <f ca="1">IFERROR(__xludf.DUMMYFUNCTION("""COMPUTED_VALUE"""),"Transaction cost")</f>
        <v>Transaction cost</v>
      </c>
      <c r="J20" s="17" t="str">
        <f ca="1">IFERROR(__xludf.DUMMYFUNCTION("""COMPUTED_VALUE"""),"Cliente Potencial Comida")</f>
        <v>Cliente Potencial Comida</v>
      </c>
      <c r="K20" s="17" t="str">
        <f ca="1">IFERROR(__xludf.DUMMYFUNCTION("""COMPUTED_VALUE"""),"AA 1792421")</f>
        <v>AA 1792421</v>
      </c>
      <c r="L20" s="17"/>
      <c r="M20" s="17"/>
      <c r="N20" s="17"/>
      <c r="O20" s="17"/>
    </row>
    <row r="21" spans="1:15" ht="12.5">
      <c r="A21" s="17" t="str">
        <f ca="1">IFERROR(__xludf.DUMMYFUNCTION("""COMPUTED_VALUE"""),"TRX1552")</f>
        <v>TRX1552</v>
      </c>
      <c r="B21" s="86" t="str">
        <f ca="1">IFERROR(__xludf.DUMMYFUNCTION("""COMPUTED_VALUE"""),"-")</f>
        <v>-</v>
      </c>
      <c r="C21" s="63">
        <f ca="1">IFERROR(__xludf.DUMMYFUNCTION("""COMPUTED_VALUE"""),46073.4166666666)</f>
        <v>46073.416666666599</v>
      </c>
      <c r="D21" s="132">
        <f ca="1">IFERROR(__xludf.DUMMYFUNCTION("""COMPUTED_VALUE"""),248.37)</f>
        <v>248.37</v>
      </c>
      <c r="E21" s="17" t="str">
        <f ca="1">IFERROR(__xludf.DUMMYFUNCTION("""COMPUTED_VALUE"""),"MXN")</f>
        <v>MXN</v>
      </c>
      <c r="F21" s="17" t="str">
        <f ca="1">IFERROR(__xludf.DUMMYFUNCTION("""COMPUTED_VALUE"""),"Naomi Gonzalez")</f>
        <v>Naomi Gonzalez</v>
      </c>
      <c r="G21" s="17" t="str">
        <f ca="1">IFERROR(__xludf.DUMMYFUNCTION("""COMPUTED_VALUE"""),"UBER *TRIP HELP.UBER.C CMX           MEX")</f>
        <v>UBER *TRIP HELP.UBER.C CMX           MEX</v>
      </c>
      <c r="H21" s="17" t="str">
        <f ca="1">IFERROR(__xludf.DUMMYFUNCTION("""COMPUTED_VALUE"""),"Uber")</f>
        <v>Uber</v>
      </c>
      <c r="I21" s="17" t="str">
        <f ca="1">IFERROR(__xludf.DUMMYFUNCTION("""COMPUTED_VALUE"""),"Transaction cost")</f>
        <v>Transaction cost</v>
      </c>
      <c r="J21" s="17" t="str">
        <f ca="1">IFERROR(__xludf.DUMMYFUNCTION("""COMPUTED_VALUE"""),"Cliente Potencial Traslado oficina de cliente")</f>
        <v>Cliente Potencial Traslado oficina de cliente</v>
      </c>
      <c r="K21" s="17" t="str">
        <f ca="1">IFERROR(__xludf.DUMMYFUNCTION("""COMPUTED_VALUE"""),"BFEPIY-I-0002843")</f>
        <v>BFEPIY-I-0002843</v>
      </c>
      <c r="L21" s="17"/>
      <c r="M21" s="17"/>
      <c r="N21" s="17"/>
      <c r="O21" s="17"/>
    </row>
    <row r="22" spans="1:15" ht="12.5">
      <c r="A22" s="17" t="str">
        <f ca="1">IFERROR(__xludf.DUMMYFUNCTION("""COMPUTED_VALUE"""),"TRX1008")</f>
        <v>TRX1008</v>
      </c>
      <c r="B22" s="86" t="str">
        <f ca="1">IFERROR(__xludf.DUMMYFUNCTION("""COMPUTED_VALUE"""),"#77")</f>
        <v>#77</v>
      </c>
      <c r="C22" s="63">
        <f ca="1">IFERROR(__xludf.DUMMYFUNCTION("""COMPUTED_VALUE"""),46073.4166666666)</f>
        <v>46073.416666666599</v>
      </c>
      <c r="D22" s="65">
        <f ca="1">IFERROR(__xludf.DUMMYFUNCTION("""COMPUTED_VALUE"""),199.95)</f>
        <v>199.95</v>
      </c>
      <c r="E22" s="17" t="str">
        <f ca="1">IFERROR(__xludf.DUMMYFUNCTION("""COMPUTED_VALUE"""),"MXN")</f>
        <v>MXN</v>
      </c>
      <c r="F22" s="17" t="str">
        <f ca="1">IFERROR(__xludf.DUMMYFUNCTION("""COMPUTED_VALUE"""),"Naomi Gonzalez")</f>
        <v>Naomi Gonzalez</v>
      </c>
      <c r="G22" s="17" t="str">
        <f ca="1">IFERROR(__xludf.DUMMYFUNCTION("""COMPUTED_VALUE"""),"UBER * PENDING         CMX           MEX")</f>
        <v>UBER * PENDING         CMX           MEX</v>
      </c>
      <c r="H22" s="17" t="str">
        <f ca="1">IFERROR(__xludf.DUMMYFUNCTION("""COMPUTED_VALUE"""),"Uber")</f>
        <v>Uber</v>
      </c>
      <c r="I22" s="17" t="str">
        <f ca="1">IFERROR(__xludf.DUMMYFUNCTION("""COMPUTED_VALUE"""),"Transaction cost")</f>
        <v>Transaction cost</v>
      </c>
      <c r="J22" s="17" t="str">
        <f ca="1">IFERROR(__xludf.DUMMYFUNCTION("""COMPUTED_VALUE"""),"Cliente Potencial Traslado oficina de cliena a oficina ")</f>
        <v xml:space="preserve">Cliente Potencial Traslado oficina de cliena a oficina </v>
      </c>
      <c r="K22" s="17" t="str">
        <f ca="1">IFERROR(__xludf.DUMMYFUNCTION("""COMPUTED_VALUE"""),"9655D-0002451")</f>
        <v>9655D-0002451</v>
      </c>
      <c r="L22" s="17"/>
      <c r="M22" s="17"/>
      <c r="N22" s="17"/>
      <c r="O22" s="17"/>
    </row>
    <row r="23" spans="1:15" ht="12.5">
      <c r="A23" s="17" t="str">
        <f ca="1">IFERROR(__xludf.DUMMYFUNCTION("""COMPUTED_VALUE"""),"TRX1130")</f>
        <v>TRX1130</v>
      </c>
      <c r="B23" s="86" t="str">
        <f ca="1">IFERROR(__xludf.DUMMYFUNCTION("""COMPUTED_VALUE"""),"#77")</f>
        <v>#77</v>
      </c>
      <c r="C23" s="63">
        <f ca="1">IFERROR(__xludf.DUMMYFUNCTION("""COMPUTED_VALUE"""),46078.4166666666)</f>
        <v>46078.416666666599</v>
      </c>
      <c r="D23" s="65">
        <f ca="1">IFERROR(__xludf.DUMMYFUNCTION("""COMPUTED_VALUE"""),11)</f>
        <v>11</v>
      </c>
      <c r="E23" s="17" t="str">
        <f ca="1">IFERROR(__xludf.DUMMYFUNCTION("""COMPUTED_VALUE"""),"MXN")</f>
        <v>MXN</v>
      </c>
      <c r="F23" s="17" t="str">
        <f ca="1">IFERROR(__xludf.DUMMYFUNCTION("""COMPUTED_VALUE"""),"Naomi Gonzalez")</f>
        <v>Naomi Gonzalez</v>
      </c>
      <c r="G23" s="17" t="str">
        <f ca="1">IFERROR(__xludf.DUMMYFUNCTION("""COMPUTED_VALUE"""),"UBER *TRIP HELP.UBER.C CMX           MEX")</f>
        <v>UBER *TRIP HELP.UBER.C CMX           MEX</v>
      </c>
      <c r="H23" s="17" t="str">
        <f ca="1">IFERROR(__xludf.DUMMYFUNCTION("""COMPUTED_VALUE"""),"Uber")</f>
        <v>Uber</v>
      </c>
      <c r="I23" s="17" t="str">
        <f ca="1">IFERROR(__xludf.DUMMYFUNCTION("""COMPUTED_VALUE"""),"Transaction cost")</f>
        <v>Transaction cost</v>
      </c>
      <c r="J23" s="17" t="str">
        <f ca="1">IFERROR(__xludf.DUMMYFUNCTION("""COMPUTED_VALUE"""),"Ajuste de tarifa ")</f>
        <v xml:space="preserve">Ajuste de tarifa </v>
      </c>
      <c r="K23" s="17" t="str">
        <f ca="1">IFERROR(__xludf.DUMMYFUNCTION("""COMPUTED_VALUE"""),"9655D-0002451")</f>
        <v>9655D-0002451</v>
      </c>
      <c r="L23" s="17"/>
      <c r="M23" s="17"/>
      <c r="N23" s="17"/>
      <c r="O23" s="17"/>
    </row>
    <row r="24" spans="1:15" ht="12.5">
      <c r="A24" s="17" t="str">
        <f ca="1">IFERROR(__xludf.DUMMYFUNCTION("""COMPUTED_VALUE"""),"TRX1269")</f>
        <v>TRX1269</v>
      </c>
      <c r="B24" s="86" t="str">
        <f ca="1">IFERROR(__xludf.DUMMYFUNCTION("""COMPUTED_VALUE"""),"#77")</f>
        <v>#77</v>
      </c>
      <c r="C24" s="63">
        <f ca="1">IFERROR(__xludf.DUMMYFUNCTION("""COMPUTED_VALUE"""),46081.4166666666)</f>
        <v>46081.416666666599</v>
      </c>
      <c r="D24" s="17">
        <f ca="1">IFERROR(__xludf.DUMMYFUNCTION("""COMPUTED_VALUE"""),169.94)</f>
        <v>169.94</v>
      </c>
      <c r="E24" s="17" t="str">
        <f ca="1">IFERROR(__xludf.DUMMYFUNCTION("""COMPUTED_VALUE"""),"MXN")</f>
        <v>MXN</v>
      </c>
      <c r="F24" s="17" t="str">
        <f ca="1">IFERROR(__xludf.DUMMYFUNCTION("""COMPUTED_VALUE"""),"Naomi Gonzalez")</f>
        <v>Naomi Gonzalez</v>
      </c>
      <c r="G24" s="17" t="str">
        <f ca="1">IFERROR(__xludf.DUMMYFUNCTION("""COMPUTED_VALUE"""),"STRIPE *UBER TRIP      CIUDAD DE MEX MEX")</f>
        <v>STRIPE *UBER TRIP      CIUDAD DE MEX MEX</v>
      </c>
      <c r="H24" s="17" t="str">
        <f ca="1">IFERROR(__xludf.DUMMYFUNCTION("""COMPUTED_VALUE"""),"Uber")</f>
        <v>Uber</v>
      </c>
      <c r="I24" s="17" t="str">
        <f ca="1">IFERROR(__xludf.DUMMYFUNCTION("""COMPUTED_VALUE"""),"Transaction cost")</f>
        <v>Transaction cost</v>
      </c>
      <c r="J24" s="17" t="str">
        <f ca="1">IFERROR(__xludf.DUMMYFUNCTION("""COMPUTED_VALUE"""),"PO-1953 Envio de muestras")</f>
        <v>PO-1953 Envio de muestras</v>
      </c>
      <c r="K24" s="17" t="str">
        <f ca="1">IFERROR(__xludf.DUMMYFUNCTION("""COMPUTED_VALUE"""),"TER-58301170")</f>
        <v>TER-58301170</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D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600</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Sept'!$J$12:$J$1700=$A$2)"),"TRX1194")</f>
        <v>TRX1194</v>
      </c>
      <c r="B12" s="86" t="str">
        <f ca="1">IFERROR(__xludf.DUMMYFUNCTION("""COMPUTED_VALUE"""),"-")</f>
        <v>-</v>
      </c>
      <c r="C12" s="86">
        <f ca="1">IFERROR(__xludf.DUMMYFUNCTION("""COMPUTED_VALUE"""),46059.4173611111)</f>
        <v>46059.417361111096</v>
      </c>
      <c r="D12" s="65">
        <f ca="1">IFERROR(__xludf.DUMMYFUNCTION("FILTER('Edo Cta Jeeves Sept'!$G$12:$G$1300,'Edo Cta Jeeves Sept'!$J$12:$J$1300=$A$2)"),2169.48)</f>
        <v>2169.48</v>
      </c>
      <c r="E12" s="17" t="str">
        <f ca="1">IFERROR(__xludf.DUMMYFUNCTION("FILTER('Edo Cta Jeeves Sept'!$I$12:$I$1300,'Edo Cta Jeeves Sept'!$J$12:$J$1300=$A$2)"),"USD")</f>
        <v>USD</v>
      </c>
      <c r="F12" s="17" t="str">
        <f ca="1">IFERROR(__xludf.DUMMYFUNCTION("FILTER('Edo Cta Jeeves Sept'!$J$12:$J$700,'Edo Cta Jeeves Sept'!$J$12:$J$1700=$A$2)"),"#N/A")</f>
        <v>#N/A</v>
      </c>
      <c r="G12" s="17" t="str">
        <f ca="1">IFERROR(__xludf.DUMMYFUNCTION("FILTER('Edo Cta Jeeves Sept'!$K$12:$L$1300,'Edo Cta Jeeves Sept'!$J$12:$J$1300=$A$2)"),"MISUMI USA INC.        SCHAUMBURG    USA")</f>
        <v>MISUMI USA INC.        SCHAUMBURG    USA</v>
      </c>
      <c r="H12" s="17" t="str">
        <f ca="1">IFERROR(__xludf.DUMMYFUNCTION("""COMPUTED_VALUE"""),"Misumi USA Schaumburg USA")</f>
        <v>Misumi USA Schaumburg USA</v>
      </c>
      <c r="I12" s="17" t="str">
        <f ca="1">IFERROR(__xludf.DUMMYFUNCTION("IMPORTRANGE(""https://docs.google.com/spreadsheets/d/1kEocurIGNa0vfcS71Okdb9Vl6yMx22Tu2OvuoFXFNy8/edit?gid=1404531132#gid=1404531132"",""I12:K80"")"),"G&amp;A expenses")</f>
        <v>G&amp;A expenses</v>
      </c>
      <c r="J12" s="17" t="str">
        <f ca="1">IFERROR(__xludf.DUMMYFUNCTION("""COMPUTED_VALUE"""),"PO 5118 / WO 2226 - No es correcto el costo, son 119.48 USD")</f>
        <v>PO 5118 / WO 2226 - No es correcto el costo, son 119.48 USD</v>
      </c>
      <c r="K12" s="17" t="str">
        <f ca="1">IFERROR(__xludf.DUMMYFUNCTION("""COMPUTED_VALUE"""),"E4C8708A-0BC5-11F1-8798-F7FCBDF12893")</f>
        <v>E4C8708A-0BC5-11F1-8798-F7FCBDF12893</v>
      </c>
      <c r="L12" s="17"/>
      <c r="M12" s="17"/>
      <c r="N12" s="17"/>
      <c r="O12" s="17"/>
    </row>
    <row r="13" spans="1:15" ht="15.75" customHeight="1">
      <c r="A13" s="24" t="str">
        <f ca="1">IFERROR(__xludf.DUMMYFUNCTION("""COMPUTED_VALUE"""),"TRX1885")</f>
        <v>TRX1885</v>
      </c>
      <c r="B13" s="86" t="str">
        <f ca="1">IFERROR(__xludf.DUMMYFUNCTION("""COMPUTED_VALUE"""),"#78")</f>
        <v>#78</v>
      </c>
      <c r="C13" s="63">
        <f ca="1">IFERROR(__xludf.DUMMYFUNCTION("""COMPUTED_VALUE"""),46061.4173611111)</f>
        <v>46061.417361111096</v>
      </c>
      <c r="D13" s="65">
        <f ca="1">IFERROR(__xludf.DUMMYFUNCTION("""COMPUTED_VALUE"""),916.3)</f>
        <v>916.3</v>
      </c>
      <c r="E13" s="17" t="str">
        <f ca="1">IFERROR(__xludf.DUMMYFUNCTION("""COMPUTED_VALUE"""),"MXN")</f>
        <v>MXN</v>
      </c>
      <c r="F13" s="17"/>
      <c r="G13" s="17" t="str">
        <f ca="1">IFERROR(__xludf.DUMMYFUNCTION("""COMPUTED_VALUE"""),"TACOS DEL VALLE        SN PEDRO GARZ MEX")</f>
        <v>TACOS DEL VALLE        SN PEDRO GARZ MEX</v>
      </c>
      <c r="H13" s="17" t="str">
        <f ca="1">IFERROR(__xludf.DUMMYFUNCTION("""COMPUTED_VALUE"""),"Tacos Del Valle Sn Pedro Garz Mex")</f>
        <v>Tacos Del Valle Sn Pedro Garz Mex</v>
      </c>
      <c r="I13" s="17" t="str">
        <f ca="1">IFERROR(__xludf.DUMMYFUNCTION("""COMPUTED_VALUE"""),"G&amp;A expenses")</f>
        <v>G&amp;A expenses</v>
      </c>
      <c r="J13" s="17" t="str">
        <f ca="1">IFERROR(__xludf.DUMMYFUNCTION("""COMPUTED_VALUE"""),"Comida despedida Emi y Antonio Lopez")</f>
        <v>Comida despedida Emi y Antonio Lopez</v>
      </c>
      <c r="K13" s="17"/>
      <c r="L13" s="17"/>
      <c r="M13" s="17"/>
      <c r="N13" s="17"/>
      <c r="O13" s="17"/>
    </row>
    <row r="14" spans="1:15" ht="15.75" customHeight="1">
      <c r="A14" s="24" t="str">
        <f ca="1">IFERROR(__xludf.DUMMYFUNCTION("""COMPUTED_VALUE"""),"TRX1625")</f>
        <v>TRX1625</v>
      </c>
      <c r="B14" s="86" t="str">
        <f ca="1">IFERROR(__xludf.DUMMYFUNCTION("""COMPUTED_VALUE"""),"-")</f>
        <v>-</v>
      </c>
      <c r="C14" s="63">
        <f ca="1">IFERROR(__xludf.DUMMYFUNCTION("""COMPUTED_VALUE"""),46072.4166666666)</f>
        <v>46072.416666666599</v>
      </c>
      <c r="D14" s="65">
        <f ca="1">IFERROR(__xludf.DUMMYFUNCTION("""COMPUTED_VALUE"""),1639.29)</f>
        <v>1639.29</v>
      </c>
      <c r="E14" s="17" t="str">
        <f ca="1">IFERROR(__xludf.DUMMYFUNCTION("""COMPUTED_VALUE"""),"MXN")</f>
        <v>MXN</v>
      </c>
      <c r="F14" s="17"/>
      <c r="G14" s="17" t="str">
        <f ca="1">IFERROR(__xludf.DUMMYFUNCTION("""COMPUTED_VALUE"""),"DHL PLAZA SAN SEBASTIA MONTERREY     MEX")</f>
        <v>DHL PLAZA SAN SEBASTIA MONTERREY     MEX</v>
      </c>
      <c r="H14" s="17" t="str">
        <f ca="1">IFERROR(__xludf.DUMMYFUNCTION("""COMPUTED_VALUE"""),"DHL")</f>
        <v>DHL</v>
      </c>
      <c r="I14" s="17" t="str">
        <f ca="1">IFERROR(__xludf.DUMMYFUNCTION("""COMPUTED_VALUE"""),"G&amp;A expenses")</f>
        <v>G&amp;A expenses</v>
      </c>
      <c r="J14" s="17" t="str">
        <f ca="1">IFERROR(__xludf.DUMMYFUNCTION("""COMPUTED_VALUE"""),"PO 2000 - haskris (Envio muestras a USA)")</f>
        <v>PO 2000 - haskris (Envio muestras a USA)</v>
      </c>
      <c r="K14" s="17" t="str">
        <f ca="1">IFERROR(__xludf.DUMMYFUNCTION("""COMPUTED_VALUE"""),"2F493B77-6B3A-430E-9647-6BAB16D36447")</f>
        <v>2F493B77-6B3A-430E-9647-6BAB16D36447</v>
      </c>
      <c r="L14" s="17"/>
      <c r="M14" s="17"/>
      <c r="N14" s="17"/>
      <c r="O14" s="17"/>
    </row>
    <row r="15" spans="1:15" ht="15.75" customHeight="1">
      <c r="A15" s="24"/>
      <c r="B15" s="24"/>
      <c r="C15" s="24"/>
      <c r="D15" s="17"/>
      <c r="E15" s="17"/>
      <c r="F15" s="17"/>
      <c r="G15" s="17"/>
      <c r="H15" s="17"/>
      <c r="I15" s="17" t="str">
        <f ca="1">IFERROR(__xludf.DUMMYFUNCTION("""COMPUTED_VALUE"""),"G&amp;A expenses")</f>
        <v>G&amp;A expenses</v>
      </c>
      <c r="J15" s="17"/>
      <c r="K15" s="17"/>
      <c r="L15" s="17"/>
      <c r="M15" s="17"/>
      <c r="N15" s="17"/>
      <c r="O15" s="17"/>
    </row>
    <row r="16" spans="1:15" ht="15.75" customHeight="1">
      <c r="A16" s="17"/>
      <c r="B16" s="24"/>
      <c r="C16" s="24"/>
      <c r="D16" s="133"/>
      <c r="E16" s="17"/>
      <c r="F16" s="17"/>
      <c r="G16" s="17"/>
      <c r="H16" s="17"/>
      <c r="I16" s="17" t="str">
        <f ca="1">IFERROR(__xludf.DUMMYFUNCTION("""COMPUTED_VALUE"""),"G&amp;A expenses")</f>
        <v>G&amp;A expenses</v>
      </c>
      <c r="J16" s="17"/>
      <c r="K16" s="17"/>
      <c r="L16" s="17"/>
      <c r="M16" s="17"/>
      <c r="N16" s="17"/>
      <c r="O16" s="17"/>
    </row>
    <row r="17" spans="1:15" ht="15.75" customHeight="1">
      <c r="A17" s="17"/>
      <c r="B17" s="24"/>
      <c r="C17" s="24"/>
      <c r="D17" s="133"/>
      <c r="E17" s="17"/>
      <c r="F17" s="17"/>
      <c r="G17" s="17"/>
      <c r="H17" s="17"/>
      <c r="I17" s="17" t="str">
        <f ca="1">IFERROR(__xludf.DUMMYFUNCTION("""COMPUTED_VALUE"""),"G&amp;A expenses")</f>
        <v>G&amp;A expenses</v>
      </c>
      <c r="J17" s="17"/>
      <c r="K17" s="17"/>
      <c r="L17" s="17"/>
      <c r="M17" s="17"/>
      <c r="N17" s="17"/>
      <c r="O17" s="17"/>
    </row>
    <row r="18" spans="1:15" ht="15.75" customHeight="1">
      <c r="A18" s="17"/>
      <c r="B18" s="24"/>
      <c r="C18" s="24"/>
      <c r="D18" s="17"/>
      <c r="E18" s="17"/>
      <c r="F18" s="17"/>
      <c r="G18" s="17"/>
      <c r="H18" s="17"/>
      <c r="I18" s="17" t="str">
        <f ca="1">IFERROR(__xludf.DUMMYFUNCTION("""COMPUTED_VALUE"""),"G&amp;A expenses")</f>
        <v>G&amp;A expenses</v>
      </c>
      <c r="J18" s="17"/>
      <c r="K18" s="17"/>
      <c r="L18" s="17"/>
      <c r="M18" s="17"/>
      <c r="N18" s="17"/>
      <c r="O18" s="17"/>
    </row>
    <row r="19" spans="1:15" ht="15.75" customHeight="1">
      <c r="A19" s="17"/>
      <c r="B19" s="24"/>
      <c r="C19" s="24"/>
      <c r="D19" s="133"/>
      <c r="E19" s="17"/>
      <c r="F19" s="17"/>
      <c r="G19" s="17"/>
      <c r="H19" s="17"/>
      <c r="I19" s="17" t="str">
        <f ca="1">IFERROR(__xludf.DUMMYFUNCTION("""COMPUTED_VALUE"""),"G&amp;A expenses")</f>
        <v>G&amp;A expenses</v>
      </c>
      <c r="J19" s="17"/>
      <c r="K19" s="17"/>
      <c r="L19" s="17"/>
      <c r="M19" s="17"/>
      <c r="N19" s="17"/>
      <c r="O19" s="17"/>
    </row>
    <row r="20" spans="1:15" ht="12.5">
      <c r="A20" s="17"/>
      <c r="B20" s="24"/>
      <c r="C20" s="24"/>
      <c r="D20" s="133"/>
      <c r="E20" s="17"/>
      <c r="F20" s="17"/>
      <c r="G20" s="17"/>
      <c r="H20" s="17"/>
      <c r="I20" s="17" t="str">
        <f ca="1">IFERROR(__xludf.DUMMYFUNCTION("""COMPUTED_VALUE"""),"G&amp;A expenses")</f>
        <v>G&amp;A expenses</v>
      </c>
      <c r="J20" s="17"/>
      <c r="K20" s="17"/>
      <c r="L20" s="17"/>
      <c r="M20" s="17"/>
      <c r="N20" s="17"/>
      <c r="O20" s="17"/>
    </row>
    <row r="21" spans="1:15" ht="12.5">
      <c r="A21" s="17"/>
      <c r="B21" s="24"/>
      <c r="C21" s="24"/>
      <c r="D21" s="133"/>
      <c r="E21" s="17"/>
      <c r="F21" s="17"/>
      <c r="G21" s="17"/>
      <c r="H21" s="17"/>
      <c r="I21" s="17" t="str">
        <f ca="1">IFERROR(__xludf.DUMMYFUNCTION("""COMPUTED_VALUE"""),"G&amp;A expenses")</f>
        <v>G&amp;A expenses</v>
      </c>
      <c r="J21" s="17"/>
      <c r="K21" s="17"/>
      <c r="L21" s="17"/>
      <c r="M21" s="17"/>
      <c r="N21" s="17"/>
      <c r="O21" s="17"/>
    </row>
    <row r="22" spans="1:15" ht="12.5">
      <c r="A22" s="17"/>
      <c r="B22" s="24"/>
      <c r="C22" s="24"/>
      <c r="D22" s="17"/>
      <c r="E22" s="17"/>
      <c r="F22" s="17"/>
      <c r="G22" s="17"/>
      <c r="H22" s="17"/>
      <c r="I22" s="17" t="str">
        <f ca="1">IFERROR(__xludf.DUMMYFUNCTION("""COMPUTED_VALUE"""),"Sales")</f>
        <v>Sales</v>
      </c>
      <c r="J22" s="17"/>
      <c r="K22" s="17"/>
      <c r="L22" s="17"/>
      <c r="M22" s="17"/>
      <c r="N22" s="17"/>
      <c r="O22" s="17"/>
    </row>
    <row r="23" spans="1:15" ht="12.5">
      <c r="A23" s="17"/>
      <c r="B23" s="24"/>
      <c r="C23" s="24"/>
      <c r="D23" s="17"/>
      <c r="E23" s="17"/>
      <c r="F23" s="17"/>
      <c r="G23" s="17"/>
      <c r="H23" s="17"/>
      <c r="I23" s="17" t="str">
        <f ca="1">IFERROR(__xludf.DUMMYFUNCTION("""COMPUTED_VALUE"""),"Transaction cost")</f>
        <v>Transaction cost</v>
      </c>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E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325</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Sept'!$J$12:$J$1700=$A$2)"),"TRX1235")</f>
        <v>TRX1235</v>
      </c>
      <c r="B12" s="86" t="str">
        <f ca="1">IFERROR(__xludf.DUMMYFUNCTION("""COMPUTED_VALUE"""),"-")</f>
        <v>-</v>
      </c>
      <c r="C12" s="86">
        <f ca="1">IFERROR(__xludf.DUMMYFUNCTION("""COMPUTED_VALUE"""),46058.4166666666)</f>
        <v>46058.416666666599</v>
      </c>
      <c r="D12" s="65">
        <f ca="1">IFERROR(__xludf.DUMMYFUNCTION("FILTER('Edo Cta Jeeves Sept'!$G$12:$G$1300,'Edo Cta Jeeves Sept'!$J$12:$J$1300=$A$2)"),171)</f>
        <v>171</v>
      </c>
      <c r="E12" s="17" t="str">
        <f ca="1">IFERROR(__xludf.DUMMYFUNCTION("FILTER('Edo Cta Jeeves Sept'!$I$12:$I$1300,'Edo Cta Jeeves Sept'!$J$12:$J$1300=$A$2)"),"MXN")</f>
        <v>MXN</v>
      </c>
      <c r="F12" s="17" t="str">
        <f ca="1">IFERROR(__xludf.DUMMYFUNCTION("FILTER('Edo Cta Jeeves Sept'!$J$12:$J$1300,'Edo Cta Jeeves Sept'!$J$12:$J$1300=$A$2)"),"TONANCY ISIDORO PENA")</f>
        <v>TONANCY ISIDORO PENA</v>
      </c>
      <c r="G12" s="17" t="str">
        <f ca="1">IFERROR(__xludf.DUMMYFUNCTION("FILTER('Edo Cta Jeeves Sept'!$K$12:$L$1300,'Edo Cta Jeeves Sept'!$J$12:$J$1300=$A$2)"),"MERCADOPAGO *EBANOCAF  Benito jurez  MEX")</f>
        <v>MERCADOPAGO *EBANOCAF  Benito jurez  MEX</v>
      </c>
      <c r="H12" s="17" t="str">
        <f ca="1">IFERROR(__xludf.DUMMYFUNCTION("""COMPUTED_VALUE"""),"Mercadopago")</f>
        <v>Mercadopago</v>
      </c>
      <c r="I12" s="17" t="str">
        <f ca="1">IFERROR(__xludf.DUMMYFUNCTION("IMPORTRANGE(""https://docs.google.com/spreadsheets/d/1jVkM8G4djoZ1rWL1LfgcDp-623X0fsTKnYQ9WKwd7SY/edit?gid=1404531132#gid=1404531132"",""I12:K80"")"),"Transaction cost")</f>
        <v>Transaction cost</v>
      </c>
      <c r="J12" s="17" t="str">
        <f ca="1">IFERROR(__xludf.DUMMYFUNCTION("""COMPUTED_VALUE"""),"PO 1726, Gasto de combustible, proyecto Grajales")</f>
        <v>PO 1726, Gasto de combustible, proyecto Grajales</v>
      </c>
      <c r="K12" s="17" t="str">
        <f ca="1">IFERROR(__xludf.DUMMYFUNCTION("""COMPUTED_VALUE"""),".3AC7CBD8-2325-48FB-852C-BFB8D00D5021")</f>
        <v>.3AC7CBD8-2325-48FB-852C-BFB8D00D5021</v>
      </c>
      <c r="L12" s="17"/>
      <c r="M12" s="17"/>
      <c r="N12" s="17"/>
      <c r="O12" s="17"/>
    </row>
    <row r="13" spans="1:15" ht="15.75" customHeight="1">
      <c r="A13" s="24" t="str">
        <f ca="1">IFERROR(__xludf.DUMMYFUNCTION("""COMPUTED_VALUE"""),"TRX1234")</f>
        <v>TRX1234</v>
      </c>
      <c r="B13" s="86" t="str">
        <f ca="1">IFERROR(__xludf.DUMMYFUNCTION("""COMPUTED_VALUE"""),"-")</f>
        <v>-</v>
      </c>
      <c r="C13" s="63">
        <f ca="1">IFERROR(__xludf.DUMMYFUNCTION("""COMPUTED_VALUE"""),46058.4166666666)</f>
        <v>46058.416666666599</v>
      </c>
      <c r="D13" s="65">
        <f ca="1">IFERROR(__xludf.DUMMYFUNCTION("""COMPUTED_VALUE"""),600)</f>
        <v>600</v>
      </c>
      <c r="E13" s="17" t="str">
        <f ca="1">IFERROR(__xludf.DUMMYFUNCTION("""COMPUTED_VALUE"""),"MXN")</f>
        <v>MXN</v>
      </c>
      <c r="F13" s="17" t="str">
        <f ca="1">IFERROR(__xludf.DUMMYFUNCTION("""COMPUTED_VALUE"""),"TONANCY ISIDORO PENA")</f>
        <v>TONANCY ISIDORO PENA</v>
      </c>
      <c r="G13" s="17" t="str">
        <f ca="1">IFERROR(__xludf.DUMMYFUNCTION("""COMPUTED_VALUE"""),"HF                     LERMA EM      MEX")</f>
        <v>HF                     LERMA EM      MEX</v>
      </c>
      <c r="H13" s="17" t="str">
        <f ca="1">IFERROR(__xludf.DUMMYFUNCTION("""COMPUTED_VALUE"""),"Hf Lerma Em Mex")</f>
        <v>Hf Lerma Em Mex</v>
      </c>
      <c r="I13" s="17" t="str">
        <f ca="1">IFERROR(__xludf.DUMMYFUNCTION("""COMPUTED_VALUE"""),"G&amp;A expenses")</f>
        <v>G&amp;A expenses</v>
      </c>
      <c r="J13" s="17" t="str">
        <f ca="1">IFERROR(__xludf.DUMMYFUNCTION("""COMPUTED_VALUE"""),"PO 1726, Gasto de viáticos, alimentos 1personas proyecto Grajales")</f>
        <v>PO 1726, Gasto de viáticos, alimentos 1personas proyecto Grajales</v>
      </c>
      <c r="K13" s="17" t="str">
        <f ca="1">IFERROR(__xludf.DUMMYFUNCTION("""COMPUTED_VALUE"""),".e2278b46-1877-4dfe-8318-a3a07890dd25")</f>
        <v>.e2278b46-1877-4dfe-8318-a3a07890dd25</v>
      </c>
      <c r="L13" s="17"/>
      <c r="M13" s="17"/>
      <c r="N13" s="17"/>
      <c r="O13" s="17"/>
    </row>
    <row r="14" spans="1:15" ht="15.75" customHeight="1">
      <c r="A14" s="24" t="str">
        <f ca="1">IFERROR(__xludf.DUMMYFUNCTION("""COMPUTED_VALUE"""),"TRX1224")</f>
        <v>TRX1224</v>
      </c>
      <c r="B14" s="86" t="str">
        <f ca="1">IFERROR(__xludf.DUMMYFUNCTION("""COMPUTED_VALUE"""),"-")</f>
        <v>-</v>
      </c>
      <c r="C14" s="63">
        <f ca="1">IFERROR(__xludf.DUMMYFUNCTION("""COMPUTED_VALUE"""),46058.4173611111)</f>
        <v>46058.417361111096</v>
      </c>
      <c r="D14" s="65">
        <f ca="1">IFERROR(__xludf.DUMMYFUNCTION("""COMPUTED_VALUE"""),110)</f>
        <v>110</v>
      </c>
      <c r="E14" s="17" t="str">
        <f ca="1">IFERROR(__xludf.DUMMYFUNCTION("""COMPUTED_VALUE"""),"MXN")</f>
        <v>MXN</v>
      </c>
      <c r="F14" s="17" t="str">
        <f ca="1">IFERROR(__xludf.DUMMYFUNCTION("""COMPUTED_VALUE"""),"TONANCY ISIDORO PENA")</f>
        <v>TONANCY ISIDORO PENA</v>
      </c>
      <c r="G14" s="17" t="str">
        <f ca="1">IFERROR(__xludf.DUMMYFUNCTION("""COMPUTED_VALUE"""),"CONEKTA*MIBAIT         DF            MEX")</f>
        <v>CONEKTA*MIBAIT         DF            MEX</v>
      </c>
      <c r="H14" s="17" t="str">
        <f ca="1">IFERROR(__xludf.DUMMYFUNCTION("""COMPUTED_VALUE"""),"Conekta Mibait Df Mex")</f>
        <v>Conekta Mibait Df Mex</v>
      </c>
      <c r="I14" s="17" t="str">
        <f ca="1">IFERROR(__xludf.DUMMYFUNCTION("""COMPUTED_VALUE"""),"Transaction cost")</f>
        <v>Transaction cost</v>
      </c>
      <c r="J14" s="17" t="str">
        <f ca="1">IFERROR(__xludf.DUMMYFUNCTION("""COMPUTED_VALUE"""),"PO 1726, Estacionamiento")</f>
        <v>PO 1726, Estacionamiento</v>
      </c>
      <c r="K14" s="17" t="str">
        <f ca="1">IFERROR(__xludf.DUMMYFUNCTION("""COMPUTED_VALUE"""),".-")</f>
        <v>.-</v>
      </c>
      <c r="L14" s="17"/>
      <c r="M14" s="17"/>
      <c r="N14" s="17"/>
      <c r="O14" s="17"/>
    </row>
    <row r="15" spans="1:15" ht="15.75" customHeight="1">
      <c r="A15" s="24" t="str">
        <f ca="1">IFERROR(__xludf.DUMMYFUNCTION("""COMPUTED_VALUE"""),"TRX1167")</f>
        <v>TRX1167</v>
      </c>
      <c r="B15" s="86" t="str">
        <f ca="1">IFERROR(__xludf.DUMMYFUNCTION("""COMPUTED_VALUE"""),"-")</f>
        <v>-</v>
      </c>
      <c r="C15" s="63">
        <f ca="1">IFERROR(__xludf.DUMMYFUNCTION("""COMPUTED_VALUE"""),46062.4166666666)</f>
        <v>46062.416666666599</v>
      </c>
      <c r="D15" s="65">
        <f ca="1">IFERROR(__xludf.DUMMYFUNCTION("""COMPUTED_VALUE"""),250)</f>
        <v>250</v>
      </c>
      <c r="E15" s="17" t="str">
        <f ca="1">IFERROR(__xludf.DUMMYFUNCTION("""COMPUTED_VALUE"""),"MXN")</f>
        <v>MXN</v>
      </c>
      <c r="F15" s="17" t="str">
        <f ca="1">IFERROR(__xludf.DUMMYFUNCTION("""COMPUTED_VALUE"""),"TONANCY ISIDORO PENA")</f>
        <v>TONANCY ISIDORO PENA</v>
      </c>
      <c r="G15" s="17" t="str">
        <f ca="1">IFERROR(__xludf.DUMMYFUNCTION("""COMPUTED_VALUE"""),"HF                     LERMA EM      MEX")</f>
        <v>HF                     LERMA EM      MEX</v>
      </c>
      <c r="H15" s="17" t="str">
        <f ca="1">IFERROR(__xludf.DUMMYFUNCTION("""COMPUTED_VALUE"""),"Hf Lerma Em Mex")</f>
        <v>Hf Lerma Em Mex</v>
      </c>
      <c r="I15" s="17" t="str">
        <f ca="1">IFERROR(__xludf.DUMMYFUNCTION("""COMPUTED_VALUE"""),"Transaction cost")</f>
        <v>Transaction cost</v>
      </c>
      <c r="J15" s="17" t="str">
        <f ca="1">IFERROR(__xludf.DUMMYFUNCTION("""COMPUTED_VALUE"""),"PO 1726, Gasto de combustible, proyecto Grajales")</f>
        <v>PO 1726, Gasto de combustible, proyecto Grajales</v>
      </c>
      <c r="K15" s="17" t="str">
        <f ca="1">IFERROR(__xludf.DUMMYFUNCTION("""COMPUTED_VALUE"""),".bf8b84e9-1eb6-4c70-812d-876eadb2ae7f")</f>
        <v>.bf8b84e9-1eb6-4c70-812d-876eadb2ae7f</v>
      </c>
      <c r="L15" s="17"/>
      <c r="M15" s="17"/>
      <c r="N15" s="17"/>
      <c r="O15" s="17"/>
    </row>
    <row r="16" spans="1:15" ht="15.75" customHeight="1">
      <c r="A16" s="17" t="str">
        <f ca="1">IFERROR(__xludf.DUMMYFUNCTION("""COMPUTED_VALUE"""),"TRX1422")</f>
        <v>TRX1422</v>
      </c>
      <c r="B16" s="86" t="str">
        <f ca="1">IFERROR(__xludf.DUMMYFUNCTION("""COMPUTED_VALUE"""),"-")</f>
        <v>-</v>
      </c>
      <c r="C16" s="63">
        <f ca="1">IFERROR(__xludf.DUMMYFUNCTION("""COMPUTED_VALUE"""),46065.4166666666)</f>
        <v>46065.416666666599</v>
      </c>
      <c r="D16" s="132">
        <f ca="1">IFERROR(__xludf.DUMMYFUNCTION("""COMPUTED_VALUE"""),400)</f>
        <v>400</v>
      </c>
      <c r="E16" s="17" t="str">
        <f ca="1">IFERROR(__xludf.DUMMYFUNCTION("""COMPUTED_VALUE"""),"MXN")</f>
        <v>MXN</v>
      </c>
      <c r="F16" s="17" t="str">
        <f ca="1">IFERROR(__xludf.DUMMYFUNCTION("""COMPUTED_VALUE"""),"TONANCY ISIDORO PENA")</f>
        <v>TONANCY ISIDORO PENA</v>
      </c>
      <c r="G16" s="17" t="str">
        <f ca="1">IFERROR(__xludf.DUMMYFUNCTION("""COMPUTED_VALUE"""),"HF                     LERMA EM      MEX")</f>
        <v>HF                     LERMA EM      MEX</v>
      </c>
      <c r="H16" s="17" t="str">
        <f ca="1">IFERROR(__xludf.DUMMYFUNCTION("""COMPUTED_VALUE"""),"Hf Lerma Em Mex")</f>
        <v>Hf Lerma Em Mex</v>
      </c>
      <c r="I16" s="17" t="str">
        <f ca="1">IFERROR(__xludf.DUMMYFUNCTION("""COMPUTED_VALUE"""),"Transaction cost")</f>
        <v>Transaction cost</v>
      </c>
      <c r="J16" s="17" t="str">
        <f ca="1">IFERROR(__xludf.DUMMYFUNCTION("""COMPUTED_VALUE"""),"PO 1726, Gasto de combustible, proyecto Grajales")</f>
        <v>PO 1726, Gasto de combustible, proyecto Grajales</v>
      </c>
      <c r="K16" s="17" t="str">
        <f ca="1">IFERROR(__xludf.DUMMYFUNCTION("""COMPUTED_VALUE"""),".4e5fc8be-78d7-471f-8587-9969542d953f")</f>
        <v>.4e5fc8be-78d7-471f-8587-9969542d953f</v>
      </c>
      <c r="L16" s="17"/>
      <c r="M16" s="17"/>
      <c r="N16" s="17"/>
      <c r="O16" s="17"/>
    </row>
    <row r="17" spans="1:15" ht="15.75" customHeight="1">
      <c r="A17" s="17" t="str">
        <f ca="1">IFERROR(__xludf.DUMMYFUNCTION("""COMPUTED_VALUE"""),"TRX1959")</f>
        <v>TRX1959</v>
      </c>
      <c r="B17" s="86" t="str">
        <f ca="1">IFERROR(__xludf.DUMMYFUNCTION("""COMPUTED_VALUE"""),"-")</f>
        <v>-</v>
      </c>
      <c r="C17" s="63">
        <f ca="1">IFERROR(__xludf.DUMMYFUNCTION("""COMPUTED_VALUE"""),46066.4173611111)</f>
        <v>46066.417361111096</v>
      </c>
      <c r="D17" s="132">
        <f ca="1">IFERROR(__xludf.DUMMYFUNCTION("""COMPUTED_VALUE"""),328)</f>
        <v>328</v>
      </c>
      <c r="E17" s="17" t="str">
        <f ca="1">IFERROR(__xludf.DUMMYFUNCTION("""COMPUTED_VALUE"""),"MXN")</f>
        <v>MXN</v>
      </c>
      <c r="F17" s="17" t="str">
        <f ca="1">IFERROR(__xludf.DUMMYFUNCTION("""COMPUTED_VALUE"""),"TONANCY ISIDORO PENA")</f>
        <v>TONANCY ISIDORO PENA</v>
      </c>
      <c r="G17" s="17" t="str">
        <f ca="1">IFERROR(__xludf.DUMMYFUNCTION("""COMPUTED_VALUE"""),"BK SENDERO FS          LERMA EM      MEX")</f>
        <v>BK SENDERO FS          LERMA EM      MEX</v>
      </c>
      <c r="H17" s="17" t="str">
        <f ca="1">IFERROR(__xludf.DUMMYFUNCTION("""COMPUTED_VALUE"""),"Bk Sendero Fs Lerma Em Mex")</f>
        <v>Bk Sendero Fs Lerma Em Mex</v>
      </c>
      <c r="I17" s="17" t="str">
        <f ca="1">IFERROR(__xludf.DUMMYFUNCTION("""COMPUTED_VALUE"""),"Transaction cost")</f>
        <v>Transaction cost</v>
      </c>
      <c r="J17" s="17" t="str">
        <f ca="1">IFERROR(__xludf.DUMMYFUNCTION("""COMPUTED_VALUE"""),"PO 1726, Gasto de viáticos, alimentos proyecto Grajales")</f>
        <v>PO 1726, Gasto de viáticos, alimentos proyecto Grajales</v>
      </c>
      <c r="K17" s="17" t="str">
        <f ca="1">IFERROR(__xludf.DUMMYFUNCTION("""COMPUTED_VALUE"""),".b0eccc72-6d59-498b-8659-b9f80a9db4a4")</f>
        <v>.b0eccc72-6d59-498b-8659-b9f80a9db4a4</v>
      </c>
      <c r="L17" s="17"/>
      <c r="M17" s="17"/>
      <c r="N17" s="17"/>
      <c r="O17" s="17"/>
    </row>
    <row r="18" spans="1:15" ht="15.75" customHeight="1">
      <c r="A18" s="17" t="str">
        <f ca="1">IFERROR(__xludf.DUMMYFUNCTION("""COMPUTED_VALUE"""),"TRX1358")</f>
        <v>TRX1358</v>
      </c>
      <c r="B18" s="86" t="str">
        <f ca="1">IFERROR(__xludf.DUMMYFUNCTION("""COMPUTED_VALUE"""),"-")</f>
        <v>-</v>
      </c>
      <c r="C18" s="63">
        <f ca="1">IFERROR(__xludf.DUMMYFUNCTION("""COMPUTED_VALUE"""),46066.4173611111)</f>
        <v>46066.417361111096</v>
      </c>
      <c r="D18" s="65">
        <f ca="1">IFERROR(__xludf.DUMMYFUNCTION("""COMPUTED_VALUE"""),400)</f>
        <v>400</v>
      </c>
      <c r="E18" s="17" t="str">
        <f ca="1">IFERROR(__xludf.DUMMYFUNCTION("""COMPUTED_VALUE"""),"MXN")</f>
        <v>MXN</v>
      </c>
      <c r="F18" s="17" t="str">
        <f ca="1">IFERROR(__xludf.DUMMYFUNCTION("""COMPUTED_VALUE"""),"TONANCY ISIDORO PENA")</f>
        <v>TONANCY ISIDORO PENA</v>
      </c>
      <c r="G18" s="17" t="str">
        <f ca="1">IFERROR(__xludf.DUMMYFUNCTION("""COMPUTED_VALUE"""),"SER GASOL AJIL TEMOAYA TEMOAYA EM    MEX")</f>
        <v>SER GASOL AJIL TEMOAYA TEMOAYA EM    MEX</v>
      </c>
      <c r="H18" s="17" t="str">
        <f ca="1">IFERROR(__xludf.DUMMYFUNCTION("""COMPUTED_VALUE"""),"Ser Gasol Ajil Temoaya Temoaya Em Mex")</f>
        <v>Ser Gasol Ajil Temoaya Temoaya Em Mex</v>
      </c>
      <c r="I18" s="17" t="str">
        <f ca="1">IFERROR(__xludf.DUMMYFUNCTION("""COMPUTED_VALUE"""),"Transaction cost")</f>
        <v>Transaction cost</v>
      </c>
      <c r="J18" s="17" t="str">
        <f ca="1">IFERROR(__xludf.DUMMYFUNCTION("""COMPUTED_VALUE"""),"PO 1726, Gasto de combustible, proyecto Grajales")</f>
        <v>PO 1726, Gasto de combustible, proyecto Grajales</v>
      </c>
      <c r="K18" s="17" t="str">
        <f ca="1">IFERROR(__xludf.DUMMYFUNCTION("""COMPUTED_VALUE"""),".17AFA0B1-2DD3-4FAE-9391-B278F95390A4")</f>
        <v>.17AFA0B1-2DD3-4FAE-9391-B278F95390A4</v>
      </c>
      <c r="L18" s="17"/>
      <c r="M18" s="17"/>
      <c r="N18" s="17"/>
      <c r="O18" s="17"/>
    </row>
    <row r="19" spans="1:15" ht="15.75" customHeight="1">
      <c r="A19" s="17" t="str">
        <f ca="1">IFERROR(__xludf.DUMMYFUNCTION("""COMPUTED_VALUE"""),"TRX1157")</f>
        <v>TRX1157</v>
      </c>
      <c r="B19" s="86" t="str">
        <f ca="1">IFERROR(__xludf.DUMMYFUNCTION("""COMPUTED_VALUE"""),"-")</f>
        <v>-</v>
      </c>
      <c r="C19" s="63">
        <f ca="1">IFERROR(__xludf.DUMMYFUNCTION("""COMPUTED_VALUE"""),46071.4166666666)</f>
        <v>46071.416666666599</v>
      </c>
      <c r="D19" s="132">
        <f ca="1">IFERROR(__xludf.DUMMYFUNCTION("""COMPUTED_VALUE"""),450)</f>
        <v>450</v>
      </c>
      <c r="E19" s="17" t="str">
        <f ca="1">IFERROR(__xludf.DUMMYFUNCTION("""COMPUTED_VALUE"""),"MXN")</f>
        <v>MXN</v>
      </c>
      <c r="F19" s="17" t="str">
        <f ca="1">IFERROR(__xludf.DUMMYFUNCTION("""COMPUTED_VALUE"""),"TONANCY ISIDORO PENA")</f>
        <v>TONANCY ISIDORO PENA</v>
      </c>
      <c r="G19" s="17" t="str">
        <f ca="1">IFERROR(__xludf.DUMMYFUNCTION("""COMPUTED_VALUE"""),"HF                     LERMA EM      MEX")</f>
        <v>HF                     LERMA EM      MEX</v>
      </c>
      <c r="H19" s="17" t="str">
        <f ca="1">IFERROR(__xludf.DUMMYFUNCTION("""COMPUTED_VALUE"""),"Hf Lerma Em Mex")</f>
        <v>Hf Lerma Em Mex</v>
      </c>
      <c r="I19" s="17" t="str">
        <f ca="1">IFERROR(__xludf.DUMMYFUNCTION("""COMPUTED_VALUE"""),"Transaction cost")</f>
        <v>Transaction cost</v>
      </c>
      <c r="J19" s="17" t="str">
        <f ca="1">IFERROR(__xludf.DUMMYFUNCTION("""COMPUTED_VALUE"""),"PO 1726, Gasto de viáticos, alimentos proyecto Grajales")</f>
        <v>PO 1726, Gasto de viáticos, alimentos proyecto Grajales</v>
      </c>
      <c r="K19" s="17" t="str">
        <f ca="1">IFERROR(__xludf.DUMMYFUNCTION("""COMPUTED_VALUE"""),".5c96c7a3-da66-4f2c-80e7-824712ca2581")</f>
        <v>.5c96c7a3-da66-4f2c-80e7-824712ca2581</v>
      </c>
      <c r="L19" s="17"/>
      <c r="M19" s="17"/>
      <c r="N19" s="17"/>
      <c r="O19" s="17"/>
    </row>
    <row r="20" spans="1:15" ht="12.5">
      <c r="A20" s="17" t="str">
        <f ca="1">IFERROR(__xludf.DUMMYFUNCTION("""COMPUTED_VALUE"""),"TRX1342")</f>
        <v>TRX1342</v>
      </c>
      <c r="B20" s="86" t="str">
        <f ca="1">IFERROR(__xludf.DUMMYFUNCTION("""COMPUTED_VALUE"""),"-")</f>
        <v>-</v>
      </c>
      <c r="C20" s="63">
        <f ca="1">IFERROR(__xludf.DUMMYFUNCTION("""COMPUTED_VALUE"""),46073.4166666666)</f>
        <v>46073.416666666599</v>
      </c>
      <c r="D20" s="132">
        <f ca="1">IFERROR(__xludf.DUMMYFUNCTION("""COMPUTED_VALUE"""),450)</f>
        <v>450</v>
      </c>
      <c r="E20" s="17" t="str">
        <f ca="1">IFERROR(__xludf.DUMMYFUNCTION("""COMPUTED_VALUE"""),"MXN")</f>
        <v>MXN</v>
      </c>
      <c r="F20" s="17" t="str">
        <f ca="1">IFERROR(__xludf.DUMMYFUNCTION("""COMPUTED_VALUE"""),"TONANCY ISIDORO PENA")</f>
        <v>TONANCY ISIDORO PENA</v>
      </c>
      <c r="G20" s="17" t="str">
        <f ca="1">IFERROR(__xludf.DUMMYFUNCTION("""COMPUTED_VALUE"""),"GASOLINERIA ENCINOS    OCOYOACAC EM  MEX")</f>
        <v>GASOLINERIA ENCINOS    OCOYOACAC EM  MEX</v>
      </c>
      <c r="H20" s="17" t="str">
        <f ca="1">IFERROR(__xludf.DUMMYFUNCTION("""COMPUTED_VALUE"""),"Gasolineria Encinos Ocoyoacac Em Mex")</f>
        <v>Gasolineria Encinos Ocoyoacac Em Mex</v>
      </c>
      <c r="I20" s="17" t="str">
        <f ca="1">IFERROR(__xludf.DUMMYFUNCTION("""COMPUTED_VALUE"""),"Transaction cost")</f>
        <v>Transaction cost</v>
      </c>
      <c r="J20" s="17" t="str">
        <f ca="1">IFERROR(__xludf.DUMMYFUNCTION("""COMPUTED_VALUE"""),"PO 1726, Gasto en vehículo, refacción-llanta")</f>
        <v>PO 1726, Gasto en vehículo, refacción-llanta</v>
      </c>
      <c r="K20" s="17" t="str">
        <f ca="1">IFERROR(__xludf.DUMMYFUNCTION("""COMPUTED_VALUE"""),".47334db5-3937-4d2b-813d-80a5d332d024")</f>
        <v>.47334db5-3937-4d2b-813d-80a5d332d024</v>
      </c>
      <c r="L20" s="17"/>
      <c r="M20" s="17"/>
      <c r="N20" s="17"/>
      <c r="O20" s="17"/>
    </row>
    <row r="21" spans="1:15" ht="12.5">
      <c r="A21" s="17" t="str">
        <f ca="1">IFERROR(__xludf.DUMMYFUNCTION("""COMPUTED_VALUE"""),"TRX1582")</f>
        <v>TRX1582</v>
      </c>
      <c r="B21" s="86" t="str">
        <f ca="1">IFERROR(__xludf.DUMMYFUNCTION("""COMPUTED_VALUE"""),"-")</f>
        <v>-</v>
      </c>
      <c r="C21" s="63">
        <f ca="1">IFERROR(__xludf.DUMMYFUNCTION("""COMPUTED_VALUE"""),46073.4166666666)</f>
        <v>46073.416666666599</v>
      </c>
      <c r="D21" s="132">
        <f ca="1">IFERROR(__xludf.DUMMYFUNCTION("""COMPUTED_VALUE"""),301)</f>
        <v>301</v>
      </c>
      <c r="E21" s="17" t="str">
        <f ca="1">IFERROR(__xludf.DUMMYFUNCTION("""COMPUTED_VALUE"""),"MXN")</f>
        <v>MXN</v>
      </c>
      <c r="F21" s="17" t="str">
        <f ca="1">IFERROR(__xludf.DUMMYFUNCTION("""COMPUTED_VALUE"""),"TONANCY ISIDORO PENA")</f>
        <v>TONANCY ISIDORO PENA</v>
      </c>
      <c r="G21" s="17" t="str">
        <f ca="1">IFERROR(__xludf.DUMMYFUNCTION("""COMPUTED_VALUE"""),"REST MR SUSHI          OCOYOACAC EM  MEX")</f>
        <v>REST MR SUSHI          OCOYOACAC EM  MEX</v>
      </c>
      <c r="H21" s="17" t="str">
        <f ca="1">IFERROR(__xludf.DUMMYFUNCTION("""COMPUTED_VALUE"""),"Rest Mr Sushi Ocoyoacac Em Mex")</f>
        <v>Rest Mr Sushi Ocoyoacac Em Mex</v>
      </c>
      <c r="I21" s="17" t="str">
        <f ca="1">IFERROR(__xludf.DUMMYFUNCTION("""COMPUTED_VALUE"""),"Transaction cost")</f>
        <v>Transaction cost</v>
      </c>
      <c r="J21" s="17" t="str">
        <f ca="1">IFERROR(__xludf.DUMMYFUNCTION("""COMPUTED_VALUE"""),"PO 1726, Gasto de combustible, proyecto Grajales")</f>
        <v>PO 1726, Gasto de combustible, proyecto Grajales</v>
      </c>
      <c r="K21" s="17" t="str">
        <f ca="1">IFERROR(__xludf.DUMMYFUNCTION("""COMPUTED_VALUE"""),".960C9449-2AF5-46A3-B8B1-D3378D723967")</f>
        <v>.960C9449-2AF5-46A3-B8B1-D3378D723967</v>
      </c>
      <c r="L21" s="17"/>
      <c r="M21" s="17"/>
      <c r="N21" s="17"/>
      <c r="O21" s="17"/>
    </row>
    <row r="22" spans="1:15" ht="12.5">
      <c r="A22" s="17" t="str">
        <f ca="1">IFERROR(__xludf.DUMMYFUNCTION("""COMPUTED_VALUE"""),"TRX1147")</f>
        <v>TRX1147</v>
      </c>
      <c r="B22" s="86" t="str">
        <f ca="1">IFERROR(__xludf.DUMMYFUNCTION("""COMPUTED_VALUE"""),"-")</f>
        <v>-</v>
      </c>
      <c r="C22" s="63">
        <f ca="1">IFERROR(__xludf.DUMMYFUNCTION("""COMPUTED_VALUE"""),46073.4166666666)</f>
        <v>46073.416666666599</v>
      </c>
      <c r="D22" s="65">
        <f ca="1">IFERROR(__xludf.DUMMYFUNCTION("""COMPUTED_VALUE"""),114)</f>
        <v>114</v>
      </c>
      <c r="E22" s="17" t="str">
        <f ca="1">IFERROR(__xludf.DUMMYFUNCTION("""COMPUTED_VALUE"""),"MXN")</f>
        <v>MXN</v>
      </c>
      <c r="F22" s="17" t="str">
        <f ca="1">IFERROR(__xludf.DUMMYFUNCTION("""COMPUTED_VALUE"""),"TONANCY ISIDORO PENA")</f>
        <v>TONANCY ISIDORO PENA</v>
      </c>
      <c r="G22" s="17" t="str">
        <f ca="1">IFERROR(__xludf.DUMMYFUNCTION("""COMPUTED_VALUE"""),"TIMHOR OCOYOACAC I     OCOYOACAC EM  MEX")</f>
        <v>TIMHOR OCOYOACAC I     OCOYOACAC EM  MEX</v>
      </c>
      <c r="H22" s="17" t="str">
        <f ca="1">IFERROR(__xludf.DUMMYFUNCTION("""COMPUTED_VALUE"""),"Timhor Ocoyoacac I Ocoyoacac Em Mex")</f>
        <v>Timhor Ocoyoacac I Ocoyoacac Em Mex</v>
      </c>
      <c r="I22" s="17" t="str">
        <f ca="1">IFERROR(__xludf.DUMMYFUNCTION("""COMPUTED_VALUE"""),"Transaction cost")</f>
        <v>Transaction cost</v>
      </c>
      <c r="J22" s="17" t="str">
        <f ca="1">IFERROR(__xludf.DUMMYFUNCTION("""COMPUTED_VALUE"""),"PO 1726, Gasto de combustible, proyecto Grajales")</f>
        <v>PO 1726, Gasto de combustible, proyecto Grajales</v>
      </c>
      <c r="K22" s="17" t="str">
        <f ca="1">IFERROR(__xludf.DUMMYFUNCTION("""COMPUTED_VALUE"""),".-")</f>
        <v>.-</v>
      </c>
      <c r="L22" s="17"/>
      <c r="M22" s="17"/>
      <c r="N22" s="17"/>
      <c r="O22" s="17"/>
    </row>
    <row r="23" spans="1:15" ht="12.5">
      <c r="A23" s="17" t="str">
        <f ca="1">IFERROR(__xludf.DUMMYFUNCTION("""COMPUTED_VALUE"""),"TRX1188")</f>
        <v>TRX1188</v>
      </c>
      <c r="B23" s="86" t="str">
        <f ca="1">IFERROR(__xludf.DUMMYFUNCTION("""COMPUTED_VALUE"""),"#79")</f>
        <v>#79</v>
      </c>
      <c r="C23" s="63">
        <f ca="1">IFERROR(__xludf.DUMMYFUNCTION("""COMPUTED_VALUE"""),46079.4166666666)</f>
        <v>46079.416666666599</v>
      </c>
      <c r="D23" s="65">
        <f ca="1">IFERROR(__xludf.DUMMYFUNCTION("""COMPUTED_VALUE"""),450)</f>
        <v>450</v>
      </c>
      <c r="E23" s="17" t="str">
        <f ca="1">IFERROR(__xludf.DUMMYFUNCTION("""COMPUTED_VALUE"""),"MXN")</f>
        <v>MXN</v>
      </c>
      <c r="F23" s="17" t="str">
        <f ca="1">IFERROR(__xludf.DUMMYFUNCTION("""COMPUTED_VALUE"""),"TONANCY ISIDORO PENA")</f>
        <v>TONANCY ISIDORO PENA</v>
      </c>
      <c r="G23" s="17" t="str">
        <f ca="1">IFERROR(__xludf.DUMMYFUNCTION("""COMPUTED_VALUE"""),"HF                     LERMA EM      MEX")</f>
        <v>HF                     LERMA EM      MEX</v>
      </c>
      <c r="H23" s="17" t="str">
        <f ca="1">IFERROR(__xludf.DUMMYFUNCTION("""COMPUTED_VALUE"""),"Hf Lerma Em Mex")</f>
        <v>Hf Lerma Em Mex</v>
      </c>
      <c r="I23" s="17" t="str">
        <f ca="1">IFERROR(__xludf.DUMMYFUNCTION("""COMPUTED_VALUE"""),"Transaction cost")</f>
        <v>Transaction cost</v>
      </c>
      <c r="J23" s="17" t="str">
        <f ca="1">IFERROR(__xludf.DUMMYFUNCTION("""COMPUTED_VALUE"""),"PO 1726, Gasto de combustible, proyecto Grajales")</f>
        <v>PO 1726, Gasto de combustible, proyecto Grajales</v>
      </c>
      <c r="K23" s="17" t="str">
        <f ca="1">IFERROR(__xludf.DUMMYFUNCTION("""COMPUTED_VALUE"""),".5132c9b1-cadc-475a-81e6-a7c10b999f0d")</f>
        <v>.5132c9b1-cadc-475a-81e6-a7c10b999f0d</v>
      </c>
      <c r="L23" s="17"/>
      <c r="M23" s="17"/>
      <c r="N23" s="17"/>
      <c r="O23" s="17"/>
    </row>
    <row r="24" spans="1:15" ht="12.5">
      <c r="A24" s="17" t="str">
        <f ca="1">IFERROR(__xludf.DUMMYFUNCTION("""COMPUTED_VALUE"""),"TRX1200")</f>
        <v>TRX1200</v>
      </c>
      <c r="B24" s="86" t="str">
        <f ca="1">IFERROR(__xludf.DUMMYFUNCTION("""COMPUTED_VALUE"""),"#79")</f>
        <v>#79</v>
      </c>
      <c r="C24" s="63">
        <f ca="1">IFERROR(__xludf.DUMMYFUNCTION("""COMPUTED_VALUE"""),46079.4166666666)</f>
        <v>46079.416666666599</v>
      </c>
      <c r="D24" s="65">
        <f ca="1">IFERROR(__xludf.DUMMYFUNCTION("""COMPUTED_VALUE"""),48)</f>
        <v>48</v>
      </c>
      <c r="E24" s="17" t="str">
        <f ca="1">IFERROR(__xludf.DUMMYFUNCTION("""COMPUTED_VALUE"""),"MXN")</f>
        <v>MXN</v>
      </c>
      <c r="F24" s="17" t="str">
        <f ca="1">IFERROR(__xludf.DUMMYFUNCTION("""COMPUTED_VALUE"""),"TONANCY ISIDORO PENA")</f>
        <v>TONANCY ISIDORO PENA</v>
      </c>
      <c r="G24" s="17" t="str">
        <f ca="1">IFERROR(__xludf.DUMMYFUNCTION("""COMPUTED_VALUE"""),"OXXO ALISAS            LERMA EM      MEX")</f>
        <v>OXXO ALISAS            LERMA EM      MEX</v>
      </c>
      <c r="H24" s="17" t="str">
        <f ca="1">IFERROR(__xludf.DUMMYFUNCTION("""COMPUTED_VALUE"""),"Oxxo")</f>
        <v>Oxxo</v>
      </c>
      <c r="I24" s="17" t="str">
        <f ca="1">IFERROR(__xludf.DUMMYFUNCTION("""COMPUTED_VALUE"""),"G&amp;A expenses")</f>
        <v>G&amp;A expenses</v>
      </c>
      <c r="J24" s="17" t="str">
        <f ca="1">IFERROR(__xludf.DUMMYFUNCTION("""COMPUTED_VALUE"""),"PO 1726, Gasto de viáticos, alimentos proyecto Grajales")</f>
        <v>PO 1726, Gasto de viáticos, alimentos proyecto Grajales</v>
      </c>
      <c r="K24" s="17" t="str">
        <f ca="1">IFERROR(__xludf.DUMMYFUNCTION("""COMPUTED_VALUE"""),".50695666-914b-4bb9-be5f-03f0d9e61615")</f>
        <v>.50695666-914b-4bb9-be5f-03f0d9e61615</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4F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187</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Sept'!$J$12:$J$1700=$A$2)"),"TRX1289")</f>
        <v>TRX1289</v>
      </c>
      <c r="B12" s="86" t="str">
        <f ca="1">IFERROR(__xludf.DUMMYFUNCTION("""COMPUTED_VALUE"""),"-")</f>
        <v>-</v>
      </c>
      <c r="C12" s="86">
        <f ca="1">IFERROR(__xludf.DUMMYFUNCTION("""COMPUTED_VALUE"""),46056.4166666666)</f>
        <v>46056.416666666599</v>
      </c>
      <c r="D12" s="65">
        <f ca="1">IFERROR(__xludf.DUMMYFUNCTION("FILTER('Edo Cta Jeeves Sept'!$G$12:$G$1700,'Edo Cta Jeeves Sept'!$J$12:$J$1700=$A$2)"),1317.13)</f>
        <v>1317.13</v>
      </c>
      <c r="E12" s="17" t="str">
        <f ca="1">IFERROR(__xludf.DUMMYFUNCTION("FILTER('Edo Cta Jeeves Sept'!$I$12:$I$1700,'Edo Cta Jeeves Sept'!$J$12:$J$1700=$A$2)"),"MXN")</f>
        <v>MXN</v>
      </c>
      <c r="F12" s="17" t="str">
        <f ca="1">IFERROR(__xludf.DUMMYFUNCTION("FILTER('Edo Cta Jeeves Sept'!$J$12:$J$1700,'Edo Cta Jeeves Sept'!$J$12:$J$1700=$A$2)"),"Daniel Caraveo")</f>
        <v>Daniel Caraveo</v>
      </c>
      <c r="G12" s="17" t="str">
        <f ca="1">IFERROR(__xludf.DUMMYFUNCTION("FILTER('Edo Cta Jeeves Sept'!$K$12:$L$1700,'Edo Cta Jeeves Sept'!$J$12:$J$1700=$A$2)"),"WM EXPRESS BONAMPAK    CANCUN QROO   MEX")</f>
        <v>WM EXPRESS BONAMPAK    CANCUN QROO   MEX</v>
      </c>
      <c r="H12" s="17" t="str">
        <f ca="1">IFERROR(__xludf.DUMMYFUNCTION("""COMPUTED_VALUE"""),"Wm Express Bonampak Cancun Qroo Mex")</f>
        <v>Wm Express Bonampak Cancun Qroo Mex</v>
      </c>
      <c r="I12" s="17" t="str">
        <f ca="1">IFERROR(__xludf.DUMMYFUNCTION("IMPORTRANGE(""https://docs.google.com/spreadsheets/d/1jWlIX1HQ6y72Q98mcPzeJarijQDTt3UcGH-TtPSPuss/edit?gid=1404531132#gid=1404531132"",""I12:K80"")"),"G&amp;A expenses")</f>
        <v>G&amp;A expenses</v>
      </c>
      <c r="J12" s="17" t="str">
        <f ca="1">IFERROR(__xludf.DUMMYFUNCTION("""COMPUTED_VALUE"""),"Viaticos para estancia prolongada en provincia por proyecto")</f>
        <v>Viaticos para estancia prolongada en provincia por proyecto</v>
      </c>
      <c r="K12" s="17" t="str">
        <f ca="1">IFERROR(__xludf.DUMMYFUNCTION("""COMPUTED_VALUE"""),"494632CA-73F5-4A45-9469-A2CF33866096")</f>
        <v>494632CA-73F5-4A45-9469-A2CF33866096</v>
      </c>
      <c r="L12" s="17"/>
      <c r="M12" s="17"/>
      <c r="N12" s="17"/>
      <c r="O12" s="17"/>
    </row>
    <row r="13" spans="1:15" ht="15.75" customHeight="1">
      <c r="A13" s="24" t="str">
        <f ca="1">IFERROR(__xludf.DUMMYFUNCTION("""COMPUTED_VALUE"""),"TRX1226")</f>
        <v>TRX1226</v>
      </c>
      <c r="B13" s="86" t="str">
        <f ca="1">IFERROR(__xludf.DUMMYFUNCTION("""COMPUTED_VALUE"""),"-")</f>
        <v>-</v>
      </c>
      <c r="C13" s="63">
        <f ca="1">IFERROR(__xludf.DUMMYFUNCTION("""COMPUTED_VALUE"""),46058.4166666666)</f>
        <v>46058.416666666599</v>
      </c>
      <c r="D13" s="65">
        <f ca="1">IFERROR(__xludf.DUMMYFUNCTION("""COMPUTED_VALUE"""),355)</f>
        <v>355</v>
      </c>
      <c r="E13" s="17" t="str">
        <f ca="1">IFERROR(__xludf.DUMMYFUNCTION("""COMPUTED_VALUE"""),"MXN")</f>
        <v>MXN</v>
      </c>
      <c r="F13" s="17" t="str">
        <f ca="1">IFERROR(__xludf.DUMMYFUNCTION("""COMPUTED_VALUE"""),"Daniel Caraveo")</f>
        <v>Daniel Caraveo</v>
      </c>
      <c r="G13" s="17" t="str">
        <f ca="1">IFERROR(__xludf.DUMMYFUNCTION("""COMPUTED_VALUE"""),"RITUAL CAFE            CANCUN QROO   MEX")</f>
        <v>RITUAL CAFE            CANCUN QROO   MEX</v>
      </c>
      <c r="H13" s="17" t="str">
        <f ca="1">IFERROR(__xludf.DUMMYFUNCTION("""COMPUTED_VALUE"""),"Ritual Cafe Cancun Qroo Mex")</f>
        <v>Ritual Cafe Cancun Qroo Mex</v>
      </c>
      <c r="I13" s="17" t="str">
        <f ca="1">IFERROR(__xludf.DUMMYFUNCTION("""COMPUTED_VALUE"""),"G&amp;A expenses")</f>
        <v>G&amp;A expenses</v>
      </c>
      <c r="J13" s="17" t="str">
        <f ca="1">IFERROR(__xludf.DUMMYFUNCTION("""COMPUTED_VALUE"""),"comida en sitio")</f>
        <v>comida en sitio</v>
      </c>
      <c r="K13" s="17" t="str">
        <f ca="1">IFERROR(__xludf.DUMMYFUNCTION("""COMPUTED_VALUE"""),"F128074F-95E6-44A3-9B4D-828A349C283E")</f>
        <v>F128074F-95E6-44A3-9B4D-828A349C283E</v>
      </c>
      <c r="L13" s="17"/>
      <c r="M13" s="17"/>
      <c r="N13" s="17"/>
      <c r="O13" s="17"/>
    </row>
    <row r="14" spans="1:15" ht="15.75" customHeight="1">
      <c r="A14" s="24" t="str">
        <f ca="1">IFERROR(__xludf.DUMMYFUNCTION("""COMPUTED_VALUE"""),"TRX1225")</f>
        <v>TRX1225</v>
      </c>
      <c r="B14" s="86" t="str">
        <f ca="1">IFERROR(__xludf.DUMMYFUNCTION("""COMPUTED_VALUE"""),"-")</f>
        <v>-</v>
      </c>
      <c r="C14" s="63">
        <f ca="1">IFERROR(__xludf.DUMMYFUNCTION("""COMPUTED_VALUE"""),46058.4173611111)</f>
        <v>46058.417361111096</v>
      </c>
      <c r="D14" s="65">
        <f ca="1">IFERROR(__xludf.DUMMYFUNCTION("""COMPUTED_VALUE"""),178)</f>
        <v>178</v>
      </c>
      <c r="E14" s="17" t="str">
        <f ca="1">IFERROR(__xludf.DUMMYFUNCTION("""COMPUTED_VALUE"""),"MXN")</f>
        <v>MXN</v>
      </c>
      <c r="F14" s="17" t="str">
        <f ca="1">IFERROR(__xludf.DUMMYFUNCTION("""COMPUTED_VALUE"""),"Daniel Caraveo")</f>
        <v>Daniel Caraveo</v>
      </c>
      <c r="G14" s="17" t="str">
        <f ca="1">IFERROR(__xludf.DUMMYFUNCTION("""COMPUTED_VALUE"""),"LAVANDERIA ALBORADA    CANCUN QROO   MEX")</f>
        <v>LAVANDERIA ALBORADA    CANCUN QROO   MEX</v>
      </c>
      <c r="H14" s="17" t="str">
        <f ca="1">IFERROR(__xludf.DUMMYFUNCTION("""COMPUTED_VALUE"""),"Lavanderia Alborada Cancun Qroo Mex")</f>
        <v>Lavanderia Alborada Cancun Qroo Mex</v>
      </c>
      <c r="I14" s="17" t="str">
        <f ca="1">IFERROR(__xludf.DUMMYFUNCTION("""COMPUTED_VALUE"""),"G&amp;A expenses")</f>
        <v>G&amp;A expenses</v>
      </c>
      <c r="J14" s="17" t="str">
        <f ca="1">IFERROR(__xludf.DUMMYFUNCTION("""COMPUTED_VALUE"""),"Lavado de ropa estancia prolongada")</f>
        <v>Lavado de ropa estancia prolongada</v>
      </c>
      <c r="K14" s="17" t="str">
        <f ca="1">IFERROR(__xludf.DUMMYFUNCTION("""COMPUTED_VALUE"""),"El local no me proporciono factura")</f>
        <v>El local no me proporciono factura</v>
      </c>
      <c r="L14" s="17"/>
      <c r="M14" s="17"/>
      <c r="N14" s="17"/>
      <c r="O14" s="17"/>
    </row>
    <row r="15" spans="1:15" ht="15.75" customHeight="1">
      <c r="A15" s="24" t="str">
        <f ca="1">IFERROR(__xludf.DUMMYFUNCTION("""COMPUTED_VALUE"""),"TRX1173")</f>
        <v>TRX1173</v>
      </c>
      <c r="B15" s="86" t="str">
        <f ca="1">IFERROR(__xludf.DUMMYFUNCTION("""COMPUTED_VALUE"""),"-")</f>
        <v>-</v>
      </c>
      <c r="C15" s="63">
        <f ca="1">IFERROR(__xludf.DUMMYFUNCTION("""COMPUTED_VALUE"""),46059.4166666666)</f>
        <v>46059.416666666599</v>
      </c>
      <c r="D15" s="65">
        <f ca="1">IFERROR(__xludf.DUMMYFUNCTION("""COMPUTED_VALUE"""),41.91)</f>
        <v>41.91</v>
      </c>
      <c r="E15" s="17" t="str">
        <f ca="1">IFERROR(__xludf.DUMMYFUNCTION("""COMPUTED_VALUE"""),"MXN")</f>
        <v>MXN</v>
      </c>
      <c r="F15" s="17" t="str">
        <f ca="1">IFERROR(__xludf.DUMMYFUNCTION("""COMPUTED_VALUE"""),"Daniel Caraveo")</f>
        <v>Daniel Caraveo</v>
      </c>
      <c r="G15" s="17" t="str">
        <f ca="1">IFERROR(__xludf.DUMMYFUNCTION("""COMPUTED_VALUE"""),"UBER * PENDING         CMX           MEX")</f>
        <v>UBER * PENDING         CMX           MEX</v>
      </c>
      <c r="H15" s="17" t="str">
        <f ca="1">IFERROR(__xludf.DUMMYFUNCTION("""COMPUTED_VALUE"""),"Uber")</f>
        <v>Uber</v>
      </c>
      <c r="I15" s="17" t="str">
        <f ca="1">IFERROR(__xludf.DUMMYFUNCTION("""COMPUTED_VALUE"""),"G&amp;A expenses")</f>
        <v>G&amp;A expenses</v>
      </c>
      <c r="J15" s="17" t="str">
        <f ca="1">IFERROR(__xludf.DUMMYFUNCTION("""COMPUTED_VALUE"""),"TRASLADO CASA - OBRA - CASA")</f>
        <v>TRASLADO CASA - OBRA - CASA</v>
      </c>
      <c r="K15" s="17" t="str">
        <f ca="1">IFERROR(__xludf.DUMMYFUNCTION("""COMPUTED_VALUE"""),"78C4B18C-42AD-5BA6-B65D-564F326CC9C4")</f>
        <v>78C4B18C-42AD-5BA6-B65D-564F326CC9C4</v>
      </c>
      <c r="L15" s="17"/>
      <c r="M15" s="17"/>
      <c r="N15" s="17"/>
      <c r="O15" s="17"/>
    </row>
    <row r="16" spans="1:15" ht="15.75" customHeight="1">
      <c r="A16" s="17" t="str">
        <f ca="1">IFERROR(__xludf.DUMMYFUNCTION("""COMPUTED_VALUE"""),"TRX1163")</f>
        <v>TRX1163</v>
      </c>
      <c r="B16" s="86" t="str">
        <f ca="1">IFERROR(__xludf.DUMMYFUNCTION("""COMPUTED_VALUE"""),"-")</f>
        <v>-</v>
      </c>
      <c r="C16" s="63">
        <f ca="1">IFERROR(__xludf.DUMMYFUNCTION("""COMPUTED_VALUE"""),46059.4166666666)</f>
        <v>46059.416666666599</v>
      </c>
      <c r="D16" s="132">
        <f ca="1">IFERROR(__xludf.DUMMYFUNCTION("""COMPUTED_VALUE"""),171)</f>
        <v>171</v>
      </c>
      <c r="E16" s="17" t="str">
        <f ca="1">IFERROR(__xludf.DUMMYFUNCTION("""COMPUTED_VALUE"""),"MXN")</f>
        <v>MXN</v>
      </c>
      <c r="F16" s="17" t="str">
        <f ca="1">IFERROR(__xludf.DUMMYFUNCTION("""COMPUTED_VALUE"""),"Daniel Caraveo")</f>
        <v>Daniel Caraveo</v>
      </c>
      <c r="G16" s="17" t="str">
        <f ca="1">IFERROR(__xludf.DUMMYFUNCTION("""COMPUTED_VALUE"""),"STARBUCKS PUERTO CANC  ROO           MEX")</f>
        <v>STARBUCKS PUERTO CANC  ROO           MEX</v>
      </c>
      <c r="H16" s="17" t="str">
        <f ca="1">IFERROR(__xludf.DUMMYFUNCTION("""COMPUTED_VALUE"""),"Starbucks")</f>
        <v>Starbucks</v>
      </c>
      <c r="I16" s="17" t="str">
        <f ca="1">IFERROR(__xludf.DUMMYFUNCTION("""COMPUTED_VALUE"""),"G&amp;A expenses")</f>
        <v>G&amp;A expenses</v>
      </c>
      <c r="J16" s="17" t="str">
        <f ca="1">IFERROR(__xludf.DUMMYFUNCTION("""COMPUTED_VALUE"""),"comida en sitio")</f>
        <v>comida en sitio</v>
      </c>
      <c r="K16" s="17" t="str">
        <f ca="1">IFERROR(__xludf.DUMMYFUNCTION("""COMPUTED_VALUE"""),"49919CB8-8FB4-409F-808F-97DC26317572")</f>
        <v>49919CB8-8FB4-409F-808F-97DC26317572</v>
      </c>
      <c r="L16" s="17"/>
      <c r="M16" s="17"/>
      <c r="N16" s="17"/>
      <c r="O16" s="17"/>
    </row>
    <row r="17" spans="1:15" ht="15.75" customHeight="1">
      <c r="A17" s="17" t="str">
        <f ca="1">IFERROR(__xludf.DUMMYFUNCTION("""COMPUTED_VALUE"""),"TRX1158")</f>
        <v>TRX1158</v>
      </c>
      <c r="B17" s="86" t="str">
        <f ca="1">IFERROR(__xludf.DUMMYFUNCTION("""COMPUTED_VALUE"""),"-")</f>
        <v>-</v>
      </c>
      <c r="C17" s="63">
        <f ca="1">IFERROR(__xludf.DUMMYFUNCTION("""COMPUTED_VALUE"""),46059.4173611111)</f>
        <v>46059.417361111096</v>
      </c>
      <c r="D17" s="132">
        <f ca="1">IFERROR(__xludf.DUMMYFUNCTION("""COMPUTED_VALUE"""),328.9)</f>
        <v>328.9</v>
      </c>
      <c r="E17" s="17" t="str">
        <f ca="1">IFERROR(__xludf.DUMMYFUNCTION("""COMPUTED_VALUE"""),"MXN")</f>
        <v>MXN</v>
      </c>
      <c r="F17" s="17" t="str">
        <f ca="1">IFERROR(__xludf.DUMMYFUNCTION("""COMPUTED_VALUE"""),"Daniel Caraveo")</f>
        <v>Daniel Caraveo</v>
      </c>
      <c r="G17" s="17" t="str">
        <f ca="1">IFERROR(__xludf.DUMMYFUNCTION("""COMPUTED_VALUE"""),"REST LA PIZZARRA       CIUDAD DE MEX MEX")</f>
        <v>REST LA PIZZARRA       CIUDAD DE MEX MEX</v>
      </c>
      <c r="H17" s="17" t="str">
        <f ca="1">IFERROR(__xludf.DUMMYFUNCTION("""COMPUTED_VALUE"""),"Rest La Pizzarra Ciudad De Mex Mex")</f>
        <v>Rest La Pizzarra Ciudad De Mex Mex</v>
      </c>
      <c r="I17" s="17" t="str">
        <f ca="1">IFERROR(__xludf.DUMMYFUNCTION("""COMPUTED_VALUE"""),"G&amp;A expenses")</f>
        <v>G&amp;A expenses</v>
      </c>
      <c r="J17" s="17" t="str">
        <f ca="1">IFERROR(__xludf.DUMMYFUNCTION("""COMPUTED_VALUE"""),"comida en sitio")</f>
        <v>comida en sitio</v>
      </c>
      <c r="K17" s="17" t="str">
        <f ca="1">IFERROR(__xludf.DUMMYFUNCTION("""COMPUTED_VALUE"""),"02036246-1F07-4918-91BC-8FBCBCBD208C")</f>
        <v>02036246-1F07-4918-91BC-8FBCBCBD208C</v>
      </c>
      <c r="L17" s="17"/>
      <c r="M17" s="17"/>
      <c r="N17" s="17"/>
      <c r="O17" s="17"/>
    </row>
    <row r="18" spans="1:15" ht="15.75" customHeight="1">
      <c r="A18" s="17" t="str">
        <f ca="1">IFERROR(__xludf.DUMMYFUNCTION("""COMPUTED_VALUE"""),"TRX1757")</f>
        <v>TRX1757</v>
      </c>
      <c r="B18" s="86" t="str">
        <f ca="1">IFERROR(__xludf.DUMMYFUNCTION("""COMPUTED_VALUE"""),"-")</f>
        <v>-</v>
      </c>
      <c r="C18" s="63">
        <f ca="1">IFERROR(__xludf.DUMMYFUNCTION("""COMPUTED_VALUE"""),46060.4166666666)</f>
        <v>46060.416666666599</v>
      </c>
      <c r="D18" s="65">
        <f ca="1">IFERROR(__xludf.DUMMYFUNCTION("""COMPUTED_VALUE"""),101.77)</f>
        <v>101.77</v>
      </c>
      <c r="E18" s="17" t="str">
        <f ca="1">IFERROR(__xludf.DUMMYFUNCTION("""COMPUTED_VALUE"""),"MXN")</f>
        <v>MXN</v>
      </c>
      <c r="F18" s="17" t="str">
        <f ca="1">IFERROR(__xludf.DUMMYFUNCTION("""COMPUTED_VALUE"""),"Daniel Caraveo")</f>
        <v>Daniel Caraveo</v>
      </c>
      <c r="G18" s="17" t="str">
        <f ca="1">IFERROR(__xludf.DUMMYFUNCTION("""COMPUTED_VALUE"""),"UBER * PENDING         CMX           MEX")</f>
        <v>UBER * PENDING         CMX           MEX</v>
      </c>
      <c r="H18" s="17" t="str">
        <f ca="1">IFERROR(__xludf.DUMMYFUNCTION("""COMPUTED_VALUE"""),"Uber")</f>
        <v>Uber</v>
      </c>
      <c r="I18" s="17" t="str">
        <f ca="1">IFERROR(__xludf.DUMMYFUNCTION("""COMPUTED_VALUE"""),"G&amp;A expenses")</f>
        <v>G&amp;A expenses</v>
      </c>
      <c r="J18" s="17" t="str">
        <f ca="1">IFERROR(__xludf.DUMMYFUNCTION("""COMPUTED_VALUE"""),"Taslado en sitio")</f>
        <v>Taslado en sitio</v>
      </c>
      <c r="K18" s="17" t="str">
        <f ca="1">IFERROR(__xludf.DUMMYFUNCTION("""COMPUTED_VALUE"""),"EL SOCIO CONDUCTOR NO EMITE FACTURA")</f>
        <v>EL SOCIO CONDUCTOR NO EMITE FACTURA</v>
      </c>
      <c r="L18" s="17"/>
      <c r="M18" s="17"/>
      <c r="N18" s="17"/>
      <c r="O18" s="17"/>
    </row>
    <row r="19" spans="1:15" ht="15.75" customHeight="1">
      <c r="A19" s="17" t="str">
        <f ca="1">IFERROR(__xludf.DUMMYFUNCTION("""COMPUTED_VALUE"""),"TRX1954")</f>
        <v>TRX1954</v>
      </c>
      <c r="B19" s="86" t="str">
        <f ca="1">IFERROR(__xludf.DUMMYFUNCTION("""COMPUTED_VALUE"""),"-")</f>
        <v>-</v>
      </c>
      <c r="C19" s="63">
        <f ca="1">IFERROR(__xludf.DUMMYFUNCTION("""COMPUTED_VALUE"""),46060.4166666666)</f>
        <v>46060.416666666599</v>
      </c>
      <c r="D19" s="132">
        <f ca="1">IFERROR(__xludf.DUMMYFUNCTION("""COMPUTED_VALUE"""),52.28)</f>
        <v>52.28</v>
      </c>
      <c r="E19" s="17" t="str">
        <f ca="1">IFERROR(__xludf.DUMMYFUNCTION("""COMPUTED_VALUE"""),"MXN")</f>
        <v>MXN</v>
      </c>
      <c r="F19" s="17" t="str">
        <f ca="1">IFERROR(__xludf.DUMMYFUNCTION("""COMPUTED_VALUE"""),"Daniel Caraveo")</f>
        <v>Daniel Caraveo</v>
      </c>
      <c r="G19" s="17" t="str">
        <f ca="1">IFERROR(__xludf.DUMMYFUNCTION("""COMPUTED_VALUE"""),"UBER * PENDING         CMX           MEX")</f>
        <v>UBER * PENDING         CMX           MEX</v>
      </c>
      <c r="H19" s="17" t="str">
        <f ca="1">IFERROR(__xludf.DUMMYFUNCTION("""COMPUTED_VALUE"""),"Uber")</f>
        <v>Uber</v>
      </c>
      <c r="I19" s="17" t="str">
        <f ca="1">IFERROR(__xludf.DUMMYFUNCTION("""COMPUTED_VALUE"""),"G&amp;A expenses")</f>
        <v>G&amp;A expenses</v>
      </c>
      <c r="J19" s="17" t="str">
        <f ca="1">IFERROR(__xludf.DUMMYFUNCTION("""COMPUTED_VALUE"""),"TRASLADO CASA - OBRA - CASA")</f>
        <v>TRASLADO CASA - OBRA - CASA</v>
      </c>
      <c r="K19" s="17" t="str">
        <f ca="1">IFERROR(__xludf.DUMMYFUNCTION("""COMPUTED_VALUE"""),"64FC6B14-2D71-5788-AE7A-3F084AEC2149")</f>
        <v>64FC6B14-2D71-5788-AE7A-3F084AEC2149</v>
      </c>
      <c r="L19" s="17"/>
      <c r="M19" s="17"/>
      <c r="N19" s="17"/>
      <c r="O19" s="17"/>
    </row>
    <row r="20" spans="1:15" ht="12.5">
      <c r="A20" s="17" t="str">
        <f ca="1">IFERROR(__xludf.DUMMYFUNCTION("""COMPUTED_VALUE"""),"TRX1407")</f>
        <v>TRX1407</v>
      </c>
      <c r="B20" s="86" t="str">
        <f ca="1">IFERROR(__xludf.DUMMYFUNCTION("""COMPUTED_VALUE"""),"-")</f>
        <v>-</v>
      </c>
      <c r="C20" s="63">
        <f ca="1">IFERROR(__xludf.DUMMYFUNCTION("""COMPUTED_VALUE"""),46060.4173611111)</f>
        <v>46060.417361111096</v>
      </c>
      <c r="D20" s="132">
        <f ca="1">IFERROR(__xludf.DUMMYFUNCTION("""COMPUTED_VALUE"""),806)</f>
        <v>806</v>
      </c>
      <c r="E20" s="17" t="str">
        <f ca="1">IFERROR(__xludf.DUMMYFUNCTION("""COMPUTED_VALUE"""),"MXN")</f>
        <v>MXN</v>
      </c>
      <c r="F20" s="17" t="str">
        <f ca="1">IFERROR(__xludf.DUMMYFUNCTION("""COMPUTED_VALUE"""),"Daniel Caraveo")</f>
        <v>Daniel Caraveo</v>
      </c>
      <c r="G20" s="17" t="str">
        <f ca="1">IFERROR(__xludf.DUMMYFUNCTION("""COMPUTED_VALUE"""),"DOMINOS PTO CANCUN     BENITO JUAREZ MEX")</f>
        <v>DOMINOS PTO CANCUN     BENITO JUAREZ MEX</v>
      </c>
      <c r="H20" s="17" t="str">
        <f ca="1">IFERROR(__xludf.DUMMYFUNCTION("""COMPUTED_VALUE"""),"Domino's")</f>
        <v>Domino's</v>
      </c>
      <c r="I20" s="17" t="str">
        <f ca="1">IFERROR(__xludf.DUMMYFUNCTION("""COMPUTED_VALUE"""),"G&amp;A expenses")</f>
        <v>G&amp;A expenses</v>
      </c>
      <c r="J20" s="17" t="str">
        <f ca="1">IFERROR(__xludf.DUMMYFUNCTION("""COMPUTED_VALUE"""),"Comida en sitio personal y personal operativo")</f>
        <v>Comida en sitio personal y personal operativo</v>
      </c>
      <c r="K20" s="17" t="str">
        <f ca="1">IFERROR(__xludf.DUMMYFUNCTION("""COMPUTED_VALUE"""),"1B11076C-5369-4765-BB04-97DC2631DEF0")</f>
        <v>1B11076C-5369-4765-BB04-97DC2631DEF0</v>
      </c>
      <c r="L20" s="17"/>
      <c r="M20" s="17"/>
      <c r="N20" s="17"/>
      <c r="O20" s="17"/>
    </row>
    <row r="21" spans="1:15" ht="12.5">
      <c r="A21" s="17" t="str">
        <f ca="1">IFERROR(__xludf.DUMMYFUNCTION("""COMPUTED_VALUE"""),"TRX1079")</f>
        <v>TRX1079</v>
      </c>
      <c r="B21" s="86" t="str">
        <f ca="1">IFERROR(__xludf.DUMMYFUNCTION("""COMPUTED_VALUE"""),"-")</f>
        <v>-</v>
      </c>
      <c r="C21" s="63">
        <f ca="1">IFERROR(__xludf.DUMMYFUNCTION("""COMPUTED_VALUE"""),46061.4166666666)</f>
        <v>46061.416666666599</v>
      </c>
      <c r="D21" s="132">
        <f ca="1">IFERROR(__xludf.DUMMYFUNCTION("""COMPUTED_VALUE"""),62.04)</f>
        <v>62.04</v>
      </c>
      <c r="E21" s="17" t="str">
        <f ca="1">IFERROR(__xludf.DUMMYFUNCTION("""COMPUTED_VALUE"""),"MXN")</f>
        <v>MXN</v>
      </c>
      <c r="F21" s="17" t="str">
        <f ca="1">IFERROR(__xludf.DUMMYFUNCTION("""COMPUTED_VALUE"""),"Daniel Caraveo")</f>
        <v>Daniel Caraveo</v>
      </c>
      <c r="G21" s="17" t="str">
        <f ca="1">IFERROR(__xludf.DUMMYFUNCTION("""COMPUTED_VALUE"""),"UBER * PENDING         CMX           MEX")</f>
        <v>UBER * PENDING         CMX           MEX</v>
      </c>
      <c r="H21" s="17" t="str">
        <f ca="1">IFERROR(__xludf.DUMMYFUNCTION("""COMPUTED_VALUE"""),"Uber")</f>
        <v>Uber</v>
      </c>
      <c r="I21" s="17" t="str">
        <f ca="1">IFERROR(__xludf.DUMMYFUNCTION("""COMPUTED_VALUE"""),"G&amp;A expenses")</f>
        <v>G&amp;A expenses</v>
      </c>
      <c r="J21" s="17" t="str">
        <f ca="1">IFERROR(__xludf.DUMMYFUNCTION("""COMPUTED_VALUE"""),"Taslado en sitio")</f>
        <v>Taslado en sitio</v>
      </c>
      <c r="K21" s="17" t="str">
        <f ca="1">IFERROR(__xludf.DUMMYFUNCTION("""COMPUTED_VALUE"""),"EL SOCIO CONDUCTOR NO EMITE FACTURA")</f>
        <v>EL SOCIO CONDUCTOR NO EMITE FACTURA</v>
      </c>
      <c r="L21" s="17"/>
      <c r="M21" s="17"/>
      <c r="N21" s="17"/>
      <c r="O21" s="17"/>
    </row>
    <row r="22" spans="1:15" ht="12.5">
      <c r="A22" s="17" t="str">
        <f ca="1">IFERROR(__xludf.DUMMYFUNCTION("""COMPUTED_VALUE"""),"TRX1444")</f>
        <v>TRX1444</v>
      </c>
      <c r="B22" s="86" t="str">
        <f ca="1">IFERROR(__xludf.DUMMYFUNCTION("""COMPUTED_VALUE"""),"-")</f>
        <v>-</v>
      </c>
      <c r="C22" s="63">
        <f ca="1">IFERROR(__xludf.DUMMYFUNCTION("""COMPUTED_VALUE"""),46061.4166666666)</f>
        <v>46061.416666666599</v>
      </c>
      <c r="D22" s="65">
        <f ca="1">IFERROR(__xludf.DUMMYFUNCTION("""COMPUTED_VALUE"""),285)</f>
        <v>285</v>
      </c>
      <c r="E22" s="17" t="str">
        <f ca="1">IFERROR(__xludf.DUMMYFUNCTION("""COMPUTED_VALUE"""),"MXN")</f>
        <v>MXN</v>
      </c>
      <c r="F22" s="17" t="str">
        <f ca="1">IFERROR(__xludf.DUMMYFUNCTION("""COMPUTED_VALUE"""),"Daniel Caraveo")</f>
        <v>Daniel Caraveo</v>
      </c>
      <c r="G22" s="17" t="str">
        <f ca="1">IFERROR(__xludf.DUMMYFUNCTION("""COMPUTED_VALUE"""),"REST DISTRITOGOURMET   CANCUN QROO   MEX")</f>
        <v>REST DISTRITOGOURMET   CANCUN QROO   MEX</v>
      </c>
      <c r="H22" s="17" t="str">
        <f ca="1">IFERROR(__xludf.DUMMYFUNCTION("""COMPUTED_VALUE"""),"Rest Distritogourmet Cancun Qroo Mex")</f>
        <v>Rest Distritogourmet Cancun Qroo Mex</v>
      </c>
      <c r="I22" s="17" t="str">
        <f ca="1">IFERROR(__xludf.DUMMYFUNCTION("""COMPUTED_VALUE"""),"G&amp;A expenses")</f>
        <v>G&amp;A expenses</v>
      </c>
      <c r="J22" s="17" t="str">
        <f ca="1">IFERROR(__xludf.DUMMYFUNCTION("""COMPUTED_VALUE"""),"comida en sitio")</f>
        <v>comida en sitio</v>
      </c>
      <c r="K22" s="17" t="str">
        <f ca="1">IFERROR(__xludf.DUMMYFUNCTION("""COMPUTED_VALUE"""),"FEFE8534-A49C-48C0-B5A8-9297D57C7E2A")</f>
        <v>FEFE8534-A49C-48C0-B5A8-9297D57C7E2A</v>
      </c>
      <c r="L22" s="17"/>
      <c r="M22" s="17"/>
      <c r="N22" s="17"/>
      <c r="O22" s="17"/>
    </row>
    <row r="23" spans="1:15" ht="12.5">
      <c r="A23" s="17" t="str">
        <f ca="1">IFERROR(__xludf.DUMMYFUNCTION("""COMPUTED_VALUE"""),"TRX1958")</f>
        <v>TRX1958</v>
      </c>
      <c r="B23" s="86" t="str">
        <f ca="1">IFERROR(__xludf.DUMMYFUNCTION("""COMPUTED_VALUE"""),"-")</f>
        <v>-</v>
      </c>
      <c r="C23" s="63">
        <f ca="1">IFERROR(__xludf.DUMMYFUNCTION("""COMPUTED_VALUE"""),46062.4166666666)</f>
        <v>46062.416666666599</v>
      </c>
      <c r="D23" s="65">
        <f ca="1">IFERROR(__xludf.DUMMYFUNCTION("""COMPUTED_VALUE"""),149.58)</f>
        <v>149.58000000000001</v>
      </c>
      <c r="E23" s="17" t="str">
        <f ca="1">IFERROR(__xludf.DUMMYFUNCTION("""COMPUTED_VALUE"""),"MXN")</f>
        <v>MXN</v>
      </c>
      <c r="F23" s="17" t="str">
        <f ca="1">IFERROR(__xludf.DUMMYFUNCTION("""COMPUTED_VALUE"""),"Daniel Caraveo")</f>
        <v>Daniel Caraveo</v>
      </c>
      <c r="G23" s="17" t="str">
        <f ca="1">IFERROR(__xludf.DUMMYFUNCTION("""COMPUTED_VALUE"""),"UBER * PENDING         CMX           MEX")</f>
        <v>UBER * PENDING         CMX           MEX</v>
      </c>
      <c r="H23" s="17" t="str">
        <f ca="1">IFERROR(__xludf.DUMMYFUNCTION("""COMPUTED_VALUE"""),"Uber")</f>
        <v>Uber</v>
      </c>
      <c r="I23" s="17" t="str">
        <f ca="1">IFERROR(__xludf.DUMMYFUNCTION("""COMPUTED_VALUE"""),"G&amp;A expenses")</f>
        <v>G&amp;A expenses</v>
      </c>
      <c r="J23" s="17" t="str">
        <f ca="1">IFERROR(__xludf.DUMMYFUNCTION("""COMPUTED_VALUE"""),"TRASLADO CASA - OBRA - CASA")</f>
        <v>TRASLADO CASA - OBRA - CASA</v>
      </c>
      <c r="K23" s="17" t="str">
        <f ca="1">IFERROR(__xludf.DUMMYFUNCTION("""COMPUTED_VALUE"""),"B700D2AA-EFC1-5419-B825-7BC767E8AC61")</f>
        <v>B700D2AA-EFC1-5419-B825-7BC767E8AC61</v>
      </c>
      <c r="L23" s="17"/>
      <c r="M23" s="17"/>
      <c r="N23" s="17"/>
      <c r="O23" s="17"/>
    </row>
    <row r="24" spans="1:15" ht="12.5">
      <c r="A24" s="17" t="str">
        <f ca="1">IFERROR(__xludf.DUMMYFUNCTION("""COMPUTED_VALUE"""),"TRX1116")</f>
        <v>TRX1116</v>
      </c>
      <c r="B24" s="86" t="str">
        <f ca="1">IFERROR(__xludf.DUMMYFUNCTION("""COMPUTED_VALUE"""),"-")</f>
        <v>-</v>
      </c>
      <c r="C24" s="63">
        <f ca="1">IFERROR(__xludf.DUMMYFUNCTION("""COMPUTED_VALUE"""),46062.4166666666)</f>
        <v>46062.416666666599</v>
      </c>
      <c r="D24" s="65">
        <f ca="1">IFERROR(__xludf.DUMMYFUNCTION("""COMPUTED_VALUE"""),251.68)</f>
        <v>251.68</v>
      </c>
      <c r="E24" s="17" t="str">
        <f ca="1">IFERROR(__xludf.DUMMYFUNCTION("""COMPUTED_VALUE"""),"MXN")</f>
        <v>MXN</v>
      </c>
      <c r="F24" s="17" t="str">
        <f ca="1">IFERROR(__xludf.DUMMYFUNCTION("""COMPUTED_VALUE"""),"Daniel Caraveo")</f>
        <v>Daniel Caraveo</v>
      </c>
      <c r="G24" s="17" t="str">
        <f ca="1">IFERROR(__xludf.DUMMYFUNCTION("""COMPUTED_VALUE"""),"UBER * PENDING         CMX           MEX")</f>
        <v>UBER * PENDING         CMX           MEX</v>
      </c>
      <c r="H24" s="17" t="str">
        <f ca="1">IFERROR(__xludf.DUMMYFUNCTION("""COMPUTED_VALUE"""),"Uber")</f>
        <v>Uber</v>
      </c>
      <c r="I24" s="17" t="str">
        <f ca="1">IFERROR(__xludf.DUMMYFUNCTION("""COMPUTED_VALUE"""),"G&amp;A expenses")</f>
        <v>G&amp;A expenses</v>
      </c>
      <c r="J24" s="17" t="str">
        <f ca="1">IFERROR(__xludf.DUMMYFUNCTION("""COMPUTED_VALUE"""),"TRASLADO CASA - OBRA - CASA")</f>
        <v>TRASLADO CASA - OBRA - CASA</v>
      </c>
      <c r="K24" s="17" t="str">
        <f ca="1">IFERROR(__xludf.DUMMYFUNCTION("""COMPUTED_VALUE"""),"B1271243-4BF5-5409-8184-CF8FF6B72A03")</f>
        <v>B1271243-4BF5-5409-8184-CF8FF6B72A03</v>
      </c>
      <c r="L24" s="17"/>
      <c r="M24" s="17"/>
      <c r="N24" s="17"/>
      <c r="O24" s="17"/>
    </row>
    <row r="25" spans="1:15" ht="12.5">
      <c r="A25" s="17" t="str">
        <f ca="1">IFERROR(__xludf.DUMMYFUNCTION("""COMPUTED_VALUE"""),"TRX1684")</f>
        <v>TRX1684</v>
      </c>
      <c r="B25" s="86" t="str">
        <f ca="1">IFERROR(__xludf.DUMMYFUNCTION("""COMPUTED_VALUE"""),"-")</f>
        <v>-</v>
      </c>
      <c r="C25" s="63">
        <f ca="1">IFERROR(__xludf.DUMMYFUNCTION("""COMPUTED_VALUE"""),46062.4166666666)</f>
        <v>46062.416666666599</v>
      </c>
      <c r="D25" s="65">
        <f ca="1">IFERROR(__xludf.DUMMYFUNCTION("""COMPUTED_VALUE"""),379.5)</f>
        <v>379.5</v>
      </c>
      <c r="E25" s="17" t="str">
        <f ca="1">IFERROR(__xludf.DUMMYFUNCTION("""COMPUTED_VALUE"""),"MXN")</f>
        <v>MXN</v>
      </c>
      <c r="F25" s="17" t="str">
        <f ca="1">IFERROR(__xludf.DUMMYFUNCTION("""COMPUTED_VALUE"""),"Daniel Caraveo")</f>
        <v>Daniel Caraveo</v>
      </c>
      <c r="G25" s="17" t="str">
        <f ca="1">IFERROR(__xludf.DUMMYFUNCTION("""COMPUTED_VALUE"""),"RITUAL CAFE            CANCUN QROO   MEX")</f>
        <v>RITUAL CAFE            CANCUN QROO   MEX</v>
      </c>
      <c r="H25" s="17" t="str">
        <f ca="1">IFERROR(__xludf.DUMMYFUNCTION("""COMPUTED_VALUE"""),"Ritual Cafe Cancun Qroo Mex")</f>
        <v>Ritual Cafe Cancun Qroo Mex</v>
      </c>
      <c r="I25" s="17" t="str">
        <f ca="1">IFERROR(__xludf.DUMMYFUNCTION("""COMPUTED_VALUE"""),"G&amp;A expenses")</f>
        <v>G&amp;A expenses</v>
      </c>
      <c r="J25" s="17" t="str">
        <f ca="1">IFERROR(__xludf.DUMMYFUNCTION("""COMPUTED_VALUE"""),"comida en sitio")</f>
        <v>comida en sitio</v>
      </c>
      <c r="K25" s="17" t="str">
        <f ca="1">IFERROR(__xludf.DUMMYFUNCTION("""COMPUTED_VALUE"""),"F128074F-95E6-44A3-9B4D-828A349C283E")</f>
        <v>F128074F-95E6-44A3-9B4D-828A349C283E</v>
      </c>
      <c r="L25" s="17"/>
      <c r="M25" s="17"/>
      <c r="N25" s="17"/>
      <c r="O25" s="17"/>
    </row>
    <row r="26" spans="1:15" ht="12.5">
      <c r="A26" s="17" t="str">
        <f ca="1">IFERROR(__xludf.DUMMYFUNCTION("""COMPUTED_VALUE"""),"TRX1696")</f>
        <v>TRX1696</v>
      </c>
      <c r="B26" s="86" t="str">
        <f ca="1">IFERROR(__xludf.DUMMYFUNCTION("""COMPUTED_VALUE"""),"-")</f>
        <v>-</v>
      </c>
      <c r="C26" s="63">
        <f ca="1">IFERROR(__xludf.DUMMYFUNCTION("""COMPUTED_VALUE"""),46062.4166666666)</f>
        <v>46062.416666666599</v>
      </c>
      <c r="D26" s="65">
        <f ca="1">IFERROR(__xludf.DUMMYFUNCTION("""COMPUTED_VALUE"""),456.89)</f>
        <v>456.89</v>
      </c>
      <c r="E26" s="17" t="str">
        <f ca="1">IFERROR(__xludf.DUMMYFUNCTION("""COMPUTED_VALUE"""),"MXN")</f>
        <v>MXN</v>
      </c>
      <c r="F26" s="17" t="str">
        <f ca="1">IFERROR(__xludf.DUMMYFUNCTION("""COMPUTED_VALUE"""),"Daniel Caraveo")</f>
        <v>Daniel Caraveo</v>
      </c>
      <c r="G26" s="17" t="str">
        <f ca="1">IFERROR(__xludf.DUMMYFUNCTION("""COMPUTED_VALUE"""),"TDAS CHEDRAUI S CAN 3  CANCUN QROO   MEX")</f>
        <v>TDAS CHEDRAUI S CAN 3  CANCUN QROO   MEX</v>
      </c>
      <c r="H26" s="17" t="str">
        <f ca="1">IFERROR(__xludf.DUMMYFUNCTION("""COMPUTED_VALUE"""),"Tdas Chedraui S Can 3 Cancun Qroo Mex")</f>
        <v>Tdas Chedraui S Can 3 Cancun Qroo Mex</v>
      </c>
      <c r="I26" s="17" t="str">
        <f ca="1">IFERROR(__xludf.DUMMYFUNCTION("""COMPUTED_VALUE"""),"G&amp;A expenses")</f>
        <v>G&amp;A expenses</v>
      </c>
      <c r="J26" s="17" t="str">
        <f ca="1">IFERROR(__xludf.DUMMYFUNCTION("""COMPUTED_VALUE"""),"Viaticos para estancia prolongada en provincia por proyecto")</f>
        <v>Viaticos para estancia prolongada en provincia por proyecto</v>
      </c>
      <c r="K26" s="17" t="str">
        <f ca="1">IFERROR(__xludf.DUMMYFUNCTION("""COMPUTED_VALUE"""),"B86A7C31-1B81-4BFC-B5F6-67390F4095CE")</f>
        <v>B86A7C31-1B81-4BFC-B5F6-67390F4095CE</v>
      </c>
      <c r="L26" s="17"/>
      <c r="M26" s="17"/>
      <c r="N26" s="17"/>
      <c r="O26" s="17"/>
    </row>
    <row r="27" spans="1:15" ht="12.5">
      <c r="A27" s="17" t="str">
        <f ca="1">IFERROR(__xludf.DUMMYFUNCTION("""COMPUTED_VALUE"""),"TRX1588")</f>
        <v>TRX1588</v>
      </c>
      <c r="B27" s="86" t="str">
        <f ca="1">IFERROR(__xludf.DUMMYFUNCTION("""COMPUTED_VALUE"""),"-")</f>
        <v>-</v>
      </c>
      <c r="C27" s="63">
        <f ca="1">IFERROR(__xludf.DUMMYFUNCTION("""COMPUTED_VALUE"""),46062.4166666666)</f>
        <v>46062.416666666599</v>
      </c>
      <c r="D27" s="65">
        <f ca="1">IFERROR(__xludf.DUMMYFUNCTION("""COMPUTED_VALUE"""),470.8)</f>
        <v>470.8</v>
      </c>
      <c r="E27" s="17" t="str">
        <f ca="1">IFERROR(__xludf.DUMMYFUNCTION("""COMPUTED_VALUE"""),"MXN")</f>
        <v>MXN</v>
      </c>
      <c r="F27" s="17" t="str">
        <f ca="1">IFERROR(__xludf.DUMMYFUNCTION("""COMPUTED_VALUE"""),"Daniel Caraveo")</f>
        <v>Daniel Caraveo</v>
      </c>
      <c r="G27" s="17" t="str">
        <f ca="1">IFERROR(__xludf.DUMMYFUNCTION("""COMPUTED_VALUE"""),"SUSHI ROLL CANCUN      CANCUN QROO   MEX")</f>
        <v>SUSHI ROLL CANCUN      CANCUN QROO   MEX</v>
      </c>
      <c r="H27" s="17" t="str">
        <f ca="1">IFERROR(__xludf.DUMMYFUNCTION("""COMPUTED_VALUE"""),"Sushi Roll Cancun Cancun Qroo Mex")</f>
        <v>Sushi Roll Cancun Cancun Qroo Mex</v>
      </c>
      <c r="I27" s="17" t="str">
        <f ca="1">IFERROR(__xludf.DUMMYFUNCTION("""COMPUTED_VALUE"""),"G&amp;A expenses")</f>
        <v>G&amp;A expenses</v>
      </c>
      <c r="J27" s="17" t="str">
        <f ca="1">IFERROR(__xludf.DUMMYFUNCTION("""COMPUTED_VALUE"""),"comida en sitio")</f>
        <v>comida en sitio</v>
      </c>
      <c r="K27" s="17" t="str">
        <f ca="1">IFERROR(__xludf.DUMMYFUNCTION("""COMPUTED_VALUE"""),"B0E9E3F5-BBD5-4124-9E31-3764342765D0")</f>
        <v>B0E9E3F5-BBD5-4124-9E31-3764342765D0</v>
      </c>
      <c r="L27" s="17"/>
      <c r="M27" s="17"/>
      <c r="N27" s="17"/>
      <c r="O27" s="17"/>
    </row>
    <row r="28" spans="1:15" ht="12.5">
      <c r="A28" s="17" t="str">
        <f ca="1">IFERROR(__xludf.DUMMYFUNCTION("""COMPUTED_VALUE"""),"TRX1466")</f>
        <v>TRX1466</v>
      </c>
      <c r="B28" s="86" t="str">
        <f ca="1">IFERROR(__xludf.DUMMYFUNCTION("""COMPUTED_VALUE"""),"-")</f>
        <v>-</v>
      </c>
      <c r="C28" s="63">
        <f ca="1">IFERROR(__xludf.DUMMYFUNCTION("""COMPUTED_VALUE"""),46062.4166666666)</f>
        <v>46062.416666666599</v>
      </c>
      <c r="D28" s="65">
        <f ca="1">IFERROR(__xludf.DUMMYFUNCTION("""COMPUTED_VALUE"""),1595)</f>
        <v>1595</v>
      </c>
      <c r="E28" s="17" t="str">
        <f ca="1">IFERROR(__xludf.DUMMYFUNCTION("""COMPUTED_VALUE"""),"MXN")</f>
        <v>MXN</v>
      </c>
      <c r="F28" s="17" t="str">
        <f ca="1">IFERROR(__xludf.DUMMYFUNCTION("""COMPUTED_VALUE"""),"Daniel Caraveo")</f>
        <v>Daniel Caraveo</v>
      </c>
      <c r="G28" s="17" t="str">
        <f ca="1">IFERROR(__xludf.DUMMYFUNCTION("""COMPUTED_VALUE"""),"PLUS LAS AMERICAS      BENITO JUAREZ MEX")</f>
        <v>PLUS LAS AMERICAS      BENITO JUAREZ MEX</v>
      </c>
      <c r="H28" s="17" t="str">
        <f ca="1">IFERROR(__xludf.DUMMYFUNCTION("""COMPUTED_VALUE"""),"Plus Las Americas Benito Juarez Mex")</f>
        <v>Plus Las Americas Benito Juarez Mex</v>
      </c>
      <c r="I28" s="17" t="str">
        <f ca="1">IFERROR(__xludf.DUMMYFUNCTION("""COMPUTED_VALUE"""),"G&amp;A expenses")</f>
        <v>G&amp;A expenses</v>
      </c>
      <c r="J28" s="17" t="str">
        <f ca="1">IFERROR(__xludf.DUMMYFUNCTION("""COMPUTED_VALUE"""),"EPP - CAMISA PROTECCION UV PARA OBRA EN CUBIERTA AL IRE LIBRE EN CANCUN")</f>
        <v>EPP - CAMISA PROTECCION UV PARA OBRA EN CUBIERTA AL IRE LIBRE EN CANCUN</v>
      </c>
      <c r="K28" s="17" t="str">
        <f ca="1">IFERROR(__xludf.DUMMYFUNCTION("""COMPUTED_VALUE"""),"261c5388-312e-47c7-a894-5acade919c1f")</f>
        <v>261c5388-312e-47c7-a894-5acade919c1f</v>
      </c>
      <c r="L28" s="17"/>
      <c r="M28" s="17"/>
      <c r="N28" s="17"/>
      <c r="O28" s="17"/>
    </row>
    <row r="29" spans="1:15" ht="12.5">
      <c r="A29" s="17" t="str">
        <f ca="1">IFERROR(__xludf.DUMMYFUNCTION("""COMPUTED_VALUE"""),"TRX2003")</f>
        <v>TRX2003</v>
      </c>
      <c r="B29" s="86" t="str">
        <f ca="1">IFERROR(__xludf.DUMMYFUNCTION("""COMPUTED_VALUE"""),"-")</f>
        <v>-</v>
      </c>
      <c r="C29" s="63">
        <f ca="1">IFERROR(__xludf.DUMMYFUNCTION("""COMPUTED_VALUE"""),46063.4166666666)</f>
        <v>46063.416666666599</v>
      </c>
      <c r="D29" s="17">
        <f ca="1">IFERROR(__xludf.DUMMYFUNCTION("""COMPUTED_VALUE"""),107.96)</f>
        <v>107.96</v>
      </c>
      <c r="E29" s="17" t="str">
        <f ca="1">IFERROR(__xludf.DUMMYFUNCTION("""COMPUTED_VALUE"""),"MXN")</f>
        <v>MXN</v>
      </c>
      <c r="F29" s="17" t="str">
        <f ca="1">IFERROR(__xludf.DUMMYFUNCTION("""COMPUTED_VALUE"""),"Daniel Caraveo")</f>
        <v>Daniel Caraveo</v>
      </c>
      <c r="G29" s="17" t="str">
        <f ca="1">IFERROR(__xludf.DUMMYFUNCTION("""COMPUTED_VALUE"""),"UBER * PENDING         CMX           MEX")</f>
        <v>UBER * PENDING         CMX           MEX</v>
      </c>
      <c r="H29" s="17" t="str">
        <f ca="1">IFERROR(__xludf.DUMMYFUNCTION("""COMPUTED_VALUE"""),"Uber")</f>
        <v>Uber</v>
      </c>
      <c r="I29" s="17" t="str">
        <f ca="1">IFERROR(__xludf.DUMMYFUNCTION("""COMPUTED_VALUE"""),"G&amp;A expenses")</f>
        <v>G&amp;A expenses</v>
      </c>
      <c r="J29" s="17" t="str">
        <f ca="1">IFERROR(__xludf.DUMMYFUNCTION("""COMPUTED_VALUE"""),"TRASLADO CASA - OBRA - CASA")</f>
        <v>TRASLADO CASA - OBRA - CASA</v>
      </c>
      <c r="K29" s="17" t="str">
        <f ca="1">IFERROR(__xludf.DUMMYFUNCTION("""COMPUTED_VALUE"""),"9852C259-A902-530E-9EBD-ABE59BB609A0")</f>
        <v>9852C259-A902-530E-9EBD-ABE59BB609A0</v>
      </c>
      <c r="L29" s="17"/>
      <c r="M29" s="17"/>
      <c r="N29" s="17"/>
      <c r="O29" s="17"/>
    </row>
    <row r="30" spans="1:15" ht="12.5">
      <c r="A30" s="17" t="str">
        <f ca="1">IFERROR(__xludf.DUMMYFUNCTION("""COMPUTED_VALUE"""),"TRX1675")</f>
        <v>TRX1675</v>
      </c>
      <c r="B30" s="86" t="str">
        <f ca="1">IFERROR(__xludf.DUMMYFUNCTION("""COMPUTED_VALUE"""),"-")</f>
        <v>-</v>
      </c>
      <c r="C30" s="63">
        <f ca="1">IFERROR(__xludf.DUMMYFUNCTION("""COMPUTED_VALUE"""),46063.4166666666)</f>
        <v>46063.416666666599</v>
      </c>
      <c r="D30" s="65">
        <f ca="1">IFERROR(__xludf.DUMMYFUNCTION("""COMPUTED_VALUE"""),115)</f>
        <v>115</v>
      </c>
      <c r="E30" s="17" t="str">
        <f ca="1">IFERROR(__xludf.DUMMYFUNCTION("""COMPUTED_VALUE"""),"MXN")</f>
        <v>MXN</v>
      </c>
      <c r="F30" s="17" t="str">
        <f ca="1">IFERROR(__xludf.DUMMYFUNCTION("""COMPUTED_VALUE"""),"Daniel Caraveo")</f>
        <v>Daniel Caraveo</v>
      </c>
      <c r="G30" s="17" t="str">
        <f ca="1">IFERROR(__xludf.DUMMYFUNCTION("""COMPUTED_VALUE"""),"UBER * PENDING         CMX           MEX")</f>
        <v>UBER * PENDING         CMX           MEX</v>
      </c>
      <c r="H30" s="17" t="str">
        <f ca="1">IFERROR(__xludf.DUMMYFUNCTION("""COMPUTED_VALUE"""),"Uber")</f>
        <v>Uber</v>
      </c>
      <c r="I30" s="17" t="str">
        <f ca="1">IFERROR(__xludf.DUMMYFUNCTION("""COMPUTED_VALUE"""),"G&amp;A expenses")</f>
        <v>G&amp;A expenses</v>
      </c>
      <c r="J30" s="17" t="str">
        <f ca="1">IFERROR(__xludf.DUMMYFUNCTION("""COMPUTED_VALUE"""),"TRASLADO CASA - OBRA - CASA")</f>
        <v>TRASLADO CASA - OBRA - CASA</v>
      </c>
      <c r="K30" s="17" t="str">
        <f ca="1">IFERROR(__xludf.DUMMYFUNCTION("""COMPUTED_VALUE"""),"95843F81-96FB-5381-BC61-5C48E1B3C625")</f>
        <v>95843F81-96FB-5381-BC61-5C48E1B3C625</v>
      </c>
      <c r="L30" s="17"/>
      <c r="M30" s="17"/>
      <c r="N30" s="17"/>
      <c r="O30" s="17"/>
    </row>
    <row r="31" spans="1:15" ht="12.5">
      <c r="A31" s="17" t="str">
        <f ca="1">IFERROR(__xludf.DUMMYFUNCTION("""COMPUTED_VALUE"""),"TRX1109")</f>
        <v>TRX1109</v>
      </c>
      <c r="B31" s="86" t="str">
        <f ca="1">IFERROR(__xludf.DUMMYFUNCTION("""COMPUTED_VALUE"""),"-")</f>
        <v>-</v>
      </c>
      <c r="C31" s="63">
        <f ca="1">IFERROR(__xludf.DUMMYFUNCTION("""COMPUTED_VALUE"""),46063.4166666666)</f>
        <v>46063.416666666599</v>
      </c>
      <c r="D31" s="65">
        <f ca="1">IFERROR(__xludf.DUMMYFUNCTION("""COMPUTED_VALUE"""),637)</f>
        <v>637</v>
      </c>
      <c r="E31" s="17" t="str">
        <f ca="1">IFERROR(__xludf.DUMMYFUNCTION("""COMPUTED_VALUE"""),"MXN")</f>
        <v>MXN</v>
      </c>
      <c r="F31" s="17" t="str">
        <f ca="1">IFERROR(__xludf.DUMMYFUNCTION("""COMPUTED_VALUE"""),"Daniel Caraveo")</f>
        <v>Daniel Caraveo</v>
      </c>
      <c r="G31" s="17" t="str">
        <f ca="1">IFERROR(__xludf.DUMMYFUNCTION("""COMPUTED_VALUE"""),"REST ROLANDIS CUMBRE   CANCUN QROO   MEX")</f>
        <v>REST ROLANDIS CUMBRE   CANCUN QROO   MEX</v>
      </c>
      <c r="H31" s="17" t="str">
        <f ca="1">IFERROR(__xludf.DUMMYFUNCTION("""COMPUTED_VALUE"""),"Rest Rolandis Cumbre Cancun Qroo Mex")</f>
        <v>Rest Rolandis Cumbre Cancun Qroo Mex</v>
      </c>
      <c r="I31" s="17" t="str">
        <f ca="1">IFERROR(__xludf.DUMMYFUNCTION("""COMPUTED_VALUE"""),"G&amp;A expenses")</f>
        <v>G&amp;A expenses</v>
      </c>
      <c r="J31" s="17" t="str">
        <f ca="1">IFERROR(__xludf.DUMMYFUNCTION("""COMPUTED_VALUE"""),"comida en sitio")</f>
        <v>comida en sitio</v>
      </c>
      <c r="K31" s="17" t="str">
        <f ca="1">IFERROR(__xludf.DUMMYFUNCTION("""COMPUTED_VALUE"""),"157EEAB3-863E-49A3-AAD0-5E2B6217AD73")</f>
        <v>157EEAB3-863E-49A3-AAD0-5E2B6217AD73</v>
      </c>
      <c r="L31" s="17"/>
      <c r="M31" s="17"/>
      <c r="N31" s="17"/>
      <c r="O31" s="17"/>
    </row>
    <row r="32" spans="1:15" ht="12.5">
      <c r="A32" s="17" t="str">
        <f ca="1">IFERROR(__xludf.DUMMYFUNCTION("""COMPUTED_VALUE"""),"TRX1145")</f>
        <v>TRX1145</v>
      </c>
      <c r="B32" s="86" t="str">
        <f ca="1">IFERROR(__xludf.DUMMYFUNCTION("""COMPUTED_VALUE"""),"-")</f>
        <v>-</v>
      </c>
      <c r="C32" s="63">
        <f ca="1">IFERROR(__xludf.DUMMYFUNCTION("""COMPUTED_VALUE"""),46064.4166666666)</f>
        <v>46064.416666666599</v>
      </c>
      <c r="D32" s="65">
        <f ca="1">IFERROR(__xludf.DUMMYFUNCTION("""COMPUTED_VALUE"""),57.87)</f>
        <v>57.87</v>
      </c>
      <c r="E32" s="17" t="str">
        <f ca="1">IFERROR(__xludf.DUMMYFUNCTION("""COMPUTED_VALUE"""),"MXN")</f>
        <v>MXN</v>
      </c>
      <c r="F32" s="17" t="str">
        <f ca="1">IFERROR(__xludf.DUMMYFUNCTION("""COMPUTED_VALUE"""),"Daniel Caraveo")</f>
        <v>Daniel Caraveo</v>
      </c>
      <c r="G32" s="17" t="str">
        <f ca="1">IFERROR(__xludf.DUMMYFUNCTION("""COMPUTED_VALUE"""),"UBER * PENDING         CMX           MEX")</f>
        <v>UBER * PENDING         CMX           MEX</v>
      </c>
      <c r="H32" s="17" t="str">
        <f ca="1">IFERROR(__xludf.DUMMYFUNCTION("""COMPUTED_VALUE"""),"Uber")</f>
        <v>Uber</v>
      </c>
      <c r="I32" s="17" t="str">
        <f ca="1">IFERROR(__xludf.DUMMYFUNCTION("""COMPUTED_VALUE"""),"G&amp;A expenses")</f>
        <v>G&amp;A expenses</v>
      </c>
      <c r="J32" s="17" t="str">
        <f ca="1">IFERROR(__xludf.DUMMYFUNCTION("""COMPUTED_VALUE"""),"TRASLADO CASA - OBRA - CASA")</f>
        <v>TRASLADO CASA - OBRA - CASA</v>
      </c>
      <c r="K32" s="17" t="str">
        <f ca="1">IFERROR(__xludf.DUMMYFUNCTION("""COMPUTED_VALUE"""),"74B64A62-DC8D-533E-8450-B37B7CEB52E5")</f>
        <v>74B64A62-DC8D-533E-8450-B37B7CEB52E5</v>
      </c>
      <c r="L32" s="17"/>
      <c r="M32" s="17"/>
      <c r="N32" s="17"/>
      <c r="O32" s="17"/>
    </row>
    <row r="33" spans="1:15" ht="12.5">
      <c r="A33" s="17" t="str">
        <f ca="1">IFERROR(__xludf.DUMMYFUNCTION("""COMPUTED_VALUE"""),"TRX1770")</f>
        <v>TRX1770</v>
      </c>
      <c r="B33" s="86" t="str">
        <f ca="1">IFERROR(__xludf.DUMMYFUNCTION("""COMPUTED_VALUE"""),"-")</f>
        <v>-</v>
      </c>
      <c r="C33" s="63">
        <f ca="1">IFERROR(__xludf.DUMMYFUNCTION("""COMPUTED_VALUE"""),46064.4166666666)</f>
        <v>46064.416666666599</v>
      </c>
      <c r="D33" s="65">
        <f ca="1">IFERROR(__xludf.DUMMYFUNCTION("""COMPUTED_VALUE"""),56.75)</f>
        <v>56.75</v>
      </c>
      <c r="E33" s="17" t="str">
        <f ca="1">IFERROR(__xludf.DUMMYFUNCTION("""COMPUTED_VALUE"""),"MXN")</f>
        <v>MXN</v>
      </c>
      <c r="F33" s="17" t="str">
        <f ca="1">IFERROR(__xludf.DUMMYFUNCTION("""COMPUTED_VALUE"""),"Daniel Caraveo")</f>
        <v>Daniel Caraveo</v>
      </c>
      <c r="G33" s="17" t="str">
        <f ca="1">IFERROR(__xludf.DUMMYFUNCTION("""COMPUTED_VALUE"""),"UBER * PENDING         CMX           MEX")</f>
        <v>UBER * PENDING         CMX           MEX</v>
      </c>
      <c r="H33" s="17" t="str">
        <f ca="1">IFERROR(__xludf.DUMMYFUNCTION("""COMPUTED_VALUE"""),"Uber")</f>
        <v>Uber</v>
      </c>
      <c r="I33" s="17" t="str">
        <f ca="1">IFERROR(__xludf.DUMMYFUNCTION("""COMPUTED_VALUE"""),"G&amp;A expenses")</f>
        <v>G&amp;A expenses</v>
      </c>
      <c r="J33" s="17" t="str">
        <f ca="1">IFERROR(__xludf.DUMMYFUNCTION("""COMPUTED_VALUE"""),"TRASLADO CASA - OBRA - CASA")</f>
        <v>TRASLADO CASA - OBRA - CASA</v>
      </c>
      <c r="K33" s="17" t="str">
        <f ca="1">IFERROR(__xludf.DUMMYFUNCTION("""COMPUTED_VALUE"""),"D002CF18-2C4B-5E76-9B38-CF561C61D766")</f>
        <v>D002CF18-2C4B-5E76-9B38-CF561C61D766</v>
      </c>
      <c r="L33" s="17"/>
      <c r="M33" s="17"/>
      <c r="N33" s="17"/>
      <c r="O33" s="17"/>
    </row>
    <row r="34" spans="1:15" ht="12.5">
      <c r="A34" s="17" t="str">
        <f ca="1">IFERROR(__xludf.DUMMYFUNCTION("""COMPUTED_VALUE"""),"TRX1406")</f>
        <v>TRX1406</v>
      </c>
      <c r="B34" s="86" t="str">
        <f ca="1">IFERROR(__xludf.DUMMYFUNCTION("""COMPUTED_VALUE"""),"-")</f>
        <v>-</v>
      </c>
      <c r="C34" s="63">
        <f ca="1">IFERROR(__xludf.DUMMYFUNCTION("""COMPUTED_VALUE"""),46064.4166666666)</f>
        <v>46064.416666666599</v>
      </c>
      <c r="D34" s="65">
        <f ca="1">IFERROR(__xludf.DUMMYFUNCTION("""COMPUTED_VALUE"""),237)</f>
        <v>237</v>
      </c>
      <c r="E34" s="17" t="str">
        <f ca="1">IFERROR(__xludf.DUMMYFUNCTION("""COMPUTED_VALUE"""),"MXN")</f>
        <v>MXN</v>
      </c>
      <c r="F34" s="17" t="str">
        <f ca="1">IFERROR(__xludf.DUMMYFUNCTION("""COMPUTED_VALUE"""),"Daniel Caraveo")</f>
        <v>Daniel Caraveo</v>
      </c>
      <c r="G34" s="17" t="str">
        <f ca="1">IFERROR(__xludf.DUMMYFUNCTION("""COMPUTED_VALUE"""),"STARBUCKS PUERTO CANC  ROO           MEX")</f>
        <v>STARBUCKS PUERTO CANC  ROO           MEX</v>
      </c>
      <c r="H34" s="17" t="str">
        <f ca="1">IFERROR(__xludf.DUMMYFUNCTION("""COMPUTED_VALUE"""),"Starbucks")</f>
        <v>Starbucks</v>
      </c>
      <c r="I34" s="17" t="str">
        <f ca="1">IFERROR(__xludf.DUMMYFUNCTION("""COMPUTED_VALUE"""),"G&amp;A expenses")</f>
        <v>G&amp;A expenses</v>
      </c>
      <c r="J34" s="17" t="str">
        <f ca="1">IFERROR(__xludf.DUMMYFUNCTION("""COMPUTED_VALUE"""),"comida en sitio")</f>
        <v>comida en sitio</v>
      </c>
      <c r="K34" s="17" t="str">
        <f ca="1">IFERROR(__xludf.DUMMYFUNCTION("""COMPUTED_VALUE"""),"AC74395A-784F-4E98-94B5-97DC26317A5E")</f>
        <v>AC74395A-784F-4E98-94B5-97DC26317A5E</v>
      </c>
      <c r="L34" s="17"/>
      <c r="M34" s="17"/>
      <c r="N34" s="17"/>
      <c r="O34" s="17"/>
    </row>
    <row r="35" spans="1:15" ht="12.5">
      <c r="A35" s="17" t="str">
        <f ca="1">IFERROR(__xludf.DUMMYFUNCTION("""COMPUTED_VALUE"""),"TRX1304")</f>
        <v>TRX1304</v>
      </c>
      <c r="B35" s="86" t="str">
        <f ca="1">IFERROR(__xludf.DUMMYFUNCTION("""COMPUTED_VALUE"""),"-")</f>
        <v>-</v>
      </c>
      <c r="C35" s="63">
        <f ca="1">IFERROR(__xludf.DUMMYFUNCTION("""COMPUTED_VALUE"""),46064.4166666666)</f>
        <v>46064.416666666599</v>
      </c>
      <c r="D35" s="65">
        <f ca="1">IFERROR(__xludf.DUMMYFUNCTION("""COMPUTED_VALUE"""),230.1)</f>
        <v>230.1</v>
      </c>
      <c r="E35" s="17" t="str">
        <f ca="1">IFERROR(__xludf.DUMMYFUNCTION("""COMPUTED_VALUE"""),"MXN")</f>
        <v>MXN</v>
      </c>
      <c r="F35" s="17" t="str">
        <f ca="1">IFERROR(__xludf.DUMMYFUNCTION("""COMPUTED_VALUE"""),"Daniel Caraveo")</f>
        <v>Daniel Caraveo</v>
      </c>
      <c r="G35" s="17" t="str">
        <f ca="1">IFERROR(__xludf.DUMMYFUNCTION("""COMPUTED_VALUE"""),"OFFICE MAX CAN CUN II  BENITO JUAREZ MEX")</f>
        <v>OFFICE MAX CAN CUN II  BENITO JUAREZ MEX</v>
      </c>
      <c r="H35" s="17" t="str">
        <f ca="1">IFERROR(__xludf.DUMMYFUNCTION("""COMPUTED_VALUE"""),"Office Depot")</f>
        <v>Office Depot</v>
      </c>
      <c r="I35" s="17" t="str">
        <f ca="1">IFERROR(__xludf.DUMMYFUNCTION("""COMPUTED_VALUE"""),"G&amp;A expenses")</f>
        <v>G&amp;A expenses</v>
      </c>
      <c r="J35" s="17" t="str">
        <f ca="1">IFERROR(__xludf.DUMMYFUNCTION("""COMPUTED_VALUE"""),"IMPRESION DE ESTIMACIONES Y PAPELERÍA")</f>
        <v>IMPRESION DE ESTIMACIONES Y PAPELERÍA</v>
      </c>
      <c r="K35" s="17" t="str">
        <f ca="1">IFERROR(__xludf.DUMMYFUNCTION("""COMPUTED_VALUE"""),"A3660CFA-78EE-471F-A503-350BBBE846DE.")</f>
        <v>A3660CFA-78EE-471F-A503-350BBBE846DE.</v>
      </c>
      <c r="L35" s="17"/>
      <c r="M35" s="17"/>
      <c r="N35" s="17"/>
      <c r="O35" s="17"/>
    </row>
    <row r="36" spans="1:15" ht="12.5">
      <c r="A36" s="17" t="str">
        <f ca="1">IFERROR(__xludf.DUMMYFUNCTION("""COMPUTED_VALUE"""),"TRX1887")</f>
        <v>TRX1887</v>
      </c>
      <c r="B36" s="86" t="str">
        <f ca="1">IFERROR(__xludf.DUMMYFUNCTION("""COMPUTED_VALUE"""),"-")</f>
        <v>-</v>
      </c>
      <c r="C36" s="63">
        <f ca="1">IFERROR(__xludf.DUMMYFUNCTION("""COMPUTED_VALUE"""),46064.4166666666)</f>
        <v>46064.416666666599</v>
      </c>
      <c r="D36" s="65">
        <f ca="1">IFERROR(__xludf.DUMMYFUNCTION("""COMPUTED_VALUE"""),313.96)</f>
        <v>313.95999999999998</v>
      </c>
      <c r="E36" s="17" t="str">
        <f ca="1">IFERROR(__xludf.DUMMYFUNCTION("""COMPUTED_VALUE"""),"MXN")</f>
        <v>MXN</v>
      </c>
      <c r="F36" s="17" t="str">
        <f ca="1">IFERROR(__xludf.DUMMYFUNCTION("""COMPUTED_VALUE"""),"Daniel Caraveo")</f>
        <v>Daniel Caraveo</v>
      </c>
      <c r="G36" s="17" t="str">
        <f ca="1">IFERROR(__xludf.DUMMYFUNCTION("""COMPUTED_VALUE"""),"UBER * PENDING         CMX           MEX")</f>
        <v>UBER * PENDING         CMX           MEX</v>
      </c>
      <c r="H36" s="17" t="str">
        <f ca="1">IFERROR(__xludf.DUMMYFUNCTION("""COMPUTED_VALUE"""),"Uber")</f>
        <v>Uber</v>
      </c>
      <c r="I36" s="17" t="str">
        <f ca="1">IFERROR(__xludf.DUMMYFUNCTION("""COMPUTED_VALUE"""),"G&amp;A expenses")</f>
        <v>G&amp;A expenses</v>
      </c>
      <c r="J36" s="17" t="str">
        <f ca="1">IFERROR(__xludf.DUMMYFUNCTION("""COMPUTED_VALUE"""),"TRASLADO CASA - OBRA - CASA")</f>
        <v>TRASLADO CASA - OBRA - CASA</v>
      </c>
      <c r="K36" s="17" t="str">
        <f ca="1">IFERROR(__xludf.DUMMYFUNCTION("""COMPUTED_VALUE"""),"EL SOCIO CONDUCTOR NO EMITE FACTURA")</f>
        <v>EL SOCIO CONDUCTOR NO EMITE FACTURA</v>
      </c>
      <c r="L36" s="17"/>
      <c r="M36" s="17"/>
      <c r="N36" s="17"/>
      <c r="O36" s="17"/>
    </row>
    <row r="37" spans="1:15" ht="12.5">
      <c r="A37" s="17" t="str">
        <f ca="1">IFERROR(__xludf.DUMMYFUNCTION("""COMPUTED_VALUE"""),"TRX1483")</f>
        <v>TRX1483</v>
      </c>
      <c r="B37" s="86" t="str">
        <f ca="1">IFERROR(__xludf.DUMMYFUNCTION("""COMPUTED_VALUE"""),"-")</f>
        <v>-</v>
      </c>
      <c r="C37" s="63">
        <f ca="1">IFERROR(__xludf.DUMMYFUNCTION("""COMPUTED_VALUE"""),46065.4166666666)</f>
        <v>46065.416666666599</v>
      </c>
      <c r="D37" s="65">
        <f ca="1">IFERROR(__xludf.DUMMYFUNCTION("""COMPUTED_VALUE"""),316.57)</f>
        <v>316.57</v>
      </c>
      <c r="E37" s="17" t="str">
        <f ca="1">IFERROR(__xludf.DUMMYFUNCTION("""COMPUTED_VALUE"""),"MXN")</f>
        <v>MXN</v>
      </c>
      <c r="F37" s="17" t="str">
        <f ca="1">IFERROR(__xludf.DUMMYFUNCTION("""COMPUTED_VALUE"""),"Daniel Caraveo")</f>
        <v>Daniel Caraveo</v>
      </c>
      <c r="G37" s="17" t="str">
        <f ca="1">IFERROR(__xludf.DUMMYFUNCTION("""COMPUTED_VALUE"""),"UBER * EATS PENDING    CMX           MEX")</f>
        <v>UBER * EATS PENDING    CMX           MEX</v>
      </c>
      <c r="H37" s="17" t="str">
        <f ca="1">IFERROR(__xludf.DUMMYFUNCTION("""COMPUTED_VALUE"""),"Uber Eats")</f>
        <v>Uber Eats</v>
      </c>
      <c r="I37" s="17" t="str">
        <f ca="1">IFERROR(__xludf.DUMMYFUNCTION("""COMPUTED_VALUE"""),"G&amp;A expenses")</f>
        <v>G&amp;A expenses</v>
      </c>
      <c r="J37" s="17" t="str">
        <f ca="1">IFERROR(__xludf.DUMMYFUNCTION("""COMPUTED_VALUE"""),"comida en sitio")</f>
        <v>comida en sitio</v>
      </c>
      <c r="K37" s="17" t="str">
        <f ca="1">IFERROR(__xludf.DUMMYFUNCTION("""COMPUTED_VALUE"""),"El local no me proporciono factura")</f>
        <v>El local no me proporciono factura</v>
      </c>
      <c r="L37" s="17"/>
      <c r="M37" s="17"/>
      <c r="N37" s="17"/>
      <c r="O37" s="17"/>
    </row>
    <row r="38" spans="1:15" ht="12.5">
      <c r="A38" s="17" t="str">
        <f ca="1">IFERROR(__xludf.DUMMYFUNCTION("""COMPUTED_VALUE"""),"TRX1076")</f>
        <v>TRX1076</v>
      </c>
      <c r="B38" s="86" t="str">
        <f ca="1">IFERROR(__xludf.DUMMYFUNCTION("""COMPUTED_VALUE"""),"-")</f>
        <v>-</v>
      </c>
      <c r="C38" s="63">
        <f ca="1">IFERROR(__xludf.DUMMYFUNCTION("""COMPUTED_VALUE"""),46066.4166666666)</f>
        <v>46066.416666666599</v>
      </c>
      <c r="D38" s="65">
        <f ca="1">IFERROR(__xludf.DUMMYFUNCTION("""COMPUTED_VALUE"""),59.2)</f>
        <v>59.2</v>
      </c>
      <c r="E38" s="17" t="str">
        <f ca="1">IFERROR(__xludf.DUMMYFUNCTION("""COMPUTED_VALUE"""),"MXN")</f>
        <v>MXN</v>
      </c>
      <c r="F38" s="17" t="str">
        <f ca="1">IFERROR(__xludf.DUMMYFUNCTION("""COMPUTED_VALUE"""),"Daniel Caraveo")</f>
        <v>Daniel Caraveo</v>
      </c>
      <c r="G38" s="17" t="str">
        <f ca="1">IFERROR(__xludf.DUMMYFUNCTION("""COMPUTED_VALUE"""),"UBER * PENDING         CMX           MEX")</f>
        <v>UBER * PENDING         CMX           MEX</v>
      </c>
      <c r="H38" s="17" t="str">
        <f ca="1">IFERROR(__xludf.DUMMYFUNCTION("""COMPUTED_VALUE"""),"Uber")</f>
        <v>Uber</v>
      </c>
      <c r="I38" s="17" t="str">
        <f ca="1">IFERROR(__xludf.DUMMYFUNCTION("""COMPUTED_VALUE"""),"G&amp;A expenses")</f>
        <v>G&amp;A expenses</v>
      </c>
      <c r="J38" s="17" t="str">
        <f ca="1">IFERROR(__xludf.DUMMYFUNCTION("""COMPUTED_VALUE"""),"TRASLADO CASA - OBRA - CASA")</f>
        <v>TRASLADO CASA - OBRA - CASA</v>
      </c>
      <c r="K38" s="17" t="str">
        <f ca="1">IFERROR(__xludf.DUMMYFUNCTION("""COMPUTED_VALUE"""),"1ECD908B-7AF3-5EC7-B486-6786CEEB3FDE")</f>
        <v>1ECD908B-7AF3-5EC7-B486-6786CEEB3FDE</v>
      </c>
      <c r="L38" s="17"/>
      <c r="M38" s="17"/>
      <c r="N38" s="17"/>
      <c r="O38" s="17"/>
    </row>
    <row r="39" spans="1:15" ht="12.5">
      <c r="A39" s="17" t="str">
        <f ca="1">IFERROR(__xludf.DUMMYFUNCTION("""COMPUTED_VALUE"""),"TRX1988")</f>
        <v>TRX1988</v>
      </c>
      <c r="B39" s="86" t="str">
        <f ca="1">IFERROR(__xludf.DUMMYFUNCTION("""COMPUTED_VALUE"""),"-")</f>
        <v>-</v>
      </c>
      <c r="C39" s="63">
        <f ca="1">IFERROR(__xludf.DUMMYFUNCTION("""COMPUTED_VALUE"""),46066.4166666666)</f>
        <v>46066.416666666599</v>
      </c>
      <c r="D39" s="65">
        <f ca="1">IFERROR(__xludf.DUMMYFUNCTION("""COMPUTED_VALUE"""),47.52)</f>
        <v>47.52</v>
      </c>
      <c r="E39" s="17" t="str">
        <f ca="1">IFERROR(__xludf.DUMMYFUNCTION("""COMPUTED_VALUE"""),"MXN")</f>
        <v>MXN</v>
      </c>
      <c r="F39" s="17" t="str">
        <f ca="1">IFERROR(__xludf.DUMMYFUNCTION("""COMPUTED_VALUE"""),"Daniel Caraveo")</f>
        <v>Daniel Caraveo</v>
      </c>
      <c r="G39" s="17" t="str">
        <f ca="1">IFERROR(__xludf.DUMMYFUNCTION("""COMPUTED_VALUE"""),"UBER * PENDING         CMX           MEX")</f>
        <v>UBER * PENDING         CMX           MEX</v>
      </c>
      <c r="H39" s="17" t="str">
        <f ca="1">IFERROR(__xludf.DUMMYFUNCTION("""COMPUTED_VALUE"""),"Uber")</f>
        <v>Uber</v>
      </c>
      <c r="I39" s="17" t="str">
        <f ca="1">IFERROR(__xludf.DUMMYFUNCTION("""COMPUTED_VALUE"""),"G&amp;A expenses")</f>
        <v>G&amp;A expenses</v>
      </c>
      <c r="J39" s="17" t="str">
        <f ca="1">IFERROR(__xludf.DUMMYFUNCTION("""COMPUTED_VALUE"""),"TRASLADO CASA - OBRA - CASA")</f>
        <v>TRASLADO CASA - OBRA - CASA</v>
      </c>
      <c r="K39" s="17" t="str">
        <f ca="1">IFERROR(__xludf.DUMMYFUNCTION("""COMPUTED_VALUE"""),"7A41B42D-E7FA-5EEB-B90F-F616DD80C27A")</f>
        <v>7A41B42D-E7FA-5EEB-B90F-F616DD80C27A</v>
      </c>
      <c r="L39" s="17"/>
      <c r="M39" s="17"/>
      <c r="N39" s="17"/>
      <c r="O39" s="17"/>
    </row>
    <row r="40" spans="1:15" ht="12.5">
      <c r="A40" s="17" t="str">
        <f ca="1">IFERROR(__xludf.DUMMYFUNCTION("""COMPUTED_VALUE"""),"TRX1682")</f>
        <v>TRX1682</v>
      </c>
      <c r="B40" s="86" t="str">
        <f ca="1">IFERROR(__xludf.DUMMYFUNCTION("""COMPUTED_VALUE"""),"-")</f>
        <v>-</v>
      </c>
      <c r="C40" s="63">
        <f ca="1">IFERROR(__xludf.DUMMYFUNCTION("""COMPUTED_VALUE"""),46066.4166666666)</f>
        <v>46066.416666666599</v>
      </c>
      <c r="D40" s="65">
        <f ca="1">IFERROR(__xludf.DUMMYFUNCTION("""COMPUTED_VALUE"""),54.13)</f>
        <v>54.13</v>
      </c>
      <c r="E40" s="17" t="str">
        <f ca="1">IFERROR(__xludf.DUMMYFUNCTION("""COMPUTED_VALUE"""),"MXN")</f>
        <v>MXN</v>
      </c>
      <c r="F40" s="17" t="str">
        <f ca="1">IFERROR(__xludf.DUMMYFUNCTION("""COMPUTED_VALUE"""),"Daniel Caraveo")</f>
        <v>Daniel Caraveo</v>
      </c>
      <c r="G40" s="17" t="str">
        <f ca="1">IFERROR(__xludf.DUMMYFUNCTION("""COMPUTED_VALUE"""),"UBER * PENDING         CMX           MEX")</f>
        <v>UBER * PENDING         CMX           MEX</v>
      </c>
      <c r="H40" s="17" t="str">
        <f ca="1">IFERROR(__xludf.DUMMYFUNCTION("""COMPUTED_VALUE"""),"Uber")</f>
        <v>Uber</v>
      </c>
      <c r="I40" s="17" t="str">
        <f ca="1">IFERROR(__xludf.DUMMYFUNCTION("""COMPUTED_VALUE"""),"G&amp;A expenses")</f>
        <v>G&amp;A expenses</v>
      </c>
      <c r="J40" s="17" t="str">
        <f ca="1">IFERROR(__xludf.DUMMYFUNCTION("""COMPUTED_VALUE"""),"TRASLADO CASA - OBRA - CASA")</f>
        <v>TRASLADO CASA - OBRA - CASA</v>
      </c>
      <c r="K40" s="17" t="str">
        <f ca="1">IFERROR(__xludf.DUMMYFUNCTION("""COMPUTED_VALUE"""),"727340A4-6AD6-53C1-80E7-D30F732CF6AE")</f>
        <v>727340A4-6AD6-53C1-80E7-D30F732CF6AE</v>
      </c>
      <c r="L40" s="17"/>
      <c r="M40" s="17"/>
      <c r="N40" s="17"/>
      <c r="O40" s="17"/>
    </row>
    <row r="41" spans="1:15" ht="12.5">
      <c r="A41" s="17" t="str">
        <f ca="1">IFERROR(__xludf.DUMMYFUNCTION("""COMPUTED_VALUE"""),"TRX1459")</f>
        <v>TRX1459</v>
      </c>
      <c r="B41" s="86" t="str">
        <f ca="1">IFERROR(__xludf.DUMMYFUNCTION("""COMPUTED_VALUE"""),"-")</f>
        <v>-</v>
      </c>
      <c r="C41" s="63">
        <f ca="1">IFERROR(__xludf.DUMMYFUNCTION("""COMPUTED_VALUE"""),46066.4173611111)</f>
        <v>46066.417361111096</v>
      </c>
      <c r="D41" s="65">
        <f ca="1">IFERROR(__xludf.DUMMYFUNCTION("""COMPUTED_VALUE"""),65)</f>
        <v>65</v>
      </c>
      <c r="E41" s="17" t="str">
        <f ca="1">IFERROR(__xludf.DUMMYFUNCTION("""COMPUTED_VALUE"""),"MXN")</f>
        <v>MXN</v>
      </c>
      <c r="F41" s="17" t="str">
        <f ca="1">IFERROR(__xludf.DUMMYFUNCTION("""COMPUTED_VALUE"""),"Daniel Caraveo")</f>
        <v>Daniel Caraveo</v>
      </c>
      <c r="G41" s="17" t="str">
        <f ca="1">IFERROR(__xludf.DUMMYFUNCTION("""COMPUTED_VALUE"""),"CLIP MX*REST VEGGIE MX BENITO JUAREZ MEX")</f>
        <v>CLIP MX*REST VEGGIE MX BENITO JUAREZ MEX</v>
      </c>
      <c r="H41" s="17" t="str">
        <f ca="1">IFERROR(__xludf.DUMMYFUNCTION("""COMPUTED_VALUE"""),"Clip Mx Rest Veggie Mx Benito Juarez Mex")</f>
        <v>Clip Mx Rest Veggie Mx Benito Juarez Mex</v>
      </c>
      <c r="I41" s="17" t="str">
        <f ca="1">IFERROR(__xludf.DUMMYFUNCTION("""COMPUTED_VALUE"""),"G&amp;A expenses")</f>
        <v>G&amp;A expenses</v>
      </c>
      <c r="J41" s="17" t="str">
        <f ca="1">IFERROR(__xludf.DUMMYFUNCTION("""COMPUTED_VALUE"""),"comida en sitio")</f>
        <v>comida en sitio</v>
      </c>
      <c r="K41" s="17" t="str">
        <f ca="1">IFERROR(__xludf.DUMMYFUNCTION("""COMPUTED_VALUE"""),"El local no me proporciono factura")</f>
        <v>El local no me proporciono factura</v>
      </c>
      <c r="L41" s="17"/>
      <c r="M41" s="17"/>
      <c r="N41" s="17"/>
      <c r="O41" s="17"/>
    </row>
    <row r="42" spans="1:15" ht="12.5">
      <c r="A42" s="17" t="str">
        <f ca="1">IFERROR(__xludf.DUMMYFUNCTION("""COMPUTED_VALUE"""),"TRX1698")</f>
        <v>TRX1698</v>
      </c>
      <c r="B42" s="86" t="str">
        <f ca="1">IFERROR(__xludf.DUMMYFUNCTION("""COMPUTED_VALUE"""),"-")</f>
        <v>-</v>
      </c>
      <c r="C42" s="63">
        <f ca="1">IFERROR(__xludf.DUMMYFUNCTION("""COMPUTED_VALUE"""),46066.4173611111)</f>
        <v>46066.417361111096</v>
      </c>
      <c r="D42" s="65">
        <f ca="1">IFERROR(__xludf.DUMMYFUNCTION("""COMPUTED_VALUE"""),385)</f>
        <v>385</v>
      </c>
      <c r="E42" s="17" t="str">
        <f ca="1">IFERROR(__xludf.DUMMYFUNCTION("""COMPUTED_VALUE"""),"MXN")</f>
        <v>MXN</v>
      </c>
      <c r="F42" s="17" t="str">
        <f ca="1">IFERROR(__xludf.DUMMYFUNCTION("""COMPUTED_VALUE"""),"Daniel Caraveo")</f>
        <v>Daniel Caraveo</v>
      </c>
      <c r="G42" s="17" t="str">
        <f ca="1">IFERROR(__xludf.DUMMYFUNCTION("""COMPUTED_VALUE"""),"CAFE ANTOINETTE        BENITO JUAREZ MEX")</f>
        <v>CAFE ANTOINETTE        BENITO JUAREZ MEX</v>
      </c>
      <c r="H42" s="17" t="str">
        <f ca="1">IFERROR(__xludf.DUMMYFUNCTION("""COMPUTED_VALUE"""),"Cafe Antoinette Benito Juarez Mex")</f>
        <v>Cafe Antoinette Benito Juarez Mex</v>
      </c>
      <c r="I42" s="17" t="str">
        <f ca="1">IFERROR(__xludf.DUMMYFUNCTION("""COMPUTED_VALUE"""),"G&amp;A expenses")</f>
        <v>G&amp;A expenses</v>
      </c>
      <c r="J42" s="17" t="str">
        <f ca="1">IFERROR(__xludf.DUMMYFUNCTION("""COMPUTED_VALUE"""),"comida en sitio")</f>
        <v>comida en sitio</v>
      </c>
      <c r="K42" s="17" t="str">
        <f ca="1">IFERROR(__xludf.DUMMYFUNCTION("""COMPUTED_VALUE"""),"932A9421-C507-4053-9739-7F217AAD5B70")</f>
        <v>932A9421-C507-4053-9739-7F217AAD5B70</v>
      </c>
      <c r="L42" s="17"/>
      <c r="M42" s="17"/>
      <c r="N42" s="17"/>
      <c r="O42" s="17"/>
    </row>
    <row r="43" spans="1:15" ht="12.5">
      <c r="A43" s="17" t="str">
        <f ca="1">IFERROR(__xludf.DUMMYFUNCTION("""COMPUTED_VALUE"""),"TRX1667")</f>
        <v>TRX1667</v>
      </c>
      <c r="B43" s="86" t="str">
        <f ca="1">IFERROR(__xludf.DUMMYFUNCTION("""COMPUTED_VALUE"""),"-")</f>
        <v>-</v>
      </c>
      <c r="C43" s="63">
        <f ca="1">IFERROR(__xludf.DUMMYFUNCTION("""COMPUTED_VALUE"""),46066.4173611111)</f>
        <v>46066.417361111096</v>
      </c>
      <c r="D43" s="65">
        <f ca="1">IFERROR(__xludf.DUMMYFUNCTION("""COMPUTED_VALUE"""),295.55)</f>
        <v>295.55</v>
      </c>
      <c r="E43" s="17" t="str">
        <f ca="1">IFERROR(__xludf.DUMMYFUNCTION("""COMPUTED_VALUE"""),"MXN")</f>
        <v>MXN</v>
      </c>
      <c r="F43" s="17" t="str">
        <f ca="1">IFERROR(__xludf.DUMMYFUNCTION("""COMPUTED_VALUE"""),"Daniel Caraveo")</f>
        <v>Daniel Caraveo</v>
      </c>
      <c r="G43" s="17" t="str">
        <f ca="1">IFERROR(__xludf.DUMMYFUNCTION("""COMPUTED_VALUE"""),"WUZIPAY*FAST BONAMPAK  BENITO JUAREZ MEX")</f>
        <v>WUZIPAY*FAST BONAMPAK  BENITO JUAREZ MEX</v>
      </c>
      <c r="H43" s="17" t="str">
        <f ca="1">IFERROR(__xludf.DUMMYFUNCTION("""COMPUTED_VALUE"""),"Wuzipay Fast Bonampak Benito Juarez Mex")</f>
        <v>Wuzipay Fast Bonampak Benito Juarez Mex</v>
      </c>
      <c r="I43" s="17" t="str">
        <f ca="1">IFERROR(__xludf.DUMMYFUNCTION("""COMPUTED_VALUE"""),"G&amp;A expenses")</f>
        <v>G&amp;A expenses</v>
      </c>
      <c r="J43" s="17" t="str">
        <f ca="1">IFERROR(__xludf.DUMMYFUNCTION("""COMPUTED_VALUE"""),"comida en sitio")</f>
        <v>comida en sitio</v>
      </c>
      <c r="K43" s="17" t="str">
        <f ca="1">IFERROR(__xludf.DUMMYFUNCTION("""COMPUTED_VALUE"""),"401286D0-C7B3-4365-90E8-6F583B6E1422")</f>
        <v>401286D0-C7B3-4365-90E8-6F583B6E1422</v>
      </c>
      <c r="L43" s="17"/>
      <c r="M43" s="17"/>
      <c r="N43" s="17"/>
      <c r="O43" s="17"/>
    </row>
    <row r="44" spans="1:15" ht="12.5">
      <c r="A44" s="17" t="str">
        <f ca="1">IFERROR(__xludf.DUMMYFUNCTION("""COMPUTED_VALUE"""),"TRX1376")</f>
        <v>TRX1376</v>
      </c>
      <c r="B44" s="86" t="str">
        <f ca="1">IFERROR(__xludf.DUMMYFUNCTION("""COMPUTED_VALUE"""),"-")</f>
        <v>-</v>
      </c>
      <c r="C44" s="63">
        <f ca="1">IFERROR(__xludf.DUMMYFUNCTION("""COMPUTED_VALUE"""),46067.4166666666)</f>
        <v>46067.416666666599</v>
      </c>
      <c r="D44" s="65">
        <f ca="1">IFERROR(__xludf.DUMMYFUNCTION("""COMPUTED_VALUE"""),49.23)</f>
        <v>49.23</v>
      </c>
      <c r="E44" s="17" t="str">
        <f ca="1">IFERROR(__xludf.DUMMYFUNCTION("""COMPUTED_VALUE"""),"MXN")</f>
        <v>MXN</v>
      </c>
      <c r="F44" s="17" t="str">
        <f ca="1">IFERROR(__xludf.DUMMYFUNCTION("""COMPUTED_VALUE"""),"Daniel Caraveo")</f>
        <v>Daniel Caraveo</v>
      </c>
      <c r="G44" s="17" t="str">
        <f ca="1">IFERROR(__xludf.DUMMYFUNCTION("""COMPUTED_VALUE"""),"UBER * PENDING         CMX           MEX")</f>
        <v>UBER * PENDING         CMX           MEX</v>
      </c>
      <c r="H44" s="17" t="str">
        <f ca="1">IFERROR(__xludf.DUMMYFUNCTION("""COMPUTED_VALUE"""),"Uber")</f>
        <v>Uber</v>
      </c>
      <c r="I44" s="17" t="str">
        <f ca="1">IFERROR(__xludf.DUMMYFUNCTION("""COMPUTED_VALUE"""),"G&amp;A expenses")</f>
        <v>G&amp;A expenses</v>
      </c>
      <c r="J44" s="17" t="str">
        <f ca="1">IFERROR(__xludf.DUMMYFUNCTION("""COMPUTED_VALUE"""),"TRASLADO CASA - OBRA - CASA")</f>
        <v>TRASLADO CASA - OBRA - CASA</v>
      </c>
      <c r="K44" s="17" t="str">
        <f ca="1">IFERROR(__xludf.DUMMYFUNCTION("""COMPUTED_VALUE"""),"FED4BCDD-F974-525D-B19A-E59B1FAE1AD8")</f>
        <v>FED4BCDD-F974-525D-B19A-E59B1FAE1AD8</v>
      </c>
      <c r="L44" s="17"/>
      <c r="M44" s="17"/>
      <c r="N44" s="17"/>
      <c r="O44" s="17"/>
    </row>
    <row r="45" spans="1:15" ht="12.5">
      <c r="A45" s="17" t="str">
        <f ca="1">IFERROR(__xludf.DUMMYFUNCTION("""COMPUTED_VALUE"""),"TRX1598")</f>
        <v>TRX1598</v>
      </c>
      <c r="B45" s="86" t="str">
        <f ca="1">IFERROR(__xludf.DUMMYFUNCTION("""COMPUTED_VALUE"""),"-")</f>
        <v>-</v>
      </c>
      <c r="C45" s="63">
        <f ca="1">IFERROR(__xludf.DUMMYFUNCTION("""COMPUTED_VALUE"""),46067.4166666666)</f>
        <v>46067.416666666599</v>
      </c>
      <c r="D45" s="65">
        <f ca="1">IFERROR(__xludf.DUMMYFUNCTION("""COMPUTED_VALUE"""),46.74)</f>
        <v>46.74</v>
      </c>
      <c r="E45" s="17" t="str">
        <f ca="1">IFERROR(__xludf.DUMMYFUNCTION("""COMPUTED_VALUE"""),"MXN")</f>
        <v>MXN</v>
      </c>
      <c r="F45" s="17" t="str">
        <f ca="1">IFERROR(__xludf.DUMMYFUNCTION("""COMPUTED_VALUE"""),"Daniel Caraveo")</f>
        <v>Daniel Caraveo</v>
      </c>
      <c r="G45" s="17" t="str">
        <f ca="1">IFERROR(__xludf.DUMMYFUNCTION("""COMPUTED_VALUE"""),"UBER * PENDING         CMX           MEX")</f>
        <v>UBER * PENDING         CMX           MEX</v>
      </c>
      <c r="H45" s="17" t="str">
        <f ca="1">IFERROR(__xludf.DUMMYFUNCTION("""COMPUTED_VALUE"""),"Uber")</f>
        <v>Uber</v>
      </c>
      <c r="I45" s="17" t="str">
        <f ca="1">IFERROR(__xludf.DUMMYFUNCTION("""COMPUTED_VALUE"""),"G&amp;A expenses")</f>
        <v>G&amp;A expenses</v>
      </c>
      <c r="J45" s="17" t="str">
        <f ca="1">IFERROR(__xludf.DUMMYFUNCTION("""COMPUTED_VALUE"""),"TRASLADO CASA - OBRA - CASA")</f>
        <v>TRASLADO CASA - OBRA - CASA</v>
      </c>
      <c r="K45" s="17" t="str">
        <f ca="1">IFERROR(__xludf.DUMMYFUNCTION("""COMPUTED_VALUE"""),"3576DE5E-0B2A-5D48-B456-7A02E97B36B4")</f>
        <v>3576DE5E-0B2A-5D48-B456-7A02E97B36B4</v>
      </c>
      <c r="L45" s="17"/>
      <c r="M45" s="17"/>
      <c r="N45" s="17"/>
      <c r="O45" s="17"/>
    </row>
    <row r="46" spans="1:15" ht="12.5">
      <c r="A46" s="17" t="str">
        <f ca="1">IFERROR(__xludf.DUMMYFUNCTION("""COMPUTED_VALUE"""),"TRX1705")</f>
        <v>TRX1705</v>
      </c>
      <c r="B46" s="86" t="str">
        <f ca="1">IFERROR(__xludf.DUMMYFUNCTION("""COMPUTED_VALUE"""),"-")</f>
        <v>-</v>
      </c>
      <c r="C46" s="63">
        <f ca="1">IFERROR(__xludf.DUMMYFUNCTION("""COMPUTED_VALUE"""),46067.4166666666)</f>
        <v>46067.416666666599</v>
      </c>
      <c r="D46" s="65">
        <f ca="1">IFERROR(__xludf.DUMMYFUNCTION("""COMPUTED_VALUE"""),2511.24)</f>
        <v>2511.2399999999998</v>
      </c>
      <c r="E46" s="17" t="str">
        <f ca="1">IFERROR(__xludf.DUMMYFUNCTION("""COMPUTED_VALUE"""),"MXN")</f>
        <v>MXN</v>
      </c>
      <c r="F46" s="17" t="str">
        <f ca="1">IFERROR(__xludf.DUMMYFUNCTION("""COMPUTED_VALUE"""),"Daniel Caraveo")</f>
        <v>Daniel Caraveo</v>
      </c>
      <c r="G46" s="17" t="str">
        <f ca="1">IFERROR(__xludf.DUMMYFUNCTION("""COMPUTED_VALUE"""),"VIVAAEROBUS WEB        APODACA NL    MEX")</f>
        <v>VIVAAEROBUS WEB        APODACA NL    MEX</v>
      </c>
      <c r="H46" s="17" t="str">
        <f ca="1">IFERROR(__xludf.DUMMYFUNCTION("""COMPUTED_VALUE"""),"Vivaaerobus")</f>
        <v>Vivaaerobus</v>
      </c>
      <c r="I46" s="17" t="str">
        <f ca="1">IFERROR(__xludf.DUMMYFUNCTION("""COMPUTED_VALUE"""),"G&amp;A expenses")</f>
        <v>G&amp;A expenses</v>
      </c>
      <c r="J46" s="17" t="str">
        <f ca="1">IFERROR(__xludf.DUMMYFUNCTION("""COMPUTED_VALUE"""),"TRASLADO AEREO")</f>
        <v>TRASLADO AEREO</v>
      </c>
      <c r="K46" s="17" t="str">
        <f ca="1">IFERROR(__xludf.DUMMYFUNCTION("""COMPUTED_VALUE"""),"6e55cf92-0a7c-4eff-ac8c-672315e7eed4")</f>
        <v>6e55cf92-0a7c-4eff-ac8c-672315e7eed4</v>
      </c>
      <c r="L46" s="17"/>
      <c r="M46" s="17"/>
      <c r="N46" s="17"/>
      <c r="O46" s="17"/>
    </row>
    <row r="47" spans="1:15" ht="12.5">
      <c r="A47" s="17" t="str">
        <f ca="1">IFERROR(__xludf.DUMMYFUNCTION("""COMPUTED_VALUE"""),"TRX1739")</f>
        <v>TRX1739</v>
      </c>
      <c r="B47" s="86" t="str">
        <f ca="1">IFERROR(__xludf.DUMMYFUNCTION("""COMPUTED_VALUE"""),"-")</f>
        <v>-</v>
      </c>
      <c r="C47" s="63">
        <f ca="1">IFERROR(__xludf.DUMMYFUNCTION("""COMPUTED_VALUE"""),46068.4166666666)</f>
        <v>46068.416666666599</v>
      </c>
      <c r="D47" s="65">
        <f ca="1">IFERROR(__xludf.DUMMYFUNCTION("""COMPUTED_VALUE"""),103.83)</f>
        <v>103.83</v>
      </c>
      <c r="E47" s="17" t="str">
        <f ca="1">IFERROR(__xludf.DUMMYFUNCTION("""COMPUTED_VALUE"""),"MXN")</f>
        <v>MXN</v>
      </c>
      <c r="F47" s="17" t="str">
        <f ca="1">IFERROR(__xludf.DUMMYFUNCTION("""COMPUTED_VALUE"""),"Daniel Caraveo")</f>
        <v>Daniel Caraveo</v>
      </c>
      <c r="G47" s="17" t="str">
        <f ca="1">IFERROR(__xludf.DUMMYFUNCTION("""COMPUTED_VALUE"""),"UBER * PENDING         CMX           MEX")</f>
        <v>UBER * PENDING         CMX           MEX</v>
      </c>
      <c r="H47" s="17" t="str">
        <f ca="1">IFERROR(__xludf.DUMMYFUNCTION("""COMPUTED_VALUE"""),"Uber")</f>
        <v>Uber</v>
      </c>
      <c r="I47" s="17" t="str">
        <f ca="1">IFERROR(__xludf.DUMMYFUNCTION("""COMPUTED_VALUE"""),"G&amp;A expenses")</f>
        <v>G&amp;A expenses</v>
      </c>
      <c r="J47" s="17" t="str">
        <f ca="1">IFERROR(__xludf.DUMMYFUNCTION("""COMPUTED_VALUE"""),"TRASLADO CASA - OBRA - CASA")</f>
        <v>TRASLADO CASA - OBRA - CASA</v>
      </c>
      <c r="K47" s="17" t="str">
        <f ca="1">IFERROR(__xludf.DUMMYFUNCTION("""COMPUTED_VALUE"""),"EL SOCIO CONDUCTOR NO EMITE FACTURA")</f>
        <v>EL SOCIO CONDUCTOR NO EMITE FACTURA</v>
      </c>
      <c r="L47" s="17"/>
      <c r="M47" s="17"/>
      <c r="N47" s="17"/>
      <c r="O47" s="17"/>
    </row>
    <row r="48" spans="1:15" ht="12.5">
      <c r="A48" s="17" t="str">
        <f ca="1">IFERROR(__xludf.DUMMYFUNCTION("""COMPUTED_VALUE"""),"TRX1624")</f>
        <v>TRX1624</v>
      </c>
      <c r="B48" s="86" t="str">
        <f ca="1">IFERROR(__xludf.DUMMYFUNCTION("""COMPUTED_VALUE"""),"-")</f>
        <v>-</v>
      </c>
      <c r="C48" s="63">
        <f ca="1">IFERROR(__xludf.DUMMYFUNCTION("""COMPUTED_VALUE"""),46068.4166666666)</f>
        <v>46068.416666666599</v>
      </c>
      <c r="D48" s="65">
        <f ca="1">IFERROR(__xludf.DUMMYFUNCTION("""COMPUTED_VALUE"""),154.24)</f>
        <v>154.24</v>
      </c>
      <c r="E48" s="17" t="str">
        <f ca="1">IFERROR(__xludf.DUMMYFUNCTION("""COMPUTED_VALUE"""),"MXN")</f>
        <v>MXN</v>
      </c>
      <c r="F48" s="17" t="str">
        <f ca="1">IFERROR(__xludf.DUMMYFUNCTION("""COMPUTED_VALUE"""),"Daniel Caraveo")</f>
        <v>Daniel Caraveo</v>
      </c>
      <c r="G48" s="17" t="str">
        <f ca="1">IFERROR(__xludf.DUMMYFUNCTION("""COMPUTED_VALUE"""),"UBER * PENDING         CMX           MEX")</f>
        <v>UBER * PENDING         CMX           MEX</v>
      </c>
      <c r="H48" s="17" t="str">
        <f ca="1">IFERROR(__xludf.DUMMYFUNCTION("""COMPUTED_VALUE"""),"Uber")</f>
        <v>Uber</v>
      </c>
      <c r="I48" s="17" t="str">
        <f ca="1">IFERROR(__xludf.DUMMYFUNCTION("""COMPUTED_VALUE"""),"G&amp;A expenses")</f>
        <v>G&amp;A expenses</v>
      </c>
      <c r="J48" s="17" t="str">
        <f ca="1">IFERROR(__xludf.DUMMYFUNCTION("""COMPUTED_VALUE"""),"TRASLADO CASA - OBRA - CASA")</f>
        <v>TRASLADO CASA - OBRA - CASA</v>
      </c>
      <c r="K48" s="17" t="str">
        <f ca="1">IFERROR(__xludf.DUMMYFUNCTION("""COMPUTED_VALUE"""),"EL SOCIO CONDUCTOR NO EMITE FACTURA")</f>
        <v>EL SOCIO CONDUCTOR NO EMITE FACTURA</v>
      </c>
      <c r="L48" s="17"/>
      <c r="M48" s="17"/>
      <c r="N48" s="17"/>
      <c r="O48" s="17"/>
    </row>
    <row r="49" spans="1:15" ht="12.5">
      <c r="A49" s="17" t="str">
        <f ca="1">IFERROR(__xludf.DUMMYFUNCTION("""COMPUTED_VALUE"""),"TRX1924")</f>
        <v>TRX1924</v>
      </c>
      <c r="B49" s="86" t="str">
        <f ca="1">IFERROR(__xludf.DUMMYFUNCTION("""COMPUTED_VALUE"""),"-")</f>
        <v>-</v>
      </c>
      <c r="C49" s="63">
        <f ca="1">IFERROR(__xludf.DUMMYFUNCTION("""COMPUTED_VALUE"""),46068.4166666666)</f>
        <v>46068.416666666599</v>
      </c>
      <c r="D49" s="65">
        <f ca="1">IFERROR(__xludf.DUMMYFUNCTION("""COMPUTED_VALUE"""),226)</f>
        <v>226</v>
      </c>
      <c r="E49" s="17" t="str">
        <f ca="1">IFERROR(__xludf.DUMMYFUNCTION("""COMPUTED_VALUE"""),"MXN")</f>
        <v>MXN</v>
      </c>
      <c r="F49" s="17" t="str">
        <f ca="1">IFERROR(__xludf.DUMMYFUNCTION("""COMPUTED_VALUE"""),"Daniel Caraveo")</f>
        <v>Daniel Caraveo</v>
      </c>
      <c r="G49" s="17" t="str">
        <f ca="1">IFERROR(__xludf.DUMMYFUNCTION("""COMPUTED_VALUE"""),"REST SUSHITTO CUMBRES  BENITO JUAREZ MEX")</f>
        <v>REST SUSHITTO CUMBRES  BENITO JUAREZ MEX</v>
      </c>
      <c r="H49" s="17" t="str">
        <f ca="1">IFERROR(__xludf.DUMMYFUNCTION("""COMPUTED_VALUE"""),"Rest Sushitto Cumbres Benito Juarez Mex")</f>
        <v>Rest Sushitto Cumbres Benito Juarez Mex</v>
      </c>
      <c r="I49" s="17" t="str">
        <f ca="1">IFERROR(__xludf.DUMMYFUNCTION("""COMPUTED_VALUE"""),"G&amp;A expenses")</f>
        <v>G&amp;A expenses</v>
      </c>
      <c r="J49" s="17" t="str">
        <f ca="1">IFERROR(__xludf.DUMMYFUNCTION("""COMPUTED_VALUE"""),"comida en sitio")</f>
        <v>comida en sitio</v>
      </c>
      <c r="K49" s="17" t="str">
        <f ca="1">IFERROR(__xludf.DUMMYFUNCTION("""COMPUTED_VALUE"""),"3ACA3FA8‐79A8‐427A‐9587‐56D086FAEC52")</f>
        <v>3ACA3FA8‐79A8‐427A‐9587‐56D086FAEC52</v>
      </c>
      <c r="L49" s="17"/>
      <c r="M49" s="17"/>
      <c r="N49" s="17"/>
      <c r="O49" s="17"/>
    </row>
    <row r="50" spans="1:15" ht="12.5">
      <c r="A50" s="17" t="str">
        <f ca="1">IFERROR(__xludf.DUMMYFUNCTION("""COMPUTED_VALUE"""),"TRX1619")</f>
        <v>TRX1619</v>
      </c>
      <c r="B50" s="86" t="str">
        <f ca="1">IFERROR(__xludf.DUMMYFUNCTION("""COMPUTED_VALUE"""),"-")</f>
        <v>-</v>
      </c>
      <c r="C50" s="63">
        <f ca="1">IFERROR(__xludf.DUMMYFUNCTION("""COMPUTED_VALUE"""),46069.4166666666)</f>
        <v>46069.416666666599</v>
      </c>
      <c r="D50" s="65">
        <f ca="1">IFERROR(__xludf.DUMMYFUNCTION("""COMPUTED_VALUE"""),368.26)</f>
        <v>368.26</v>
      </c>
      <c r="E50" s="17" t="str">
        <f ca="1">IFERROR(__xludf.DUMMYFUNCTION("""COMPUTED_VALUE"""),"MXN")</f>
        <v>MXN</v>
      </c>
      <c r="F50" s="17" t="str">
        <f ca="1">IFERROR(__xludf.DUMMYFUNCTION("""COMPUTED_VALUE"""),"Daniel Caraveo")</f>
        <v>Daniel Caraveo</v>
      </c>
      <c r="G50" s="17" t="str">
        <f ca="1">IFERROR(__xludf.DUMMYFUNCTION("""COMPUTED_VALUE"""),"UBER * EATS PENDING    CMX           MEX")</f>
        <v>UBER * EATS PENDING    CMX           MEX</v>
      </c>
      <c r="H50" s="17" t="str">
        <f ca="1">IFERROR(__xludf.DUMMYFUNCTION("""COMPUTED_VALUE"""),"Uber Eats")</f>
        <v>Uber Eats</v>
      </c>
      <c r="I50" s="17" t="str">
        <f ca="1">IFERROR(__xludf.DUMMYFUNCTION("""COMPUTED_VALUE"""),"G&amp;A expenses")</f>
        <v>G&amp;A expenses</v>
      </c>
      <c r="J50" s="17" t="str">
        <f ca="1">IFERROR(__xludf.DUMMYFUNCTION("""COMPUTED_VALUE"""),"comida en sitio")</f>
        <v>comida en sitio</v>
      </c>
      <c r="K50" s="17" t="str">
        <f ca="1">IFERROR(__xludf.DUMMYFUNCTION("""COMPUTED_VALUE"""),"916AF4C4-CE21-4322-ACF5-97DC263138DE")</f>
        <v>916AF4C4-CE21-4322-ACF5-97DC263138DE</v>
      </c>
      <c r="L50" s="17"/>
      <c r="M50" s="17"/>
      <c r="N50" s="17"/>
      <c r="O50" s="17"/>
    </row>
    <row r="51" spans="1:15" ht="12.5">
      <c r="A51" s="17" t="str">
        <f ca="1">IFERROR(__xludf.DUMMYFUNCTION("""COMPUTED_VALUE"""),"TRX1035")</f>
        <v>TRX1035</v>
      </c>
      <c r="B51" s="86" t="str">
        <f ca="1">IFERROR(__xludf.DUMMYFUNCTION("""COMPUTED_VALUE"""),"-")</f>
        <v>-</v>
      </c>
      <c r="C51" s="63">
        <f ca="1">IFERROR(__xludf.DUMMYFUNCTION("""COMPUTED_VALUE"""),46069.4166666666)</f>
        <v>46069.416666666599</v>
      </c>
      <c r="D51" s="65">
        <f ca="1">IFERROR(__xludf.DUMMYFUNCTION("""COMPUTED_VALUE"""),74.89)</f>
        <v>74.89</v>
      </c>
      <c r="E51" s="17" t="str">
        <f ca="1">IFERROR(__xludf.DUMMYFUNCTION("""COMPUTED_VALUE"""),"MXN")</f>
        <v>MXN</v>
      </c>
      <c r="F51" s="17" t="str">
        <f ca="1">IFERROR(__xludf.DUMMYFUNCTION("""COMPUTED_VALUE"""),"Daniel Caraveo")</f>
        <v>Daniel Caraveo</v>
      </c>
      <c r="G51" s="17" t="str">
        <f ca="1">IFERROR(__xludf.DUMMYFUNCTION("""COMPUTED_VALUE"""),"UBER * PENDING         CMX           MEX")</f>
        <v>UBER * PENDING         CMX           MEX</v>
      </c>
      <c r="H51" s="17" t="str">
        <f ca="1">IFERROR(__xludf.DUMMYFUNCTION("""COMPUTED_VALUE"""),"Uber")</f>
        <v>Uber</v>
      </c>
      <c r="I51" s="17" t="str">
        <f ca="1">IFERROR(__xludf.DUMMYFUNCTION("""COMPUTED_VALUE"""),"G&amp;A expenses")</f>
        <v>G&amp;A expenses</v>
      </c>
      <c r="J51" s="17" t="str">
        <f ca="1">IFERROR(__xludf.DUMMYFUNCTION("""COMPUTED_VALUE"""),"TRASLADO CASA - OBRA - CASA")</f>
        <v>TRASLADO CASA - OBRA - CASA</v>
      </c>
      <c r="K51" s="17" t="str">
        <f ca="1">IFERROR(__xludf.DUMMYFUNCTION("""COMPUTED_VALUE"""),"ADFFE78E-4465-59A0-8D90-A71E8940FE8B")</f>
        <v>ADFFE78E-4465-59A0-8D90-A71E8940FE8B</v>
      </c>
      <c r="L51" s="17"/>
      <c r="M51" s="17"/>
      <c r="N51" s="17"/>
      <c r="O51" s="17"/>
    </row>
    <row r="52" spans="1:15" ht="12.5">
      <c r="A52" s="17" t="str">
        <f ca="1">IFERROR(__xludf.DUMMYFUNCTION("""COMPUTED_VALUE"""),"TRX1932")</f>
        <v>TRX1932</v>
      </c>
      <c r="B52" s="86" t="str">
        <f ca="1">IFERROR(__xludf.DUMMYFUNCTION("""COMPUTED_VALUE"""),"-")</f>
        <v>-</v>
      </c>
      <c r="C52" s="63">
        <f ca="1">IFERROR(__xludf.DUMMYFUNCTION("""COMPUTED_VALUE"""),46069.4166666666)</f>
        <v>46069.416666666599</v>
      </c>
      <c r="D52" s="65">
        <f ca="1">IFERROR(__xludf.DUMMYFUNCTION("""COMPUTED_VALUE"""),94)</f>
        <v>94</v>
      </c>
      <c r="E52" s="17" t="str">
        <f ca="1">IFERROR(__xludf.DUMMYFUNCTION("""COMPUTED_VALUE"""),"MXN")</f>
        <v>MXN</v>
      </c>
      <c r="F52" s="17" t="str">
        <f ca="1">IFERROR(__xludf.DUMMYFUNCTION("""COMPUTED_VALUE"""),"Daniel Caraveo")</f>
        <v>Daniel Caraveo</v>
      </c>
      <c r="G52" s="17" t="str">
        <f ca="1">IFERROR(__xludf.DUMMYFUNCTION("""COMPUTED_VALUE"""),"STARBUCKS COFEE L 2626 BENITO JUAREZ MEX")</f>
        <v>STARBUCKS COFEE L 2626 BENITO JUAREZ MEX</v>
      </c>
      <c r="H52" s="17" t="str">
        <f ca="1">IFERROR(__xludf.DUMMYFUNCTION("""COMPUTED_VALUE"""),"Starbucks")</f>
        <v>Starbucks</v>
      </c>
      <c r="I52" s="17" t="str">
        <f ca="1">IFERROR(__xludf.DUMMYFUNCTION("""COMPUTED_VALUE"""),"G&amp;A expenses")</f>
        <v>G&amp;A expenses</v>
      </c>
      <c r="J52" s="17" t="str">
        <f ca="1">IFERROR(__xludf.DUMMYFUNCTION("""COMPUTED_VALUE"""),"comida en sitio")</f>
        <v>comida en sitio</v>
      </c>
      <c r="K52" s="17" t="str">
        <f ca="1">IFERROR(__xludf.DUMMYFUNCTION("""COMPUTED_VALUE"""),"7A4BC04C-D35D-4B1F-8232-EF7A1A9B055F")</f>
        <v>7A4BC04C-D35D-4B1F-8232-EF7A1A9B055F</v>
      </c>
      <c r="L52" s="17"/>
      <c r="M52" s="17"/>
      <c r="N52" s="17"/>
      <c r="O52" s="17"/>
    </row>
    <row r="53" spans="1:15" ht="12.5">
      <c r="A53" s="17" t="str">
        <f ca="1">IFERROR(__xludf.DUMMYFUNCTION("""COMPUTED_VALUE"""),"TRX1281")</f>
        <v>TRX1281</v>
      </c>
      <c r="B53" s="86" t="str">
        <f ca="1">IFERROR(__xludf.DUMMYFUNCTION("""COMPUTED_VALUE"""),"-")</f>
        <v>-</v>
      </c>
      <c r="C53" s="63">
        <f ca="1">IFERROR(__xludf.DUMMYFUNCTION("""COMPUTED_VALUE"""),46070.4166666666)</f>
        <v>46070.416666666599</v>
      </c>
      <c r="D53" s="65">
        <f ca="1">IFERROR(__xludf.DUMMYFUNCTION("""COMPUTED_VALUE"""),175)</f>
        <v>175</v>
      </c>
      <c r="E53" s="17" t="str">
        <f ca="1">IFERROR(__xludf.DUMMYFUNCTION("""COMPUTED_VALUE"""),"MXN")</f>
        <v>MXN</v>
      </c>
      <c r="F53" s="17" t="str">
        <f ca="1">IFERROR(__xludf.DUMMYFUNCTION("""COMPUTED_VALUE"""),"Daniel Caraveo")</f>
        <v>Daniel Caraveo</v>
      </c>
      <c r="G53" s="17" t="str">
        <f ca="1">IFERROR(__xludf.DUMMYFUNCTION("""COMPUTED_VALUE"""),"MC DONALD S DIVISION N CIUDAD DE MEX MEX")</f>
        <v>MC DONALD S DIVISION N CIUDAD DE MEX MEX</v>
      </c>
      <c r="H53" s="17" t="str">
        <f ca="1">IFERROR(__xludf.DUMMYFUNCTION("""COMPUTED_VALUE"""),"Mc Donald S Division N Ciudad De Mex Mex")</f>
        <v>Mc Donald S Division N Ciudad De Mex Mex</v>
      </c>
      <c r="I53" s="17" t="str">
        <f ca="1">IFERROR(__xludf.DUMMYFUNCTION("""COMPUTED_VALUE"""),"G&amp;A expenses")</f>
        <v>G&amp;A expenses</v>
      </c>
      <c r="J53" s="17" t="str">
        <f ca="1">IFERROR(__xludf.DUMMYFUNCTION("""COMPUTED_VALUE"""),"comida en sitio")</f>
        <v>comida en sitio</v>
      </c>
      <c r="K53" s="17" t="str">
        <f ca="1">IFERROR(__xludf.DUMMYFUNCTION("""COMPUTED_VALUE"""),"158E73A9-CFEB-4B20-96CB-B88F8E261B5B")</f>
        <v>158E73A9-CFEB-4B20-96CB-B88F8E261B5B</v>
      </c>
      <c r="L53" s="17"/>
      <c r="M53" s="17"/>
      <c r="N53" s="17"/>
      <c r="O53" s="17"/>
    </row>
    <row r="54" spans="1:15" ht="12.5">
      <c r="A54" s="17" t="str">
        <f ca="1">IFERROR(__xludf.DUMMYFUNCTION("""COMPUTED_VALUE"""),"TRX1174")</f>
        <v>TRX1174</v>
      </c>
      <c r="B54" s="86" t="str">
        <f ca="1">IFERROR(__xludf.DUMMYFUNCTION("""COMPUTED_VALUE"""),"-")</f>
        <v>-</v>
      </c>
      <c r="C54" s="63">
        <f ca="1">IFERROR(__xludf.DUMMYFUNCTION("""COMPUTED_VALUE"""),46071.4166666666)</f>
        <v>46071.416666666599</v>
      </c>
      <c r="D54" s="65">
        <f ca="1">IFERROR(__xludf.DUMMYFUNCTION("""COMPUTED_VALUE"""),300)</f>
        <v>300</v>
      </c>
      <c r="E54" s="17" t="str">
        <f ca="1">IFERROR(__xludf.DUMMYFUNCTION("""COMPUTED_VALUE"""),"MXN")</f>
        <v>MXN</v>
      </c>
      <c r="F54" s="17" t="str">
        <f ca="1">IFERROR(__xludf.DUMMYFUNCTION("""COMPUTED_VALUE"""),"Daniel Caraveo")</f>
        <v>Daniel Caraveo</v>
      </c>
      <c r="G54" s="17" t="str">
        <f ca="1">IFERROR(__xludf.DUMMYFUNCTION("""COMPUTED_VALUE"""),"RECARGA PASE TUTAG     CIUDAD DE MEX MEX")</f>
        <v>RECARGA PASE TUTAG     CIUDAD DE MEX MEX</v>
      </c>
      <c r="H54" s="17" t="str">
        <f ca="1">IFERROR(__xludf.DUMMYFUNCTION("""COMPUTED_VALUE"""),"Recarga Pase Tutag Ciudad De Mex Mex")</f>
        <v>Recarga Pase Tutag Ciudad De Mex Mex</v>
      </c>
      <c r="I54" s="17" t="str">
        <f ca="1">IFERROR(__xludf.DUMMYFUNCTION("""COMPUTED_VALUE"""),"G&amp;A expenses")</f>
        <v>G&amp;A expenses</v>
      </c>
      <c r="J54" s="17" t="str">
        <f ca="1">IFERROR(__xludf.DUMMYFUNCTION("""COMPUTED_VALUE"""),"TAG PARA TRANSPORTE")</f>
        <v>TAG PARA TRANSPORTE</v>
      </c>
      <c r="K54" s="17" t="str">
        <f ca="1">IFERROR(__xludf.DUMMYFUNCTION("""COMPUTED_VALUE"""),"7A3EA00C-18C5-4402-A3F1-46C4A15D0317")</f>
        <v>7A3EA00C-18C5-4402-A3F1-46C4A15D0317</v>
      </c>
      <c r="L54" s="17"/>
      <c r="M54" s="17"/>
      <c r="N54" s="17"/>
      <c r="O54" s="17"/>
    </row>
    <row r="55" spans="1:15" ht="12.5">
      <c r="A55" s="17" t="str">
        <f ca="1">IFERROR(__xludf.DUMMYFUNCTION("""COMPUTED_VALUE"""),"TRX1894")</f>
        <v>TRX1894</v>
      </c>
      <c r="B55" s="86" t="str">
        <f ca="1">IFERROR(__xludf.DUMMYFUNCTION("""COMPUTED_VALUE"""),"-")</f>
        <v>-</v>
      </c>
      <c r="C55" s="63">
        <f ca="1">IFERROR(__xludf.DUMMYFUNCTION("""COMPUTED_VALUE"""),46071.4166666666)</f>
        <v>46071.416666666599</v>
      </c>
      <c r="D55" s="65">
        <f ca="1">IFERROR(__xludf.DUMMYFUNCTION("""COMPUTED_VALUE"""),100)</f>
        <v>100</v>
      </c>
      <c r="E55" s="17" t="str">
        <f ca="1">IFERROR(__xludf.DUMMYFUNCTION("""COMPUTED_VALUE"""),"MXN")</f>
        <v>MXN</v>
      </c>
      <c r="F55" s="17" t="str">
        <f ca="1">IFERROR(__xludf.DUMMYFUNCTION("""COMPUTED_VALUE"""),"Daniel Caraveo")</f>
        <v>Daniel Caraveo</v>
      </c>
      <c r="G55" s="17" t="str">
        <f ca="1">IFERROR(__xludf.DUMMYFUNCTION("""COMPUTED_VALUE"""),"MEXPAGO*MUEVECIUDAD    CIUDAD DE MEX MEX")</f>
        <v>MEXPAGO*MUEVECIUDAD    CIUDAD DE MEX MEX</v>
      </c>
      <c r="H55" s="17" t="str">
        <f ca="1">IFERROR(__xludf.DUMMYFUNCTION("""COMPUTED_VALUE"""),"Mexpago Mueveciudad Ciudad De Mex Mex")</f>
        <v>Mexpago Mueveciudad Ciudad De Mex Mex</v>
      </c>
      <c r="I55" s="17" t="str">
        <f ca="1">IFERROR(__xludf.DUMMYFUNCTION("""COMPUTED_VALUE"""),"G&amp;A expenses")</f>
        <v>G&amp;A expenses</v>
      </c>
      <c r="J55" s="17" t="str">
        <f ca="1">IFERROR(__xludf.DUMMYFUNCTION("""COMPUTED_VALUE"""),"PAGO DE PARQUÍMETROS EN SITIO")</f>
        <v>PAGO DE PARQUÍMETROS EN SITIO</v>
      </c>
      <c r="K55" s="17" t="str">
        <f ca="1">IFERROR(__xludf.DUMMYFUNCTION("""COMPUTED_VALUE"""),"d36974a6-977a-45a2-a333-786831324be3")</f>
        <v>d36974a6-977a-45a2-a333-786831324be3</v>
      </c>
      <c r="L55" s="17"/>
      <c r="M55" s="17"/>
      <c r="N55" s="17"/>
      <c r="O55" s="17"/>
    </row>
    <row r="56" spans="1:15" ht="12.5">
      <c r="A56" s="17" t="str">
        <f ca="1">IFERROR(__xludf.DUMMYFUNCTION("""COMPUTED_VALUE"""),"TRX1032")</f>
        <v>TRX1032</v>
      </c>
      <c r="B56" s="86" t="str">
        <f ca="1">IFERROR(__xludf.DUMMYFUNCTION("""COMPUTED_VALUE"""),"-")</f>
        <v>-</v>
      </c>
      <c r="C56" s="63">
        <f ca="1">IFERROR(__xludf.DUMMYFUNCTION("""COMPUTED_VALUE"""),46072.4173611111)</f>
        <v>46072.417361111096</v>
      </c>
      <c r="D56" s="65">
        <f ca="1">IFERROR(__xludf.DUMMYFUNCTION("""COMPUTED_VALUE"""),145)</f>
        <v>145</v>
      </c>
      <c r="E56" s="17" t="str">
        <f ca="1">IFERROR(__xludf.DUMMYFUNCTION("""COMPUTED_VALUE"""),"MXN")</f>
        <v>MXN</v>
      </c>
      <c r="F56" s="17" t="str">
        <f ca="1">IFERROR(__xludf.DUMMYFUNCTION("""COMPUTED_VALUE"""),"Daniel Caraveo")</f>
        <v>Daniel Caraveo</v>
      </c>
      <c r="G56" s="17" t="str">
        <f ca="1">IFERROR(__xludf.DUMMYFUNCTION("""COMPUTED_VALUE"""),"ESPERANZA SATELITE     NAUCALPAN DE  MEX")</f>
        <v>ESPERANZA SATELITE     NAUCALPAN DE  MEX</v>
      </c>
      <c r="H56" s="17" t="str">
        <f ca="1">IFERROR(__xludf.DUMMYFUNCTION("""COMPUTED_VALUE"""),"Esperanza Satelite Naucalpan De Mex")</f>
        <v>Esperanza Satelite Naucalpan De Mex</v>
      </c>
      <c r="I56" s="17" t="str">
        <f ca="1">IFERROR(__xludf.DUMMYFUNCTION("""COMPUTED_VALUE"""),"G&amp;A expenses")</f>
        <v>G&amp;A expenses</v>
      </c>
      <c r="J56" s="17" t="str">
        <f ca="1">IFERROR(__xludf.DUMMYFUNCTION("""COMPUTED_VALUE"""),"comida en sitio")</f>
        <v>comida en sitio</v>
      </c>
      <c r="K56" s="17" t="str">
        <f ca="1">IFERROR(__xludf.DUMMYFUNCTION("""COMPUTED_VALUE"""),"6EE0FA69-BD12-43D3-852C-E7613A56AEB9")</f>
        <v>6EE0FA69-BD12-43D3-852C-E7613A56AEB9</v>
      </c>
      <c r="L56" s="17"/>
      <c r="M56" s="17"/>
      <c r="N56" s="17"/>
      <c r="O56" s="17"/>
    </row>
    <row r="57" spans="1:15" ht="12.5">
      <c r="A57" s="17" t="str">
        <f ca="1">IFERROR(__xludf.DUMMYFUNCTION("""COMPUTED_VALUE"""),"TRX1054")</f>
        <v>TRX1054</v>
      </c>
      <c r="B57" s="86" t="str">
        <f ca="1">IFERROR(__xludf.DUMMYFUNCTION("""COMPUTED_VALUE"""),"-")</f>
        <v>-</v>
      </c>
      <c r="C57" s="63">
        <f ca="1">IFERROR(__xludf.DUMMYFUNCTION("""COMPUTED_VALUE"""),46073.4166666666)</f>
        <v>46073.416666666599</v>
      </c>
      <c r="D57" s="65">
        <f ca="1">IFERROR(__xludf.DUMMYFUNCTION("""COMPUTED_VALUE"""),299.23)</f>
        <v>299.23</v>
      </c>
      <c r="E57" s="17" t="str">
        <f ca="1">IFERROR(__xludf.DUMMYFUNCTION("""COMPUTED_VALUE"""),"MXN")</f>
        <v>MXN</v>
      </c>
      <c r="F57" s="17" t="str">
        <f ca="1">IFERROR(__xludf.DUMMYFUNCTION("""COMPUTED_VALUE"""),"Daniel Caraveo")</f>
        <v>Daniel Caraveo</v>
      </c>
      <c r="G57" s="17" t="str">
        <f ca="1">IFERROR(__xludf.DUMMYFUNCTION("""COMPUTED_VALUE"""),"UBER * EATS PENDING    CMX           MEX")</f>
        <v>UBER * EATS PENDING    CMX           MEX</v>
      </c>
      <c r="H57" s="17" t="str">
        <f ca="1">IFERROR(__xludf.DUMMYFUNCTION("""COMPUTED_VALUE"""),"Uber Eats")</f>
        <v>Uber Eats</v>
      </c>
      <c r="I57" s="17" t="str">
        <f ca="1">IFERROR(__xludf.DUMMYFUNCTION("""COMPUTED_VALUE"""),"G&amp;A expenses")</f>
        <v>G&amp;A expenses</v>
      </c>
      <c r="J57" s="17" t="str">
        <f ca="1">IFERROR(__xludf.DUMMYFUNCTION("""COMPUTED_VALUE"""),"comida en sitio")</f>
        <v>comida en sitio</v>
      </c>
      <c r="K57" s="17" t="str">
        <f ca="1">IFERROR(__xludf.DUMMYFUNCTION("""COMPUTED_VALUE"""),"53036cf5-16c7-499a-8afd-88a6ea314378")</f>
        <v>53036cf5-16c7-499a-8afd-88a6ea314378</v>
      </c>
      <c r="L57" s="17"/>
      <c r="M57" s="17"/>
      <c r="N57" s="17"/>
      <c r="O57" s="17"/>
    </row>
    <row r="58" spans="1:15" ht="12.5">
      <c r="A58" s="17" t="str">
        <f ca="1">IFERROR(__xludf.DUMMYFUNCTION("""COMPUTED_VALUE"""),"TRX1468")</f>
        <v>TRX1468</v>
      </c>
      <c r="B58" s="86" t="str">
        <f ca="1">IFERROR(__xludf.DUMMYFUNCTION("""COMPUTED_VALUE"""),"-")</f>
        <v>-</v>
      </c>
      <c r="C58" s="63">
        <f ca="1">IFERROR(__xludf.DUMMYFUNCTION("""COMPUTED_VALUE"""),46073.4166666666)</f>
        <v>46073.416666666599</v>
      </c>
      <c r="D58" s="65">
        <f ca="1">IFERROR(__xludf.DUMMYFUNCTION("""COMPUTED_VALUE"""),400)</f>
        <v>400</v>
      </c>
      <c r="E58" s="17" t="str">
        <f ca="1">IFERROR(__xludf.DUMMYFUNCTION("""COMPUTED_VALUE"""),"MXN")</f>
        <v>MXN</v>
      </c>
      <c r="F58" s="17" t="str">
        <f ca="1">IFERROR(__xludf.DUMMYFUNCTION("""COMPUTED_VALUE"""),"Daniel Caraveo")</f>
        <v>Daniel Caraveo</v>
      </c>
      <c r="G58" s="17" t="str">
        <f ca="1">IFERROR(__xludf.DUMMYFUNCTION("""COMPUTED_VALUE"""),"RECARGA PASE TUTAG     CIUDAD DE MEX MEX")</f>
        <v>RECARGA PASE TUTAG     CIUDAD DE MEX MEX</v>
      </c>
      <c r="H58" s="17" t="str">
        <f ca="1">IFERROR(__xludf.DUMMYFUNCTION("""COMPUTED_VALUE"""),"Recarga Pase Tutag Ciudad De Mex Mex")</f>
        <v>Recarga Pase Tutag Ciudad De Mex Mex</v>
      </c>
      <c r="I58" s="17" t="str">
        <f ca="1">IFERROR(__xludf.DUMMYFUNCTION("""COMPUTED_VALUE"""),"G&amp;A expenses")</f>
        <v>G&amp;A expenses</v>
      </c>
      <c r="J58" s="17" t="str">
        <f ca="1">IFERROR(__xludf.DUMMYFUNCTION("""COMPUTED_VALUE"""),"TAG PARA TRANSPORTE")</f>
        <v>TAG PARA TRANSPORTE</v>
      </c>
      <c r="K58" s="17" t="str">
        <f ca="1">IFERROR(__xludf.DUMMYFUNCTION("""COMPUTED_VALUE"""),"8DC1DD4D-4655-44CA-88BB-89DDB6F923EE")</f>
        <v>8DC1DD4D-4655-44CA-88BB-89DDB6F923EE</v>
      </c>
      <c r="L58" s="17"/>
      <c r="M58" s="17"/>
      <c r="N58" s="17"/>
      <c r="O58" s="17"/>
    </row>
    <row r="59" spans="1:15" ht="12.5">
      <c r="A59" s="17" t="str">
        <f ca="1">IFERROR(__xludf.DUMMYFUNCTION("""COMPUTED_VALUE"""),"TRX1700")</f>
        <v>TRX1700</v>
      </c>
      <c r="B59" s="86" t="str">
        <f ca="1">IFERROR(__xludf.DUMMYFUNCTION("""COMPUTED_VALUE"""),"-")</f>
        <v>-</v>
      </c>
      <c r="C59" s="63">
        <f ca="1">IFERROR(__xludf.DUMMYFUNCTION("""COMPUTED_VALUE"""),46074.4166666666)</f>
        <v>46074.416666666599</v>
      </c>
      <c r="D59" s="65">
        <f ca="1">IFERROR(__xludf.DUMMYFUNCTION("""COMPUTED_VALUE"""),700)</f>
        <v>700</v>
      </c>
      <c r="E59" s="17" t="str">
        <f ca="1">IFERROR(__xludf.DUMMYFUNCTION("""COMPUTED_VALUE"""),"MXN")</f>
        <v>MXN</v>
      </c>
      <c r="F59" s="17" t="str">
        <f ca="1">IFERROR(__xludf.DUMMYFUNCTION("""COMPUTED_VALUE"""),"Daniel Caraveo")</f>
        <v>Daniel Caraveo</v>
      </c>
      <c r="G59" s="17" t="str">
        <f ca="1">IFERROR(__xludf.DUMMYFUNCTION("""COMPUTED_VALUE"""),"GAS COGA LOM CHA MIT 2 CIUDAD DE MEX MEX")</f>
        <v>GAS COGA LOM CHA MIT 2 CIUDAD DE MEX MEX</v>
      </c>
      <c r="H59" s="17" t="str">
        <f ca="1">IFERROR(__xludf.DUMMYFUNCTION("""COMPUTED_VALUE"""),"Gas Coga Lom Cha Mit 2 Ciudad De Mex Mex")</f>
        <v>Gas Coga Lom Cha Mit 2 Ciudad De Mex Mex</v>
      </c>
      <c r="I59" s="17" t="str">
        <f ca="1">IFERROR(__xludf.DUMMYFUNCTION("""COMPUTED_VALUE"""),"G&amp;A expenses")</f>
        <v>G&amp;A expenses</v>
      </c>
      <c r="J59" s="17" t="str">
        <f ca="1">IFERROR(__xludf.DUMMYFUNCTION("""COMPUTED_VALUE"""),"GASOLINA PARA VEHICULO PARTICULAR Y TRANSPORTACIÓN")</f>
        <v>GASOLINA PARA VEHICULO PARTICULAR Y TRANSPORTACIÓN</v>
      </c>
      <c r="K59" s="17" t="str">
        <f ca="1">IFERROR(__xludf.DUMMYFUNCTION("""COMPUTED_VALUE"""),"3364bd80-b1e3-4b3d-9568-c4d497e47da6")</f>
        <v>3364bd80-b1e3-4b3d-9568-c4d497e47da6</v>
      </c>
      <c r="L59" s="17"/>
      <c r="M59" s="17"/>
      <c r="N59" s="17"/>
      <c r="O59" s="17"/>
    </row>
    <row r="60" spans="1:15" ht="12.5">
      <c r="A60" s="17" t="str">
        <f ca="1">IFERROR(__xludf.DUMMYFUNCTION("""COMPUTED_VALUE"""),"TRX1796")</f>
        <v>TRX1796</v>
      </c>
      <c r="B60" s="86" t="str">
        <f ca="1">IFERROR(__xludf.DUMMYFUNCTION("""COMPUTED_VALUE"""),"-")</f>
        <v>-</v>
      </c>
      <c r="C60" s="63">
        <f ca="1">IFERROR(__xludf.DUMMYFUNCTION("""COMPUTED_VALUE"""),46074.4166666666)</f>
        <v>46074.416666666599</v>
      </c>
      <c r="D60" s="65">
        <f ca="1">IFERROR(__xludf.DUMMYFUNCTION("""COMPUTED_VALUE"""),200)</f>
        <v>200</v>
      </c>
      <c r="E60" s="17" t="str">
        <f ca="1">IFERROR(__xludf.DUMMYFUNCTION("""COMPUTED_VALUE"""),"MXN")</f>
        <v>MXN</v>
      </c>
      <c r="F60" s="17" t="str">
        <f ca="1">IFERROR(__xludf.DUMMYFUNCTION("""COMPUTED_VALUE"""),"Daniel Caraveo")</f>
        <v>Daniel Caraveo</v>
      </c>
      <c r="G60" s="17" t="str">
        <f ca="1">IFERROR(__xludf.DUMMYFUNCTION("""COMPUTED_VALUE"""),"MEXPAGO*MUEVECIUDAD    CIUDAD DE MEX MEX")</f>
        <v>MEXPAGO*MUEVECIUDAD    CIUDAD DE MEX MEX</v>
      </c>
      <c r="H60" s="17" t="str">
        <f ca="1">IFERROR(__xludf.DUMMYFUNCTION("""COMPUTED_VALUE"""),"Mexpago Mueveciudad Ciudad De Mex Mex")</f>
        <v>Mexpago Mueveciudad Ciudad De Mex Mex</v>
      </c>
      <c r="I60" s="17" t="str">
        <f ca="1">IFERROR(__xludf.DUMMYFUNCTION("""COMPUTED_VALUE"""),"G&amp;A expenses")</f>
        <v>G&amp;A expenses</v>
      </c>
      <c r="J60" s="17" t="str">
        <f ca="1">IFERROR(__xludf.DUMMYFUNCTION("""COMPUTED_VALUE"""),"PAGO DE PARQUÍMETROS EN SITIO")</f>
        <v>PAGO DE PARQUÍMETROS EN SITIO</v>
      </c>
      <c r="K60" s="17" t="str">
        <f ca="1">IFERROR(__xludf.DUMMYFUNCTION("""COMPUTED_VALUE"""),"d36974a6-977a-45a2-a333-786831324be3")</f>
        <v>d36974a6-977a-45a2-a333-786831324be3</v>
      </c>
      <c r="L60" s="17"/>
      <c r="M60" s="17"/>
      <c r="N60" s="17"/>
      <c r="O60" s="17"/>
    </row>
    <row r="61" spans="1:15" ht="12.5">
      <c r="A61" s="17" t="str">
        <f ca="1">IFERROR(__xludf.DUMMYFUNCTION("""COMPUTED_VALUE"""),"TRX1161")</f>
        <v>TRX1161</v>
      </c>
      <c r="B61" s="86" t="str">
        <f ca="1">IFERROR(__xludf.DUMMYFUNCTION("""COMPUTED_VALUE"""),"-")</f>
        <v>-</v>
      </c>
      <c r="C61" s="63">
        <f ca="1">IFERROR(__xludf.DUMMYFUNCTION("""COMPUTED_VALUE"""),46078.4173611111)</f>
        <v>46078.417361111096</v>
      </c>
      <c r="D61" s="65">
        <f ca="1">IFERROR(__xludf.DUMMYFUNCTION("""COMPUTED_VALUE"""),134.55)</f>
        <v>134.55000000000001</v>
      </c>
      <c r="E61" s="17" t="str">
        <f ca="1">IFERROR(__xludf.DUMMYFUNCTION("""COMPUTED_VALUE"""),"MXN")</f>
        <v>MXN</v>
      </c>
      <c r="F61" s="17" t="str">
        <f ca="1">IFERROR(__xludf.DUMMYFUNCTION("""COMPUTED_VALUE"""),"Daniel Caraveo")</f>
        <v>Daniel Caraveo</v>
      </c>
      <c r="G61" s="17" t="str">
        <f ca="1">IFERROR(__xludf.DUMMYFUNCTION("""COMPUTED_VALUE"""),"TACO NACO REVOLUCION   CIUDAD DE MEX MEX")</f>
        <v>TACO NACO REVOLUCION   CIUDAD DE MEX MEX</v>
      </c>
      <c r="H61" s="17" t="str">
        <f ca="1">IFERROR(__xludf.DUMMYFUNCTION("""COMPUTED_VALUE"""),"Taco Naco Revolucion Ciudad De Mex Mex")</f>
        <v>Taco Naco Revolucion Ciudad De Mex Mex</v>
      </c>
      <c r="I61" s="17" t="str">
        <f ca="1">IFERROR(__xludf.DUMMYFUNCTION("""COMPUTED_VALUE"""),"G&amp;A expenses")</f>
        <v>G&amp;A expenses</v>
      </c>
      <c r="J61" s="17" t="str">
        <f ca="1">IFERROR(__xludf.DUMMYFUNCTION("""COMPUTED_VALUE"""),"comida en sitio")</f>
        <v>comida en sitio</v>
      </c>
      <c r="K61" s="17" t="str">
        <f ca="1">IFERROR(__xludf.DUMMYFUNCTION("""COMPUTED_VALUE"""),"AB73D626-FDED-42AD-8BFF-1FA924539827")</f>
        <v>AB73D626-FDED-42AD-8BFF-1FA924539827</v>
      </c>
      <c r="L61" s="17"/>
      <c r="M61" s="17"/>
      <c r="N61" s="17"/>
      <c r="O61" s="17"/>
    </row>
    <row r="62" spans="1:15" ht="12.5">
      <c r="A62" s="17" t="str">
        <f ca="1">IFERROR(__xludf.DUMMYFUNCTION("""COMPUTED_VALUE"""),"TRX1209")</f>
        <v>TRX1209</v>
      </c>
      <c r="B62" s="86" t="str">
        <f ca="1">IFERROR(__xludf.DUMMYFUNCTION("""COMPUTED_VALUE"""),"-")</f>
        <v>-</v>
      </c>
      <c r="C62" s="63">
        <f ca="1">IFERROR(__xludf.DUMMYFUNCTION("""COMPUTED_VALUE"""),46079.4173611111)</f>
        <v>46079.417361111096</v>
      </c>
      <c r="D62" s="65">
        <f ca="1">IFERROR(__xludf.DUMMYFUNCTION("""COMPUTED_VALUE"""),367.4)</f>
        <v>367.4</v>
      </c>
      <c r="E62" s="17" t="str">
        <f ca="1">IFERROR(__xludf.DUMMYFUNCTION("""COMPUTED_VALUE"""),"MXN")</f>
        <v>MXN</v>
      </c>
      <c r="F62" s="17" t="str">
        <f ca="1">IFERROR(__xludf.DUMMYFUNCTION("""COMPUTED_VALUE"""),"Daniel Caraveo")</f>
        <v>Daniel Caraveo</v>
      </c>
      <c r="G62" s="17" t="str">
        <f ca="1">IFERROR(__xludf.DUMMYFUNCTION("""COMPUTED_VALUE"""),"CENTUM *CENTUM PAY025  ACAPULCO DE J MEX")</f>
        <v>CENTUM *CENTUM PAY025  ACAPULCO DE J MEX</v>
      </c>
      <c r="H62" s="17" t="str">
        <f ca="1">IFERROR(__xludf.DUMMYFUNCTION("""COMPUTED_VALUE"""),"Centum Centum Pay025 Acapulco De J Mex")</f>
        <v>Centum Centum Pay025 Acapulco De J Mex</v>
      </c>
      <c r="I62" s="17" t="str">
        <f ca="1">IFERROR(__xludf.DUMMYFUNCTION("""COMPUTED_VALUE"""),"G&amp;A expenses")</f>
        <v>G&amp;A expenses</v>
      </c>
      <c r="J62" s="17" t="str">
        <f ca="1">IFERROR(__xludf.DUMMYFUNCTION("""COMPUTED_VALUE"""),"comida en sitio")</f>
        <v>comida en sitio</v>
      </c>
      <c r="K62" s="17" t="str">
        <f ca="1">IFERROR(__xludf.DUMMYFUNCTION("""COMPUTED_VALUE"""),"El local no me proporciono factura")</f>
        <v>El local no me proporciono factura</v>
      </c>
      <c r="L62" s="17"/>
      <c r="M62" s="17"/>
      <c r="N62" s="17"/>
      <c r="O62" s="17"/>
    </row>
    <row r="63" spans="1:15" ht="12.5">
      <c r="A63" s="17" t="str">
        <f ca="1">IFERROR(__xludf.DUMMYFUNCTION("""COMPUTED_VALUE"""),"TRX1223")</f>
        <v>TRX1223</v>
      </c>
      <c r="B63" s="86" t="str">
        <f ca="1">IFERROR(__xludf.DUMMYFUNCTION("""COMPUTED_VALUE"""),"-")</f>
        <v>-</v>
      </c>
      <c r="C63" s="63">
        <f ca="1">IFERROR(__xludf.DUMMYFUNCTION("""COMPUTED_VALUE"""),46080.4166666666)</f>
        <v>46080.416666666599</v>
      </c>
      <c r="D63" s="65">
        <f ca="1">IFERROR(__xludf.DUMMYFUNCTION("""COMPUTED_VALUE"""),300)</f>
        <v>300</v>
      </c>
      <c r="E63" s="17" t="str">
        <f ca="1">IFERROR(__xludf.DUMMYFUNCTION("""COMPUTED_VALUE"""),"MXN")</f>
        <v>MXN</v>
      </c>
      <c r="F63" s="17" t="str">
        <f ca="1">IFERROR(__xludf.DUMMYFUNCTION("""COMPUTED_VALUE"""),"Daniel Caraveo")</f>
        <v>Daniel Caraveo</v>
      </c>
      <c r="G63" s="17" t="str">
        <f ca="1">IFERROR(__xludf.DUMMYFUNCTION("""COMPUTED_VALUE"""),"RECARGA PASE TUTAG     CIUDAD DE MEX MEX")</f>
        <v>RECARGA PASE TUTAG     CIUDAD DE MEX MEX</v>
      </c>
      <c r="H63" s="17" t="str">
        <f ca="1">IFERROR(__xludf.DUMMYFUNCTION("""COMPUTED_VALUE"""),"Recarga Pase Tutag Ciudad De Mex Mex")</f>
        <v>Recarga Pase Tutag Ciudad De Mex Mex</v>
      </c>
      <c r="I63" s="17" t="str">
        <f ca="1">IFERROR(__xludf.DUMMYFUNCTION("""COMPUTED_VALUE"""),"G&amp;A expenses")</f>
        <v>G&amp;A expenses</v>
      </c>
      <c r="J63" s="17" t="str">
        <f ca="1">IFERROR(__xludf.DUMMYFUNCTION("""COMPUTED_VALUE"""),"TAG PARA TRANSPORTE")</f>
        <v>TAG PARA TRANSPORTE</v>
      </c>
      <c r="K63" s="17" t="str">
        <f ca="1">IFERROR(__xludf.DUMMYFUNCTION("""COMPUTED_VALUE"""),"86DE9076-984A-4DF9-94FB-9138C9783E45")</f>
        <v>86DE9076-984A-4DF9-94FB-9138C9783E45</v>
      </c>
      <c r="L63" s="17"/>
      <c r="M63" s="17"/>
      <c r="N63" s="17"/>
      <c r="O63" s="17"/>
    </row>
    <row r="64" spans="1:15" ht="12.5">
      <c r="A64" s="17" t="str">
        <f ca="1">IFERROR(__xludf.DUMMYFUNCTION("""COMPUTED_VALUE"""),"TRX1232")</f>
        <v>TRX1232</v>
      </c>
      <c r="B64" s="86" t="str">
        <f ca="1">IFERROR(__xludf.DUMMYFUNCTION("""COMPUTED_VALUE"""),"-")</f>
        <v>-</v>
      </c>
      <c r="C64" s="63">
        <f ca="1">IFERROR(__xludf.DUMMYFUNCTION("""COMPUTED_VALUE"""),46080.4166666666)</f>
        <v>46080.416666666599</v>
      </c>
      <c r="D64" s="65">
        <f ca="1">IFERROR(__xludf.DUMMYFUNCTION("""COMPUTED_VALUE"""),3035)</f>
        <v>3035</v>
      </c>
      <c r="E64" s="17" t="str">
        <f ca="1">IFERROR(__xludf.DUMMYFUNCTION("""COMPUTED_VALUE"""),"MXN")</f>
        <v>MXN</v>
      </c>
      <c r="F64" s="17" t="str">
        <f ca="1">IFERROR(__xludf.DUMMYFUNCTION("""COMPUTED_VALUE"""),"Daniel Caraveo")</f>
        <v>Daniel Caraveo</v>
      </c>
      <c r="G64" s="17" t="str">
        <f ca="1">IFERROR(__xludf.DUMMYFUNCTION("""COMPUTED_VALUE"""),"MIT*TRANSP VOLARIS     CIUDAD DE MEX MEX")</f>
        <v>MIT*TRANSP VOLARIS     CIUDAD DE MEX MEX</v>
      </c>
      <c r="H64" s="17" t="str">
        <f ca="1">IFERROR(__xludf.DUMMYFUNCTION("""COMPUTED_VALUE"""),"Volaris")</f>
        <v>Volaris</v>
      </c>
      <c r="I64" s="17" t="str">
        <f ca="1">IFERROR(__xludf.DUMMYFUNCTION("""COMPUTED_VALUE"""),"G&amp;A expenses")</f>
        <v>G&amp;A expenses</v>
      </c>
      <c r="J64" s="17" t="str">
        <f ca="1">IFERROR(__xludf.DUMMYFUNCTION("""COMPUTED_VALUE"""),"TRASLADO AEREO")</f>
        <v>TRASLADO AEREO</v>
      </c>
      <c r="K64" s="17" t="str">
        <f ca="1">IFERROR(__xludf.DUMMYFUNCTION("""COMPUTED_VALUE"""),"b7db7aaf-7e0b-477c-ad19-7199d71ea5e7")</f>
        <v>b7db7aaf-7e0b-477c-ad19-7199d71ea5e7</v>
      </c>
      <c r="L64" s="17"/>
      <c r="M64" s="17"/>
      <c r="N64" s="17"/>
      <c r="O64" s="17"/>
    </row>
    <row r="65" spans="1:15" ht="12.5">
      <c r="A65" s="17" t="str">
        <f ca="1">IFERROR(__xludf.DUMMYFUNCTION("""COMPUTED_VALUE"""),"TRX1272")</f>
        <v>TRX1272</v>
      </c>
      <c r="B65" s="86" t="str">
        <f ca="1">IFERROR(__xludf.DUMMYFUNCTION("""COMPUTED_VALUE"""),"-")</f>
        <v>-</v>
      </c>
      <c r="C65" s="63">
        <f ca="1">IFERROR(__xludf.DUMMYFUNCTION("""COMPUTED_VALUE"""),46081.4166666666)</f>
        <v>46081.416666666599</v>
      </c>
      <c r="D65" s="17">
        <f ca="1">IFERROR(__xludf.DUMMYFUNCTION("""COMPUTED_VALUE"""),358.39)</f>
        <v>358.39</v>
      </c>
      <c r="E65" s="17" t="str">
        <f ca="1">IFERROR(__xludf.DUMMYFUNCTION("""COMPUTED_VALUE"""),"MXN")</f>
        <v>MXN</v>
      </c>
      <c r="F65" s="17" t="str">
        <f ca="1">IFERROR(__xludf.DUMMYFUNCTION("""COMPUTED_VALUE"""),"Daniel Caraveo")</f>
        <v>Daniel Caraveo</v>
      </c>
      <c r="G65" s="17" t="str">
        <f ca="1">IFERROR(__xludf.DUMMYFUNCTION("""COMPUTED_VALUE"""),"DLO*UBER EATS          CIUDAD DE MEX MEX")</f>
        <v>DLO*UBER EATS          CIUDAD DE MEX MEX</v>
      </c>
      <c r="H65" s="17" t="str">
        <f ca="1">IFERROR(__xludf.DUMMYFUNCTION("""COMPUTED_VALUE"""),"Uber Eats")</f>
        <v>Uber Eats</v>
      </c>
      <c r="I65" s="17" t="str">
        <f ca="1">IFERROR(__xludf.DUMMYFUNCTION("""COMPUTED_VALUE"""),"G&amp;A expenses")</f>
        <v>G&amp;A expenses</v>
      </c>
      <c r="J65" s="17" t="str">
        <f ca="1">IFERROR(__xludf.DUMMYFUNCTION("""COMPUTED_VALUE"""),"comida en sitio")</f>
        <v>comida en sitio</v>
      </c>
      <c r="K65" s="17" t="str">
        <f ca="1">IFERROR(__xludf.DUMMYFUNCTION("""COMPUTED_VALUE"""),"El local no me proporciono factura")</f>
        <v>El local no me proporciono factura</v>
      </c>
      <c r="L65" s="17"/>
      <c r="M65" s="17"/>
      <c r="N65" s="17"/>
      <c r="O65" s="17"/>
    </row>
    <row r="66" spans="1:15" ht="12.5">
      <c r="A66" s="17" t="str">
        <f ca="1">IFERROR(__xludf.DUMMYFUNCTION("""COMPUTED_VALUE"""),"TRX1282")</f>
        <v>TRX1282</v>
      </c>
      <c r="B66" s="86" t="str">
        <f ca="1">IFERROR(__xludf.DUMMYFUNCTION("""COMPUTED_VALUE"""),"-")</f>
        <v>-</v>
      </c>
      <c r="C66" s="63">
        <f ca="1">IFERROR(__xludf.DUMMYFUNCTION("""COMPUTED_VALUE"""),46081.4173611111)</f>
        <v>46081.417361111096</v>
      </c>
      <c r="D66" s="17">
        <f ca="1">IFERROR(__xludf.DUMMYFUNCTION("""COMPUTED_VALUE"""),6428.84)</f>
        <v>6428.84</v>
      </c>
      <c r="E66" s="17" t="str">
        <f ca="1">IFERROR(__xludf.DUMMYFUNCTION("""COMPUTED_VALUE"""),"MXN")</f>
        <v>MXN</v>
      </c>
      <c r="F66" s="17" t="str">
        <f ca="1">IFERROR(__xludf.DUMMYFUNCTION("""COMPUTED_VALUE"""),"Daniel Caraveo")</f>
        <v>Daniel Caraveo</v>
      </c>
      <c r="G66" s="17" t="str">
        <f ca="1">IFERROR(__xludf.DUMMYFUNCTION("""COMPUTED_VALUE"""),"AIRBNB * HMMXJKDAK2    LONDON        GBR")</f>
        <v>AIRBNB * HMMXJKDAK2    LONDON        GBR</v>
      </c>
      <c r="H66" s="17" t="str">
        <f ca="1">IFERROR(__xludf.DUMMYFUNCTION("""COMPUTED_VALUE"""),"Airbnb")</f>
        <v>Airbnb</v>
      </c>
      <c r="I66" s="17" t="str">
        <f ca="1">IFERROR(__xludf.DUMMYFUNCTION("""COMPUTED_VALUE"""),"G&amp;A expenses")</f>
        <v>G&amp;A expenses</v>
      </c>
      <c r="J66" s="17" t="str">
        <f ca="1">IFERROR(__xludf.DUMMYFUNCTION("""COMPUTED_VALUE"""),"ESTANCIA PROLONGADA CNCUN")</f>
        <v>ESTANCIA PROLONGADA CNCUN</v>
      </c>
      <c r="K66" s="17" t="str">
        <f ca="1">IFERROR(__xludf.DUMMYFUNCTION("""COMPUTED_VALUE"""),"BFC61D9F-BD07-455D-9489-44ACFBA3B86B")</f>
        <v>BFC61D9F-BD07-455D-9489-44ACFBA3B86B</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0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272</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Sept'!$J$12:$J$1700=$A$2)"),"TRX1260")</f>
        <v>TRX1260</v>
      </c>
      <c r="B12" s="86" t="str">
        <f ca="1">IFERROR(__xludf.DUMMYFUNCTION("""COMPUTED_VALUE"""),"-")</f>
        <v>-</v>
      </c>
      <c r="C12" s="86">
        <f ca="1">IFERROR(__xludf.DUMMYFUNCTION("""COMPUTED_VALUE"""),46058.4166666666)</f>
        <v>46058.416666666599</v>
      </c>
      <c r="D12" s="65">
        <f ca="1">IFERROR(__xludf.DUMMYFUNCTION("FILTER('Edo Cta Jeeves Sept'!$G$12:$G$1700,'Edo Cta Jeeves Sept'!$J$12:$J$1700=$A$2)"),500)</f>
        <v>500</v>
      </c>
      <c r="E12" s="17" t="str">
        <f ca="1">IFERROR(__xludf.DUMMYFUNCTION("FILTER('Edo Cta Jeeves Sept'!$I$12:$I$1700,'Edo Cta Jeeves Sept'!$J$12:$J$1700=$A$2)"),"MXN")</f>
        <v>MXN</v>
      </c>
      <c r="F12" s="17" t="str">
        <f ca="1">IFERROR(__xludf.DUMMYFUNCTION("FILTER('Edo Cta Jeeves Sept'!$J$12:$J$1700,'Edo Cta Jeeves Sept'!$J$12:$J$1700=$A$2)"),"Cindy Aguirre")</f>
        <v>Cindy Aguirre</v>
      </c>
      <c r="G12" s="17" t="str">
        <f ca="1">IFERROR(__xludf.DUMMYFUNCTION("FILTER('Edo Cta Jeeves Sept'!$K$12:$L$1700,'Edo Cta Jeeves Sept'!$J$12:$J$1700=$A$2)"),"GAS COGA LOM CHA MIT 2 CIUDAD DE MEX MEX")</f>
        <v>GAS COGA LOM CHA MIT 2 CIUDAD DE MEX MEX</v>
      </c>
      <c r="H12" s="17" t="str">
        <f ca="1">IFERROR(__xludf.DUMMYFUNCTION("""COMPUTED_VALUE"""),"Gas Coga Lom Cha Mit 2 Ciudad De Mex Mex")</f>
        <v>Gas Coga Lom Cha Mit 2 Ciudad De Mex Mex</v>
      </c>
      <c r="I12" s="17" t="str">
        <f ca="1">IFERROR(__xludf.DUMMYFUNCTION("IMPORTRANGE(""https://docs.google.com/spreadsheets/d/1iLcxwT1HBUZM40XE-o_QgWLuH7NIFPZJWCSWMhT-f7k/edit?gid=1404531132#gid=1404531132"",""I12:K80"")"),"Capex")</f>
        <v>Capex</v>
      </c>
      <c r="J12" s="17" t="str">
        <f ca="1">IFERROR(__xludf.DUMMYFUNCTION("""COMPUTED_VALUE"""),"Traslado proyecto 4128, PO 2035")</f>
        <v>Traslado proyecto 4128, PO 2035</v>
      </c>
      <c r="K12" s="17" t="str">
        <f ca="1">IFERROR(__xludf.DUMMYFUNCTION("""COMPUTED_VALUE"""),"41c224b7-4cad-43c1-9d5c-d7d99bee9d70")</f>
        <v>41c224b7-4cad-43c1-9d5c-d7d99bee9d70</v>
      </c>
      <c r="L12" s="17"/>
      <c r="M12" s="17"/>
      <c r="N12" s="17"/>
      <c r="O12" s="17"/>
    </row>
    <row r="13" spans="1:15" ht="15.75" customHeight="1">
      <c r="A13" s="24" t="str">
        <f ca="1">IFERROR(__xludf.DUMMYFUNCTION("""COMPUTED_VALUE"""),"TRX1051")</f>
        <v>TRX1051</v>
      </c>
      <c r="B13" s="86" t="str">
        <f ca="1">IFERROR(__xludf.DUMMYFUNCTION("""COMPUTED_VALUE"""),"-")</f>
        <v>-</v>
      </c>
      <c r="C13" s="63">
        <f ca="1">IFERROR(__xludf.DUMMYFUNCTION("""COMPUTED_VALUE"""),46073.4166666666)</f>
        <v>46073.416666666599</v>
      </c>
      <c r="D13" s="65">
        <f ca="1">IFERROR(__xludf.DUMMYFUNCTION("""COMPUTED_VALUE"""),304.35)</f>
        <v>304.35000000000002</v>
      </c>
      <c r="E13" s="17" t="str">
        <f ca="1">IFERROR(__xludf.DUMMYFUNCTION("""COMPUTED_VALUE"""),"MXN")</f>
        <v>MXN</v>
      </c>
      <c r="F13" s="17" t="str">
        <f ca="1">IFERROR(__xludf.DUMMYFUNCTION("""COMPUTED_VALUE"""),"Cindy Aguirre")</f>
        <v>Cindy Aguirre</v>
      </c>
      <c r="G13" s="17" t="str">
        <f ca="1">IFERROR(__xludf.DUMMYFUNCTION("""COMPUTED_VALUE"""),"UBER * EATS PENDING    CMX           MEX")</f>
        <v>UBER * EATS PENDING    CMX           MEX</v>
      </c>
      <c r="H13" s="17" t="str">
        <f ca="1">IFERROR(__xludf.DUMMYFUNCTION("""COMPUTED_VALUE"""),"Uber Eats")</f>
        <v>Uber Eats</v>
      </c>
      <c r="I13" s="17" t="str">
        <f ca="1">IFERROR(__xludf.DUMMYFUNCTION("""COMPUTED_VALUE"""),"Capex")</f>
        <v>Capex</v>
      </c>
      <c r="J13" s="17" t="str">
        <f ca="1">IFERROR(__xludf.DUMMYFUNCTION("""COMPUTED_VALUE"""),"comidaproyecto 4128, PO 2035")</f>
        <v>comidaproyecto 4128, PO 2035</v>
      </c>
      <c r="K13" s="17" t="str">
        <f ca="1">IFERROR(__xludf.DUMMYFUNCTION("""COMPUTED_VALUE"""),"PO1234 Uber Radioflyer")</f>
        <v>PO1234 Uber Radioflyer</v>
      </c>
      <c r="L13" s="17"/>
      <c r="M13" s="17"/>
      <c r="N13" s="17"/>
      <c r="O13" s="17"/>
    </row>
    <row r="14" spans="1:15" ht="15.75" customHeight="1">
      <c r="A14" s="24" t="str">
        <f ca="1">IFERROR(__xludf.DUMMYFUNCTION("""COMPUTED_VALUE"""),"TRX1044")</f>
        <v>TRX1044</v>
      </c>
      <c r="B14" s="86" t="str">
        <f ca="1">IFERROR(__xludf.DUMMYFUNCTION("""COMPUTED_VALUE"""),"-")</f>
        <v>-</v>
      </c>
      <c r="C14" s="63">
        <f ca="1">IFERROR(__xludf.DUMMYFUNCTION("""COMPUTED_VALUE"""),46073.4166666666)</f>
        <v>46073.416666666599</v>
      </c>
      <c r="D14" s="65">
        <f ca="1">IFERROR(__xludf.DUMMYFUNCTION("""COMPUTED_VALUE"""),200)</f>
        <v>200</v>
      </c>
      <c r="E14" s="17" t="str">
        <f ca="1">IFERROR(__xludf.DUMMYFUNCTION("""COMPUTED_VALUE"""),"MXN")</f>
        <v>MXN</v>
      </c>
      <c r="F14" s="17" t="str">
        <f ca="1">IFERROR(__xludf.DUMMYFUNCTION("""COMPUTED_VALUE"""),"Cindy Aguirre")</f>
        <v>Cindy Aguirre</v>
      </c>
      <c r="G14" s="17" t="str">
        <f ca="1">IFERROR(__xludf.DUMMYFUNCTION("""COMPUTED_VALUE"""),"MEXPAGO*MUEVECIUDAD    CIUDAD DE MEX MEX")</f>
        <v>MEXPAGO*MUEVECIUDAD    CIUDAD DE MEX MEX</v>
      </c>
      <c r="H14" s="17" t="str">
        <f ca="1">IFERROR(__xludf.DUMMYFUNCTION("""COMPUTED_VALUE"""),"Mexpago Mueveciudad Ciudad De Mex Mex")</f>
        <v>Mexpago Mueveciudad Ciudad De Mex Mex</v>
      </c>
      <c r="I14" s="17" t="str">
        <f ca="1">IFERROR(__xludf.DUMMYFUNCTION("""COMPUTED_VALUE"""),"Capex")</f>
        <v>Capex</v>
      </c>
      <c r="J14" s="17" t="str">
        <f ca="1">IFERROR(__xludf.DUMMYFUNCTION("""COMPUTED_VALUE"""),"Reuniones segumientoproyecto 4957, PO 2160")</f>
        <v>Reuniones segumientoproyecto 4957, PO 2160</v>
      </c>
      <c r="K14" s="17" t="str">
        <f ca="1">IFERROR(__xludf.DUMMYFUNCTION("""COMPUTED_VALUE"""),"SIN FACTURA")</f>
        <v>SIN FACTURA</v>
      </c>
      <c r="L14" s="17"/>
      <c r="M14" s="17"/>
      <c r="N14" s="17"/>
      <c r="O14" s="17"/>
    </row>
    <row r="15" spans="1:15" ht="15.75" customHeight="1">
      <c r="A15" s="24" t="str">
        <f ca="1">IFERROR(__xludf.DUMMYFUNCTION("""COMPUTED_VALUE"""),"TRX1058")</f>
        <v>TRX1058</v>
      </c>
      <c r="B15" s="86" t="str">
        <f ca="1">IFERROR(__xludf.DUMMYFUNCTION("""COMPUTED_VALUE"""),"-")</f>
        <v>-</v>
      </c>
      <c r="C15" s="63">
        <f ca="1">IFERROR(__xludf.DUMMYFUNCTION("""COMPUTED_VALUE"""),46075.4166666666)</f>
        <v>46075.416666666599</v>
      </c>
      <c r="D15" s="65">
        <f ca="1">IFERROR(__xludf.DUMMYFUNCTION("""COMPUTED_VALUE"""),282.33)</f>
        <v>282.33</v>
      </c>
      <c r="E15" s="17" t="str">
        <f ca="1">IFERROR(__xludf.DUMMYFUNCTION("""COMPUTED_VALUE"""),"MXN")</f>
        <v>MXN</v>
      </c>
      <c r="F15" s="17" t="str">
        <f ca="1">IFERROR(__xludf.DUMMYFUNCTION("""COMPUTED_VALUE"""),"Cindy Aguirre")</f>
        <v>Cindy Aguirre</v>
      </c>
      <c r="G15" s="17" t="str">
        <f ca="1">IFERROR(__xludf.DUMMYFUNCTION("""COMPUTED_VALUE"""),"DLO*UBER               CIUDAD DE MEX MEX")</f>
        <v>DLO*UBER               CIUDAD DE MEX MEX</v>
      </c>
      <c r="H15" s="17" t="str">
        <f ca="1">IFERROR(__xludf.DUMMYFUNCTION("""COMPUTED_VALUE"""),"Uber")</f>
        <v>Uber</v>
      </c>
      <c r="I15" s="17" t="str">
        <f ca="1">IFERROR(__xludf.DUMMYFUNCTION("""COMPUTED_VALUE"""),"Capex")</f>
        <v>Capex</v>
      </c>
      <c r="J15" s="17" t="str">
        <f ca="1">IFERROR(__xludf.DUMMYFUNCTION("""COMPUTED_VALUE"""),"desayuno proyecto 4957, PO 2160")</f>
        <v>desayuno proyecto 4957, PO 2160</v>
      </c>
      <c r="K15" s="17" t="str">
        <f ca="1">IFERROR(__xludf.DUMMYFUNCTION("""COMPUTED_VALUE"""),"PO1234 Uber Radioflyer")</f>
        <v>PO1234 Uber Radioflyer</v>
      </c>
      <c r="L15" s="17"/>
      <c r="M15" s="17"/>
      <c r="N15" s="17"/>
      <c r="O15" s="17"/>
    </row>
    <row r="16" spans="1:15" ht="15.75" customHeight="1">
      <c r="A16" s="17" t="str">
        <f ca="1">IFERROR(__xludf.DUMMYFUNCTION("""COMPUTED_VALUE"""),"TRX1108")</f>
        <v>TRX1108</v>
      </c>
      <c r="B16" s="86" t="str">
        <f ca="1">IFERROR(__xludf.DUMMYFUNCTION("""COMPUTED_VALUE"""),"-")</f>
        <v>-</v>
      </c>
      <c r="C16" s="63">
        <f ca="1">IFERROR(__xludf.DUMMYFUNCTION("""COMPUTED_VALUE"""),46077.4166666666)</f>
        <v>46077.416666666599</v>
      </c>
      <c r="D16" s="132">
        <f ca="1">IFERROR(__xludf.DUMMYFUNCTION("""COMPUTED_VALUE"""),674.81)</f>
        <v>674.81</v>
      </c>
      <c r="E16" s="17" t="str">
        <f ca="1">IFERROR(__xludf.DUMMYFUNCTION("""COMPUTED_VALUE"""),"MXN")</f>
        <v>MXN</v>
      </c>
      <c r="F16" s="17" t="str">
        <f ca="1">IFERROR(__xludf.DUMMYFUNCTION("""COMPUTED_VALUE"""),"Cindy Aguirre")</f>
        <v>Cindy Aguirre</v>
      </c>
      <c r="G16" s="17" t="str">
        <f ca="1">IFERROR(__xludf.DUMMYFUNCTION("""COMPUTED_VALUE"""),"GASOLINERIA ES 09489   ECATEPEC DE M MEX")</f>
        <v>GASOLINERIA ES 09489   ECATEPEC DE M MEX</v>
      </c>
      <c r="H16" s="17" t="str">
        <f ca="1">IFERROR(__xludf.DUMMYFUNCTION("""COMPUTED_VALUE"""),"Gasolineria Es Ecatepec De M Mex")</f>
        <v>Gasolineria Es Ecatepec De M Mex</v>
      </c>
      <c r="I16" s="17" t="str">
        <f ca="1">IFERROR(__xludf.DUMMYFUNCTION("""COMPUTED_VALUE"""),"Capex")</f>
        <v>Capex</v>
      </c>
      <c r="J16" s="17" t="str">
        <f ca="1">IFERROR(__xludf.DUMMYFUNCTION("""COMPUTED_VALUE"""),"traslado proyecto 4957, PO 2160")</f>
        <v>traslado proyecto 4957, PO 2160</v>
      </c>
      <c r="K16" s="17" t="str">
        <f ca="1">IFERROR(__xludf.DUMMYFUNCTION("""COMPUTED_VALUE"""),"e722eebe-cd14-452b-9f67-1b6b9893e4f3")</f>
        <v>e722eebe-cd14-452b-9f67-1b6b9893e4f3</v>
      </c>
      <c r="L16" s="17"/>
      <c r="M16" s="17"/>
      <c r="N16" s="17"/>
      <c r="O16" s="17"/>
    </row>
    <row r="17" spans="1:15" ht="15.75" customHeight="1">
      <c r="A17" s="17" t="str">
        <f ca="1">IFERROR(__xludf.DUMMYFUNCTION("""COMPUTED_VALUE"""),"TRX1148")</f>
        <v>TRX1148</v>
      </c>
      <c r="B17" s="86" t="str">
        <f ca="1">IFERROR(__xludf.DUMMYFUNCTION("""COMPUTED_VALUE"""),"-")</f>
        <v>-</v>
      </c>
      <c r="C17" s="63">
        <f ca="1">IFERROR(__xludf.DUMMYFUNCTION("""COMPUTED_VALUE"""),46078.4166666666)</f>
        <v>46078.416666666599</v>
      </c>
      <c r="D17" s="132">
        <f ca="1">IFERROR(__xludf.DUMMYFUNCTION("""COMPUTED_VALUE"""),400)</f>
        <v>400</v>
      </c>
      <c r="E17" s="17" t="str">
        <f ca="1">IFERROR(__xludf.DUMMYFUNCTION("""COMPUTED_VALUE"""),"MXN")</f>
        <v>MXN</v>
      </c>
      <c r="F17" s="17" t="str">
        <f ca="1">IFERROR(__xludf.DUMMYFUNCTION("""COMPUTED_VALUE"""),"Cindy Aguirre")</f>
        <v>Cindy Aguirre</v>
      </c>
      <c r="G17" s="17" t="str">
        <f ca="1">IFERROR(__xludf.DUMMYFUNCTION("""COMPUTED_VALUE"""),"RECARGA PASE TUTAG     CIUDAD DE MEX MEX")</f>
        <v>RECARGA PASE TUTAG     CIUDAD DE MEX MEX</v>
      </c>
      <c r="H17" s="17" t="str">
        <f ca="1">IFERROR(__xludf.DUMMYFUNCTION("""COMPUTED_VALUE"""),"Recarga Pase Tutag Ciudad De Mex Mex")</f>
        <v>Recarga Pase Tutag Ciudad De Mex Mex</v>
      </c>
      <c r="I17" s="17" t="str">
        <f ca="1">IFERROR(__xludf.DUMMYFUNCTION("""COMPUTED_VALUE"""),"Capex")</f>
        <v>Capex</v>
      </c>
      <c r="J17" s="17" t="str">
        <f ca="1">IFERROR(__xludf.DUMMYFUNCTION("""COMPUTED_VALUE"""),"Traslado proyecto 4128, PO 2035")</f>
        <v>Traslado proyecto 4128, PO 2035</v>
      </c>
      <c r="K17" s="17" t="str">
        <f ca="1">IFERROR(__xludf.DUMMYFUNCTION("""COMPUTED_VALUE"""),"E41E9A4D-686D-4D8C-AACF-595E1DF37A35")</f>
        <v>E41E9A4D-686D-4D8C-AACF-595E1DF37A35</v>
      </c>
      <c r="L17" s="17"/>
      <c r="M17" s="17"/>
      <c r="N17" s="17"/>
      <c r="O17" s="17"/>
    </row>
    <row r="18" spans="1:15" ht="15.75" customHeight="1">
      <c r="A18" s="17"/>
      <c r="B18" s="24"/>
      <c r="C18" s="24"/>
      <c r="D18" s="17"/>
      <c r="E18" s="17"/>
      <c r="F18" s="17"/>
      <c r="G18" s="17"/>
      <c r="H18" s="17"/>
      <c r="I18" s="17" t="str">
        <f ca="1">IFERROR(__xludf.DUMMYFUNCTION("""COMPUTED_VALUE"""),"Capex")</f>
        <v>Capex</v>
      </c>
      <c r="J18" s="17"/>
      <c r="K18" s="17"/>
      <c r="L18" s="17"/>
      <c r="M18" s="17"/>
      <c r="N18" s="17"/>
      <c r="O18" s="17"/>
    </row>
    <row r="19" spans="1:15" ht="15.75" customHeight="1">
      <c r="A19" s="17"/>
      <c r="B19" s="24"/>
      <c r="C19" s="24"/>
      <c r="D19" s="133"/>
      <c r="E19" s="17"/>
      <c r="F19" s="17"/>
      <c r="G19" s="17"/>
      <c r="H19" s="17"/>
      <c r="I19" s="17" t="str">
        <f ca="1">IFERROR(__xludf.DUMMYFUNCTION("""COMPUTED_VALUE"""),"Capex")</f>
        <v>Capex</v>
      </c>
      <c r="J19" s="17"/>
      <c r="K19" s="17"/>
      <c r="L19" s="17"/>
      <c r="M19" s="17"/>
      <c r="N19" s="17"/>
      <c r="O19" s="17"/>
    </row>
    <row r="20" spans="1:15" ht="12.5">
      <c r="A20" s="17"/>
      <c r="B20" s="24"/>
      <c r="C20" s="24"/>
      <c r="D20" s="133"/>
      <c r="E20" s="17"/>
      <c r="F20" s="17"/>
      <c r="G20" s="17"/>
      <c r="H20" s="17"/>
      <c r="I20" s="17" t="str">
        <f ca="1">IFERROR(__xludf.DUMMYFUNCTION("""COMPUTED_VALUE"""),"Capex")</f>
        <v>Capex</v>
      </c>
      <c r="J20" s="17"/>
      <c r="K20" s="17"/>
      <c r="L20" s="17"/>
      <c r="M20" s="17"/>
      <c r="N20" s="17"/>
      <c r="O20" s="17"/>
    </row>
    <row r="21" spans="1:15" ht="12.5">
      <c r="A21" s="17"/>
      <c r="B21" s="24"/>
      <c r="C21" s="24"/>
      <c r="D21" s="133"/>
      <c r="E21" s="17"/>
      <c r="F21" s="17"/>
      <c r="G21" s="17"/>
      <c r="H21" s="17"/>
      <c r="I21" s="17" t="str">
        <f ca="1">IFERROR(__xludf.DUMMYFUNCTION("""COMPUTED_VALUE"""),"Capex")</f>
        <v>Capex</v>
      </c>
      <c r="J21" s="17"/>
      <c r="K21" s="17"/>
      <c r="L21" s="17"/>
      <c r="M21" s="17"/>
      <c r="N21" s="17"/>
      <c r="O21" s="17"/>
    </row>
    <row r="22" spans="1:15" ht="12.5">
      <c r="A22" s="17"/>
      <c r="B22" s="24"/>
      <c r="C22" s="24"/>
      <c r="D22" s="17"/>
      <c r="E22" s="17"/>
      <c r="F22" s="17"/>
      <c r="G22" s="17"/>
      <c r="H22" s="17"/>
      <c r="I22" s="17" t="str">
        <f ca="1">IFERROR(__xludf.DUMMYFUNCTION("""COMPUTED_VALUE"""),"Capex")</f>
        <v>Capex</v>
      </c>
      <c r="J22" s="17"/>
      <c r="K22" s="17"/>
      <c r="L22" s="17"/>
      <c r="M22" s="17"/>
      <c r="N22" s="17"/>
      <c r="O22" s="17"/>
    </row>
    <row r="23" spans="1:15" ht="12.5">
      <c r="A23" s="17"/>
      <c r="B23" s="24"/>
      <c r="C23" s="24"/>
      <c r="D23" s="17"/>
      <c r="E23" s="17"/>
      <c r="F23" s="17"/>
      <c r="G23" s="17"/>
      <c r="H23" s="17"/>
      <c r="I23" s="17" t="str">
        <f ca="1">IFERROR(__xludf.DUMMYFUNCTION("""COMPUTED_VALUE"""),"Capex")</f>
        <v>Capex</v>
      </c>
      <c r="J23" s="17"/>
      <c r="K23" s="17"/>
      <c r="L23" s="17"/>
      <c r="M23" s="17"/>
      <c r="N23" s="17"/>
      <c r="O23" s="17"/>
    </row>
    <row r="24" spans="1:15" ht="12.5">
      <c r="A24" s="17"/>
      <c r="B24" s="24"/>
      <c r="C24" s="24"/>
      <c r="D24" s="17"/>
      <c r="E24" s="17"/>
      <c r="F24" s="17"/>
      <c r="G24" s="17"/>
      <c r="H24" s="17"/>
      <c r="I24" s="17" t="str">
        <f ca="1">IFERROR(__xludf.DUMMYFUNCTION("""COMPUTED_VALUE"""),"Capex")</f>
        <v>Capex</v>
      </c>
      <c r="J24" s="17"/>
      <c r="K24" s="17"/>
      <c r="L24" s="17"/>
      <c r="M24" s="17"/>
      <c r="N24" s="17"/>
      <c r="O24" s="17"/>
    </row>
    <row r="25" spans="1:15" ht="12.5">
      <c r="A25" s="17"/>
      <c r="B25" s="24"/>
      <c r="C25" s="24"/>
      <c r="D25" s="17"/>
      <c r="E25" s="17"/>
      <c r="F25" s="17"/>
      <c r="G25" s="17"/>
      <c r="H25" s="17"/>
      <c r="I25" s="17" t="str">
        <f ca="1">IFERROR(__xludf.DUMMYFUNCTION("""COMPUTED_VALUE"""),"Capex")</f>
        <v>Capex</v>
      </c>
      <c r="J25" s="17"/>
      <c r="K25" s="17"/>
      <c r="L25" s="17"/>
      <c r="M25" s="17"/>
      <c r="N25" s="17"/>
      <c r="O25" s="17"/>
    </row>
    <row r="26" spans="1:15" ht="12.5">
      <c r="A26" s="17"/>
      <c r="B26" s="24"/>
      <c r="C26" s="24"/>
      <c r="D26" s="17"/>
      <c r="E26" s="17"/>
      <c r="F26" s="17"/>
      <c r="G26" s="17"/>
      <c r="H26" s="17"/>
      <c r="I26" s="17" t="str">
        <f ca="1">IFERROR(__xludf.DUMMYFUNCTION("""COMPUTED_VALUE"""),"Office expenses")</f>
        <v>Office expenses</v>
      </c>
      <c r="J26" s="17"/>
      <c r="K26" s="17"/>
      <c r="L26" s="17"/>
      <c r="M26" s="17"/>
      <c r="N26" s="17"/>
      <c r="O26" s="17"/>
    </row>
    <row r="27" spans="1:15" ht="12.5">
      <c r="A27" s="17"/>
      <c r="B27" s="24"/>
      <c r="C27" s="24"/>
      <c r="D27" s="17"/>
      <c r="E27" s="17"/>
      <c r="F27" s="17"/>
      <c r="G27" s="17"/>
      <c r="H27" s="17"/>
      <c r="I27" s="17" t="str">
        <f ca="1">IFERROR(__xludf.DUMMYFUNCTION("""COMPUTED_VALUE"""),"Capex")</f>
        <v>Capex</v>
      </c>
      <c r="J27" s="17"/>
      <c r="K27" s="17"/>
      <c r="L27" s="17"/>
      <c r="M27" s="17"/>
      <c r="N27" s="17"/>
      <c r="O27" s="17"/>
    </row>
    <row r="28" spans="1:15" ht="12.5">
      <c r="A28" s="17"/>
      <c r="B28" s="24"/>
      <c r="C28" s="24"/>
      <c r="D28" s="17"/>
      <c r="E28" s="17"/>
      <c r="F28" s="17"/>
      <c r="G28" s="17"/>
      <c r="H28" s="17"/>
      <c r="I28" s="17" t="str">
        <f ca="1">IFERROR(__xludf.DUMMYFUNCTION("""COMPUTED_VALUE"""),"Capex")</f>
        <v>Capex</v>
      </c>
      <c r="J28" s="17"/>
      <c r="K28" s="17"/>
      <c r="L28" s="17"/>
      <c r="M28" s="17"/>
      <c r="N28" s="17"/>
      <c r="O28" s="17"/>
    </row>
    <row r="29" spans="1:15" ht="12.5">
      <c r="A29" s="17"/>
      <c r="B29" s="24"/>
      <c r="C29" s="24"/>
      <c r="D29" s="17"/>
      <c r="E29" s="17"/>
      <c r="F29" s="17"/>
      <c r="G29" s="17"/>
      <c r="H29" s="17"/>
      <c r="I29" s="17" t="str">
        <f ca="1">IFERROR(__xludf.DUMMYFUNCTION("""COMPUTED_VALUE"""),"Capex")</f>
        <v>Capex</v>
      </c>
      <c r="J29" s="17"/>
      <c r="K29" s="17"/>
      <c r="L29" s="17"/>
      <c r="M29" s="17"/>
      <c r="N29" s="17"/>
      <c r="O29" s="17"/>
    </row>
    <row r="30" spans="1:15" ht="12.5">
      <c r="A30" s="17"/>
      <c r="B30" s="24"/>
      <c r="C30" s="24"/>
      <c r="D30" s="17"/>
      <c r="E30" s="17"/>
      <c r="F30" s="17"/>
      <c r="G30" s="17"/>
      <c r="H30" s="17"/>
      <c r="I30" s="17" t="str">
        <f ca="1">IFERROR(__xludf.DUMMYFUNCTION("""COMPUTED_VALUE"""),"Capex")</f>
        <v>Capex</v>
      </c>
      <c r="J30" s="17"/>
      <c r="K30" s="17"/>
      <c r="L30" s="17"/>
      <c r="M30" s="17"/>
      <c r="N30" s="17"/>
      <c r="O30" s="17"/>
    </row>
    <row r="31" spans="1:15" ht="12.5">
      <c r="A31" s="17"/>
      <c r="B31" s="24"/>
      <c r="C31" s="24"/>
      <c r="D31" s="17"/>
      <c r="E31" s="17"/>
      <c r="F31" s="17"/>
      <c r="G31" s="17"/>
      <c r="H31" s="17"/>
      <c r="I31" s="17" t="str">
        <f ca="1">IFERROR(__xludf.DUMMYFUNCTION("""COMPUTED_VALUE"""),"Capex")</f>
        <v>Capex</v>
      </c>
      <c r="J31" s="17"/>
      <c r="K31" s="17"/>
      <c r="L31" s="17"/>
      <c r="M31" s="17"/>
      <c r="N31" s="17"/>
      <c r="O31" s="17"/>
    </row>
    <row r="32" spans="1:15" ht="12.5">
      <c r="A32" s="17"/>
      <c r="B32" s="24"/>
      <c r="C32" s="24"/>
      <c r="D32" s="17"/>
      <c r="E32" s="17"/>
      <c r="F32" s="17"/>
      <c r="G32" s="17"/>
      <c r="H32" s="17"/>
      <c r="I32" s="17" t="str">
        <f ca="1">IFERROR(__xludf.DUMMYFUNCTION("""COMPUTED_VALUE"""),"Capex")</f>
        <v>Capex</v>
      </c>
      <c r="J32" s="17"/>
      <c r="K32" s="17"/>
      <c r="L32" s="17"/>
      <c r="M32" s="17"/>
      <c r="N32" s="17"/>
      <c r="O32" s="17"/>
    </row>
    <row r="33" spans="1:15" ht="12.5">
      <c r="A33" s="17"/>
      <c r="B33" s="24"/>
      <c r="C33" s="24"/>
      <c r="D33" s="17"/>
      <c r="E33" s="17"/>
      <c r="F33" s="17"/>
      <c r="G33" s="17"/>
      <c r="H33" s="17"/>
      <c r="I33" s="17" t="str">
        <f ca="1">IFERROR(__xludf.DUMMYFUNCTION("""COMPUTED_VALUE"""),"Capex")</f>
        <v>Capex</v>
      </c>
      <c r="J33" s="17"/>
      <c r="K33" s="17"/>
      <c r="L33" s="17"/>
      <c r="M33" s="17"/>
      <c r="N33" s="17"/>
      <c r="O33" s="17"/>
    </row>
    <row r="34" spans="1:15" ht="12.5">
      <c r="A34" s="17"/>
      <c r="B34" s="24"/>
      <c r="C34" s="24"/>
      <c r="D34" s="17"/>
      <c r="E34" s="17"/>
      <c r="F34" s="17"/>
      <c r="G34" s="17"/>
      <c r="H34" s="17"/>
      <c r="I34" s="17" t="str">
        <f ca="1">IFERROR(__xludf.DUMMYFUNCTION("""COMPUTED_VALUE"""),"Capex")</f>
        <v>Capex</v>
      </c>
      <c r="J34" s="17"/>
      <c r="K34" s="17"/>
      <c r="L34" s="17"/>
      <c r="M34" s="17"/>
      <c r="N34" s="17"/>
      <c r="O34" s="17"/>
    </row>
    <row r="35" spans="1:15" ht="12.5">
      <c r="A35" s="17"/>
      <c r="B35" s="24"/>
      <c r="C35" s="24"/>
      <c r="D35" s="17"/>
      <c r="E35" s="17"/>
      <c r="F35" s="17"/>
      <c r="G35" s="17"/>
      <c r="H35" s="17"/>
      <c r="I35" s="17" t="str">
        <f ca="1">IFERROR(__xludf.DUMMYFUNCTION("""COMPUTED_VALUE"""),"Capex")</f>
        <v>Capex</v>
      </c>
      <c r="J35" s="17"/>
      <c r="K35" s="17"/>
      <c r="L35" s="17"/>
      <c r="M35" s="17"/>
      <c r="N35" s="17"/>
      <c r="O35" s="17"/>
    </row>
    <row r="36" spans="1:15" ht="12.5">
      <c r="A36" s="17"/>
      <c r="B36" s="24"/>
      <c r="C36" s="24"/>
      <c r="D36" s="17"/>
      <c r="E36" s="17"/>
      <c r="F36" s="17"/>
      <c r="G36" s="17"/>
      <c r="H36" s="17"/>
      <c r="I36" s="17" t="str">
        <f ca="1">IFERROR(__xludf.DUMMYFUNCTION("""COMPUTED_VALUE"""),"Capex")</f>
        <v>Capex</v>
      </c>
      <c r="J36" s="17"/>
      <c r="K36" s="17"/>
      <c r="L36" s="17"/>
      <c r="M36" s="17"/>
      <c r="N36" s="17"/>
      <c r="O36" s="17"/>
    </row>
    <row r="37" spans="1:15" ht="12.5">
      <c r="A37" s="17"/>
      <c r="B37" s="24"/>
      <c r="C37" s="24"/>
      <c r="D37" s="17"/>
      <c r="E37" s="17"/>
      <c r="F37" s="17"/>
      <c r="G37" s="17"/>
      <c r="H37" s="17"/>
      <c r="I37" s="17" t="str">
        <f ca="1">IFERROR(__xludf.DUMMYFUNCTION("""COMPUTED_VALUE"""),"Capex")</f>
        <v>Capex</v>
      </c>
      <c r="J37" s="17"/>
      <c r="K37" s="17"/>
      <c r="L37" s="17"/>
      <c r="M37" s="17"/>
      <c r="N37" s="17"/>
      <c r="O37" s="17"/>
    </row>
    <row r="38" spans="1:15" ht="12.5">
      <c r="A38" s="17"/>
      <c r="B38" s="24"/>
      <c r="C38" s="24"/>
      <c r="D38" s="17"/>
      <c r="E38" s="17"/>
      <c r="F38" s="17"/>
      <c r="G38" s="17"/>
      <c r="H38" s="17"/>
      <c r="I38" s="17" t="str">
        <f ca="1">IFERROR(__xludf.DUMMYFUNCTION("""COMPUTED_VALUE"""),"Capex")</f>
        <v>Capex</v>
      </c>
      <c r="J38" s="17"/>
      <c r="K38" s="17"/>
      <c r="L38" s="17"/>
      <c r="M38" s="17"/>
      <c r="N38" s="17"/>
      <c r="O38" s="17"/>
    </row>
    <row r="39" spans="1:15" ht="12.5">
      <c r="A39" s="17"/>
      <c r="B39" s="24"/>
      <c r="C39" s="24"/>
      <c r="D39" s="17"/>
      <c r="E39" s="17"/>
      <c r="F39" s="17"/>
      <c r="G39" s="17"/>
      <c r="H39" s="17"/>
      <c r="I39" s="17" t="str">
        <f ca="1">IFERROR(__xludf.DUMMYFUNCTION("""COMPUTED_VALUE"""),"Capex")</f>
        <v>Capex</v>
      </c>
      <c r="J39" s="17"/>
      <c r="K39" s="17"/>
      <c r="L39" s="17"/>
      <c r="M39" s="17"/>
      <c r="N39" s="17"/>
      <c r="O39" s="17"/>
    </row>
    <row r="40" spans="1:15" ht="12.5">
      <c r="A40" s="17"/>
      <c r="B40" s="24"/>
      <c r="C40" s="24"/>
      <c r="D40" s="17"/>
      <c r="E40" s="17"/>
      <c r="F40" s="17"/>
      <c r="G40" s="17"/>
      <c r="H40" s="17"/>
      <c r="I40" s="17" t="str">
        <f ca="1">IFERROR(__xludf.DUMMYFUNCTION("""COMPUTED_VALUE"""),"Capex")</f>
        <v>Capex</v>
      </c>
      <c r="J40" s="17"/>
      <c r="K40" s="17"/>
      <c r="L40" s="17"/>
      <c r="M40" s="17"/>
      <c r="N40" s="17"/>
      <c r="O40" s="17"/>
    </row>
    <row r="41" spans="1:15" ht="12.5">
      <c r="A41" s="17"/>
      <c r="B41" s="24"/>
      <c r="C41" s="24"/>
      <c r="D41" s="17"/>
      <c r="E41" s="17"/>
      <c r="F41" s="17"/>
      <c r="G41" s="17"/>
      <c r="H41" s="17"/>
      <c r="I41" s="17" t="str">
        <f ca="1">IFERROR(__xludf.DUMMYFUNCTION("""COMPUTED_VALUE"""),"Capex")</f>
        <v>Capex</v>
      </c>
      <c r="J41" s="17"/>
      <c r="K41" s="17"/>
      <c r="L41" s="17"/>
      <c r="M41" s="17"/>
      <c r="N41" s="17"/>
      <c r="O41" s="17"/>
    </row>
    <row r="42" spans="1:15" ht="12.5">
      <c r="A42" s="17"/>
      <c r="B42" s="24"/>
      <c r="C42" s="24"/>
      <c r="D42" s="17"/>
      <c r="E42" s="17"/>
      <c r="F42" s="17"/>
      <c r="G42" s="17"/>
      <c r="H42" s="17"/>
      <c r="I42" s="17" t="str">
        <f ca="1">IFERROR(__xludf.DUMMYFUNCTION("""COMPUTED_VALUE"""),"Capex")</f>
        <v>Capex</v>
      </c>
      <c r="J42" s="17"/>
      <c r="K42" s="17"/>
      <c r="L42" s="17"/>
      <c r="M42" s="17"/>
      <c r="N42" s="17"/>
      <c r="O42" s="17"/>
    </row>
    <row r="43" spans="1:15" ht="12.5">
      <c r="A43" s="17"/>
      <c r="B43" s="24"/>
      <c r="C43" s="24"/>
      <c r="D43" s="17"/>
      <c r="E43" s="17"/>
      <c r="F43" s="17"/>
      <c r="G43" s="17"/>
      <c r="H43" s="17"/>
      <c r="I43" s="17" t="str">
        <f ca="1">IFERROR(__xludf.DUMMYFUNCTION("""COMPUTED_VALUE"""),"Capex")</f>
        <v>Capex</v>
      </c>
      <c r="J43" s="17"/>
      <c r="K43" s="17"/>
      <c r="L43" s="17"/>
      <c r="M43" s="17"/>
      <c r="N43" s="17"/>
      <c r="O43" s="17"/>
    </row>
    <row r="44" spans="1:15" ht="12.5">
      <c r="A44" s="17"/>
      <c r="B44" s="24"/>
      <c r="C44" s="24"/>
      <c r="D44" s="17"/>
      <c r="E44" s="17"/>
      <c r="F44" s="17"/>
      <c r="G44" s="17"/>
      <c r="H44" s="17"/>
      <c r="I44" s="17" t="str">
        <f ca="1">IFERROR(__xludf.DUMMYFUNCTION("""COMPUTED_VALUE"""),"Capex")</f>
        <v>Capex</v>
      </c>
      <c r="J44" s="17"/>
      <c r="K44" s="17"/>
      <c r="L44" s="17"/>
      <c r="M44" s="17"/>
      <c r="N44" s="17"/>
      <c r="O44" s="17"/>
    </row>
    <row r="45" spans="1:15" ht="12.5">
      <c r="A45" s="17"/>
      <c r="B45" s="24"/>
      <c r="C45" s="24"/>
      <c r="D45" s="17"/>
      <c r="E45" s="17"/>
      <c r="F45" s="17"/>
      <c r="G45" s="17"/>
      <c r="H45" s="17"/>
      <c r="I45" s="17" t="str">
        <f ca="1">IFERROR(__xludf.DUMMYFUNCTION("""COMPUTED_VALUE"""),"Capex")</f>
        <v>Capex</v>
      </c>
      <c r="J45" s="17"/>
      <c r="K45" s="17"/>
      <c r="L45" s="17"/>
      <c r="M45" s="17"/>
      <c r="N45" s="17"/>
      <c r="O45" s="17"/>
    </row>
    <row r="46" spans="1:15" ht="12.5">
      <c r="A46" s="17"/>
      <c r="B46" s="24"/>
      <c r="C46" s="24"/>
      <c r="D46" s="17"/>
      <c r="E46" s="17"/>
      <c r="F46" s="17"/>
      <c r="G46" s="17"/>
      <c r="H46" s="17"/>
      <c r="I46" s="17" t="str">
        <f ca="1">IFERROR(__xludf.DUMMYFUNCTION("""COMPUTED_VALUE"""),"Capex")</f>
        <v>Capex</v>
      </c>
      <c r="J46" s="17"/>
      <c r="K46" s="17"/>
      <c r="L46" s="17"/>
      <c r="M46" s="17"/>
      <c r="N46" s="17"/>
      <c r="O46" s="17"/>
    </row>
    <row r="47" spans="1:15" ht="12.5">
      <c r="A47" s="17"/>
      <c r="B47" s="24"/>
      <c r="C47" s="24"/>
      <c r="D47" s="17"/>
      <c r="E47" s="17"/>
      <c r="F47" s="17"/>
      <c r="G47" s="17"/>
      <c r="H47" s="17"/>
      <c r="I47" s="17" t="str">
        <f ca="1">IFERROR(__xludf.DUMMYFUNCTION("""COMPUTED_VALUE"""),"Capex")</f>
        <v>Capex</v>
      </c>
      <c r="J47" s="17"/>
      <c r="K47" s="17"/>
      <c r="L47" s="17"/>
      <c r="M47" s="17"/>
      <c r="N47" s="17"/>
      <c r="O47" s="17"/>
    </row>
    <row r="48" spans="1:15" ht="12.5">
      <c r="A48" s="17"/>
      <c r="B48" s="24"/>
      <c r="C48" s="24"/>
      <c r="D48" s="17"/>
      <c r="E48" s="17"/>
      <c r="F48" s="17"/>
      <c r="G48" s="17"/>
      <c r="H48" s="17"/>
      <c r="I48" s="17" t="str">
        <f ca="1">IFERROR(__xludf.DUMMYFUNCTION("""COMPUTED_VALUE"""),"Capex")</f>
        <v>Capex</v>
      </c>
      <c r="J48" s="17"/>
      <c r="K48" s="17"/>
      <c r="L48" s="17"/>
      <c r="M48" s="17"/>
      <c r="N48" s="17"/>
      <c r="O48" s="17"/>
    </row>
    <row r="49" spans="1:15" ht="12.5">
      <c r="A49" s="17"/>
      <c r="B49" s="24"/>
      <c r="C49" s="24"/>
      <c r="D49" s="17"/>
      <c r="E49" s="17"/>
      <c r="F49" s="17"/>
      <c r="G49" s="17"/>
      <c r="H49" s="17"/>
      <c r="I49" s="17" t="str">
        <f ca="1">IFERROR(__xludf.DUMMYFUNCTION("""COMPUTED_VALUE"""),"Capex")</f>
        <v>Capex</v>
      </c>
      <c r="J49" s="17"/>
      <c r="K49" s="17"/>
      <c r="L49" s="17"/>
      <c r="M49" s="17"/>
      <c r="N49" s="17"/>
      <c r="O49" s="17"/>
    </row>
    <row r="50" spans="1:15" ht="12.5">
      <c r="A50" s="17"/>
      <c r="B50" s="24"/>
      <c r="C50" s="24"/>
      <c r="D50" s="17"/>
      <c r="E50" s="17"/>
      <c r="F50" s="17"/>
      <c r="G50" s="17"/>
      <c r="H50" s="17"/>
      <c r="I50" s="17" t="str">
        <f ca="1">IFERROR(__xludf.DUMMYFUNCTION("""COMPUTED_VALUE"""),"Capex")</f>
        <v>Capex</v>
      </c>
      <c r="J50" s="17"/>
      <c r="K50" s="17"/>
      <c r="L50" s="17"/>
      <c r="M50" s="17"/>
      <c r="N50" s="17"/>
      <c r="O50" s="17"/>
    </row>
    <row r="51" spans="1:15" ht="12.5">
      <c r="A51" s="17"/>
      <c r="B51" s="24"/>
      <c r="C51" s="24"/>
      <c r="D51" s="17"/>
      <c r="E51" s="17"/>
      <c r="F51" s="17"/>
      <c r="G51" s="17"/>
      <c r="H51" s="17"/>
      <c r="I51" s="17" t="str">
        <f ca="1">IFERROR(__xludf.DUMMYFUNCTION("""COMPUTED_VALUE"""),"Office expenses")</f>
        <v>Office expenses</v>
      </c>
      <c r="J51" s="17"/>
      <c r="K51" s="17"/>
      <c r="L51" s="17"/>
      <c r="M51" s="17"/>
      <c r="N51" s="17"/>
      <c r="O51" s="17"/>
    </row>
    <row r="52" spans="1:15" ht="12.5">
      <c r="A52" s="17"/>
      <c r="B52" s="24"/>
      <c r="C52" s="24"/>
      <c r="D52" s="17"/>
      <c r="E52" s="17"/>
      <c r="F52" s="17"/>
      <c r="G52" s="17"/>
      <c r="H52" s="17"/>
      <c r="I52" s="17" t="str">
        <f ca="1">IFERROR(__xludf.DUMMYFUNCTION("""COMPUTED_VALUE"""),"Capex")</f>
        <v>Capex</v>
      </c>
      <c r="J52" s="17"/>
      <c r="K52" s="17"/>
      <c r="L52" s="17"/>
      <c r="M52" s="17"/>
      <c r="N52" s="17"/>
      <c r="O52" s="17"/>
    </row>
    <row r="53" spans="1:15" ht="12.5">
      <c r="A53" s="17"/>
      <c r="B53" s="24"/>
      <c r="C53" s="24"/>
      <c r="D53" s="17"/>
      <c r="E53" s="17"/>
      <c r="F53" s="17"/>
      <c r="G53" s="17"/>
      <c r="H53" s="17"/>
      <c r="I53" s="17" t="str">
        <f ca="1">IFERROR(__xludf.DUMMYFUNCTION("""COMPUTED_VALUE"""),"Capex")</f>
        <v>Capex</v>
      </c>
      <c r="J53" s="17"/>
      <c r="K53" s="17"/>
      <c r="L53" s="17"/>
      <c r="M53" s="17"/>
      <c r="N53" s="17"/>
      <c r="O53" s="17"/>
    </row>
    <row r="54" spans="1:15" ht="12.5">
      <c r="A54" s="17"/>
      <c r="B54" s="24"/>
      <c r="C54" s="24"/>
      <c r="D54" s="17"/>
      <c r="E54" s="17"/>
      <c r="F54" s="17"/>
      <c r="G54" s="17"/>
      <c r="H54" s="17"/>
      <c r="I54" s="17" t="str">
        <f ca="1">IFERROR(__xludf.DUMMYFUNCTION("""COMPUTED_VALUE"""),"Capex")</f>
        <v>Capex</v>
      </c>
      <c r="J54" s="17"/>
      <c r="K54" s="17"/>
      <c r="L54" s="17"/>
      <c r="M54" s="17"/>
      <c r="N54" s="17"/>
      <c r="O54" s="17"/>
    </row>
    <row r="55" spans="1:15" ht="12.5">
      <c r="A55" s="17"/>
      <c r="B55" s="24"/>
      <c r="C55" s="24"/>
      <c r="D55" s="17"/>
      <c r="E55" s="17"/>
      <c r="F55" s="17"/>
      <c r="G55" s="17"/>
      <c r="H55" s="17"/>
      <c r="I55" s="17" t="str">
        <f ca="1">IFERROR(__xludf.DUMMYFUNCTION("""COMPUTED_VALUE"""),"Capex")</f>
        <v>Capex</v>
      </c>
      <c r="J55" s="17"/>
      <c r="K55" s="17"/>
      <c r="L55" s="17"/>
      <c r="M55" s="17"/>
      <c r="N55" s="17"/>
      <c r="O55" s="17"/>
    </row>
    <row r="56" spans="1:15" ht="12.5">
      <c r="A56" s="17"/>
      <c r="B56" s="24"/>
      <c r="C56" s="24"/>
      <c r="D56" s="17"/>
      <c r="E56" s="17"/>
      <c r="F56" s="17"/>
      <c r="G56" s="17"/>
      <c r="H56" s="17"/>
      <c r="I56" s="17" t="str">
        <f ca="1">IFERROR(__xludf.DUMMYFUNCTION("""COMPUTED_VALUE"""),"Capex")</f>
        <v>Capex</v>
      </c>
      <c r="J56" s="17"/>
      <c r="K56" s="17"/>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1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659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Sept'!$A$12:$C$1700,'Edo Cta Jeeves Sept'!$J$12:$J$1700=$A$2)"),"TRX1225")</f>
        <v>TRX1225</v>
      </c>
      <c r="B12" s="86" t="str">
        <f ca="1">IFERROR(__xludf.DUMMYFUNCTION("""COMPUTED_VALUE"""),"-")</f>
        <v>-</v>
      </c>
      <c r="C12" s="86">
        <f ca="1">IFERROR(__xludf.DUMMYFUNCTION("""COMPUTED_VALUE"""),46060.4173611111)</f>
        <v>46060.417361111096</v>
      </c>
      <c r="D12" s="65">
        <f ca="1">IFERROR(__xludf.DUMMYFUNCTION("FILTER('Edo Cta Jeeves Sept'!$G$12:$G$1300,'Edo Cta Jeeves Sept'!$J$12:$J$1300=$A$2)"),100)</f>
        <v>100</v>
      </c>
      <c r="E12" s="17" t="str">
        <f ca="1">IFERROR(__xludf.DUMMYFUNCTION("FILTER('Edo Cta Jeeves Sept'!$I$12:$I$1300,'Edo Cta Jeeves Sept'!$J$12:$J$1300=$A$2)"),"MXN")</f>
        <v>MXN</v>
      </c>
      <c r="F12" s="17" t="str">
        <f ca="1">IFERROR(__xludf.DUMMYFUNCTION("FILTER('Edo Cta Jeeves Sept'!$J$12:$J$1300,'Edo Cta Jeeves Sept'!$J$12:$J$1300=$A$2)"),"Jorge Pena De La Luz")</f>
        <v>Jorge Pena De La Luz</v>
      </c>
      <c r="G12" s="17" t="str">
        <f ca="1">IFERROR(__xludf.DUMMYFUNCTION("FILTER('Edo Cta Jeeves Sept'!$K$12:$L$1300,'Edo Cta Jeeves Sept'!$J$12:$J$1300=$A$2)"),"MEXPAGO*MUEVECIUDAD    CIUDAD DE MEX MEX")</f>
        <v>MEXPAGO*MUEVECIUDAD    CIUDAD DE MEX MEX</v>
      </c>
      <c r="H12" s="17" t="str">
        <f ca="1">IFERROR(__xludf.DUMMYFUNCTION("""COMPUTED_VALUE"""),"Mexpago Mueveciudad Ciudad De Mex Mex")</f>
        <v>Mexpago Mueveciudad Ciudad De Mex Mex</v>
      </c>
      <c r="I12" s="17" t="str">
        <f ca="1">IFERROR(__xludf.DUMMYFUNCTION("IMPORTRANGE(""https://docs.google.com/spreadsheets/d/1BfJ7AX8CEaFDbCIk-Zmhifb5LEJ9oUQx-gFTW28v-mA/edit?gid=1404531132#gid=1404531132"",""I12:K80"")"),"Sales")</f>
        <v>Sales</v>
      </c>
      <c r="J12" s="17" t="str">
        <f ca="1">IFERROR(__xludf.DUMMYFUNCTION("""COMPUTED_VALUE"""),"RFQ-4832/ESTACIONAMIENTO")</f>
        <v>RFQ-4832/ESTACIONAMIENTO</v>
      </c>
      <c r="K12" s="17" t="str">
        <f ca="1">IFERROR(__xludf.DUMMYFUNCTION("""COMPUTED_VALUE"""),"S/F")</f>
        <v>S/F</v>
      </c>
      <c r="L12" s="17"/>
      <c r="M12" s="17"/>
      <c r="N12" s="17"/>
      <c r="O12" s="17"/>
    </row>
    <row r="13" spans="1:15" ht="15.75" customHeight="1">
      <c r="A13" s="24" t="str">
        <f ca="1">IFERROR(__xludf.DUMMYFUNCTION("""COMPUTED_VALUE"""),"TRX1864")</f>
        <v>TRX1864</v>
      </c>
      <c r="B13" s="86" t="str">
        <f ca="1">IFERROR(__xludf.DUMMYFUNCTION("""COMPUTED_VALUE"""),"-")</f>
        <v>-</v>
      </c>
      <c r="C13" s="63">
        <f ca="1">IFERROR(__xludf.DUMMYFUNCTION("""COMPUTED_VALUE"""),46060.4173611111)</f>
        <v>46060.417361111096</v>
      </c>
      <c r="D13" s="65">
        <f ca="1">IFERROR(__xludf.DUMMYFUNCTION("""COMPUTED_VALUE"""),300)</f>
        <v>300</v>
      </c>
      <c r="E13" s="17" t="str">
        <f ca="1">IFERROR(__xludf.DUMMYFUNCTION("""COMPUTED_VALUE"""),"MXN")</f>
        <v>MXN</v>
      </c>
      <c r="F13" s="17" t="str">
        <f ca="1">IFERROR(__xludf.DUMMYFUNCTION("""COMPUTED_VALUE"""),"Jorge Pena De La Luz")</f>
        <v>Jorge Pena De La Luz</v>
      </c>
      <c r="G13" s="17" t="str">
        <f ca="1">IFERROR(__xludf.DUMMYFUNCTION("""COMPUTED_VALUE"""),"PAYPAL *PASESERVICI    MEXICO CITY   MEX")</f>
        <v>PAYPAL *PASESERVICI    MEXICO CITY   MEX</v>
      </c>
      <c r="H13" s="17" t="str">
        <f ca="1">IFERROR(__xludf.DUMMYFUNCTION("""COMPUTED_VALUE"""),"Paseservici Mexico City Mex")</f>
        <v>Paseservici Mexico City Mex</v>
      </c>
      <c r="I13" s="17" t="str">
        <f ca="1">IFERROR(__xludf.DUMMYFUNCTION("""COMPUTED_VALUE"""),"Sales")</f>
        <v>Sales</v>
      </c>
      <c r="J13" s="17" t="str">
        <f ca="1">IFERROR(__xludf.DUMMYFUNCTION("""COMPUTED_VALUE"""),"RFQ-4701/TRASLADO")</f>
        <v>RFQ-4701/TRASLADO</v>
      </c>
      <c r="K13" s="17" t="str">
        <f ca="1">IFERROR(__xludf.DUMMYFUNCTION("""COMPUTED_VALUE"""),"31FFB00D-1BC1-4EB2-988F-C45D9143007E
")</f>
        <v xml:space="preserve">31FFB00D-1BC1-4EB2-988F-C45D9143007E
</v>
      </c>
      <c r="L13" s="17"/>
      <c r="M13" s="17"/>
      <c r="N13" s="17"/>
      <c r="O13" s="17"/>
    </row>
    <row r="14" spans="1:15" ht="15.75" customHeight="1">
      <c r="A14" s="24" t="str">
        <f ca="1">IFERROR(__xludf.DUMMYFUNCTION("""COMPUTED_VALUE"""),"TRX1315")</f>
        <v>TRX1315</v>
      </c>
      <c r="B14" s="86" t="str">
        <f ca="1">IFERROR(__xludf.DUMMYFUNCTION("""COMPUTED_VALUE"""),"-")</f>
        <v>-</v>
      </c>
      <c r="C14" s="63">
        <f ca="1">IFERROR(__xludf.DUMMYFUNCTION("""COMPUTED_VALUE"""),46067.4166666666)</f>
        <v>46067.416666666599</v>
      </c>
      <c r="D14" s="65">
        <f ca="1">IFERROR(__xludf.DUMMYFUNCTION("""COMPUTED_VALUE"""),50)</f>
        <v>50</v>
      </c>
      <c r="E14" s="17" t="str">
        <f ca="1">IFERROR(__xludf.DUMMYFUNCTION("""COMPUTED_VALUE"""),"MXN")</f>
        <v>MXN</v>
      </c>
      <c r="F14" s="17" t="str">
        <f ca="1">IFERROR(__xludf.DUMMYFUNCTION("""COMPUTED_VALUE"""),"Jorge Pena De La Luz")</f>
        <v>Jorge Pena De La Luz</v>
      </c>
      <c r="G14" s="17" t="str">
        <f ca="1">IFERROR(__xludf.DUMMYFUNCTION("""COMPUTED_VALUE"""),"MEXPAGO*MUEVECIUDAD    CIUDAD DE MEX MEX")</f>
        <v>MEXPAGO*MUEVECIUDAD    CIUDAD DE MEX MEX</v>
      </c>
      <c r="H14" s="17" t="str">
        <f ca="1">IFERROR(__xludf.DUMMYFUNCTION("""COMPUTED_VALUE"""),"Mexpago Mueveciudad Ciudad De Mex Mex")</f>
        <v>Mexpago Mueveciudad Ciudad De Mex Mex</v>
      </c>
      <c r="I14" s="17" t="str">
        <f ca="1">IFERROR(__xludf.DUMMYFUNCTION("""COMPUTED_VALUE"""),"Sales")</f>
        <v>Sales</v>
      </c>
      <c r="J14" s="17" t="str">
        <f ca="1">IFERROR(__xludf.DUMMYFUNCTION("""COMPUTED_VALUE"""),"RFQ-5274/ESTACIONAMIENTO")</f>
        <v>RFQ-5274/ESTACIONAMIENTO</v>
      </c>
      <c r="K14" s="17" t="str">
        <f ca="1">IFERROR(__xludf.DUMMYFUNCTION("""COMPUTED_VALUE"""),"S/F")</f>
        <v>S/F</v>
      </c>
      <c r="L14" s="17"/>
      <c r="M14" s="17"/>
      <c r="N14" s="17"/>
      <c r="O14" s="17"/>
    </row>
    <row r="15" spans="1:15" ht="15.75" customHeight="1">
      <c r="A15" s="24" t="str">
        <f ca="1">IFERROR(__xludf.DUMMYFUNCTION("""COMPUTED_VALUE"""),"TRX2017")</f>
        <v>TRX2017</v>
      </c>
      <c r="B15" s="86" t="str">
        <f ca="1">IFERROR(__xludf.DUMMYFUNCTION("""COMPUTED_VALUE"""),"-")</f>
        <v>-</v>
      </c>
      <c r="C15" s="63">
        <f ca="1">IFERROR(__xludf.DUMMYFUNCTION("""COMPUTED_VALUE"""),46067.4173611111)</f>
        <v>46067.417361111096</v>
      </c>
      <c r="D15" s="17">
        <f ca="1">IFERROR(__xludf.DUMMYFUNCTION("""COMPUTED_VALUE"""),50)</f>
        <v>50</v>
      </c>
      <c r="E15" s="17" t="str">
        <f ca="1">IFERROR(__xludf.DUMMYFUNCTION("""COMPUTED_VALUE"""),"MXN")</f>
        <v>MXN</v>
      </c>
      <c r="F15" s="17" t="str">
        <f ca="1">IFERROR(__xludf.DUMMYFUNCTION("""COMPUTED_VALUE"""),"Jorge Pena De La Luz")</f>
        <v>Jorge Pena De La Luz</v>
      </c>
      <c r="G15" s="17" t="str">
        <f ca="1">IFERROR(__xludf.DUMMYFUNCTION("""COMPUTED_VALUE"""),"MEXPAGO*MUEVECIUDAD    CIUDAD DE MEX MEX")</f>
        <v>MEXPAGO*MUEVECIUDAD    CIUDAD DE MEX MEX</v>
      </c>
      <c r="H15" s="17" t="str">
        <f ca="1">IFERROR(__xludf.DUMMYFUNCTION("""COMPUTED_VALUE"""),"Mexpago Mueveciudad Ciudad De Mex Mex")</f>
        <v>Mexpago Mueveciudad Ciudad De Mex Mex</v>
      </c>
      <c r="I15" s="17" t="str">
        <f ca="1">IFERROR(__xludf.DUMMYFUNCTION("""COMPUTED_VALUE"""),"Sales")</f>
        <v>Sales</v>
      </c>
      <c r="J15" s="17" t="str">
        <f ca="1">IFERROR(__xludf.DUMMYFUNCTION("""COMPUTED_VALUE"""),"RFQ-5274/ESTACIONAMIENTO")</f>
        <v>RFQ-5274/ESTACIONAMIENTO</v>
      </c>
      <c r="K15" s="17" t="str">
        <f ca="1">IFERROR(__xludf.DUMMYFUNCTION("""COMPUTED_VALUE"""),"S/F")</f>
        <v>S/F</v>
      </c>
      <c r="L15" s="17"/>
      <c r="M15" s="17"/>
      <c r="N15" s="17"/>
      <c r="O15" s="17"/>
    </row>
    <row r="16" spans="1:15" ht="15.75" customHeight="1">
      <c r="A16" s="17" t="str">
        <f ca="1">IFERROR(__xludf.DUMMYFUNCTION("""COMPUTED_VALUE"""),"TRX1503")</f>
        <v>TRX1503</v>
      </c>
      <c r="B16" s="86" t="str">
        <f ca="1">IFERROR(__xludf.DUMMYFUNCTION("""COMPUTED_VALUE"""),"-")</f>
        <v>-</v>
      </c>
      <c r="C16" s="63">
        <f ca="1">IFERROR(__xludf.DUMMYFUNCTION("""COMPUTED_VALUE"""),46067.4173611111)</f>
        <v>46067.417361111096</v>
      </c>
      <c r="D16" s="132">
        <f ca="1">IFERROR(__xludf.DUMMYFUNCTION("""COMPUTED_VALUE"""),50)</f>
        <v>50</v>
      </c>
      <c r="E16" s="17" t="str">
        <f ca="1">IFERROR(__xludf.DUMMYFUNCTION("""COMPUTED_VALUE"""),"MXN")</f>
        <v>MXN</v>
      </c>
      <c r="F16" s="17" t="str">
        <f ca="1">IFERROR(__xludf.DUMMYFUNCTION("""COMPUTED_VALUE"""),"Jorge Pena De La Luz")</f>
        <v>Jorge Pena De La Luz</v>
      </c>
      <c r="G16" s="17" t="str">
        <f ca="1">IFERROR(__xludf.DUMMYFUNCTION("""COMPUTED_VALUE"""),"MEXPAGO*MUEVECIUDAD    CIUDAD DE MEX MEX")</f>
        <v>MEXPAGO*MUEVECIUDAD    CIUDAD DE MEX MEX</v>
      </c>
      <c r="H16" s="17" t="str">
        <f ca="1">IFERROR(__xludf.DUMMYFUNCTION("""COMPUTED_VALUE"""),"Mexpago Mueveciudad Ciudad De Mex Mex")</f>
        <v>Mexpago Mueveciudad Ciudad De Mex Mex</v>
      </c>
      <c r="I16" s="17" t="str">
        <f ca="1">IFERROR(__xludf.DUMMYFUNCTION("""COMPUTED_VALUE"""),"Sales")</f>
        <v>Sales</v>
      </c>
      <c r="J16" s="17" t="str">
        <f ca="1">IFERROR(__xludf.DUMMYFUNCTION("""COMPUTED_VALUE"""),"RFQ-5274/ESTACIONAMIENTO")</f>
        <v>RFQ-5274/ESTACIONAMIENTO</v>
      </c>
      <c r="K16" s="17" t="str">
        <f ca="1">IFERROR(__xludf.DUMMYFUNCTION("""COMPUTED_VALUE"""),"S/F")</f>
        <v>S/F</v>
      </c>
      <c r="L16" s="17"/>
      <c r="M16" s="17"/>
      <c r="N16" s="17"/>
      <c r="O16" s="17"/>
    </row>
    <row r="17" spans="1:15" ht="15.75" customHeight="1">
      <c r="A17" s="17" t="str">
        <f ca="1">IFERROR(__xludf.DUMMYFUNCTION("""COMPUTED_VALUE"""),"TRX1137")</f>
        <v>TRX1137</v>
      </c>
      <c r="B17" s="86" t="str">
        <f ca="1">IFERROR(__xludf.DUMMYFUNCTION("""COMPUTED_VALUE"""),"-")</f>
        <v>-</v>
      </c>
      <c r="C17" s="63">
        <f ca="1">IFERROR(__xludf.DUMMYFUNCTION("""COMPUTED_VALUE"""),46068.4166666666)</f>
        <v>46068.416666666599</v>
      </c>
      <c r="D17" s="132">
        <f ca="1">IFERROR(__xludf.DUMMYFUNCTION("""COMPUTED_VALUE"""),300)</f>
        <v>300</v>
      </c>
      <c r="E17" s="17" t="str">
        <f ca="1">IFERROR(__xludf.DUMMYFUNCTION("""COMPUTED_VALUE"""),"MXN")</f>
        <v>MXN</v>
      </c>
      <c r="F17" s="17" t="str">
        <f ca="1">IFERROR(__xludf.DUMMYFUNCTION("""COMPUTED_VALUE"""),"Jorge Pena De La Luz")</f>
        <v>Jorge Pena De La Luz</v>
      </c>
      <c r="G17" s="17" t="str">
        <f ca="1">IFERROR(__xludf.DUMMYFUNCTION("""COMPUTED_VALUE"""),"PAYPAL *PASESERVICI    MEXICO CITY   MEX")</f>
        <v>PAYPAL *PASESERVICI    MEXICO CITY   MEX</v>
      </c>
      <c r="H17" s="17" t="str">
        <f ca="1">IFERROR(__xludf.DUMMYFUNCTION("""COMPUTED_VALUE"""),"Paseservici Mexico City Mex")</f>
        <v>Paseservici Mexico City Mex</v>
      </c>
      <c r="I17" s="17" t="str">
        <f ca="1">IFERROR(__xludf.DUMMYFUNCTION("""COMPUTED_VALUE"""),"Sales")</f>
        <v>Sales</v>
      </c>
      <c r="J17" s="17" t="str">
        <f ca="1">IFERROR(__xludf.DUMMYFUNCTION("""COMPUTED_VALUE"""),"PO-2025/TRASLADO")</f>
        <v>PO-2025/TRASLADO</v>
      </c>
      <c r="K17" s="17" t="str">
        <f ca="1">IFERROR(__xludf.DUMMYFUNCTION("""COMPUTED_VALUE"""),"31FFB00D-1BC1-4EB2-988F-C45D9143007E")</f>
        <v>31FFB00D-1BC1-4EB2-988F-C45D9143007E</v>
      </c>
      <c r="L17" s="17"/>
      <c r="M17" s="17"/>
      <c r="N17" s="17"/>
      <c r="O17" s="17"/>
    </row>
    <row r="18" spans="1:15" ht="15.75" customHeight="1">
      <c r="A18" s="17" t="str">
        <f ca="1">IFERROR(__xludf.DUMMYFUNCTION("""COMPUTED_VALUE"""),"TRX1509")</f>
        <v>TRX1509</v>
      </c>
      <c r="B18" s="86" t="str">
        <f ca="1">IFERROR(__xludf.DUMMYFUNCTION("""COMPUTED_VALUE"""),"-")</f>
        <v>-</v>
      </c>
      <c r="C18" s="63">
        <f ca="1">IFERROR(__xludf.DUMMYFUNCTION("""COMPUTED_VALUE"""),46071.4166666666)</f>
        <v>46071.416666666599</v>
      </c>
      <c r="D18" s="65">
        <f ca="1">IFERROR(__xludf.DUMMYFUNCTION("""COMPUTED_VALUE"""),300)</f>
        <v>300</v>
      </c>
      <c r="E18" s="17" t="str">
        <f ca="1">IFERROR(__xludf.DUMMYFUNCTION("""COMPUTED_VALUE"""),"MXN")</f>
        <v>MXN</v>
      </c>
      <c r="F18" s="17" t="str">
        <f ca="1">IFERROR(__xludf.DUMMYFUNCTION("""COMPUTED_VALUE"""),"Jorge Pena De La Luz")</f>
        <v>Jorge Pena De La Luz</v>
      </c>
      <c r="G18" s="17" t="str">
        <f ca="1">IFERROR(__xludf.DUMMYFUNCTION("""COMPUTED_VALUE"""),"PAYPAL *PASESERVICI    MEXICO CITY   MEX")</f>
        <v>PAYPAL *PASESERVICI    MEXICO CITY   MEX</v>
      </c>
      <c r="H18" s="17" t="str">
        <f ca="1">IFERROR(__xludf.DUMMYFUNCTION("""COMPUTED_VALUE"""),"Paseservici Mexico City Mex")</f>
        <v>Paseservici Mexico City Mex</v>
      </c>
      <c r="I18" s="17" t="str">
        <f ca="1">IFERROR(__xludf.DUMMYFUNCTION("""COMPUTED_VALUE"""),"Sales")</f>
        <v>Sales</v>
      </c>
      <c r="J18" s="17" t="str">
        <f ca="1">IFERROR(__xludf.DUMMYFUNCTION("""COMPUTED_VALUE"""),"PO-2025/TRASLADO")</f>
        <v>PO-2025/TRASLADO</v>
      </c>
      <c r="K18" s="17" t="str">
        <f ca="1">IFERROR(__xludf.DUMMYFUNCTION("""COMPUTED_VALUE"""),"F5E5992B-6152-46B1-9DF6-F34B8EB27F2A")</f>
        <v>F5E5992B-6152-46B1-9DF6-F34B8EB27F2A</v>
      </c>
      <c r="L18" s="17"/>
      <c r="M18" s="17"/>
      <c r="N18" s="17"/>
      <c r="O18" s="17"/>
    </row>
    <row r="19" spans="1:15" ht="15.75" customHeight="1">
      <c r="A19" s="17" t="str">
        <f ca="1">IFERROR(__xludf.DUMMYFUNCTION("""COMPUTED_VALUE"""),"TRX1080")</f>
        <v>TRX1080</v>
      </c>
      <c r="B19" s="86" t="str">
        <f ca="1">IFERROR(__xludf.DUMMYFUNCTION("""COMPUTED_VALUE"""),"-")</f>
        <v>-</v>
      </c>
      <c r="C19" s="63">
        <f ca="1">IFERROR(__xludf.DUMMYFUNCTION("""COMPUTED_VALUE"""),46071.4166666666)</f>
        <v>46071.416666666599</v>
      </c>
      <c r="D19" s="132">
        <f ca="1">IFERROR(__xludf.DUMMYFUNCTION("""COMPUTED_VALUE"""),50)</f>
        <v>50</v>
      </c>
      <c r="E19" s="17" t="str">
        <f ca="1">IFERROR(__xludf.DUMMYFUNCTION("""COMPUTED_VALUE"""),"MXN")</f>
        <v>MXN</v>
      </c>
      <c r="F19" s="17" t="str">
        <f ca="1">IFERROR(__xludf.DUMMYFUNCTION("""COMPUTED_VALUE"""),"Jorge Pena De La Luz")</f>
        <v>Jorge Pena De La Luz</v>
      </c>
      <c r="G19" s="17" t="str">
        <f ca="1">IFERROR(__xludf.DUMMYFUNCTION("""COMPUTED_VALUE"""),"MEXPAGO*MUEVECIUDAD    CIUDAD DE MEX MEX")</f>
        <v>MEXPAGO*MUEVECIUDAD    CIUDAD DE MEX MEX</v>
      </c>
      <c r="H19" s="17" t="str">
        <f ca="1">IFERROR(__xludf.DUMMYFUNCTION("""COMPUTED_VALUE"""),"Mexpago Mueveciudad Ciudad De Mex Mex")</f>
        <v>Mexpago Mueveciudad Ciudad De Mex Mex</v>
      </c>
      <c r="I19" s="17" t="str">
        <f ca="1">IFERROR(__xludf.DUMMYFUNCTION("""COMPUTED_VALUE"""),"Sales")</f>
        <v>Sales</v>
      </c>
      <c r="J19" s="17" t="str">
        <f ca="1">IFERROR(__xludf.DUMMYFUNCTION("""COMPUTED_VALUE"""),"RFQ-5108/ESTACIONAMIENTO")</f>
        <v>RFQ-5108/ESTACIONAMIENTO</v>
      </c>
      <c r="K19" s="17" t="str">
        <f ca="1">IFERROR(__xludf.DUMMYFUNCTION("""COMPUTED_VALUE"""),"S/F")</f>
        <v>S/F</v>
      </c>
      <c r="L19" s="17"/>
      <c r="M19" s="17"/>
      <c r="N19" s="17"/>
      <c r="O19" s="17"/>
    </row>
    <row r="20" spans="1:15" ht="12.5">
      <c r="A20" s="17" t="str">
        <f ca="1">IFERROR(__xludf.DUMMYFUNCTION("""COMPUTED_VALUE"""),"TRX1349")</f>
        <v>TRX1349</v>
      </c>
      <c r="B20" s="86" t="str">
        <f ca="1">IFERROR(__xludf.DUMMYFUNCTION("""COMPUTED_VALUE"""),"-")</f>
        <v>-</v>
      </c>
      <c r="C20" s="63">
        <f ca="1">IFERROR(__xludf.DUMMYFUNCTION("""COMPUTED_VALUE"""),46071.4166666666)</f>
        <v>46071.416666666599</v>
      </c>
      <c r="D20" s="132">
        <f ca="1">IFERROR(__xludf.DUMMYFUNCTION("""COMPUTED_VALUE"""),50)</f>
        <v>50</v>
      </c>
      <c r="E20" s="17" t="str">
        <f ca="1">IFERROR(__xludf.DUMMYFUNCTION("""COMPUTED_VALUE"""),"MXN")</f>
        <v>MXN</v>
      </c>
      <c r="F20" s="17" t="str">
        <f ca="1">IFERROR(__xludf.DUMMYFUNCTION("""COMPUTED_VALUE"""),"Jorge Pena De La Luz")</f>
        <v>Jorge Pena De La Luz</v>
      </c>
      <c r="G20" s="17" t="str">
        <f ca="1">IFERROR(__xludf.DUMMYFUNCTION("""COMPUTED_VALUE"""),"MEXPAGO*MUEVECIUDAD    CIUDAD DE MEX MEX")</f>
        <v>MEXPAGO*MUEVECIUDAD    CIUDAD DE MEX MEX</v>
      </c>
      <c r="H20" s="17" t="str">
        <f ca="1">IFERROR(__xludf.DUMMYFUNCTION("""COMPUTED_VALUE"""),"Mexpago Mueveciudad Ciudad De Mex Mex")</f>
        <v>Mexpago Mueveciudad Ciudad De Mex Mex</v>
      </c>
      <c r="I20" s="17" t="str">
        <f ca="1">IFERROR(__xludf.DUMMYFUNCTION("""COMPUTED_VALUE"""),"Sales")</f>
        <v>Sales</v>
      </c>
      <c r="J20" s="17" t="str">
        <f ca="1">IFERROR(__xludf.DUMMYFUNCTION("""COMPUTED_VALUE"""),"RFQ-5108/ESTACIONAMIENTO")</f>
        <v>RFQ-5108/ESTACIONAMIENTO</v>
      </c>
      <c r="K20" s="17" t="str">
        <f ca="1">IFERROR(__xludf.DUMMYFUNCTION("""COMPUTED_VALUE"""),"S/F")</f>
        <v>S/F</v>
      </c>
      <c r="L20" s="17"/>
      <c r="M20" s="17"/>
      <c r="N20" s="17"/>
      <c r="O20" s="17"/>
    </row>
    <row r="21" spans="1:15" ht="12.5">
      <c r="A21" s="17" t="str">
        <f ca="1">IFERROR(__xludf.DUMMYFUNCTION("""COMPUTED_VALUE"""),"TRX1433")</f>
        <v>TRX1433</v>
      </c>
      <c r="B21" s="86" t="str">
        <f ca="1">IFERROR(__xludf.DUMMYFUNCTION("""COMPUTED_VALUE"""),"-")</f>
        <v>-</v>
      </c>
      <c r="C21" s="63">
        <f ca="1">IFERROR(__xludf.DUMMYFUNCTION("""COMPUTED_VALUE"""),46071.4166666666)</f>
        <v>46071.416666666599</v>
      </c>
      <c r="D21" s="132">
        <f ca="1">IFERROR(__xludf.DUMMYFUNCTION("""COMPUTED_VALUE"""),300)</f>
        <v>300</v>
      </c>
      <c r="E21" s="17" t="str">
        <f ca="1">IFERROR(__xludf.DUMMYFUNCTION("""COMPUTED_VALUE"""),"MXN")</f>
        <v>MXN</v>
      </c>
      <c r="F21" s="17" t="str">
        <f ca="1">IFERROR(__xludf.DUMMYFUNCTION("""COMPUTED_VALUE"""),"Jorge Pena De La Luz")</f>
        <v>Jorge Pena De La Luz</v>
      </c>
      <c r="G21" s="17" t="str">
        <f ca="1">IFERROR(__xludf.DUMMYFUNCTION("""COMPUTED_VALUE"""),"PAYPAL *PASESERVICI    MEXICO CITY   MEX")</f>
        <v>PAYPAL *PASESERVICI    MEXICO CITY   MEX</v>
      </c>
      <c r="H21" s="17" t="str">
        <f ca="1">IFERROR(__xludf.DUMMYFUNCTION("""COMPUTED_VALUE"""),"Paseservici Mexico City Mex")</f>
        <v>Paseservici Mexico City Mex</v>
      </c>
      <c r="I21" s="17" t="str">
        <f ca="1">IFERROR(__xludf.DUMMYFUNCTION("""COMPUTED_VALUE"""),"Sales")</f>
        <v>Sales</v>
      </c>
      <c r="J21" s="17" t="str">
        <f ca="1">IFERROR(__xludf.DUMMYFUNCTION("""COMPUTED_VALUE"""),"RFQ-5227/TRASLADO")</f>
        <v>RFQ-5227/TRASLADO</v>
      </c>
      <c r="K21" s="17" t="str">
        <f ca="1">IFERROR(__xludf.DUMMYFUNCTION("""COMPUTED_VALUE"""),"4EA77EA7-2D21-4C4C-AD2F-BB67F1B167A6")</f>
        <v>4EA77EA7-2D21-4C4C-AD2F-BB67F1B167A6</v>
      </c>
      <c r="L21" s="17"/>
      <c r="M21" s="17"/>
      <c r="N21" s="17"/>
      <c r="O21" s="17"/>
    </row>
    <row r="22" spans="1:15" ht="12.5">
      <c r="A22" s="17" t="str">
        <f ca="1">IFERROR(__xludf.DUMMYFUNCTION("""COMPUTED_VALUE"""),"TRX1620")</f>
        <v>TRX1620</v>
      </c>
      <c r="B22" s="86" t="str">
        <f ca="1">IFERROR(__xludf.DUMMYFUNCTION("""COMPUTED_VALUE"""),"-")</f>
        <v>-</v>
      </c>
      <c r="C22" s="63">
        <f ca="1">IFERROR(__xludf.DUMMYFUNCTION("""COMPUTED_VALUE"""),46072.4166666666)</f>
        <v>46072.416666666599</v>
      </c>
      <c r="D22" s="65">
        <f ca="1">IFERROR(__xludf.DUMMYFUNCTION("""COMPUTED_VALUE"""),300)</f>
        <v>300</v>
      </c>
      <c r="E22" s="17" t="str">
        <f ca="1">IFERROR(__xludf.DUMMYFUNCTION("""COMPUTED_VALUE"""),"MXN")</f>
        <v>MXN</v>
      </c>
      <c r="F22" s="17" t="str">
        <f ca="1">IFERROR(__xludf.DUMMYFUNCTION("""COMPUTED_VALUE"""),"Jorge Pena De La Luz")</f>
        <v>Jorge Pena De La Luz</v>
      </c>
      <c r="G22" s="17" t="str">
        <f ca="1">IFERROR(__xludf.DUMMYFUNCTION("""COMPUTED_VALUE"""),"PAYPAL *PASESERVICI    MEXICO CITY   MEX")</f>
        <v>PAYPAL *PASESERVICI    MEXICO CITY   MEX</v>
      </c>
      <c r="H22" s="17" t="str">
        <f ca="1">IFERROR(__xludf.DUMMYFUNCTION("""COMPUTED_VALUE"""),"Paseservici Mexico City Mex")</f>
        <v>Paseservici Mexico City Mex</v>
      </c>
      <c r="I22" s="17" t="str">
        <f ca="1">IFERROR(__xludf.DUMMYFUNCTION("""COMPUTED_VALUE"""),"Sales")</f>
        <v>Sales</v>
      </c>
      <c r="J22" s="17" t="str">
        <f ca="1">IFERROR(__xludf.DUMMYFUNCTION("""COMPUTED_VALUE"""),"RFQ-5227/TRASLADO")</f>
        <v>RFQ-5227/TRASLADO</v>
      </c>
      <c r="K22" s="17" t="str">
        <f ca="1">IFERROR(__xludf.DUMMYFUNCTION("""COMPUTED_VALUE"""),"93F1199F-CB38-445E-91DC-AB1B03C0856E")</f>
        <v>93F1199F-CB38-445E-91DC-AB1B03C0856E</v>
      </c>
      <c r="L22" s="17"/>
      <c r="M22" s="17"/>
      <c r="N22" s="17"/>
      <c r="O22" s="17"/>
    </row>
    <row r="23" spans="1:15" ht="12.5">
      <c r="A23" s="17" t="str">
        <f ca="1">IFERROR(__xludf.DUMMYFUNCTION("""COMPUTED_VALUE"""),"TRX1363")</f>
        <v>TRX1363</v>
      </c>
      <c r="B23" s="86" t="str">
        <f ca="1">IFERROR(__xludf.DUMMYFUNCTION("""COMPUTED_VALUE"""),"-")</f>
        <v>-</v>
      </c>
      <c r="C23" s="63">
        <f ca="1">IFERROR(__xludf.DUMMYFUNCTION("""COMPUTED_VALUE"""),46074.4166666666)</f>
        <v>46074.416666666599</v>
      </c>
      <c r="D23" s="65">
        <f ca="1">IFERROR(__xludf.DUMMYFUNCTION("""COMPUTED_VALUE"""),69.3)</f>
        <v>69.3</v>
      </c>
      <c r="E23" s="17" t="str">
        <f ca="1">IFERROR(__xludf.DUMMYFUNCTION("""COMPUTED_VALUE"""),"MXN")</f>
        <v>MXN</v>
      </c>
      <c r="F23" s="17" t="str">
        <f ca="1">IFERROR(__xludf.DUMMYFUNCTION("""COMPUTED_VALUE"""),"Jorge Pena De La Luz")</f>
        <v>Jorge Pena De La Luz</v>
      </c>
      <c r="G23" s="17" t="str">
        <f ca="1">IFERROR(__xludf.DUMMYFUNCTION("""COMPUTED_VALUE"""),"DLO DIDI RIDES MX      CIUDAD DE MEX MEX")</f>
        <v>DLO DIDI RIDES MX      CIUDAD DE MEX MEX</v>
      </c>
      <c r="H23" s="17" t="str">
        <f ca="1">IFERROR(__xludf.DUMMYFUNCTION("""COMPUTED_VALUE"""),"Didi Chuxing")</f>
        <v>Didi Chuxing</v>
      </c>
      <c r="I23" s="17" t="str">
        <f ca="1">IFERROR(__xludf.DUMMYFUNCTION("""COMPUTED_VALUE"""),"Sales")</f>
        <v>Sales</v>
      </c>
      <c r="J23" s="17" t="str">
        <f ca="1">IFERROR(__xludf.DUMMYFUNCTION("""COMPUTED_VALUE"""),"PO-2025/TRASLADO")</f>
        <v>PO-2025/TRASLADO</v>
      </c>
      <c r="K23" s="17" t="str">
        <f ca="1">IFERROR(__xludf.DUMMYFUNCTION("""COMPUTED_VALUE"""),"S/F")</f>
        <v>S/F</v>
      </c>
      <c r="L23" s="17"/>
      <c r="M23" s="17"/>
      <c r="N23" s="17"/>
      <c r="O23" s="17"/>
    </row>
    <row r="24" spans="1:15" ht="12.5">
      <c r="A24" s="17" t="str">
        <f ca="1">IFERROR(__xludf.DUMMYFUNCTION("""COMPUTED_VALUE"""),"TRX1115")</f>
        <v>TRX1115</v>
      </c>
      <c r="B24" s="86" t="str">
        <f ca="1">IFERROR(__xludf.DUMMYFUNCTION("""COMPUTED_VALUE"""),"-")</f>
        <v>-</v>
      </c>
      <c r="C24" s="63">
        <f ca="1">IFERROR(__xludf.DUMMYFUNCTION("""COMPUTED_VALUE"""),46077.4166666666)</f>
        <v>46077.416666666599</v>
      </c>
      <c r="D24" s="65">
        <f ca="1">IFERROR(__xludf.DUMMYFUNCTION("""COMPUTED_VALUE"""),100)</f>
        <v>100</v>
      </c>
      <c r="E24" s="17" t="str">
        <f ca="1">IFERROR(__xludf.DUMMYFUNCTION("""COMPUTED_VALUE"""),"MXN")</f>
        <v>MXN</v>
      </c>
      <c r="F24" s="17" t="str">
        <f ca="1">IFERROR(__xludf.DUMMYFUNCTION("""COMPUTED_VALUE"""),"Jorge Pena De La Luz")</f>
        <v>Jorge Pena De La Luz</v>
      </c>
      <c r="G24" s="17" t="str">
        <f ca="1">IFERROR(__xludf.DUMMYFUNCTION("""COMPUTED_VALUE"""),"MEXPAGO*MUEVECIUDAD    CIUDAD DE MEX MEX")</f>
        <v>MEXPAGO*MUEVECIUDAD    CIUDAD DE MEX MEX</v>
      </c>
      <c r="H24" s="17" t="str">
        <f ca="1">IFERROR(__xludf.DUMMYFUNCTION("""COMPUTED_VALUE"""),"Mexpago Mueveciudad Ciudad De Mex Mex")</f>
        <v>Mexpago Mueveciudad Ciudad De Mex Mex</v>
      </c>
      <c r="I24" s="17" t="str">
        <f ca="1">IFERROR(__xludf.DUMMYFUNCTION("""COMPUTED_VALUE"""),"Sales")</f>
        <v>Sales</v>
      </c>
      <c r="J24" s="17" t="str">
        <f ca="1">IFERROR(__xludf.DUMMYFUNCTION("""COMPUTED_VALUE"""),"RFQ-5227/ESTACIONAMIENTO")</f>
        <v>RFQ-5227/ESTACIONAMIENTO</v>
      </c>
      <c r="K24" s="17" t="str">
        <f ca="1">IFERROR(__xludf.DUMMYFUNCTION("""COMPUTED_VALUE"""),"S/F")</f>
        <v>S/F</v>
      </c>
      <c r="L24" s="17"/>
      <c r="M24" s="17"/>
      <c r="N24" s="17"/>
      <c r="O24" s="17"/>
    </row>
    <row r="25" spans="1:15" ht="12.5">
      <c r="A25" s="17" t="str">
        <f ca="1">IFERROR(__xludf.DUMMYFUNCTION("""COMPUTED_VALUE"""),"TRX1154")</f>
        <v>TRX1154</v>
      </c>
      <c r="B25" s="86" t="str">
        <f ca="1">IFERROR(__xludf.DUMMYFUNCTION("""COMPUTED_VALUE"""),"-")</f>
        <v>-</v>
      </c>
      <c r="C25" s="63">
        <f ca="1">IFERROR(__xludf.DUMMYFUNCTION("""COMPUTED_VALUE"""),46078.4166666666)</f>
        <v>46078.416666666599</v>
      </c>
      <c r="D25" s="65">
        <f ca="1">IFERROR(__xludf.DUMMYFUNCTION("""COMPUTED_VALUE"""),50)</f>
        <v>50</v>
      </c>
      <c r="E25" s="17" t="str">
        <f ca="1">IFERROR(__xludf.DUMMYFUNCTION("""COMPUTED_VALUE"""),"MXN")</f>
        <v>MXN</v>
      </c>
      <c r="F25" s="17" t="str">
        <f ca="1">IFERROR(__xludf.DUMMYFUNCTION("""COMPUTED_VALUE"""),"Jorge Pena De La Luz")</f>
        <v>Jorge Pena De La Luz</v>
      </c>
      <c r="G25" s="17" t="str">
        <f ca="1">IFERROR(__xludf.DUMMYFUNCTION("""COMPUTED_VALUE"""),"MEXPAGO*MUEVECIUDAD    CIUDAD DE MEX MEX")</f>
        <v>MEXPAGO*MUEVECIUDAD    CIUDAD DE MEX MEX</v>
      </c>
      <c r="H25" s="17" t="str">
        <f ca="1">IFERROR(__xludf.DUMMYFUNCTION("""COMPUTED_VALUE"""),"Mexpago Mueveciudad Ciudad De Mex Mex")</f>
        <v>Mexpago Mueveciudad Ciudad De Mex Mex</v>
      </c>
      <c r="I25" s="17" t="str">
        <f ca="1">IFERROR(__xludf.DUMMYFUNCTION("""COMPUTED_VALUE"""),"Sales")</f>
        <v>Sales</v>
      </c>
      <c r="J25" s="17" t="str">
        <f ca="1">IFERROR(__xludf.DUMMYFUNCTION("""COMPUTED_VALUE"""),"RFQ-5227/ESTACIONAMIENTO")</f>
        <v>RFQ-5227/ESTACIONAMIENTO</v>
      </c>
      <c r="K25" s="17" t="str">
        <f ca="1">IFERROR(__xludf.DUMMYFUNCTION("""COMPUTED_VALUE"""),"S/F")</f>
        <v>S/F</v>
      </c>
      <c r="L25" s="17"/>
      <c r="M25" s="17"/>
      <c r="N25" s="17"/>
      <c r="O25" s="17"/>
    </row>
    <row r="26" spans="1:15" ht="12.5">
      <c r="A26" s="17" t="str">
        <f ca="1">IFERROR(__xludf.DUMMYFUNCTION("""COMPUTED_VALUE"""),"TRX1155")</f>
        <v>TRX1155</v>
      </c>
      <c r="B26" s="86" t="str">
        <f ca="1">IFERROR(__xludf.DUMMYFUNCTION("""COMPUTED_VALUE"""),"-")</f>
        <v>-</v>
      </c>
      <c r="C26" s="63">
        <f ca="1">IFERROR(__xludf.DUMMYFUNCTION("""COMPUTED_VALUE"""),46078.4166666666)</f>
        <v>46078.416666666599</v>
      </c>
      <c r="D26" s="65">
        <f ca="1">IFERROR(__xludf.DUMMYFUNCTION("""COMPUTED_VALUE"""),300)</f>
        <v>300</v>
      </c>
      <c r="E26" s="17" t="str">
        <f ca="1">IFERROR(__xludf.DUMMYFUNCTION("""COMPUTED_VALUE"""),"MXN")</f>
        <v>MXN</v>
      </c>
      <c r="F26" s="17" t="str">
        <f ca="1">IFERROR(__xludf.DUMMYFUNCTION("""COMPUTED_VALUE"""),"Jorge Pena De La Luz")</f>
        <v>Jorge Pena De La Luz</v>
      </c>
      <c r="G26" s="17" t="str">
        <f ca="1">IFERROR(__xludf.DUMMYFUNCTION("""COMPUTED_VALUE"""),"PAY PAL*PASESERVICI    CIUDAD DE MEX MEX")</f>
        <v>PAY PAL*PASESERVICI    CIUDAD DE MEX MEX</v>
      </c>
      <c r="H26" s="17" t="str">
        <f ca="1">IFERROR(__xludf.DUMMYFUNCTION("""COMPUTED_VALUE"""),"Pay Pal Paseservici Ciudad De Mex Mex")</f>
        <v>Pay Pal Paseservici Ciudad De Mex Mex</v>
      </c>
      <c r="I26" s="17" t="str">
        <f ca="1">IFERROR(__xludf.DUMMYFUNCTION("""COMPUTED_VALUE"""),"Sales")</f>
        <v>Sales</v>
      </c>
      <c r="J26" s="17" t="str">
        <f ca="1">IFERROR(__xludf.DUMMYFUNCTION("""COMPUTED_VALUE"""),"PO-1062/TRASLADO")</f>
        <v>PO-1062/TRASLADO</v>
      </c>
      <c r="K26" s="17" t="str">
        <f ca="1">IFERROR(__xludf.DUMMYFUNCTION("""COMPUTED_VALUE"""),"D0494737-633B-4BA5-BCB9-1621EC48F925")</f>
        <v>D0494737-633B-4BA5-BCB9-1621EC48F925</v>
      </c>
      <c r="L26" s="17"/>
      <c r="M26" s="17"/>
      <c r="N26" s="17"/>
      <c r="O26" s="17"/>
    </row>
    <row r="27" spans="1:15" ht="12.5">
      <c r="A27" s="17" t="str">
        <f ca="1">IFERROR(__xludf.DUMMYFUNCTION("""COMPUTED_VALUE"""),"TRX1159")</f>
        <v>TRX1159</v>
      </c>
      <c r="B27" s="86" t="str">
        <f ca="1">IFERROR(__xludf.DUMMYFUNCTION("""COMPUTED_VALUE"""),"-")</f>
        <v>-</v>
      </c>
      <c r="C27" s="63">
        <f ca="1">IFERROR(__xludf.DUMMYFUNCTION("""COMPUTED_VALUE"""),46078.4173611111)</f>
        <v>46078.417361111096</v>
      </c>
      <c r="D27" s="65">
        <f ca="1">IFERROR(__xludf.DUMMYFUNCTION("""COMPUTED_VALUE"""),399)</f>
        <v>399</v>
      </c>
      <c r="E27" s="17" t="str">
        <f ca="1">IFERROR(__xludf.DUMMYFUNCTION("""COMPUTED_VALUE"""),"MXN")</f>
        <v>MXN</v>
      </c>
      <c r="F27" s="17" t="str">
        <f ca="1">IFERROR(__xludf.DUMMYFUNCTION("""COMPUTED_VALUE"""),"Jorge Pena De La Luz")</f>
        <v>Jorge Pena De La Luz</v>
      </c>
      <c r="G27" s="17" t="str">
        <f ca="1">IFERROR(__xludf.DUMMYFUNCTION("""COMPUTED_VALUE"""),"OPENAI *CHATGPT SUBSCR SAN FRANCISCO USA")</f>
        <v>OPENAI *CHATGPT SUBSCR SAN FRANCISCO USA</v>
      </c>
      <c r="H27" s="17" t="str">
        <f ca="1">IFERROR(__xludf.DUMMYFUNCTION("""COMPUTED_VALUE"""),"Openai")</f>
        <v>Openai</v>
      </c>
      <c r="I27" s="17" t="str">
        <f ca="1">IFERROR(__xludf.DUMMYFUNCTION("""COMPUTED_VALUE"""),"Tech&amp;Product")</f>
        <v>Tech&amp;Product</v>
      </c>
      <c r="J27" s="17" t="str">
        <f ca="1">IFERROR(__xludf.DUMMYFUNCTION("""COMPUTED_VALUE"""),"RFQ-5108/TAKEOFF")</f>
        <v>RFQ-5108/TAKEOFF</v>
      </c>
      <c r="K27" s="17" t="str">
        <f ca="1">IFERROR(__xludf.DUMMYFUNCTION("""COMPUTED_VALUE"""),"S/F")</f>
        <v>S/F</v>
      </c>
      <c r="L27" s="17"/>
      <c r="M27" s="17"/>
      <c r="N27" s="17"/>
      <c r="O27" s="17"/>
    </row>
    <row r="28" spans="1:15" ht="12.5">
      <c r="A28" s="17" t="str">
        <f ca="1">IFERROR(__xludf.DUMMYFUNCTION("""COMPUTED_VALUE"""),"TRX1268")</f>
        <v>TRX1268</v>
      </c>
      <c r="B28" s="86" t="str">
        <f ca="1">IFERROR(__xludf.DUMMYFUNCTION("""COMPUTED_VALUE"""),"-")</f>
        <v>-</v>
      </c>
      <c r="C28" s="63">
        <f ca="1">IFERROR(__xludf.DUMMYFUNCTION("""COMPUTED_VALUE"""),46081.4166666666)</f>
        <v>46081.416666666599</v>
      </c>
      <c r="D28" s="17">
        <f ca="1">IFERROR(__xludf.DUMMYFUNCTION("""COMPUTED_VALUE"""),53.1)</f>
        <v>53.1</v>
      </c>
      <c r="E28" s="17" t="str">
        <f ca="1">IFERROR(__xludf.DUMMYFUNCTION("""COMPUTED_VALUE"""),"MXN")</f>
        <v>MXN</v>
      </c>
      <c r="F28" s="17" t="str">
        <f ca="1">IFERROR(__xludf.DUMMYFUNCTION("""COMPUTED_VALUE"""),"Jorge Pena De La Luz")</f>
        <v>Jorge Pena De La Luz</v>
      </c>
      <c r="G28" s="17" t="str">
        <f ca="1">IFERROR(__xludf.DUMMYFUNCTION("""COMPUTED_VALUE"""),"DLO DIDI RIDES MX      CIUDAD DE MEX MEX")</f>
        <v>DLO DIDI RIDES MX      CIUDAD DE MEX MEX</v>
      </c>
      <c r="H28" s="17" t="str">
        <f ca="1">IFERROR(__xludf.DUMMYFUNCTION("""COMPUTED_VALUE"""),"Didi Chuxing")</f>
        <v>Didi Chuxing</v>
      </c>
      <c r="I28" s="17" t="str">
        <f ca="1">IFERROR(__xludf.DUMMYFUNCTION("""COMPUTED_VALUE"""),"Sales")</f>
        <v>Sales</v>
      </c>
      <c r="J28" s="17" t="str">
        <f ca="1">IFERROR(__xludf.DUMMYFUNCTION("""COMPUTED_VALUE"""),"RFQ-5227/TRASLADO")</f>
        <v>RFQ-5227/TRASLADO</v>
      </c>
      <c r="K28" s="17" t="str">
        <f ca="1">IFERROR(__xludf.DUMMYFUNCTION("""COMPUTED_VALUE"""),"S/F")</f>
        <v>S/F</v>
      </c>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t="str">
        <f ca="1">IFERROR(__xludf.DUMMYFUNCTION("""COMPUTED_VALUE"""),"
")</f>
        <v xml:space="preserve">
</v>
      </c>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2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2012</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Sept'!$J$12:$J$1627=$A$2)"),"#N/A")</f>
        <v>#N/A</v>
      </c>
      <c r="B12" s="86"/>
      <c r="C12" s="86"/>
      <c r="D12" s="17" t="str">
        <f ca="1">IFERROR(__xludf.DUMMYFUNCTION("FILTER('Edo Cta Jeeves Sept'!$G$12:$G$1300,'Edo Cta Jeeves Sept'!$J$12:$J$1300=$A$2)"),"#N/A")</f>
        <v>#N/A</v>
      </c>
      <c r="E12" s="17" t="str">
        <f ca="1">IFERROR(__xludf.DUMMYFUNCTION("FILTER('Edo Cta Jeeves Sept'!$I$12:$I$1300,'Edo Cta Jeeves Sept'!$J$12:$J$1300=$A$2)"),"#N/A")</f>
        <v>#N/A</v>
      </c>
      <c r="F12" s="17" t="str">
        <f ca="1">IFERROR(__xludf.DUMMYFUNCTION("FILTER('Edo Cta Jeeves Sept'!$J$12:$J$1300,'Edo Cta Jeeves Sept'!$J$12:$J$1300=$A$2)"),"#N/A")</f>
        <v>#N/A</v>
      </c>
      <c r="G12" s="17" t="str">
        <f ca="1">IFERROR(__xludf.DUMMYFUNCTION("FILTER('Edo Cta Jeeves Sept'!$K$12:$L$1300,'Edo Cta Jeeves Sept'!$J$12:$J$1300=$A$2)"),"#N/A")</f>
        <v>#N/A</v>
      </c>
      <c r="H12" s="17"/>
      <c r="I12" s="17" t="str">
        <f ca="1">IFERROR(__xludf.DUMMYFUNCTION("IMPORTRANGE(""https://docs.google.com/spreadsheets/d/1NhxIAw3w_8NA6f8IBronAVHc9xdzyiEgOHmT6rcHOzQ/edit?gid=1404531132#gid=1404531132"",""I12:K80"")"),"Office expenses")</f>
        <v>Office expenses</v>
      </c>
      <c r="J12" s="17" t="str">
        <f ca="1">IFERROR(__xludf.DUMMYFUNCTION("""COMPUTED_VALUE"""),"No factura")</f>
        <v>No factura</v>
      </c>
      <c r="K12" s="17"/>
      <c r="L12" s="17"/>
      <c r="M12" s="17"/>
      <c r="N12" s="17"/>
      <c r="O12" s="17"/>
    </row>
    <row r="13" spans="1:15" ht="15.75" customHeight="1">
      <c r="A13" s="24"/>
      <c r="B13" s="86"/>
      <c r="C13" s="24"/>
      <c r="D13" s="17"/>
      <c r="E13" s="17"/>
      <c r="F13" s="17"/>
      <c r="G13" s="17"/>
      <c r="H13" s="17"/>
      <c r="I13" s="17" t="str">
        <f ca="1">IFERROR(__xludf.DUMMYFUNCTION("""COMPUTED_VALUE"""),"Sales")</f>
        <v>Sales</v>
      </c>
      <c r="J13" s="17"/>
      <c r="K13" s="17"/>
      <c r="L13" s="17"/>
      <c r="M13" s="17"/>
      <c r="N13" s="17"/>
      <c r="O13" s="17"/>
    </row>
    <row r="14" spans="1:15" ht="15.75" customHeight="1">
      <c r="A14" s="24"/>
      <c r="B14" s="86"/>
      <c r="C14" s="24"/>
      <c r="D14" s="17"/>
      <c r="E14" s="17"/>
      <c r="F14" s="17"/>
      <c r="G14" s="17"/>
      <c r="H14" s="17"/>
      <c r="I14" s="17" t="str">
        <f ca="1">IFERROR(__xludf.DUMMYFUNCTION("""COMPUTED_VALUE"""),"Sales")</f>
        <v>Sales</v>
      </c>
      <c r="J14" s="17"/>
      <c r="K14" s="17"/>
      <c r="L14" s="17"/>
      <c r="M14" s="17"/>
      <c r="N14" s="17"/>
      <c r="O14" s="17"/>
    </row>
    <row r="15" spans="1:15" ht="15.75" customHeight="1">
      <c r="A15" s="24"/>
      <c r="B15" s="24"/>
      <c r="C15" s="24"/>
      <c r="D15" s="17"/>
      <c r="E15" s="17"/>
      <c r="F15" s="17"/>
      <c r="G15" s="17"/>
      <c r="H15" s="17"/>
      <c r="I15" s="17" t="str">
        <f ca="1">IFERROR(__xludf.DUMMYFUNCTION("""COMPUTED_VALUE"""),"Sales")</f>
        <v>Sales</v>
      </c>
      <c r="J15" s="17"/>
      <c r="K15" s="17"/>
      <c r="L15" s="17"/>
      <c r="M15" s="17"/>
      <c r="N15" s="17"/>
      <c r="O15" s="17"/>
    </row>
    <row r="16" spans="1:15" ht="15.75" customHeight="1">
      <c r="A16" s="17"/>
      <c r="B16" s="24"/>
      <c r="C16" s="24"/>
      <c r="D16" s="133"/>
      <c r="E16" s="17"/>
      <c r="F16" s="17"/>
      <c r="G16" s="17"/>
      <c r="H16" s="17"/>
      <c r="I16" s="17" t="str">
        <f ca="1">IFERROR(__xludf.DUMMYFUNCTION("""COMPUTED_VALUE"""),"Office expenses")</f>
        <v>Office expenses</v>
      </c>
      <c r="J16" s="17"/>
      <c r="K16" s="17"/>
      <c r="L16" s="17"/>
      <c r="M16" s="17"/>
      <c r="N16" s="17"/>
      <c r="O16" s="17"/>
    </row>
    <row r="17" spans="1:15" ht="15.75" customHeight="1">
      <c r="A17" s="17"/>
      <c r="B17" s="24"/>
      <c r="C17" s="24"/>
      <c r="D17" s="133"/>
      <c r="E17" s="17"/>
      <c r="F17" s="17"/>
      <c r="G17" s="17"/>
      <c r="H17" s="17"/>
      <c r="I17" s="17" t="str">
        <f ca="1">IFERROR(__xludf.DUMMYFUNCTION("""COMPUTED_VALUE"""),"Office expenses")</f>
        <v>Office expenses</v>
      </c>
      <c r="J17" s="17"/>
      <c r="K17" s="17"/>
      <c r="L17" s="17"/>
      <c r="M17" s="17"/>
      <c r="N17" s="17"/>
      <c r="O17" s="17"/>
    </row>
    <row r="18" spans="1:15" ht="15.75" customHeight="1">
      <c r="A18" s="17"/>
      <c r="B18" s="24"/>
      <c r="C18" s="24"/>
      <c r="D18" s="17"/>
      <c r="E18" s="17"/>
      <c r="F18" s="17"/>
      <c r="G18" s="17"/>
      <c r="H18" s="17"/>
      <c r="I18" s="17" t="str">
        <f ca="1">IFERROR(__xludf.DUMMYFUNCTION("""COMPUTED_VALUE"""),"Office expenses")</f>
        <v>Office expenses</v>
      </c>
      <c r="J18" s="17"/>
      <c r="K18" s="17" t="str">
        <f ca="1">IFERROR(__xludf.DUMMYFUNCTION("""COMPUTED_VALUE"""),".")</f>
        <v>.</v>
      </c>
      <c r="L18" s="17"/>
      <c r="M18" s="17"/>
      <c r="N18" s="17"/>
      <c r="O18" s="17"/>
    </row>
    <row r="19" spans="1:15" ht="15.75" customHeight="1">
      <c r="A19" s="17"/>
      <c r="B19" s="24"/>
      <c r="C19" s="24"/>
      <c r="D19" s="133"/>
      <c r="E19" s="17"/>
      <c r="F19" s="17"/>
      <c r="G19" s="17"/>
      <c r="H19" s="17"/>
      <c r="I19" s="17"/>
      <c r="J19" s="17"/>
      <c r="K19" s="17" t="str">
        <f ca="1">IFERROR(__xludf.DUMMYFUNCTION("""COMPUTED_VALUE"""),".")</f>
        <v>.</v>
      </c>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3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798</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Sept'!$J$12:$J$1627=$A$2)"),"TRX1491")</f>
        <v>TRX1491</v>
      </c>
      <c r="B12" s="86" t="str">
        <f ca="1">IFERROR(__xludf.DUMMYFUNCTION("""COMPUTED_VALUE"""),"-")</f>
        <v>-</v>
      </c>
      <c r="C12" s="86">
        <f ca="1">IFERROR(__xludf.DUMMYFUNCTION("""COMPUTED_VALUE"""),46061.4173611111)</f>
        <v>46061.417361111096</v>
      </c>
      <c r="D12" s="65">
        <f ca="1">IFERROR(__xludf.DUMMYFUNCTION("FILTER('Edo Cta Jeeves Sept'!$G$12:$G$1300,'Edo Cta Jeeves Sept'!$J$12:$J$1300=$A$2)"),756.88)</f>
        <v>756.88</v>
      </c>
      <c r="E12" s="17" t="str">
        <f ca="1">IFERROR(__xludf.DUMMYFUNCTION("FILTER('Edo Cta Jeeves Sept'!$I$12:$I$1300,'Edo Cta Jeeves Sept'!$J$12:$J$1300=$A$2)"),"MXN")</f>
        <v>MXN</v>
      </c>
      <c r="F12" s="17" t="str">
        <f ca="1">IFERROR(__xludf.DUMMYFUNCTION("FILTER('Edo Cta Jeeves Sept'!$J$12:$J$1300,'Edo Cta Jeeves Sept'!$J$12:$J$1300=$A$2)"),"Antonio Lopez")</f>
        <v>Antonio Lopez</v>
      </c>
      <c r="G12" s="17" t="str">
        <f ca="1">IFERROR(__xludf.DUMMYFUNCTION("FILTER('Edo Cta Jeeves Sept'!$K$12:$L$1300,'Edo Cta Jeeves Sept'!$J$12:$J$1300=$A$2)"),"GAS OXXOCASTELLANA     MONTERREY NL  MEX")</f>
        <v>GAS OXXOCASTELLANA     MONTERREY NL  MEX</v>
      </c>
      <c r="H12" s="17" t="str">
        <f ca="1">IFERROR(__xludf.DUMMYFUNCTION("""COMPUTED_VALUE"""),"Gas Oxxocastellana Monterrey Nl Mex")</f>
        <v>Gas Oxxocastellana Monterrey Nl Mex</v>
      </c>
      <c r="I12" s="17" t="str">
        <f ca="1">IFERROR(__xludf.DUMMYFUNCTION("IMPORTRANGE(""https://docs.google.com/spreadsheets/d/1awwdYRVHKrvPzhliroDqskeebSXvBzG_3Alz8AlClZY/edit?gid=1404531132#gid=1404531132"",""I12:K80"")"),"Capex")</f>
        <v>Capex</v>
      </c>
      <c r="J12" s="17" t="str">
        <f ca="1">IFERROR(__xludf.DUMMYFUNCTION("""COMPUTED_VALUE"""),"Snack Oficina Mty")</f>
        <v>Snack Oficina Mty</v>
      </c>
      <c r="K12" s="17" t="str">
        <f ca="1">IFERROR(__xludf.DUMMYFUNCTION("""COMPUTED_VALUE"""),"JN 300310")</f>
        <v>JN 300310</v>
      </c>
      <c r="L12" s="17"/>
      <c r="M12" s="17"/>
      <c r="N12" s="17"/>
      <c r="O12" s="17"/>
    </row>
    <row r="13" spans="1:15" ht="15.75" customHeight="1">
      <c r="A13" s="24" t="str">
        <f ca="1">IFERROR(__xludf.DUMMYFUNCTION("""COMPUTED_VALUE"""),"TRX1094")</f>
        <v>TRX1094</v>
      </c>
      <c r="B13" s="86" t="str">
        <f ca="1">IFERROR(__xludf.DUMMYFUNCTION("""COMPUTED_VALUE"""),"-")</f>
        <v>-</v>
      </c>
      <c r="C13" s="63">
        <f ca="1">IFERROR(__xludf.DUMMYFUNCTION("""COMPUTED_VALUE"""),46061.4173611111)</f>
        <v>46061.417361111096</v>
      </c>
      <c r="D13" s="65">
        <f ca="1">IFERROR(__xludf.DUMMYFUNCTION("""COMPUTED_VALUE"""),299.19)</f>
        <v>299.19</v>
      </c>
      <c r="E13" s="17" t="str">
        <f ca="1">IFERROR(__xludf.DUMMYFUNCTION("""COMPUTED_VALUE"""),"MXN")</f>
        <v>MXN</v>
      </c>
      <c r="F13" s="17" t="str">
        <f ca="1">IFERROR(__xludf.DUMMYFUNCTION("""COMPUTED_VALUE"""),"Antonio Lopez")</f>
        <v>Antonio Lopez</v>
      </c>
      <c r="G13" s="17" t="str">
        <f ca="1">IFERROR(__xludf.DUMMYFUNCTION("""COMPUTED_VALUE"""),"Google TikTok Videos   Mountain View USA")</f>
        <v>Google TikTok Videos   Mountain View USA</v>
      </c>
      <c r="H13" s="17" t="str">
        <f ca="1">IFERROR(__xludf.DUMMYFUNCTION("""COMPUTED_VALUE"""),"Google")</f>
        <v>Google</v>
      </c>
      <c r="I13" s="17" t="str">
        <f ca="1">IFERROR(__xludf.DUMMYFUNCTION("""COMPUTED_VALUE"""),"Sales")</f>
        <v>Sales</v>
      </c>
      <c r="J13" s="17" t="str">
        <f ca="1">IFERROR(__xludf.DUMMYFUNCTION("""COMPUTED_VALUE"""),"PO-2165 Vuelo cdmx")</f>
        <v>PO-2165 Vuelo cdmx</v>
      </c>
      <c r="K13" s="17">
        <f ca="1">IFERROR(__xludf.DUMMYFUNCTION("""COMPUTED_VALUE"""),152575164)</f>
        <v>152575164</v>
      </c>
      <c r="L13" s="17"/>
      <c r="M13" s="17"/>
      <c r="N13" s="17"/>
      <c r="O13" s="17"/>
    </row>
    <row r="14" spans="1:15" ht="15.75" customHeight="1">
      <c r="A14" s="24"/>
      <c r="B14" s="86"/>
      <c r="C14" s="24"/>
      <c r="D14" s="17"/>
      <c r="E14" s="17"/>
      <c r="F14" s="17"/>
      <c r="G14" s="17"/>
      <c r="H14" s="17"/>
      <c r="I14" s="17" t="str">
        <f ca="1">IFERROR(__xludf.DUMMYFUNCTION("""COMPUTED_VALUE"""),"Sales")</f>
        <v>Sales</v>
      </c>
      <c r="J14" s="17" t="str">
        <f ca="1">IFERROR(__xludf.DUMMYFUNCTION("""COMPUTED_VALUE"""),"PO-2165 Estacionamiento")</f>
        <v>PO-2165 Estacionamiento</v>
      </c>
      <c r="K14" s="17"/>
      <c r="L14" s="17"/>
      <c r="M14" s="17"/>
      <c r="N14" s="17"/>
      <c r="O14" s="17"/>
    </row>
    <row r="15" spans="1:15" ht="15.75" customHeight="1">
      <c r="A15" s="24"/>
      <c r="B15" s="24"/>
      <c r="C15" s="24"/>
      <c r="D15" s="17"/>
      <c r="E15" s="17"/>
      <c r="F15" s="17"/>
      <c r="G15" s="17"/>
      <c r="H15" s="17"/>
      <c r="I15" s="17" t="str">
        <f ca="1">IFERROR(__xludf.DUMMYFUNCTION("""COMPUTED_VALUE"""),"Sales")</f>
        <v>Sales</v>
      </c>
      <c r="J15" s="17" t="str">
        <f ca="1">IFERROR(__xludf.DUMMYFUNCTION("""COMPUTED_VALUE"""),"PO-2165 Gasolina")</f>
        <v>PO-2165 Gasolina</v>
      </c>
      <c r="K15" s="17" t="str">
        <f ca="1">IFERROR(__xludf.DUMMYFUNCTION("""COMPUTED_VALUE"""),"CLI57188922")</f>
        <v>CLI57188922</v>
      </c>
      <c r="L15" s="17"/>
      <c r="M15" s="17"/>
      <c r="N15" s="17"/>
      <c r="O15" s="17"/>
    </row>
    <row r="16" spans="1:15" ht="15.75" customHeight="1">
      <c r="A16" s="17"/>
      <c r="B16" s="24"/>
      <c r="C16" s="24"/>
      <c r="D16" s="133"/>
      <c r="E16" s="17"/>
      <c r="F16" s="17"/>
      <c r="G16" s="17"/>
      <c r="H16" s="17"/>
      <c r="I16" s="17" t="str">
        <f ca="1">IFERROR(__xludf.DUMMYFUNCTION("""COMPUTED_VALUE"""),"Sales")</f>
        <v>Sales</v>
      </c>
      <c r="J16" s="17" t="str">
        <f ca="1">IFERROR(__xludf.DUMMYFUNCTION("""COMPUTED_VALUE"""),"PO-2165 Estacionamiento")</f>
        <v>PO-2165 Estacionamiento</v>
      </c>
      <c r="K16" s="17">
        <f ca="1">IFERROR(__xludf.DUMMYFUNCTION("""COMPUTED_VALUE"""),2920519)</f>
        <v>2920519</v>
      </c>
      <c r="L16" s="17"/>
      <c r="M16" s="17"/>
      <c r="N16" s="17"/>
      <c r="O16" s="17"/>
    </row>
    <row r="17" spans="1:15" ht="15.75" customHeight="1">
      <c r="A17" s="17"/>
      <c r="B17" s="24"/>
      <c r="C17" s="24"/>
      <c r="D17" s="133"/>
      <c r="E17" s="17"/>
      <c r="F17" s="17"/>
      <c r="G17" s="17"/>
      <c r="H17" s="17"/>
      <c r="I17" s="17" t="str">
        <f ca="1">IFERROR(__xludf.DUMMYFUNCTION("""COMPUTED_VALUE"""),"Recruiting")</f>
        <v>Recruiting</v>
      </c>
      <c r="J17" s="17" t="str">
        <f ca="1">IFERROR(__xludf.DUMMYFUNCTION("""COMPUTED_VALUE"""),"PO-2165 Comida")</f>
        <v>PO-2165 Comida</v>
      </c>
      <c r="K17" s="17" t="str">
        <f ca="1">IFERROR(__xludf.DUMMYFUNCTION("""COMPUTED_VALUE"""),"SNOG9152")</f>
        <v>SNOG9152</v>
      </c>
      <c r="L17" s="17"/>
      <c r="M17" s="17"/>
      <c r="N17" s="17"/>
      <c r="O17" s="17"/>
    </row>
    <row r="18" spans="1:15" ht="15.75" customHeight="1">
      <c r="A18" s="17"/>
      <c r="B18" s="24"/>
      <c r="C18" s="24"/>
      <c r="D18" s="17"/>
      <c r="E18" s="17"/>
      <c r="F18" s="17"/>
      <c r="G18" s="17"/>
      <c r="H18" s="17"/>
      <c r="I18" s="17" t="str">
        <f ca="1">IFERROR(__xludf.DUMMYFUNCTION("""COMPUTED_VALUE"""),"Sales")</f>
        <v>Sales</v>
      </c>
      <c r="J18" s="17" t="str">
        <f ca="1">IFERROR(__xludf.DUMMYFUNCTION("""COMPUTED_VALUE"""),"PO-2165 Vuelo cdmx")</f>
        <v>PO-2165 Vuelo cdmx</v>
      </c>
      <c r="K18" s="17">
        <f ca="1">IFERROR(__xludf.DUMMYFUNCTION("""COMPUTED_VALUE"""),153020586)</f>
        <v>153020586</v>
      </c>
      <c r="L18" s="17"/>
      <c r="M18" s="17"/>
      <c r="N18" s="17"/>
      <c r="O18" s="17"/>
    </row>
    <row r="19" spans="1:15" ht="15.75" customHeight="1">
      <c r="A19" s="17"/>
      <c r="B19" s="24"/>
      <c r="C19" s="24"/>
      <c r="D19" s="133"/>
      <c r="E19" s="17"/>
      <c r="F19" s="17"/>
      <c r="G19" s="17"/>
      <c r="H19" s="17"/>
      <c r="I19" s="17" t="str">
        <f ca="1">IFERROR(__xludf.DUMMYFUNCTION("""COMPUTED_VALUE"""),"Sales")</f>
        <v>Sales</v>
      </c>
      <c r="J19" s="17" t="str">
        <f ca="1">IFERROR(__xludf.DUMMYFUNCTION("""COMPUTED_VALUE"""),"PO-2165 Comida")</f>
        <v>PO-2165 Comida</v>
      </c>
      <c r="K19" s="17" t="str">
        <f ca="1">IFERROR(__xludf.DUMMYFUNCTION("""COMPUTED_VALUE"""),"C 6066")</f>
        <v>C 6066</v>
      </c>
      <c r="L19" s="17"/>
      <c r="M19" s="17"/>
      <c r="N19" s="17"/>
      <c r="O19" s="17"/>
    </row>
    <row r="20" spans="1:15" ht="12.5">
      <c r="A20" s="17"/>
      <c r="B20" s="24"/>
      <c r="C20" s="24"/>
      <c r="D20" s="133"/>
      <c r="E20" s="17"/>
      <c r="F20" s="17"/>
      <c r="G20" s="17"/>
      <c r="H20" s="17"/>
      <c r="I20" s="17"/>
      <c r="J20" s="17"/>
      <c r="K20" s="17"/>
      <c r="L20" s="17"/>
      <c r="M20" s="17"/>
      <c r="N20" s="17"/>
      <c r="O20" s="17"/>
    </row>
    <row r="21" spans="1:15" ht="12.5">
      <c r="A21" s="17"/>
      <c r="B21" s="24"/>
      <c r="C21" s="24"/>
      <c r="D21" s="133"/>
      <c r="E21" s="17"/>
      <c r="F21" s="17"/>
      <c r="G21" s="17"/>
      <c r="H21" s="17"/>
      <c r="I21" s="17"/>
      <c r="J21" s="17"/>
      <c r="K21" s="17"/>
      <c r="L21" s="17"/>
      <c r="M21" s="17"/>
      <c r="N21" s="17"/>
      <c r="O21" s="17"/>
    </row>
    <row r="22" spans="1:15" ht="12.5">
      <c r="A22" s="17"/>
      <c r="B22" s="24"/>
      <c r="C22" s="24"/>
      <c r="D22" s="17"/>
      <c r="E22" s="17"/>
      <c r="F22" s="17"/>
      <c r="G22" s="17"/>
      <c r="H22" s="17"/>
      <c r="I22" s="17"/>
      <c r="J22" s="17"/>
      <c r="K22" s="17"/>
      <c r="L22" s="17"/>
      <c r="M22" s="17"/>
      <c r="N22" s="17"/>
      <c r="O22" s="17"/>
    </row>
    <row r="23" spans="1:15" ht="12.5">
      <c r="A23" s="17"/>
      <c r="B23" s="24"/>
      <c r="C23" s="24"/>
      <c r="D23" s="17"/>
      <c r="E23" s="17"/>
      <c r="F23" s="17"/>
      <c r="G23" s="17"/>
      <c r="H23" s="17"/>
      <c r="I23" s="17"/>
      <c r="J23" s="17"/>
      <c r="K23" s="17"/>
      <c r="L23" s="17"/>
      <c r="M23" s="17"/>
      <c r="N23" s="17"/>
      <c r="O23" s="17"/>
    </row>
    <row r="24" spans="1:15" ht="12.5">
      <c r="A24" s="17"/>
      <c r="B24" s="24"/>
      <c r="C24" s="24"/>
      <c r="D24" s="17"/>
      <c r="E24" s="17"/>
      <c r="F24" s="17"/>
      <c r="G24" s="17"/>
      <c r="H24" s="17"/>
      <c r="I24" s="17"/>
      <c r="J24" s="17"/>
      <c r="K24" s="17"/>
      <c r="L24" s="17"/>
      <c r="M24" s="17"/>
      <c r="N24" s="17"/>
      <c r="O24" s="17"/>
    </row>
    <row r="25" spans="1:15" ht="12.5">
      <c r="A25" s="17"/>
      <c r="B25" s="24"/>
      <c r="C25" s="24"/>
      <c r="D25" s="17"/>
      <c r="E25" s="17"/>
      <c r="F25" s="17"/>
      <c r="G25" s="17"/>
      <c r="H25" s="17"/>
      <c r="I25" s="17"/>
      <c r="J25" s="17"/>
      <c r="K25" s="17"/>
      <c r="L25" s="17"/>
      <c r="M25" s="17"/>
      <c r="N25" s="17"/>
      <c r="O25" s="17"/>
    </row>
    <row r="26" spans="1:15" ht="12.5">
      <c r="A26" s="17"/>
      <c r="B26" s="24"/>
      <c r="C26" s="24"/>
      <c r="D26" s="17"/>
      <c r="E26" s="17"/>
      <c r="F26" s="17"/>
      <c r="G26" s="17"/>
      <c r="H26" s="17"/>
      <c r="I26" s="17"/>
      <c r="J26" s="17"/>
      <c r="K26" s="17"/>
      <c r="L26" s="17"/>
      <c r="M26" s="17"/>
      <c r="N26" s="17"/>
      <c r="O26" s="17"/>
    </row>
    <row r="27" spans="1:15" ht="12.5">
      <c r="A27" s="17"/>
      <c r="B27" s="24"/>
      <c r="C27" s="24"/>
      <c r="D27" s="17"/>
      <c r="E27" s="17"/>
      <c r="F27" s="17"/>
      <c r="G27" s="17"/>
      <c r="H27" s="17"/>
      <c r="I27" s="17"/>
      <c r="J27" s="17"/>
      <c r="K27" s="17"/>
      <c r="L27" s="17"/>
      <c r="M27" s="17"/>
      <c r="N27" s="17"/>
      <c r="O27" s="17"/>
    </row>
    <row r="28" spans="1:15" ht="12.5">
      <c r="A28" s="17"/>
      <c r="B28" s="24"/>
      <c r="C28" s="24"/>
      <c r="D28" s="17"/>
      <c r="E28" s="17"/>
      <c r="F28" s="17"/>
      <c r="G28" s="17"/>
      <c r="H28" s="17"/>
      <c r="I28" s="17"/>
      <c r="J28" s="17"/>
      <c r="K28" s="17"/>
      <c r="L28" s="17"/>
      <c r="M28" s="17"/>
      <c r="N28" s="17"/>
      <c r="O28" s="17"/>
    </row>
    <row r="29" spans="1:15" ht="12.5">
      <c r="A29" s="17"/>
      <c r="B29" s="24"/>
      <c r="C29" s="24"/>
      <c r="D29" s="17"/>
      <c r="E29" s="17"/>
      <c r="F29" s="17"/>
      <c r="G29" s="17"/>
      <c r="H29" s="17"/>
      <c r="I29" s="17"/>
      <c r="J29" s="17"/>
      <c r="K29" s="17"/>
      <c r="L29" s="17"/>
      <c r="M29" s="17"/>
      <c r="N29" s="17"/>
      <c r="O29" s="17"/>
    </row>
    <row r="30" spans="1:15" ht="12.5">
      <c r="A30" s="17"/>
      <c r="B30" s="24"/>
      <c r="C30" s="24"/>
      <c r="D30" s="17"/>
      <c r="E30" s="17"/>
      <c r="F30" s="17"/>
      <c r="G30" s="17"/>
      <c r="H30" s="17"/>
      <c r="I30" s="17"/>
      <c r="J30" s="17"/>
      <c r="K30" s="17"/>
      <c r="L30" s="17"/>
      <c r="M30" s="17"/>
      <c r="N30" s="17"/>
      <c r="O30" s="17"/>
    </row>
    <row r="31" spans="1:15" ht="12.5">
      <c r="A31" s="17"/>
      <c r="B31" s="24"/>
      <c r="C31" s="24"/>
      <c r="D31" s="17"/>
      <c r="E31" s="17"/>
      <c r="F31" s="17"/>
      <c r="G31" s="17"/>
      <c r="H31" s="17"/>
      <c r="I31" s="17"/>
      <c r="J31" s="17"/>
      <c r="K31" s="17"/>
      <c r="L31" s="17"/>
      <c r="M31" s="17"/>
      <c r="N31" s="17"/>
      <c r="O31" s="17"/>
    </row>
    <row r="32" spans="1:15" ht="12.5">
      <c r="A32" s="17"/>
      <c r="B32" s="24"/>
      <c r="C32" s="24"/>
      <c r="D32" s="17"/>
      <c r="E32" s="17"/>
      <c r="F32" s="17"/>
      <c r="G32" s="17"/>
      <c r="H32" s="17"/>
      <c r="I32" s="17"/>
      <c r="J32" s="17"/>
      <c r="K32" s="17"/>
      <c r="L32" s="17"/>
      <c r="M32" s="17"/>
      <c r="N32" s="17"/>
      <c r="O32" s="17"/>
    </row>
    <row r="33" spans="1:15" ht="12.5">
      <c r="A33" s="17"/>
      <c r="B33" s="24"/>
      <c r="C33" s="24"/>
      <c r="D33" s="17"/>
      <c r="E33" s="17"/>
      <c r="F33" s="17"/>
      <c r="G33" s="17"/>
      <c r="H33" s="17"/>
      <c r="I33" s="17"/>
      <c r="J33" s="17"/>
      <c r="K33" s="17"/>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4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1851</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Sept'!$J$12:$J$1627=$A$2)"),"TRX1184")</f>
        <v>TRX1184</v>
      </c>
      <c r="B12" s="86" t="str">
        <f ca="1">IFERROR(__xludf.DUMMYFUNCTION("""COMPUTED_VALUE"""),"-")</f>
        <v>-</v>
      </c>
      <c r="C12" s="86">
        <f ca="1">IFERROR(__xludf.DUMMYFUNCTION("""COMPUTED_VALUE"""),46079.4166666666)</f>
        <v>46079.416666666599</v>
      </c>
      <c r="D12" s="65">
        <f ca="1">IFERROR(__xludf.DUMMYFUNCTION("FILTER('Edo Cta Jeeves Sept'!$G$12:$G$1300,'Edo Cta Jeeves Sept'!$J$12:$J$1300=$A$2)"),300)</f>
        <v>300</v>
      </c>
      <c r="E12" s="17" t="str">
        <f ca="1">IFERROR(__xludf.DUMMYFUNCTION("FILTER('Edo Cta Jeeves Sept'!$I$12:$I$1300,'Edo Cta Jeeves Sept'!$J$12:$J$1300=$A$2)"),"MXN")</f>
        <v>MXN</v>
      </c>
      <c r="F12" s="17" t="str">
        <f ca="1">IFERROR(__xludf.DUMMYFUNCTION("FILTER('Edo Cta Jeeves Sept'!$J$12:$J$1300,'Edo Cta Jeeves Sept'!$J$12:$J$1300=$A$2)"),"Montserrat Camacho")</f>
        <v>Montserrat Camacho</v>
      </c>
      <c r="G12" s="17" t="str">
        <f ca="1">IFERROR(__xludf.DUMMYFUNCTION("FILTER('Edo Cta Jeeves Sept'!$K$12:$L$1300,'Edo Cta Jeeves Sept'!$J$12:$J$1300=$A$2)"),"RECARGA PASE TUTAG     CIUDAD DE MEX MEX")</f>
        <v>RECARGA PASE TUTAG     CIUDAD DE MEX MEX</v>
      </c>
      <c r="H12" s="17" t="str">
        <f ca="1">IFERROR(__xludf.DUMMYFUNCTION("""COMPUTED_VALUE"""),"Recarga Pase Tutag Ciudad De Mex Mex")</f>
        <v>Recarga Pase Tutag Ciudad De Mex Mex</v>
      </c>
      <c r="I12" s="17" t="str">
        <f ca="1">IFERROR(__xludf.DUMMYFUNCTION("IMPORTRANGE(""https://docs.google.com/spreadsheets/d/1WB3FYAfwSqy7TQn3maxq70jEwNqY1JzG-rVHbfBqu7Q/edit?gid=1404531132#gid=1404531132"",""I12:K80"")"),"Capex")</f>
        <v>Capex</v>
      </c>
      <c r="J12" s="17" t="str">
        <f ca="1">IFERROR(__xludf.DUMMYFUNCTION("""COMPUTED_VALUE"""),"PO1777 TAG/CASETAS VISITA PLANTA")</f>
        <v>PO1777 TAG/CASETAS VISITA PLANTA</v>
      </c>
      <c r="K12" s="17" t="str">
        <f ca="1">IFERROR(__xludf.DUMMYFUNCTION("""COMPUTED_VALUE"""),"3A986234-17F5-4EEA-A3F0-BD2DC19566FA")</f>
        <v>3A986234-17F5-4EEA-A3F0-BD2DC19566FA</v>
      </c>
      <c r="L12" s="17"/>
      <c r="M12" s="17"/>
      <c r="N12" s="17"/>
      <c r="O12" s="17"/>
    </row>
    <row r="13" spans="1:15" ht="15.75" customHeight="1">
      <c r="A13" s="24"/>
      <c r="B13" s="86"/>
      <c r="C13" s="24"/>
      <c r="D13" s="17"/>
      <c r="E13" s="17"/>
      <c r="F13" s="17"/>
      <c r="G13" s="17"/>
      <c r="H13" s="17"/>
      <c r="I13" s="17"/>
      <c r="J13" s="17"/>
      <c r="K13" s="17"/>
      <c r="L13" s="17"/>
      <c r="M13" s="17"/>
      <c r="N13" s="17"/>
      <c r="O13" s="17"/>
    </row>
    <row r="14" spans="1:15" ht="15.75" customHeight="1">
      <c r="A14" s="24"/>
      <c r="B14" s="86"/>
      <c r="C14" s="24"/>
      <c r="D14" s="17"/>
      <c r="E14" s="17"/>
      <c r="F14" s="17"/>
      <c r="G14" s="17"/>
      <c r="H14" s="17"/>
      <c r="I14" s="17"/>
      <c r="J14" s="17"/>
      <c r="K14" s="17"/>
      <c r="L14" s="17"/>
      <c r="M14" s="17"/>
      <c r="N14" s="17"/>
      <c r="O14" s="17"/>
    </row>
    <row r="15" spans="1:15" ht="15.75" customHeight="1">
      <c r="A15" s="24"/>
      <c r="B15" s="24"/>
      <c r="C15" s="24"/>
      <c r="D15" s="17"/>
      <c r="E15" s="17"/>
      <c r="F15" s="17"/>
      <c r="G15" s="17"/>
      <c r="H15" s="17"/>
      <c r="I15" s="17"/>
      <c r="J15" s="17"/>
      <c r="K15" s="17"/>
      <c r="L15" s="17"/>
      <c r="M15" s="17"/>
      <c r="N15" s="17"/>
      <c r="O15" s="17"/>
    </row>
    <row r="16" spans="1:15" ht="15.75" customHeight="1">
      <c r="A16" s="17"/>
      <c r="B16" s="24"/>
      <c r="C16" s="24"/>
      <c r="D16" s="133"/>
      <c r="E16" s="17"/>
      <c r="F16" s="17"/>
      <c r="G16" s="17"/>
      <c r="H16" s="17"/>
      <c r="I16" s="17"/>
      <c r="J16" s="17"/>
      <c r="K16" s="17"/>
      <c r="L16" s="17"/>
      <c r="M16" s="17"/>
      <c r="N16" s="17"/>
      <c r="O16" s="17"/>
    </row>
    <row r="17" spans="1:15" ht="15.75" customHeight="1">
      <c r="A17" s="17"/>
      <c r="B17" s="24"/>
      <c r="C17" s="24"/>
      <c r="D17" s="133"/>
      <c r="E17" s="17"/>
      <c r="F17" s="17"/>
      <c r="G17" s="17"/>
      <c r="H17" s="17"/>
      <c r="I17" s="17"/>
      <c r="J17" s="17"/>
      <c r="K17" s="17"/>
      <c r="L17" s="17"/>
      <c r="M17" s="17"/>
      <c r="N17" s="17"/>
      <c r="O17" s="17"/>
    </row>
    <row r="18" spans="1:15" ht="15.75" customHeight="1">
      <c r="A18" s="17"/>
      <c r="B18" s="24"/>
      <c r="C18" s="24"/>
      <c r="D18" s="17"/>
      <c r="E18" s="17"/>
      <c r="F18" s="17"/>
      <c r="G18" s="17"/>
      <c r="H18" s="17"/>
      <c r="I18" s="17"/>
      <c r="J18" s="17"/>
      <c r="K18" s="17"/>
      <c r="L18" s="17"/>
      <c r="M18" s="17"/>
      <c r="N18" s="17"/>
      <c r="O18" s="17"/>
    </row>
    <row r="19" spans="1:15" ht="15.75" customHeight="1">
      <c r="A19" s="17"/>
      <c r="B19" s="24"/>
      <c r="C19" s="24"/>
      <c r="D19" s="133"/>
      <c r="E19" s="17"/>
      <c r="F19" s="17"/>
      <c r="G19" s="17"/>
      <c r="H19" s="17"/>
      <c r="I19" s="17"/>
      <c r="J19" s="17"/>
      <c r="K19" s="17"/>
      <c r="L19" s="17"/>
      <c r="M19" s="17"/>
      <c r="N19" s="17"/>
      <c r="O19" s="17"/>
    </row>
    <row r="20" spans="1:15" ht="12.5">
      <c r="A20" s="17"/>
      <c r="B20" s="24"/>
      <c r="C20" s="24"/>
      <c r="D20" s="133"/>
      <c r="E20" s="17"/>
      <c r="F20" s="17"/>
      <c r="G20" s="17"/>
      <c r="H20" s="17"/>
      <c r="I20" s="17"/>
      <c r="J20" s="17"/>
      <c r="K20" s="17" t="str">
        <f ca="1">IFERROR(__xludf.DUMMYFUNCTION("""COMPUTED_VALUE"""),".")</f>
        <v>.</v>
      </c>
      <c r="L20" s="17"/>
      <c r="M20" s="17"/>
      <c r="N20" s="17"/>
      <c r="O20" s="17"/>
    </row>
    <row r="21" spans="1:15" ht="12.5">
      <c r="A21" s="17"/>
      <c r="B21" s="24"/>
      <c r="C21" s="24"/>
      <c r="D21" s="133"/>
      <c r="E21" s="17"/>
      <c r="F21" s="17"/>
      <c r="G21" s="17"/>
      <c r="H21" s="17"/>
      <c r="I21" s="17"/>
      <c r="J21" s="17"/>
      <c r="K21" s="17" t="str">
        <f ca="1">IFERROR(__xludf.DUMMYFUNCTION("""COMPUTED_VALUE"""),".")</f>
        <v>.</v>
      </c>
      <c r="L21" s="17"/>
      <c r="M21" s="17"/>
      <c r="N21" s="17"/>
      <c r="O21" s="17"/>
    </row>
    <row r="22" spans="1:15" ht="12.5">
      <c r="A22" s="17"/>
      <c r="B22" s="24"/>
      <c r="C22" s="24"/>
      <c r="D22" s="17"/>
      <c r="E22" s="17"/>
      <c r="F22" s="17"/>
      <c r="G22" s="17"/>
      <c r="H22" s="17"/>
      <c r="I22" s="17"/>
      <c r="J22" s="17"/>
      <c r="K22" s="17" t="str">
        <f ca="1">IFERROR(__xludf.DUMMYFUNCTION("""COMPUTED_VALUE"""),".")</f>
        <v>.</v>
      </c>
      <c r="L22" s="17"/>
      <c r="M22" s="17"/>
      <c r="N22" s="17"/>
      <c r="O22" s="17"/>
    </row>
    <row r="23" spans="1:15" ht="12.5">
      <c r="A23" s="17"/>
      <c r="B23" s="24"/>
      <c r="C23" s="24"/>
      <c r="D23" s="17"/>
      <c r="E23" s="17"/>
      <c r="F23" s="17"/>
      <c r="G23" s="17"/>
      <c r="H23" s="17"/>
      <c r="I23" s="17"/>
      <c r="J23" s="17"/>
      <c r="K23" s="17" t="str">
        <f ca="1">IFERROR(__xludf.DUMMYFUNCTION("""COMPUTED_VALUE"""),".")</f>
        <v>.</v>
      </c>
      <c r="L23" s="17"/>
      <c r="M23" s="17"/>
      <c r="N23" s="17"/>
      <c r="O23" s="17"/>
    </row>
    <row r="24" spans="1:15" ht="12.5">
      <c r="A24" s="17"/>
      <c r="B24" s="24"/>
      <c r="C24" s="24"/>
      <c r="D24" s="17"/>
      <c r="E24" s="17"/>
      <c r="F24" s="17"/>
      <c r="G24" s="17"/>
      <c r="H24" s="17"/>
      <c r="I24" s="17"/>
      <c r="J24" s="17"/>
      <c r="K24" s="17" t="str">
        <f ca="1">IFERROR(__xludf.DUMMYFUNCTION("""COMPUTED_VALUE"""),".")</f>
        <v>.</v>
      </c>
      <c r="L24" s="17"/>
      <c r="M24" s="17"/>
      <c r="N24" s="17"/>
      <c r="O24" s="17"/>
    </row>
    <row r="25" spans="1:15" ht="12.5">
      <c r="A25" s="17"/>
      <c r="B25" s="24"/>
      <c r="C25" s="24"/>
      <c r="D25" s="17"/>
      <c r="E25" s="17"/>
      <c r="F25" s="17"/>
      <c r="G25" s="17"/>
      <c r="H25" s="17"/>
      <c r="I25" s="17"/>
      <c r="J25" s="17"/>
      <c r="K25" s="17" t="str">
        <f ca="1">IFERROR(__xludf.DUMMYFUNCTION("""COMPUTED_VALUE"""),".")</f>
        <v>.</v>
      </c>
      <c r="L25" s="17"/>
      <c r="M25" s="17"/>
      <c r="N25" s="17"/>
      <c r="O25" s="17"/>
    </row>
    <row r="26" spans="1:15" ht="12.5">
      <c r="A26" s="17"/>
      <c r="B26" s="24"/>
      <c r="C26" s="24"/>
      <c r="D26" s="17"/>
      <c r="E26" s="17"/>
      <c r="F26" s="17"/>
      <c r="G26" s="17"/>
      <c r="H26" s="17"/>
      <c r="I26" s="17"/>
      <c r="J26" s="17"/>
      <c r="K26" s="17" t="str">
        <f ca="1">IFERROR(__xludf.DUMMYFUNCTION("""COMPUTED_VALUE"""),".")</f>
        <v>.</v>
      </c>
      <c r="L26" s="17"/>
      <c r="M26" s="17"/>
      <c r="N26" s="17"/>
      <c r="O26" s="17"/>
    </row>
    <row r="27" spans="1:15" ht="12.5">
      <c r="A27" s="17"/>
      <c r="B27" s="24"/>
      <c r="C27" s="24"/>
      <c r="D27" s="17"/>
      <c r="E27" s="17"/>
      <c r="F27" s="17"/>
      <c r="G27" s="17"/>
      <c r="H27" s="17"/>
      <c r="I27" s="17"/>
      <c r="J27" s="17"/>
      <c r="K27" s="17" t="str">
        <f ca="1">IFERROR(__xludf.DUMMYFUNCTION("""COMPUTED_VALUE"""),".")</f>
        <v>.</v>
      </c>
      <c r="L27" s="17"/>
      <c r="M27" s="17"/>
      <c r="N27" s="17"/>
      <c r="O27" s="17"/>
    </row>
    <row r="28" spans="1:15" ht="12.5">
      <c r="A28" s="17"/>
      <c r="B28" s="24"/>
      <c r="C28" s="24"/>
      <c r="D28" s="17"/>
      <c r="E28" s="17"/>
      <c r="F28" s="17"/>
      <c r="G28" s="17"/>
      <c r="H28" s="17"/>
      <c r="I28" s="17"/>
      <c r="J28" s="17"/>
      <c r="K28" s="17" t="str">
        <f ca="1">IFERROR(__xludf.DUMMYFUNCTION("""COMPUTED_VALUE"""),".")</f>
        <v>.</v>
      </c>
      <c r="L28" s="17"/>
      <c r="M28" s="17"/>
      <c r="N28" s="17"/>
      <c r="O28" s="17"/>
    </row>
    <row r="29" spans="1:15" ht="12.5">
      <c r="A29" s="17"/>
      <c r="B29" s="24"/>
      <c r="C29" s="24"/>
      <c r="D29" s="17"/>
      <c r="E29" s="17"/>
      <c r="F29" s="17"/>
      <c r="G29" s="17"/>
      <c r="H29" s="17"/>
      <c r="I29" s="17"/>
      <c r="J29" s="17"/>
      <c r="K29" s="17" t="str">
        <f ca="1">IFERROR(__xludf.DUMMYFUNCTION("""COMPUTED_VALUE"""),".")</f>
        <v>.</v>
      </c>
      <c r="L29" s="17"/>
      <c r="M29" s="17"/>
      <c r="N29" s="17"/>
      <c r="O29" s="17"/>
    </row>
    <row r="30" spans="1:15" ht="12.5">
      <c r="A30" s="17"/>
      <c r="B30" s="24"/>
      <c r="C30" s="24"/>
      <c r="D30" s="17"/>
      <c r="E30" s="17"/>
      <c r="F30" s="17"/>
      <c r="G30" s="17"/>
      <c r="H30" s="17"/>
      <c r="I30" s="17"/>
      <c r="J30" s="17"/>
      <c r="K30" s="17" t="str">
        <f ca="1">IFERROR(__xludf.DUMMYFUNCTION("""COMPUTED_VALUE"""),".")</f>
        <v>.</v>
      </c>
      <c r="L30" s="17"/>
      <c r="M30" s="17"/>
      <c r="N30" s="17"/>
      <c r="O30" s="17"/>
    </row>
    <row r="31" spans="1:15" ht="12.5">
      <c r="A31" s="17"/>
      <c r="B31" s="24"/>
      <c r="C31" s="24"/>
      <c r="D31" s="17"/>
      <c r="E31" s="17"/>
      <c r="F31" s="17"/>
      <c r="G31" s="17"/>
      <c r="H31" s="17"/>
      <c r="I31" s="17"/>
      <c r="J31" s="17"/>
      <c r="K31" s="17" t="str">
        <f ca="1">IFERROR(__xludf.DUMMYFUNCTION("""COMPUTED_VALUE"""),".")</f>
        <v>.</v>
      </c>
      <c r="L31" s="17"/>
      <c r="M31" s="17"/>
      <c r="N31" s="17"/>
      <c r="O31" s="17"/>
    </row>
    <row r="32" spans="1:15" ht="12.5">
      <c r="A32" s="17"/>
      <c r="B32" s="24"/>
      <c r="C32" s="24"/>
      <c r="D32" s="17"/>
      <c r="E32" s="17"/>
      <c r="F32" s="17"/>
      <c r="G32" s="17"/>
      <c r="H32" s="17"/>
      <c r="I32" s="17"/>
      <c r="J32" s="17"/>
      <c r="K32" s="17" t="str">
        <f ca="1">IFERROR(__xludf.DUMMYFUNCTION("""COMPUTED_VALUE"""),".")</f>
        <v>.</v>
      </c>
      <c r="L32" s="17"/>
      <c r="M32" s="17"/>
      <c r="N32" s="17"/>
      <c r="O32" s="17"/>
    </row>
    <row r="33" spans="1:15" ht="12.5">
      <c r="A33" s="17"/>
      <c r="B33" s="24"/>
      <c r="C33" s="24"/>
      <c r="D33" s="17"/>
      <c r="E33" s="17"/>
      <c r="F33" s="17"/>
      <c r="G33" s="17"/>
      <c r="H33" s="17"/>
      <c r="I33" s="17"/>
      <c r="J33" s="17"/>
      <c r="K33" s="17" t="str">
        <f ca="1">IFERROR(__xludf.DUMMYFUNCTION("""COMPUTED_VALUE"""),".")</f>
        <v>.</v>
      </c>
      <c r="L33" s="17"/>
      <c r="M33" s="17"/>
      <c r="N33" s="17"/>
      <c r="O33" s="17"/>
    </row>
    <row r="34" spans="1:15" ht="12.5">
      <c r="A34" s="17"/>
      <c r="B34" s="24"/>
      <c r="C34" s="24"/>
      <c r="D34" s="17"/>
      <c r="E34" s="17"/>
      <c r="F34" s="17"/>
      <c r="G34" s="17"/>
      <c r="H34" s="17"/>
      <c r="I34" s="17"/>
      <c r="J34" s="17"/>
      <c r="K34" s="17" t="str">
        <f ca="1">IFERROR(__xludf.DUMMYFUNCTION("""COMPUTED_VALUE"""),".")</f>
        <v>.</v>
      </c>
      <c r="L34" s="17"/>
      <c r="M34" s="17"/>
      <c r="N34" s="17"/>
      <c r="O34" s="17"/>
    </row>
    <row r="35" spans="1:15" ht="12.5">
      <c r="A35" s="17"/>
      <c r="B35" s="24"/>
      <c r="C35" s="24"/>
      <c r="D35" s="17"/>
      <c r="E35" s="17"/>
      <c r="F35" s="17"/>
      <c r="G35" s="17"/>
      <c r="H35" s="17"/>
      <c r="I35" s="17"/>
      <c r="J35" s="17"/>
      <c r="K35" s="17" t="str">
        <f ca="1">IFERROR(__xludf.DUMMYFUNCTION("""COMPUTED_VALUE"""),".")</f>
        <v>.</v>
      </c>
      <c r="L35" s="17"/>
      <c r="M35" s="17"/>
      <c r="N35" s="17"/>
      <c r="O35" s="17"/>
    </row>
    <row r="36" spans="1:15" ht="12.5">
      <c r="A36" s="17"/>
      <c r="B36" s="24"/>
      <c r="C36" s="24"/>
      <c r="D36" s="17"/>
      <c r="E36" s="17"/>
      <c r="F36" s="17"/>
      <c r="G36" s="17"/>
      <c r="H36" s="17"/>
      <c r="I36" s="17"/>
      <c r="J36" s="17"/>
      <c r="K36" s="17" t="str">
        <f ca="1">IFERROR(__xludf.DUMMYFUNCTION("""COMPUTED_VALUE"""),".")</f>
        <v>.</v>
      </c>
      <c r="L36" s="17"/>
      <c r="M36" s="17"/>
      <c r="N36" s="17"/>
      <c r="O36" s="17"/>
    </row>
    <row r="37" spans="1:15" ht="12.5">
      <c r="A37" s="17"/>
      <c r="B37" s="24"/>
      <c r="C37" s="24"/>
      <c r="D37" s="17"/>
      <c r="E37" s="17"/>
      <c r="F37" s="17"/>
      <c r="G37" s="17"/>
      <c r="H37" s="17"/>
      <c r="I37" s="17"/>
      <c r="J37" s="17"/>
      <c r="K37" s="17" t="str">
        <f ca="1">IFERROR(__xludf.DUMMYFUNCTION("""COMPUTED_VALUE"""),".")</f>
        <v>.</v>
      </c>
      <c r="L37" s="17"/>
      <c r="M37" s="17"/>
      <c r="N37" s="17"/>
      <c r="O37" s="17"/>
    </row>
    <row r="38" spans="1:15" ht="12.5">
      <c r="A38" s="17"/>
      <c r="B38" s="24"/>
      <c r="C38" s="24"/>
      <c r="D38" s="17"/>
      <c r="E38" s="17"/>
      <c r="F38" s="17"/>
      <c r="G38" s="17"/>
      <c r="H38" s="17"/>
      <c r="I38" s="17"/>
      <c r="J38" s="17"/>
      <c r="K38" s="17" t="str">
        <f ca="1">IFERROR(__xludf.DUMMYFUNCTION("""COMPUTED_VALUE"""),".")</f>
        <v>.</v>
      </c>
      <c r="L38" s="17"/>
      <c r="M38" s="17"/>
      <c r="N38" s="17"/>
      <c r="O38" s="17"/>
    </row>
    <row r="39" spans="1:15" ht="12.5">
      <c r="A39" s="17"/>
      <c r="B39" s="24"/>
      <c r="C39" s="24"/>
      <c r="D39" s="17"/>
      <c r="E39" s="17"/>
      <c r="F39" s="17"/>
      <c r="G39" s="17"/>
      <c r="H39" s="17"/>
      <c r="I39" s="17"/>
      <c r="J39" s="17"/>
      <c r="K39" s="17" t="str">
        <f ca="1">IFERROR(__xludf.DUMMYFUNCTION("""COMPUTED_VALUE"""),".")</f>
        <v>.</v>
      </c>
      <c r="L39" s="17"/>
      <c r="M39" s="17"/>
      <c r="N39" s="17"/>
      <c r="O39" s="17"/>
    </row>
    <row r="40" spans="1:15" ht="12.5">
      <c r="A40" s="17"/>
      <c r="B40" s="24"/>
      <c r="C40" s="24"/>
      <c r="D40" s="17"/>
      <c r="E40" s="17"/>
      <c r="F40" s="17"/>
      <c r="G40" s="17"/>
      <c r="H40" s="17"/>
      <c r="I40" s="17"/>
      <c r="J40" s="17"/>
      <c r="K40" s="17" t="str">
        <f ca="1">IFERROR(__xludf.DUMMYFUNCTION("""COMPUTED_VALUE"""),".")</f>
        <v>.</v>
      </c>
      <c r="L40" s="17"/>
      <c r="M40" s="17"/>
      <c r="N40" s="17"/>
      <c r="O40" s="17"/>
    </row>
    <row r="41" spans="1:15" ht="12.5">
      <c r="A41" s="17"/>
      <c r="B41" s="24"/>
      <c r="C41" s="24"/>
      <c r="D41" s="17"/>
      <c r="E41" s="17"/>
      <c r="F41" s="17"/>
      <c r="G41" s="17"/>
      <c r="H41" s="17"/>
      <c r="I41" s="17"/>
      <c r="J41" s="17"/>
      <c r="K41" s="17" t="str">
        <f ca="1">IFERROR(__xludf.DUMMYFUNCTION("""COMPUTED_VALUE"""),".")</f>
        <v>.</v>
      </c>
      <c r="L41" s="17"/>
      <c r="M41" s="17"/>
      <c r="N41" s="17"/>
      <c r="O41" s="17"/>
    </row>
    <row r="42" spans="1:15" ht="12.5">
      <c r="A42" s="17"/>
      <c r="B42" s="24"/>
      <c r="C42" s="24"/>
      <c r="D42" s="17"/>
      <c r="E42" s="17"/>
      <c r="F42" s="17"/>
      <c r="G42" s="17"/>
      <c r="H42" s="17"/>
      <c r="I42" s="17"/>
      <c r="J42" s="17"/>
      <c r="K42" s="17" t="str">
        <f ca="1">IFERROR(__xludf.DUMMYFUNCTION("""COMPUTED_VALUE"""),".")</f>
        <v>.</v>
      </c>
      <c r="L42" s="17"/>
      <c r="M42" s="17"/>
      <c r="N42" s="17"/>
      <c r="O42" s="17"/>
    </row>
    <row r="43" spans="1:15" ht="12.5">
      <c r="A43" s="17"/>
      <c r="B43" s="24"/>
      <c r="C43" s="24"/>
      <c r="D43" s="17"/>
      <c r="E43" s="17"/>
      <c r="F43" s="17"/>
      <c r="G43" s="17"/>
      <c r="H43" s="17"/>
      <c r="I43" s="17"/>
      <c r="J43" s="17"/>
      <c r="K43" s="17" t="str">
        <f ca="1">IFERROR(__xludf.DUMMYFUNCTION("""COMPUTED_VALUE"""),".")</f>
        <v>.</v>
      </c>
      <c r="L43" s="17"/>
      <c r="M43" s="17"/>
      <c r="N43" s="17"/>
      <c r="O43" s="17"/>
    </row>
    <row r="44" spans="1:15" ht="12.5">
      <c r="A44" s="17"/>
      <c r="B44" s="24"/>
      <c r="C44" s="24"/>
      <c r="D44" s="17"/>
      <c r="E44" s="17"/>
      <c r="F44" s="17"/>
      <c r="G44" s="17"/>
      <c r="H44" s="17"/>
      <c r="I44" s="17"/>
      <c r="J44" s="17"/>
      <c r="K44" s="17" t="str">
        <f ca="1">IFERROR(__xludf.DUMMYFUNCTION("""COMPUTED_VALUE"""),".")</f>
        <v>.</v>
      </c>
      <c r="L44" s="17"/>
      <c r="M44" s="17"/>
      <c r="N44" s="17"/>
      <c r="O44" s="17"/>
    </row>
    <row r="45" spans="1:15" ht="12.5">
      <c r="A45" s="17"/>
      <c r="B45" s="24"/>
      <c r="C45" s="24"/>
      <c r="D45" s="17"/>
      <c r="E45" s="17"/>
      <c r="F45" s="17"/>
      <c r="G45" s="17"/>
      <c r="H45" s="17"/>
      <c r="I45" s="17"/>
      <c r="J45" s="17"/>
      <c r="K45" s="17" t="str">
        <f ca="1">IFERROR(__xludf.DUMMYFUNCTION("""COMPUTED_VALUE"""),".")</f>
        <v>.</v>
      </c>
      <c r="L45" s="17"/>
      <c r="M45" s="17"/>
      <c r="N45" s="17"/>
      <c r="O45" s="17"/>
    </row>
    <row r="46" spans="1:15" ht="12.5">
      <c r="A46" s="17"/>
      <c r="B46" s="24"/>
      <c r="C46" s="24"/>
      <c r="D46" s="17"/>
      <c r="E46" s="17"/>
      <c r="F46" s="17"/>
      <c r="G46" s="17"/>
      <c r="H46" s="17"/>
      <c r="I46" s="17"/>
      <c r="J46" s="17"/>
      <c r="K46" s="17" t="str">
        <f ca="1">IFERROR(__xludf.DUMMYFUNCTION("""COMPUTED_VALUE"""),".")</f>
        <v>.</v>
      </c>
      <c r="L46" s="17"/>
      <c r="M46" s="17"/>
      <c r="N46" s="17"/>
      <c r="O46" s="17"/>
    </row>
    <row r="47" spans="1:15" ht="12.5">
      <c r="A47" s="17"/>
      <c r="B47" s="24"/>
      <c r="C47" s="24"/>
      <c r="D47" s="17"/>
      <c r="E47" s="17"/>
      <c r="F47" s="17"/>
      <c r="G47" s="17"/>
      <c r="H47" s="17"/>
      <c r="I47" s="17"/>
      <c r="J47" s="17"/>
      <c r="K47" s="17" t="str">
        <f ca="1">IFERROR(__xludf.DUMMYFUNCTION("""COMPUTED_VALUE"""),".")</f>
        <v>.</v>
      </c>
      <c r="L47" s="17"/>
      <c r="M47" s="17"/>
      <c r="N47" s="17"/>
      <c r="O47" s="17"/>
    </row>
    <row r="48" spans="1:15" ht="12.5">
      <c r="A48" s="17"/>
      <c r="B48" s="24"/>
      <c r="C48" s="24"/>
      <c r="D48" s="17"/>
      <c r="E48" s="17"/>
      <c r="F48" s="17"/>
      <c r="G48" s="17"/>
      <c r="H48" s="17"/>
      <c r="I48" s="17"/>
      <c r="J48" s="17"/>
      <c r="K48" s="17" t="str">
        <f ca="1">IFERROR(__xludf.DUMMYFUNCTION("""COMPUTED_VALUE"""),".")</f>
        <v>.</v>
      </c>
      <c r="L48" s="17"/>
      <c r="M48" s="17"/>
      <c r="N48" s="17"/>
      <c r="O48" s="17"/>
    </row>
    <row r="49" spans="1:15" ht="12.5">
      <c r="A49" s="17"/>
      <c r="B49" s="24"/>
      <c r="C49" s="24"/>
      <c r="D49" s="17"/>
      <c r="E49" s="17"/>
      <c r="F49" s="17"/>
      <c r="G49" s="17"/>
      <c r="H49" s="17"/>
      <c r="I49" s="17"/>
      <c r="J49" s="17"/>
      <c r="K49" s="17" t="str">
        <f ca="1">IFERROR(__xludf.DUMMYFUNCTION("""COMPUTED_VALUE"""),".")</f>
        <v>.</v>
      </c>
      <c r="L49" s="17"/>
      <c r="M49" s="17"/>
      <c r="N49" s="17"/>
      <c r="O49" s="17"/>
    </row>
    <row r="50" spans="1:15" ht="12.5">
      <c r="A50" s="17"/>
      <c r="B50" s="24"/>
      <c r="C50" s="24"/>
      <c r="D50" s="17"/>
      <c r="E50" s="17"/>
      <c r="F50" s="17"/>
      <c r="G50" s="17"/>
      <c r="H50" s="17"/>
      <c r="I50" s="17"/>
      <c r="J50" s="17"/>
      <c r="K50" s="17" t="str">
        <f ca="1">IFERROR(__xludf.DUMMYFUNCTION("""COMPUTED_VALUE"""),".")</f>
        <v>.</v>
      </c>
      <c r="L50" s="17"/>
      <c r="M50" s="17"/>
      <c r="N50" s="17"/>
      <c r="O50" s="17"/>
    </row>
    <row r="51" spans="1:15" ht="12.5">
      <c r="A51" s="17"/>
      <c r="B51" s="24"/>
      <c r="C51" s="24"/>
      <c r="D51" s="17"/>
      <c r="E51" s="17"/>
      <c r="F51" s="17"/>
      <c r="G51" s="17"/>
      <c r="H51" s="17"/>
      <c r="I51" s="17"/>
      <c r="J51" s="17"/>
      <c r="K51" s="17" t="str">
        <f ca="1">IFERROR(__xludf.DUMMYFUNCTION("""COMPUTED_VALUE"""),".")</f>
        <v>.</v>
      </c>
      <c r="L51" s="17"/>
      <c r="M51" s="17"/>
      <c r="N51" s="17"/>
      <c r="O51" s="17"/>
    </row>
    <row r="52" spans="1:15" ht="12.5">
      <c r="A52" s="17"/>
      <c r="B52" s="24"/>
      <c r="C52" s="24"/>
      <c r="D52" s="17"/>
      <c r="E52" s="17"/>
      <c r="F52" s="17"/>
      <c r="G52" s="17"/>
      <c r="H52" s="17"/>
      <c r="I52" s="17"/>
      <c r="J52" s="17"/>
      <c r="K52" s="17" t="str">
        <f ca="1">IFERROR(__xludf.DUMMYFUNCTION("""COMPUTED_VALUE"""),".")</f>
        <v>.</v>
      </c>
      <c r="L52" s="17"/>
      <c r="M52" s="17"/>
      <c r="N52" s="17"/>
      <c r="O52" s="17"/>
    </row>
    <row r="53" spans="1:15" ht="12.5">
      <c r="A53" s="17"/>
      <c r="B53" s="24"/>
      <c r="C53" s="24"/>
      <c r="D53" s="17"/>
      <c r="E53" s="17"/>
      <c r="F53" s="17"/>
      <c r="G53" s="17"/>
      <c r="H53" s="17"/>
      <c r="I53" s="17"/>
      <c r="J53" s="17"/>
      <c r="K53" s="17" t="str">
        <f ca="1">IFERROR(__xludf.DUMMYFUNCTION("""COMPUTED_VALUE"""),".")</f>
        <v>.</v>
      </c>
      <c r="L53" s="17"/>
      <c r="M53" s="17"/>
      <c r="N53" s="17"/>
      <c r="O53" s="17"/>
    </row>
    <row r="54" spans="1:15" ht="12.5">
      <c r="A54" s="17"/>
      <c r="B54" s="24"/>
      <c r="C54" s="24"/>
      <c r="D54" s="17"/>
      <c r="E54" s="17"/>
      <c r="F54" s="17"/>
      <c r="G54" s="17"/>
      <c r="H54" s="17"/>
      <c r="I54" s="17"/>
      <c r="J54" s="17"/>
      <c r="K54" s="17" t="str">
        <f ca="1">IFERROR(__xludf.DUMMYFUNCTION("""COMPUTED_VALUE"""),".")</f>
        <v>.</v>
      </c>
      <c r="L54" s="17"/>
      <c r="M54" s="17"/>
      <c r="N54" s="17"/>
      <c r="O54" s="17"/>
    </row>
    <row r="55" spans="1:15" ht="12.5">
      <c r="A55" s="17"/>
      <c r="B55" s="24"/>
      <c r="C55" s="24"/>
      <c r="D55" s="17"/>
      <c r="E55" s="17"/>
      <c r="F55" s="17"/>
      <c r="G55" s="17"/>
      <c r="H55" s="17"/>
      <c r="I55" s="17"/>
      <c r="J55" s="17"/>
      <c r="K55" s="17" t="str">
        <f ca="1">IFERROR(__xludf.DUMMYFUNCTION("""COMPUTED_VALUE"""),".")</f>
        <v>.</v>
      </c>
      <c r="L55" s="17"/>
      <c r="M55" s="17"/>
      <c r="N55" s="17"/>
      <c r="O55" s="17"/>
    </row>
    <row r="56" spans="1:15" ht="12.5">
      <c r="A56" s="17"/>
      <c r="B56" s="24"/>
      <c r="C56" s="24"/>
      <c r="D56" s="17"/>
      <c r="E56" s="17"/>
      <c r="F56" s="17"/>
      <c r="G56" s="17"/>
      <c r="H56" s="17"/>
      <c r="I56" s="17"/>
      <c r="J56" s="17"/>
      <c r="K56" s="17" t="str">
        <f ca="1">IFERROR(__xludf.DUMMYFUNCTION("""COMPUTED_VALUE"""),".")</f>
        <v>.</v>
      </c>
      <c r="L56" s="17"/>
      <c r="M56" s="17"/>
      <c r="N56" s="17"/>
      <c r="O56" s="17"/>
    </row>
    <row r="57" spans="1:15" ht="12.5">
      <c r="A57" s="17"/>
      <c r="B57" s="24"/>
      <c r="C57" s="24"/>
      <c r="D57" s="17"/>
      <c r="E57" s="17"/>
      <c r="F57" s="17"/>
      <c r="G57" s="17"/>
      <c r="H57" s="17"/>
      <c r="I57" s="17"/>
      <c r="J57" s="17"/>
      <c r="K57" s="17" t="str">
        <f ca="1">IFERROR(__xludf.DUMMYFUNCTION("""COMPUTED_VALUE"""),".")</f>
        <v>.</v>
      </c>
      <c r="L57" s="17"/>
      <c r="M57" s="17"/>
      <c r="N57" s="17"/>
      <c r="O57" s="17"/>
    </row>
    <row r="58" spans="1:15" ht="12.5">
      <c r="A58" s="17"/>
      <c r="B58" s="24"/>
      <c r="C58" s="24"/>
      <c r="D58" s="17"/>
      <c r="E58" s="17"/>
      <c r="F58" s="17"/>
      <c r="G58" s="17"/>
      <c r="H58" s="17"/>
      <c r="I58" s="17"/>
      <c r="J58" s="17"/>
      <c r="K58" s="17" t="str">
        <f ca="1">IFERROR(__xludf.DUMMYFUNCTION("""COMPUTED_VALUE"""),".")</f>
        <v>.</v>
      </c>
      <c r="L58" s="17"/>
      <c r="M58" s="17"/>
      <c r="N58" s="17"/>
      <c r="O58" s="17"/>
    </row>
    <row r="59" spans="1:15" ht="12.5">
      <c r="A59" s="17"/>
      <c r="B59" s="24"/>
      <c r="C59" s="24"/>
      <c r="D59" s="17"/>
      <c r="E59" s="17"/>
      <c r="F59" s="17"/>
      <c r="G59" s="17"/>
      <c r="H59" s="17"/>
      <c r="I59" s="17"/>
      <c r="J59" s="17"/>
      <c r="K59" s="17" t="str">
        <f ca="1">IFERROR(__xludf.DUMMYFUNCTION("""COMPUTED_VALUE"""),".")</f>
        <v>.</v>
      </c>
      <c r="L59" s="17"/>
      <c r="M59" s="17"/>
      <c r="N59" s="17"/>
      <c r="O59" s="17"/>
    </row>
    <row r="60" spans="1:15" ht="12.5">
      <c r="A60" s="17"/>
      <c r="B60" s="24"/>
      <c r="C60" s="24"/>
      <c r="D60" s="17"/>
      <c r="E60" s="17"/>
      <c r="F60" s="17"/>
      <c r="G60" s="17"/>
      <c r="H60" s="17"/>
      <c r="I60" s="17"/>
      <c r="J60" s="17"/>
      <c r="K60" s="17" t="str">
        <f ca="1">IFERROR(__xludf.DUMMYFUNCTION("""COMPUTED_VALUE"""),".")</f>
        <v>.</v>
      </c>
      <c r="L60" s="17"/>
      <c r="M60" s="17"/>
      <c r="N60" s="17"/>
      <c r="O60" s="17"/>
    </row>
    <row r="61" spans="1:15" ht="12.5">
      <c r="A61" s="17"/>
      <c r="B61" s="24"/>
      <c r="C61" s="24"/>
      <c r="D61" s="17"/>
      <c r="E61" s="17"/>
      <c r="F61" s="17"/>
      <c r="G61" s="17"/>
      <c r="H61" s="17"/>
      <c r="I61" s="17"/>
      <c r="J61" s="17"/>
      <c r="K61" s="17" t="str">
        <f ca="1">IFERROR(__xludf.DUMMYFUNCTION("""COMPUTED_VALUE"""),".")</f>
        <v>.</v>
      </c>
      <c r="L61" s="17"/>
      <c r="M61" s="17"/>
      <c r="N61" s="17"/>
      <c r="O61" s="17"/>
    </row>
    <row r="62" spans="1:15" ht="12.5">
      <c r="A62" s="17"/>
      <c r="B62" s="24"/>
      <c r="C62" s="24"/>
      <c r="D62" s="17"/>
      <c r="E62" s="17"/>
      <c r="F62" s="17"/>
      <c r="G62" s="17"/>
      <c r="H62" s="17"/>
      <c r="I62" s="17"/>
      <c r="J62" s="17"/>
      <c r="K62" s="17" t="str">
        <f ca="1">IFERROR(__xludf.DUMMYFUNCTION("""COMPUTED_VALUE"""),".")</f>
        <v>.</v>
      </c>
      <c r="L62" s="17"/>
      <c r="M62" s="17"/>
      <c r="N62" s="17"/>
      <c r="O62" s="17"/>
    </row>
    <row r="63" spans="1:15" ht="12.5">
      <c r="A63" s="17"/>
      <c r="B63" s="24"/>
      <c r="C63" s="24"/>
      <c r="D63" s="17"/>
      <c r="E63" s="17"/>
      <c r="F63" s="17"/>
      <c r="G63" s="17"/>
      <c r="H63" s="17"/>
      <c r="I63" s="17"/>
      <c r="J63" s="17"/>
      <c r="K63" s="17" t="str">
        <f ca="1">IFERROR(__xludf.DUMMYFUNCTION("""COMPUTED_VALUE"""),".")</f>
        <v>.</v>
      </c>
      <c r="L63" s="17"/>
      <c r="M63" s="17"/>
      <c r="N63" s="17"/>
      <c r="O63" s="17"/>
    </row>
    <row r="64" spans="1:15" ht="12.5">
      <c r="A64" s="17"/>
      <c r="B64" s="24"/>
      <c r="C64" s="24"/>
      <c r="D64" s="17"/>
      <c r="E64" s="17"/>
      <c r="F64" s="17"/>
      <c r="G64" s="17"/>
      <c r="H64" s="17"/>
      <c r="I64" s="17"/>
      <c r="J64" s="17"/>
      <c r="K64" s="17" t="str">
        <f ca="1">IFERROR(__xludf.DUMMYFUNCTION("""COMPUTED_VALUE"""),".")</f>
        <v>.</v>
      </c>
      <c r="L64" s="17"/>
      <c r="M64" s="17"/>
      <c r="N64" s="17"/>
      <c r="O64" s="17"/>
    </row>
    <row r="65" spans="1:15" ht="12.5">
      <c r="A65" s="17"/>
      <c r="B65" s="24"/>
      <c r="C65" s="24"/>
      <c r="D65" s="17"/>
      <c r="E65" s="17"/>
      <c r="F65" s="17"/>
      <c r="G65" s="17"/>
      <c r="H65" s="17"/>
      <c r="I65" s="17"/>
      <c r="J65" s="17"/>
      <c r="K65" s="17" t="str">
        <f ca="1">IFERROR(__xludf.DUMMYFUNCTION("""COMPUTED_VALUE"""),".")</f>
        <v>.</v>
      </c>
      <c r="L65" s="17"/>
      <c r="M65" s="17"/>
      <c r="N65" s="17"/>
      <c r="O65" s="17"/>
    </row>
    <row r="66" spans="1:15" ht="12.5">
      <c r="A66" s="17"/>
      <c r="B66" s="24"/>
      <c r="C66" s="24"/>
      <c r="D66" s="17"/>
      <c r="E66" s="17"/>
      <c r="F66" s="17"/>
      <c r="G66" s="17"/>
      <c r="H66" s="17"/>
      <c r="I66" s="17"/>
      <c r="J66" s="17"/>
      <c r="K66" s="17" t="str">
        <f ca="1">IFERROR(__xludf.DUMMYFUNCTION("""COMPUTED_VALUE"""),".")</f>
        <v>.</v>
      </c>
      <c r="L66" s="17"/>
      <c r="M66" s="17"/>
      <c r="N66" s="17"/>
      <c r="O66" s="17"/>
    </row>
    <row r="67" spans="1:15" ht="12.5">
      <c r="A67" s="17"/>
      <c r="B67" s="24"/>
      <c r="C67" s="24"/>
      <c r="D67" s="17"/>
      <c r="E67" s="17"/>
      <c r="F67" s="17"/>
      <c r="G67" s="17"/>
      <c r="H67" s="17"/>
      <c r="I67" s="17"/>
      <c r="J67" s="17"/>
      <c r="K67" s="17" t="str">
        <f ca="1">IFERROR(__xludf.DUMMYFUNCTION("""COMPUTED_VALUE"""),".")</f>
        <v>.</v>
      </c>
      <c r="L67" s="17"/>
      <c r="M67" s="17"/>
      <c r="N67" s="17"/>
      <c r="O67" s="17"/>
    </row>
    <row r="68" spans="1:15" ht="12.5">
      <c r="A68" s="17"/>
      <c r="B68" s="24"/>
      <c r="C68" s="24"/>
      <c r="D68" s="17"/>
      <c r="E68" s="17"/>
      <c r="F68" s="17"/>
      <c r="G68" s="17"/>
      <c r="H68" s="17"/>
      <c r="I68" s="17"/>
      <c r="J68" s="17"/>
      <c r="K68" s="17" t="str">
        <f ca="1">IFERROR(__xludf.DUMMYFUNCTION("""COMPUTED_VALUE"""),".")</f>
        <v>.</v>
      </c>
      <c r="L68" s="17"/>
      <c r="M68" s="17"/>
      <c r="N68" s="17"/>
      <c r="O68" s="17"/>
    </row>
    <row r="69" spans="1:15" ht="12.5">
      <c r="A69" s="17"/>
      <c r="B69" s="24"/>
      <c r="C69" s="24"/>
      <c r="D69" s="17"/>
      <c r="E69" s="17"/>
      <c r="F69" s="17"/>
      <c r="G69" s="17"/>
      <c r="H69" s="17"/>
      <c r="I69" s="17"/>
      <c r="J69" s="17"/>
      <c r="K69" s="17" t="str">
        <f ca="1">IFERROR(__xludf.DUMMYFUNCTION("""COMPUTED_VALUE"""),".")</f>
        <v>.</v>
      </c>
      <c r="L69" s="17"/>
      <c r="M69" s="17"/>
      <c r="N69" s="17"/>
      <c r="O69" s="17"/>
    </row>
    <row r="70" spans="1:15" ht="12.5">
      <c r="A70" s="17"/>
      <c r="B70" s="24"/>
      <c r="C70" s="24"/>
      <c r="D70" s="17"/>
      <c r="E70" s="17"/>
      <c r="F70" s="17"/>
      <c r="G70" s="17"/>
      <c r="H70" s="17"/>
      <c r="I70" s="17"/>
      <c r="J70" s="17"/>
      <c r="K70" s="17" t="str">
        <f ca="1">IFERROR(__xludf.DUMMYFUNCTION("""COMPUTED_VALUE"""),".")</f>
        <v>.</v>
      </c>
      <c r="L70" s="17"/>
      <c r="M70" s="17"/>
      <c r="N70" s="17"/>
      <c r="O70" s="17"/>
    </row>
    <row r="71" spans="1:15" ht="12.5">
      <c r="A71" s="17"/>
      <c r="B71" s="24"/>
      <c r="C71" s="24"/>
      <c r="D71" s="17"/>
      <c r="E71" s="17"/>
      <c r="F71" s="17"/>
      <c r="G71" s="17"/>
      <c r="H71" s="17"/>
      <c r="I71" s="17"/>
      <c r="J71" s="17"/>
      <c r="K71" s="17" t="str">
        <f ca="1">IFERROR(__xludf.DUMMYFUNCTION("""COMPUTED_VALUE"""),".")</f>
        <v>.</v>
      </c>
      <c r="L71" s="17"/>
      <c r="M71" s="17"/>
      <c r="N71" s="17"/>
      <c r="O71" s="17"/>
    </row>
    <row r="72" spans="1:15" ht="12.5">
      <c r="A72" s="17"/>
      <c r="B72" s="24"/>
      <c r="C72" s="24"/>
      <c r="D72" s="17"/>
      <c r="E72" s="17"/>
      <c r="F72" s="17"/>
      <c r="G72" s="17"/>
      <c r="H72" s="17"/>
      <c r="I72" s="17"/>
      <c r="J72" s="17"/>
      <c r="K72" s="17" t="str">
        <f ca="1">IFERROR(__xludf.DUMMYFUNCTION("""COMPUTED_VALUE"""),".")</f>
        <v>.</v>
      </c>
      <c r="L72" s="17"/>
      <c r="M72" s="17"/>
      <c r="N72" s="17"/>
      <c r="O72" s="17"/>
    </row>
    <row r="73" spans="1:15" ht="12.5">
      <c r="A73" s="17"/>
      <c r="B73" s="24"/>
      <c r="C73" s="24"/>
      <c r="D73" s="17"/>
      <c r="E73" s="17"/>
      <c r="F73" s="17"/>
      <c r="G73" s="17"/>
      <c r="H73" s="17"/>
      <c r="I73" s="17"/>
      <c r="J73" s="17"/>
      <c r="K73" s="17" t="str">
        <f ca="1">IFERROR(__xludf.DUMMYFUNCTION("""COMPUTED_VALUE"""),".")</f>
        <v>.</v>
      </c>
      <c r="L73" s="17"/>
      <c r="M73" s="17"/>
      <c r="N73" s="17"/>
      <c r="O73" s="17"/>
    </row>
    <row r="74" spans="1:15" ht="12.5">
      <c r="A74" s="17"/>
      <c r="B74" s="24"/>
      <c r="C74" s="24"/>
      <c r="D74" s="17"/>
      <c r="E74" s="17"/>
      <c r="F74" s="17"/>
      <c r="G74" s="17"/>
      <c r="H74" s="17"/>
      <c r="I74" s="17"/>
      <c r="J74" s="17"/>
      <c r="K74" s="17" t="str">
        <f ca="1">IFERROR(__xludf.DUMMYFUNCTION("""COMPUTED_VALUE"""),".")</f>
        <v>.</v>
      </c>
      <c r="L74" s="17"/>
      <c r="M74" s="17"/>
      <c r="N74" s="17"/>
      <c r="O74" s="17"/>
    </row>
    <row r="75" spans="1:15" ht="12.5">
      <c r="A75" s="17"/>
      <c r="B75" s="24"/>
      <c r="C75" s="24"/>
      <c r="D75" s="17"/>
      <c r="E75" s="17"/>
      <c r="F75" s="17"/>
      <c r="G75" s="17"/>
      <c r="H75" s="17"/>
      <c r="I75" s="17"/>
      <c r="J75" s="17"/>
      <c r="K75" s="17" t="str">
        <f ca="1">IFERROR(__xludf.DUMMYFUNCTION("""COMPUTED_VALUE"""),".")</f>
        <v>.</v>
      </c>
      <c r="L75" s="17"/>
      <c r="M75" s="17"/>
      <c r="N75" s="17"/>
      <c r="O75" s="17"/>
    </row>
    <row r="76" spans="1:15" ht="12.5">
      <c r="A76" s="17"/>
      <c r="B76" s="24"/>
      <c r="C76" s="24"/>
      <c r="D76" s="17"/>
      <c r="E76" s="17"/>
      <c r="F76" s="17"/>
      <c r="G76" s="17"/>
      <c r="H76" s="17"/>
      <c r="I76" s="17"/>
      <c r="J76" s="17"/>
      <c r="K76" s="17" t="str">
        <f ca="1">IFERROR(__xludf.DUMMYFUNCTION("""COMPUTED_VALUE"""),".")</f>
        <v>.</v>
      </c>
      <c r="L76" s="17"/>
      <c r="M76" s="17"/>
      <c r="N76" s="17"/>
      <c r="O76" s="17"/>
    </row>
    <row r="77" spans="1:15" ht="12.5">
      <c r="A77" s="17"/>
      <c r="B77" s="24"/>
      <c r="C77" s="24"/>
      <c r="D77" s="17"/>
      <c r="E77" s="17"/>
      <c r="F77" s="17"/>
      <c r="G77" s="17"/>
      <c r="H77" s="17"/>
      <c r="I77" s="17"/>
      <c r="J77" s="17"/>
      <c r="K77" s="17" t="str">
        <f ca="1">IFERROR(__xludf.DUMMYFUNCTION("""COMPUTED_VALUE"""),".")</f>
        <v>.</v>
      </c>
      <c r="L77" s="17"/>
      <c r="M77" s="17"/>
      <c r="N77" s="17"/>
      <c r="O77" s="17"/>
    </row>
    <row r="78" spans="1:15" ht="12.5">
      <c r="A78" s="17"/>
      <c r="B78" s="24"/>
      <c r="C78" s="24"/>
      <c r="D78" s="17"/>
      <c r="E78" s="17"/>
      <c r="F78" s="17"/>
      <c r="G78" s="17"/>
      <c r="H78" s="17"/>
      <c r="I78" s="17"/>
      <c r="J78" s="17"/>
      <c r="K78" s="17" t="str">
        <f ca="1">IFERROR(__xludf.DUMMYFUNCTION("""COMPUTED_VALUE"""),".")</f>
        <v>.</v>
      </c>
      <c r="L78" s="17"/>
      <c r="M78" s="17"/>
      <c r="N78" s="17"/>
      <c r="O78" s="17"/>
    </row>
    <row r="79" spans="1:15" ht="12.5">
      <c r="A79" s="17"/>
      <c r="B79" s="24"/>
      <c r="C79" s="24"/>
      <c r="D79" s="17"/>
      <c r="E79" s="17"/>
      <c r="F79" s="17"/>
      <c r="G79" s="17"/>
      <c r="H79" s="17"/>
      <c r="I79" s="17"/>
      <c r="J79" s="17"/>
      <c r="K79" s="17" t="str">
        <f ca="1">IFERROR(__xludf.DUMMYFUNCTION("""COMPUTED_VALUE"""),".")</f>
        <v>.</v>
      </c>
      <c r="L79" s="17"/>
      <c r="M79" s="17"/>
      <c r="N79" s="17"/>
      <c r="O79" s="17"/>
    </row>
    <row r="80" spans="1:15" ht="12.5">
      <c r="A80" s="17"/>
      <c r="B80" s="24"/>
      <c r="C80" s="24"/>
      <c r="D80" s="17"/>
      <c r="E80" s="17"/>
      <c r="F80" s="17"/>
      <c r="G80" s="17"/>
      <c r="H80" s="17"/>
      <c r="I80" s="17"/>
      <c r="J80" s="17"/>
      <c r="K80" s="17"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5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493</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Sept'!$J$12:$J$1627=$A$2)"),"TRX1165")</f>
        <v>TRX1165</v>
      </c>
      <c r="B12" s="86" t="str">
        <f ca="1">IFERROR(__xludf.DUMMYFUNCTION("""COMPUTED_VALUE"""),"-")</f>
        <v>-</v>
      </c>
      <c r="C12" s="86">
        <f ca="1">IFERROR(__xludf.DUMMYFUNCTION("""COMPUTED_VALUE"""),46059.4166666666)</f>
        <v>46059.416666666599</v>
      </c>
      <c r="D12" s="65">
        <f ca="1">IFERROR(__xludf.DUMMYFUNCTION("FILTER('Edo Cta Jeeves Sept'!$G$12:$G$1300,'Edo Cta Jeeves Sept'!$J$12:$J$1300=$A$2)"),3119.1)</f>
        <v>3119.1</v>
      </c>
      <c r="E12" s="17" t="str">
        <f ca="1">IFERROR(__xludf.DUMMYFUNCTION("FILTER('Edo Cta Jeeves Sept'!$I$12:$I$1300,'Edo Cta Jeeves Sept'!$J$12:$J$1300=$A$2)"),"MXN")</f>
        <v>MXN</v>
      </c>
      <c r="F12" s="17" t="str">
        <f ca="1">IFERROR(__xludf.DUMMYFUNCTION("FILTER('Edo Cta Jeeves Sept'!$J$12:$J$1300,'Edo Cta Jeeves Sept'!$J$12:$J$1300=$A$2)"),"Harold Pape")</f>
        <v>Harold Pape</v>
      </c>
      <c r="G12" s="17" t="str">
        <f ca="1">IFERROR(__xludf.DUMMYFUNCTION("FILTER('Edo Cta Jeeves Sept'!$K$12:$L$1300,'Edo Cta Jeeves Sept'!$J$12:$J$1300=$A$2)"),"VIVA AEROBUS CIB       APODACA       MEX")</f>
        <v>VIVA AEROBUS CIB       APODACA       MEX</v>
      </c>
      <c r="H12" s="17" t="str">
        <f ca="1">IFERROR(__xludf.DUMMYFUNCTION("""COMPUTED_VALUE"""),"Viva Aerobus Cib Apodaca Mex")</f>
        <v>Viva Aerobus Cib Apodaca Mex</v>
      </c>
      <c r="I12" s="17" t="str">
        <f ca="1">IFERROR(__xludf.DUMMYFUNCTION("IMPORTRANGE(""https://docs.google.com/spreadsheets/d/1TqHqZs59JZ2aYszGOCgJtLk4_WPlcRUv9YRHo97XexQ/edit?gid=1404531132#gid=1404531132"",""I12:K80"")"),"Sales")</f>
        <v>Sales</v>
      </c>
      <c r="J12" s="17" t="str">
        <f ca="1">IFERROR(__xludf.DUMMYFUNCTION("""COMPUTED_VALUE"""),"Estacionamiento Viaje a Okland")</f>
        <v>Estacionamiento Viaje a Okland</v>
      </c>
      <c r="K12" s="134" t="str">
        <f ca="1">IFERROR(__xludf.DUMMYFUNCTION("""COMPUTED_VALUE"""),"C-583710")</f>
        <v>C-583710</v>
      </c>
      <c r="L12" s="17"/>
      <c r="M12" s="17"/>
      <c r="N12" s="17"/>
      <c r="O12" s="17"/>
    </row>
    <row r="13" spans="1:15" ht="15.75" customHeight="1">
      <c r="A13" s="24" t="str">
        <f ca="1">IFERROR(__xludf.DUMMYFUNCTION("""COMPUTED_VALUE"""),"TRX1292")</f>
        <v>TRX1292</v>
      </c>
      <c r="B13" s="86" t="str">
        <f ca="1">IFERROR(__xludf.DUMMYFUNCTION("""COMPUTED_VALUE"""),"-")</f>
        <v>-</v>
      </c>
      <c r="C13" s="63">
        <f ca="1">IFERROR(__xludf.DUMMYFUNCTION("""COMPUTED_VALUE"""),46060.4166666666)</f>
        <v>46060.416666666599</v>
      </c>
      <c r="D13" s="65">
        <f ca="1">IFERROR(__xludf.DUMMYFUNCTION("""COMPUTED_VALUE"""),53.54)</f>
        <v>53.54</v>
      </c>
      <c r="E13" s="17" t="str">
        <f ca="1">IFERROR(__xludf.DUMMYFUNCTION("""COMPUTED_VALUE"""),"MXN")</f>
        <v>MXN</v>
      </c>
      <c r="F13" s="17" t="str">
        <f ca="1">IFERROR(__xludf.DUMMYFUNCTION("""COMPUTED_VALUE"""),"Harold Pape")</f>
        <v>Harold Pape</v>
      </c>
      <c r="G13" s="17" t="str">
        <f ca="1">IFERROR(__xludf.DUMMYFUNCTION("""COMPUTED_VALUE"""),"UBER * PENDING         CMX           MEX")</f>
        <v>UBER * PENDING         CMX           MEX</v>
      </c>
      <c r="H13" s="17" t="str">
        <f ca="1">IFERROR(__xludf.DUMMYFUNCTION("""COMPUTED_VALUE"""),"Uber")</f>
        <v>Uber</v>
      </c>
      <c r="I13" s="17" t="str">
        <f ca="1">IFERROR(__xludf.DUMMYFUNCTION("""COMPUTED_VALUE"""),"Sales")</f>
        <v>Sales</v>
      </c>
      <c r="J13" s="17" t="str">
        <f ca="1">IFERROR(__xludf.DUMMYFUNCTION("""COMPUTED_VALUE"""),"Cena Oakland")</f>
        <v>Cena Oakland</v>
      </c>
      <c r="K13" s="134" t="str">
        <f ca="1">IFERROR(__xludf.DUMMYFUNCTION("""COMPUTED_VALUE"""),"2475")</f>
        <v>2475</v>
      </c>
      <c r="L13" s="17"/>
      <c r="M13" s="17"/>
      <c r="N13" s="17"/>
      <c r="O13" s="17"/>
    </row>
    <row r="14" spans="1:15" ht="15.75" customHeight="1">
      <c r="A14" s="24" t="str">
        <f ca="1">IFERROR(__xludf.DUMMYFUNCTION("""COMPUTED_VALUE"""),"TRX1722")</f>
        <v>TRX1722</v>
      </c>
      <c r="B14" s="86" t="str">
        <f ca="1">IFERROR(__xludf.DUMMYFUNCTION("""COMPUTED_VALUE"""),"-")</f>
        <v>-</v>
      </c>
      <c r="C14" s="63">
        <f ca="1">IFERROR(__xludf.DUMMYFUNCTION("""COMPUTED_VALUE"""),46060.4166666666)</f>
        <v>46060.416666666599</v>
      </c>
      <c r="D14" s="65">
        <f ca="1">IFERROR(__xludf.DUMMYFUNCTION("""COMPUTED_VALUE"""),227.72)</f>
        <v>227.72</v>
      </c>
      <c r="E14" s="17" t="str">
        <f ca="1">IFERROR(__xludf.DUMMYFUNCTION("""COMPUTED_VALUE"""),"MXN")</f>
        <v>MXN</v>
      </c>
      <c r="F14" s="17" t="str">
        <f ca="1">IFERROR(__xludf.DUMMYFUNCTION("""COMPUTED_VALUE"""),"Harold Pape")</f>
        <v>Harold Pape</v>
      </c>
      <c r="G14" s="17" t="str">
        <f ca="1">IFERROR(__xludf.DUMMYFUNCTION("""COMPUTED_VALUE"""),"UBER * PENDING         CMX           MEX")</f>
        <v>UBER * PENDING         CMX           MEX</v>
      </c>
      <c r="H14" s="17" t="str">
        <f ca="1">IFERROR(__xludf.DUMMYFUNCTION("""COMPUTED_VALUE"""),"Uber")</f>
        <v>Uber</v>
      </c>
      <c r="I14" s="17" t="str">
        <f ca="1">IFERROR(__xludf.DUMMYFUNCTION("""COMPUTED_VALUE"""),"Sales")</f>
        <v>Sales</v>
      </c>
      <c r="J14" s="17" t="str">
        <f ca="1">IFERROR(__xludf.DUMMYFUNCTION("""COMPUTED_VALUE"""),"Viaje Okland Owow")</f>
        <v>Viaje Okland Owow</v>
      </c>
      <c r="K14" s="134" t="str">
        <f ca="1">IFERROR(__xludf.DUMMYFUNCTION("""COMPUTED_VALUE"""),"320be7b4-0ddc-4947-999b-b34c14958da3")</f>
        <v>320be7b4-0ddc-4947-999b-b34c14958da3</v>
      </c>
      <c r="L14" s="17"/>
      <c r="M14" s="17"/>
      <c r="N14" s="17"/>
      <c r="O14" s="17"/>
    </row>
    <row r="15" spans="1:15" ht="15.75" customHeight="1">
      <c r="A15" s="24" t="str">
        <f ca="1">IFERROR(__xludf.DUMMYFUNCTION("""COMPUTED_VALUE"""),"TRX1689")</f>
        <v>TRX1689</v>
      </c>
      <c r="B15" s="86" t="str">
        <f ca="1">IFERROR(__xludf.DUMMYFUNCTION("""COMPUTED_VALUE"""),"-")</f>
        <v>-</v>
      </c>
      <c r="C15" s="63">
        <f ca="1">IFERROR(__xludf.DUMMYFUNCTION("""COMPUTED_VALUE"""),46060.4166666666)</f>
        <v>46060.416666666599</v>
      </c>
      <c r="D15" s="65">
        <f ca="1">IFERROR(__xludf.DUMMYFUNCTION("""COMPUTED_VALUE"""),382.95)</f>
        <v>382.95</v>
      </c>
      <c r="E15" s="17" t="str">
        <f ca="1">IFERROR(__xludf.DUMMYFUNCTION("""COMPUTED_VALUE"""),"MXN")</f>
        <v>MXN</v>
      </c>
      <c r="F15" s="17" t="str">
        <f ca="1">IFERROR(__xludf.DUMMYFUNCTION("""COMPUTED_VALUE"""),"Harold Pape")</f>
        <v>Harold Pape</v>
      </c>
      <c r="G15" s="17" t="str">
        <f ca="1">IFERROR(__xludf.DUMMYFUNCTION("""COMPUTED_VALUE"""),"COM RAP ACO CHIH APTO  CHIHUAHUA CHI MEX")</f>
        <v>COM RAP ACO CHIH APTO  CHIHUAHUA CHI MEX</v>
      </c>
      <c r="H15" s="17" t="str">
        <f ca="1">IFERROR(__xludf.DUMMYFUNCTION("""COMPUTED_VALUE"""),"Com Rap Aco Chih Apto Chihuahua Chi Mex")</f>
        <v>Com Rap Aco Chih Apto Chihuahua Chi Mex</v>
      </c>
      <c r="I15" s="17" t="str">
        <f ca="1">IFERROR(__xludf.DUMMYFUNCTION("""COMPUTED_VALUE"""),"Sales")</f>
        <v>Sales</v>
      </c>
      <c r="J15" s="17" t="str">
        <f ca="1">IFERROR(__xludf.DUMMYFUNCTION("""COMPUTED_VALUE"""),"Comida Oakland")</f>
        <v>Comida Oakland</v>
      </c>
      <c r="K15" s="134" t="str">
        <f ca="1">IFERROR(__xludf.DUMMYFUNCTION("""COMPUTED_VALUE"""),"857600")</f>
        <v>857600</v>
      </c>
      <c r="L15" s="17"/>
      <c r="M15" s="17"/>
      <c r="N15" s="17"/>
      <c r="O15" s="17"/>
    </row>
    <row r="16" spans="1:15" ht="15.75" customHeight="1">
      <c r="A16" s="17" t="str">
        <f ca="1">IFERROR(__xludf.DUMMYFUNCTION("""COMPUTED_VALUE"""),"TRX1474")</f>
        <v>TRX1474</v>
      </c>
      <c r="B16" s="86" t="str">
        <f ca="1">IFERROR(__xludf.DUMMYFUNCTION("""COMPUTED_VALUE"""),"-")</f>
        <v>-</v>
      </c>
      <c r="C16" s="63">
        <f ca="1">IFERROR(__xludf.DUMMYFUNCTION("""COMPUTED_VALUE"""),46060.4166666666)</f>
        <v>46060.416666666599</v>
      </c>
      <c r="D16" s="132">
        <f ca="1">IFERROR(__xludf.DUMMYFUNCTION("""COMPUTED_VALUE"""),316.25)</f>
        <v>316.25</v>
      </c>
      <c r="E16" s="17" t="str">
        <f ca="1">IFERROR(__xludf.DUMMYFUNCTION("""COMPUTED_VALUE"""),"MXN")</f>
        <v>MXN</v>
      </c>
      <c r="F16" s="17" t="str">
        <f ca="1">IFERROR(__xludf.DUMMYFUNCTION("""COMPUTED_VALUE"""),"Harold Pape")</f>
        <v>Harold Pape</v>
      </c>
      <c r="G16" s="17" t="str">
        <f ca="1">IFERROR(__xludf.DUMMYFUNCTION("""COMPUTED_VALUE"""),"REST CHIHUAHUA         CHIHUAHUA CHI MEX")</f>
        <v>REST CHIHUAHUA         CHIHUAHUA CHI MEX</v>
      </c>
      <c r="H16" s="17" t="str">
        <f ca="1">IFERROR(__xludf.DUMMYFUNCTION("""COMPUTED_VALUE"""),"Rest Chihuahua Chihuahua Chi Mex")</f>
        <v>Rest Chihuahua Chihuahua Chi Mex</v>
      </c>
      <c r="I16" s="17" t="str">
        <f ca="1">IFERROR(__xludf.DUMMYFUNCTION("""COMPUTED_VALUE"""),"Sales")</f>
        <v>Sales</v>
      </c>
      <c r="J16" s="17" t="str">
        <f ca="1">IFERROR(__xludf.DUMMYFUNCTION("""COMPUTED_VALUE"""),"Snack Oakland")</f>
        <v>Snack Oakland</v>
      </c>
      <c r="K16" s="134" t="str">
        <f ca="1">IFERROR(__xludf.DUMMYFUNCTION("""COMPUTED_VALUE"""),"Sin Ticket/Autoexpendio")</f>
        <v>Sin Ticket/Autoexpendio</v>
      </c>
      <c r="L16" s="17"/>
      <c r="M16" s="17"/>
      <c r="N16" s="17"/>
      <c r="O16" s="17"/>
    </row>
    <row r="17" spans="1:15" ht="15.75" customHeight="1">
      <c r="A17" s="17" t="str">
        <f ca="1">IFERROR(__xludf.DUMMYFUNCTION("""COMPUTED_VALUE"""),"TRX1360")</f>
        <v>TRX1360</v>
      </c>
      <c r="B17" s="86" t="str">
        <f ca="1">IFERROR(__xludf.DUMMYFUNCTION("""COMPUTED_VALUE"""),"-")</f>
        <v>-</v>
      </c>
      <c r="C17" s="63">
        <f ca="1">IFERROR(__xludf.DUMMYFUNCTION("""COMPUTED_VALUE"""),46060.4166666666)</f>
        <v>46060.416666666599</v>
      </c>
      <c r="D17" s="132">
        <f ca="1">IFERROR(__xludf.DUMMYFUNCTION("""COMPUTED_VALUE"""),69)</f>
        <v>69</v>
      </c>
      <c r="E17" s="17" t="str">
        <f ca="1">IFERROR(__xludf.DUMMYFUNCTION("""COMPUTED_VALUE"""),"MXN")</f>
        <v>MXN</v>
      </c>
      <c r="F17" s="17" t="str">
        <f ca="1">IFERROR(__xludf.DUMMYFUNCTION("""COMPUTED_VALUE"""),"Harold Pape")</f>
        <v>Harold Pape</v>
      </c>
      <c r="G17" s="17" t="str">
        <f ca="1">IFERROR(__xludf.DUMMYFUNCTION("""COMPUTED_VALUE"""),"COM RAP ACO CHIH APTO  CHIHUAHUA CHI MEX")</f>
        <v>COM RAP ACO CHIH APTO  CHIHUAHUA CHI MEX</v>
      </c>
      <c r="H17" s="17" t="str">
        <f ca="1">IFERROR(__xludf.DUMMYFUNCTION("""COMPUTED_VALUE"""),"Com Rap Aco Chih Apto Chihuahua Chi Mex")</f>
        <v>Com Rap Aco Chih Apto Chihuahua Chi Mex</v>
      </c>
      <c r="I17" s="17" t="str">
        <f ca="1">IFERROR(__xludf.DUMMYFUNCTION("""COMPUTED_VALUE"""),"Sales")</f>
        <v>Sales</v>
      </c>
      <c r="J17" s="17" t="str">
        <f ca="1">IFERROR(__xludf.DUMMYFUNCTION("""COMPUTED_VALUE"""),"Desayuno Oakland")</f>
        <v>Desayuno Oakland</v>
      </c>
      <c r="K17" s="134" t="str">
        <f ca="1">IFERROR(__xludf.DUMMYFUNCTION("""COMPUTED_VALUE"""),"4038")</f>
        <v>4038</v>
      </c>
      <c r="L17" s="17"/>
      <c r="M17" s="17"/>
      <c r="N17" s="17"/>
      <c r="O17" s="17"/>
    </row>
    <row r="18" spans="1:15" ht="15.75" customHeight="1">
      <c r="A18" s="17" t="str">
        <f ca="1">IFERROR(__xludf.DUMMYFUNCTION("""COMPUTED_VALUE"""),"TRX1142")</f>
        <v>TRX1142</v>
      </c>
      <c r="B18" s="86" t="str">
        <f ca="1">IFERROR(__xludf.DUMMYFUNCTION("""COMPUTED_VALUE"""),"-")</f>
        <v>-</v>
      </c>
      <c r="C18" s="63">
        <f ca="1">IFERROR(__xludf.DUMMYFUNCTION("""COMPUTED_VALUE"""),46060.4166666666)</f>
        <v>46060.416666666599</v>
      </c>
      <c r="D18" s="65">
        <f ca="1">IFERROR(__xludf.DUMMYFUNCTION("""COMPUTED_VALUE"""),314)</f>
        <v>314</v>
      </c>
      <c r="E18" s="17" t="str">
        <f ca="1">IFERROR(__xludf.DUMMYFUNCTION("""COMPUTED_VALUE"""),"MXN")</f>
        <v>MXN</v>
      </c>
      <c r="F18" s="17" t="str">
        <f ca="1">IFERROR(__xludf.DUMMYFUNCTION("""COMPUTED_VALUE"""),"Harold Pape")</f>
        <v>Harold Pape</v>
      </c>
      <c r="G18" s="17" t="str">
        <f ca="1">IFERROR(__xludf.DUMMYFUNCTION("""COMPUTED_VALUE"""),"EBSSATAXI CUU CAJA 1   CHIHUAHUA CHI MEX")</f>
        <v>EBSSATAXI CUU CAJA 1   CHIHUAHUA CHI MEX</v>
      </c>
      <c r="H18" s="17" t="str">
        <f ca="1">IFERROR(__xludf.DUMMYFUNCTION("""COMPUTED_VALUE"""),"Ebssataxi Cuu Caja 1 Chihuahua Chi Mex")</f>
        <v>Ebssataxi Cuu Caja 1 Chihuahua Chi Mex</v>
      </c>
      <c r="I18" s="17" t="str">
        <f ca="1">IFERROR(__xludf.DUMMYFUNCTION("""COMPUTED_VALUE"""),"Sales")</f>
        <v>Sales</v>
      </c>
      <c r="J18" s="17" t="str">
        <f ca="1">IFERROR(__xludf.DUMMYFUNCTION("""COMPUTED_VALUE"""),"Viaje Okland Owow")</f>
        <v>Viaje Okland Owow</v>
      </c>
      <c r="K18" s="134" t="str">
        <f ca="1">IFERROR(__xludf.DUMMYFUNCTION("""COMPUTED_VALUE"""),"f88630ba-5b94-4cee-b508-67e0cdbe1b06")</f>
        <v>f88630ba-5b94-4cee-b508-67e0cdbe1b06</v>
      </c>
      <c r="L18" s="17"/>
      <c r="M18" s="17"/>
      <c r="N18" s="17"/>
      <c r="O18" s="17"/>
    </row>
    <row r="19" spans="1:15" ht="15.75" customHeight="1">
      <c r="A19" s="17" t="str">
        <f ca="1">IFERROR(__xludf.DUMMYFUNCTION("""COMPUTED_VALUE"""),"TRX1863")</f>
        <v>TRX1863</v>
      </c>
      <c r="B19" s="86" t="str">
        <f ca="1">IFERROR(__xludf.DUMMYFUNCTION("""COMPUTED_VALUE"""),"-")</f>
        <v>-</v>
      </c>
      <c r="C19" s="63">
        <f ca="1">IFERROR(__xludf.DUMMYFUNCTION("""COMPUTED_VALUE"""),46060.4173611111)</f>
        <v>46060.417361111096</v>
      </c>
      <c r="D19" s="132">
        <f ca="1">IFERROR(__xludf.DUMMYFUNCTION("""COMPUTED_VALUE"""),772.2)</f>
        <v>772.2</v>
      </c>
      <c r="E19" s="17" t="str">
        <f ca="1">IFERROR(__xludf.DUMMYFUNCTION("""COMPUTED_VALUE"""),"MXN")</f>
        <v>MXN</v>
      </c>
      <c r="F19" s="17" t="str">
        <f ca="1">IFERROR(__xludf.DUMMYFUNCTION("""COMPUTED_VALUE"""),"Harold Pape")</f>
        <v>Harold Pape</v>
      </c>
      <c r="G19" s="17" t="str">
        <f ca="1">IFERROR(__xludf.DUMMYFUNCTION("""COMPUTED_VALUE"""),"CHILIS CHIHUAHUA II    CHIHUAHUA CHI MEX")</f>
        <v>CHILIS CHIHUAHUA II    CHIHUAHUA CHI MEX</v>
      </c>
      <c r="H19" s="17" t="str">
        <f ca="1">IFERROR(__xludf.DUMMYFUNCTION("""COMPUTED_VALUE"""),"Chili's")</f>
        <v>Chili's</v>
      </c>
      <c r="I19" s="17" t="str">
        <f ca="1">IFERROR(__xludf.DUMMYFUNCTION("""COMPUTED_VALUE"""),"Sales")</f>
        <v>Sales</v>
      </c>
      <c r="J19" s="17" t="str">
        <f ca="1">IFERROR(__xludf.DUMMYFUNCTION("""COMPUTED_VALUE"""),"Comida Viaje Okland Owow")</f>
        <v>Comida Viaje Okland Owow</v>
      </c>
      <c r="K19" s="134" t="str">
        <f ca="1">IFERROR(__xludf.DUMMYFUNCTION("""COMPUTED_VALUE"""),"250399")</f>
        <v>250399</v>
      </c>
      <c r="L19" s="17"/>
      <c r="M19" s="17"/>
      <c r="N19" s="17"/>
      <c r="O19" s="17"/>
    </row>
    <row r="20" spans="1:15" ht="12.5">
      <c r="A20" s="17" t="str">
        <f ca="1">IFERROR(__xludf.DUMMYFUNCTION("""COMPUTED_VALUE"""),"TRX2007")</f>
        <v>TRX2007</v>
      </c>
      <c r="B20" s="86" t="str">
        <f ca="1">IFERROR(__xludf.DUMMYFUNCTION("""COMPUTED_VALUE"""),"-")</f>
        <v>-</v>
      </c>
      <c r="C20" s="63">
        <f ca="1">IFERROR(__xludf.DUMMYFUNCTION("""COMPUTED_VALUE"""),46061.4166666666)</f>
        <v>46061.416666666599</v>
      </c>
      <c r="D20" s="133">
        <f ca="1">IFERROR(__xludf.DUMMYFUNCTION("""COMPUTED_VALUE"""),320)</f>
        <v>320</v>
      </c>
      <c r="E20" s="17" t="str">
        <f ca="1">IFERROR(__xludf.DUMMYFUNCTION("""COMPUTED_VALUE"""),"MXN")</f>
        <v>MXN</v>
      </c>
      <c r="F20" s="17" t="str">
        <f ca="1">IFERROR(__xludf.DUMMYFUNCTION("""COMPUTED_VALUE"""),"Harold Pape")</f>
        <v>Harold Pape</v>
      </c>
      <c r="G20" s="17" t="str">
        <f ca="1">IFERROR(__xludf.DUMMYFUNCTION("""COMPUTED_VALUE"""),"IPARK MTY INTERRED     APODACA NL    MEX")</f>
        <v>IPARK MTY INTERRED     APODACA NL    MEX</v>
      </c>
      <c r="H20" s="17" t="str">
        <f ca="1">IFERROR(__xludf.DUMMYFUNCTION("""COMPUTED_VALUE"""),"Ipark Mty Interred Apodaca Nl Mex")</f>
        <v>Ipark Mty Interred Apodaca Nl Mex</v>
      </c>
      <c r="I20" s="17" t="str">
        <f ca="1">IFERROR(__xludf.DUMMYFUNCTION("""COMPUTED_VALUE"""),"Sales")</f>
        <v>Sales</v>
      </c>
      <c r="J20" s="17" t="str">
        <f ca="1">IFERROR(__xludf.DUMMYFUNCTION("""COMPUTED_VALUE"""),"Hotel Oakland Owow")</f>
        <v>Hotel Oakland Owow</v>
      </c>
      <c r="K20" s="134" t="str">
        <f ca="1">IFERROR(__xludf.DUMMYFUNCTION("""COMPUTED_VALUE"""),"4391664838569")</f>
        <v>4391664838569</v>
      </c>
      <c r="L20" s="17"/>
      <c r="M20" s="17"/>
      <c r="N20" s="17"/>
      <c r="O20" s="17"/>
    </row>
    <row r="21" spans="1:15" ht="12.5">
      <c r="A21" s="17" t="str">
        <f ca="1">IFERROR(__xludf.DUMMYFUNCTION("""COMPUTED_VALUE"""),"TRX1818")</f>
        <v>TRX1818</v>
      </c>
      <c r="B21" s="86" t="str">
        <f ca="1">IFERROR(__xludf.DUMMYFUNCTION("""COMPUTED_VALUE"""),"-")</f>
        <v>-</v>
      </c>
      <c r="C21" s="63">
        <f ca="1">IFERROR(__xludf.DUMMYFUNCTION("""COMPUTED_VALUE"""),46061.4166666666)</f>
        <v>46061.416666666599</v>
      </c>
      <c r="D21" s="132">
        <f ca="1">IFERROR(__xludf.DUMMYFUNCTION("""COMPUTED_VALUE"""),2015)</f>
        <v>2015</v>
      </c>
      <c r="E21" s="17" t="str">
        <f ca="1">IFERROR(__xludf.DUMMYFUNCTION("""COMPUTED_VALUE"""),"MXN")</f>
        <v>MXN</v>
      </c>
      <c r="F21" s="17" t="str">
        <f ca="1">IFERROR(__xludf.DUMMYFUNCTION("""COMPUTED_VALUE"""),"Harold Pape")</f>
        <v>Harold Pape</v>
      </c>
      <c r="G21" s="17" t="str">
        <f ca="1">IFERROR(__xludf.DUMMYFUNCTION("""COMPUTED_VALUE"""),"MIT*TRANSP VOLARIS     CIUDAD DE MEX MEX")</f>
        <v>MIT*TRANSP VOLARIS     CIUDAD DE MEX MEX</v>
      </c>
      <c r="H21" s="17" t="str">
        <f ca="1">IFERROR(__xludf.DUMMYFUNCTION("""COMPUTED_VALUE"""),"Volaris")</f>
        <v>Volaris</v>
      </c>
      <c r="I21" s="17" t="str">
        <f ca="1">IFERROR(__xludf.DUMMYFUNCTION("""COMPUTED_VALUE"""),"Sales")</f>
        <v>Sales</v>
      </c>
      <c r="J21" s="17" t="str">
        <f ca="1">IFERROR(__xludf.DUMMYFUNCTION("""COMPUTED_VALUE"""),"Vuelo Oakland")</f>
        <v>Vuelo Oakland</v>
      </c>
      <c r="K21" s="134" t="str">
        <f ca="1">IFERROR(__xludf.DUMMYFUNCTION("""COMPUTED_VALUE"""),"150244072.")</f>
        <v>150244072.</v>
      </c>
      <c r="L21" s="17"/>
      <c r="M21" s="17"/>
      <c r="N21" s="17"/>
      <c r="O21" s="17"/>
    </row>
    <row r="22" spans="1:15" ht="12.5">
      <c r="A22" s="17" t="str">
        <f ca="1">IFERROR(__xludf.DUMMYFUNCTION("""COMPUTED_VALUE"""),"TRX1828")</f>
        <v>TRX1828</v>
      </c>
      <c r="B22" s="86" t="str">
        <f ca="1">IFERROR(__xludf.DUMMYFUNCTION("""COMPUTED_VALUE"""),"-")</f>
        <v>-</v>
      </c>
      <c r="C22" s="63">
        <f ca="1">IFERROR(__xludf.DUMMYFUNCTION("""COMPUTED_VALUE"""),46064.4173611111)</f>
        <v>46064.417361111096</v>
      </c>
      <c r="D22" s="65">
        <f ca="1">IFERROR(__xludf.DUMMYFUNCTION("""COMPUTED_VALUE"""),1622.25)</f>
        <v>1622.25</v>
      </c>
      <c r="E22" s="17" t="str">
        <f ca="1">IFERROR(__xludf.DUMMYFUNCTION("""COMPUTED_VALUE"""),"MXN")</f>
        <v>MXN</v>
      </c>
      <c r="F22" s="17" t="str">
        <f ca="1">IFERROR(__xludf.DUMMYFUNCTION("""COMPUTED_VALUE"""),"Harold Pape")</f>
        <v>Harold Pape</v>
      </c>
      <c r="G22" s="17" t="str">
        <f ca="1">IFERROR(__xludf.DUMMYFUNCTION("""COMPUTED_VALUE"""),"GAS OXXOCASTELLANA     MONTERREY NL  MEX")</f>
        <v>GAS OXXOCASTELLANA     MONTERREY NL  MEX</v>
      </c>
      <c r="H22" s="17" t="str">
        <f ca="1">IFERROR(__xludf.DUMMYFUNCTION("""COMPUTED_VALUE"""),"Gas Oxxocastellana Monterrey Nl Mex")</f>
        <v>Gas Oxxocastellana Monterrey Nl Mex</v>
      </c>
      <c r="I22" s="17" t="str">
        <f ca="1">IFERROR(__xludf.DUMMYFUNCTION("""COMPUTED_VALUE"""),"Sales")</f>
        <v>Sales</v>
      </c>
      <c r="J22" s="17" t="str">
        <f ca="1">IFERROR(__xludf.DUMMYFUNCTION("""COMPUTED_VALUE"""),"Gasolina Aeropuerto")</f>
        <v>Gasolina Aeropuerto</v>
      </c>
      <c r="K22" s="134" t="str">
        <f ca="1">IFERROR(__xludf.DUMMYFUNCTION("""COMPUTED_VALUE"""),".CLI56379430")</f>
        <v>.CLI56379430</v>
      </c>
      <c r="L22" s="17"/>
      <c r="M22" s="17"/>
      <c r="N22" s="17"/>
      <c r="O22" s="17"/>
    </row>
    <row r="23" spans="1:15" ht="12.5">
      <c r="A23" s="17" t="str">
        <f ca="1">IFERROR(__xludf.DUMMYFUNCTION("""COMPUTED_VALUE"""),"TRX1086")</f>
        <v>TRX1086</v>
      </c>
      <c r="B23" s="86" t="str">
        <f ca="1">IFERROR(__xludf.DUMMYFUNCTION("""COMPUTED_VALUE"""),"-")</f>
        <v>-</v>
      </c>
      <c r="C23" s="63">
        <f ca="1">IFERROR(__xludf.DUMMYFUNCTION("""COMPUTED_VALUE"""),46065.4166666666)</f>
        <v>46065.416666666599</v>
      </c>
      <c r="D23" s="65">
        <f ca="1">IFERROR(__xludf.DUMMYFUNCTION("""COMPUTED_VALUE"""),1915.9)</f>
        <v>1915.9</v>
      </c>
      <c r="E23" s="17" t="str">
        <f ca="1">IFERROR(__xludf.DUMMYFUNCTION("""COMPUTED_VALUE"""),"MXN")</f>
        <v>MXN</v>
      </c>
      <c r="F23" s="17" t="str">
        <f ca="1">IFERROR(__xludf.DUMMYFUNCTION("""COMPUTED_VALUE"""),"Harold Pape")</f>
        <v>Harold Pape</v>
      </c>
      <c r="G23" s="17" t="str">
        <f ca="1">IFERROR(__xludf.DUMMYFUNCTION("""COMPUTED_VALUE"""),"REST MHC MHC           SILAO GTO     MEX")</f>
        <v>REST MHC MHC           SILAO GTO     MEX</v>
      </c>
      <c r="H23" s="17" t="str">
        <f ca="1">IFERROR(__xludf.DUMMYFUNCTION("""COMPUTED_VALUE"""),"Rest Mhc Mhc Silao Gto Mex")</f>
        <v>Rest Mhc Mhc Silao Gto Mex</v>
      </c>
      <c r="I23" s="17" t="str">
        <f ca="1">IFERROR(__xludf.DUMMYFUNCTION("""COMPUTED_VALUE"""),"Sales")</f>
        <v>Sales</v>
      </c>
      <c r="J23" s="17" t="str">
        <f ca="1">IFERROR(__xludf.DUMMYFUNCTION("""COMPUTED_VALUE"""),"Estancionamiento Viaje CDMX")</f>
        <v>Estancionamiento Viaje CDMX</v>
      </c>
      <c r="K23" s="134" t="str">
        <f ca="1">IFERROR(__xludf.DUMMYFUNCTION("""COMPUTED_VALUE"""),".C-583709")</f>
        <v>.C-583709</v>
      </c>
      <c r="L23" s="17"/>
      <c r="M23" s="17"/>
      <c r="N23" s="17"/>
      <c r="O23" s="17"/>
    </row>
    <row r="24" spans="1:15" ht="12.5">
      <c r="A24" s="17" t="str">
        <f ca="1">IFERROR(__xludf.DUMMYFUNCTION("""COMPUTED_VALUE"""),"TRX1112")</f>
        <v>TRX1112</v>
      </c>
      <c r="B24" s="86" t="str">
        <f ca="1">IFERROR(__xludf.DUMMYFUNCTION("""COMPUTED_VALUE"""),"-")</f>
        <v>-</v>
      </c>
      <c r="C24" s="63">
        <f ca="1">IFERROR(__xludf.DUMMYFUNCTION("""COMPUTED_VALUE"""),46065.4173611111)</f>
        <v>46065.417361111096</v>
      </c>
      <c r="D24" s="65">
        <f ca="1">IFERROR(__xludf.DUMMYFUNCTION("""COMPUTED_VALUE"""),320)</f>
        <v>320</v>
      </c>
      <c r="E24" s="17" t="str">
        <f ca="1">IFERROR(__xludf.DUMMYFUNCTION("""COMPUTED_VALUE"""),"MXN")</f>
        <v>MXN</v>
      </c>
      <c r="F24" s="17" t="str">
        <f ca="1">IFERROR(__xludf.DUMMYFUNCTION("""COMPUTED_VALUE"""),"Harold Pape")</f>
        <v>Harold Pape</v>
      </c>
      <c r="G24" s="17" t="str">
        <f ca="1">IFERROR(__xludf.DUMMYFUNCTION("""COMPUTED_VALUE"""),"IPARK MTY INTERRED     APODACA NL    MEX")</f>
        <v>IPARK MTY INTERRED     APODACA NL    MEX</v>
      </c>
      <c r="H24" s="17" t="str">
        <f ca="1">IFERROR(__xludf.DUMMYFUNCTION("""COMPUTED_VALUE"""),"Ipark Mty Interred Apodaca Nl Mex")</f>
        <v>Ipark Mty Interred Apodaca Nl Mex</v>
      </c>
      <c r="I24" s="17" t="str">
        <f ca="1">IFERROR(__xludf.DUMMYFUNCTION("""COMPUTED_VALUE"""),"Sales")</f>
        <v>Sales</v>
      </c>
      <c r="J24" s="17" t="str">
        <f ca="1">IFERROR(__xludf.DUMMYFUNCTION("""COMPUTED_VALUE"""),"Viaje GDL Foxxcom")</f>
        <v>Viaje GDL Foxxcom</v>
      </c>
      <c r="K24" s="134" t="str">
        <f ca="1">IFERROR(__xludf.DUMMYFUNCTION("""COMPUTED_VALUE"""),"BKGGDLAABN 144541")</f>
        <v>BKGGDLAABN 144541</v>
      </c>
      <c r="L24" s="17"/>
      <c r="M24" s="17"/>
      <c r="N24" s="17"/>
      <c r="O24" s="17"/>
    </row>
    <row r="25" spans="1:15" ht="12.5">
      <c r="A25" s="17" t="str">
        <f ca="1">IFERROR(__xludf.DUMMYFUNCTION("""COMPUTED_VALUE"""),"TRX1124")</f>
        <v>TRX1124</v>
      </c>
      <c r="B25" s="86" t="str">
        <f ca="1">IFERROR(__xludf.DUMMYFUNCTION("""COMPUTED_VALUE"""),"-")</f>
        <v>-</v>
      </c>
      <c r="C25" s="63">
        <f ca="1">IFERROR(__xludf.DUMMYFUNCTION("""COMPUTED_VALUE"""),46071.4166666666)</f>
        <v>46071.416666666599</v>
      </c>
      <c r="D25" s="65">
        <f ca="1">IFERROR(__xludf.DUMMYFUNCTION("""COMPUTED_VALUE"""),356.4)</f>
        <v>356.4</v>
      </c>
      <c r="E25" s="17" t="str">
        <f ca="1">IFERROR(__xludf.DUMMYFUNCTION("""COMPUTED_VALUE"""),"MXN")</f>
        <v>MXN</v>
      </c>
      <c r="F25" s="17" t="str">
        <f ca="1">IFERROR(__xludf.DUMMYFUNCTION("""COMPUTED_VALUE"""),"Harold Pape")</f>
        <v>Harold Pape</v>
      </c>
      <c r="G25" s="17" t="str">
        <f ca="1">IFERROR(__xludf.DUMMYFUNCTION("""COMPUTED_VALUE"""),"Panda Express          CAN           MEX")</f>
        <v>Panda Express          CAN           MEX</v>
      </c>
      <c r="H25" s="17" t="str">
        <f ca="1">IFERROR(__xludf.DUMMYFUNCTION("""COMPUTED_VALUE"""),"Panda Express")</f>
        <v>Panda Express</v>
      </c>
      <c r="I25" s="17" t="str">
        <f ca="1">IFERROR(__xludf.DUMMYFUNCTION("""COMPUTED_VALUE"""),"Sales")</f>
        <v>Sales</v>
      </c>
      <c r="J25" s="17" t="str">
        <f ca="1">IFERROR(__xludf.DUMMYFUNCTION("""COMPUTED_VALUE"""),"Viaje GDL Foxxcom")</f>
        <v>Viaje GDL Foxxcom</v>
      </c>
      <c r="K25" s="134" t="str">
        <f ca="1">IFERROR(__xludf.DUMMYFUNCTION("""COMPUTED_VALUE"""),"WEB - 871122")</f>
        <v>WEB - 871122</v>
      </c>
      <c r="L25" s="17"/>
      <c r="M25" s="17"/>
      <c r="N25" s="17"/>
      <c r="O25" s="17"/>
    </row>
    <row r="26" spans="1:15" ht="12.5">
      <c r="A26" s="17" t="str">
        <f ca="1">IFERROR(__xludf.DUMMYFUNCTION("""COMPUTED_VALUE"""),"TRX1073")</f>
        <v>TRX1073</v>
      </c>
      <c r="B26" s="86" t="str">
        <f ca="1">IFERROR(__xludf.DUMMYFUNCTION("""COMPUTED_VALUE"""),"-")</f>
        <v>-</v>
      </c>
      <c r="C26" s="63">
        <f ca="1">IFERROR(__xludf.DUMMYFUNCTION("""COMPUTED_VALUE"""),46071.4166666666)</f>
        <v>46071.416666666599</v>
      </c>
      <c r="D26" s="65">
        <f ca="1">IFERROR(__xludf.DUMMYFUNCTION("""COMPUTED_VALUE"""),362)</f>
        <v>362</v>
      </c>
      <c r="E26" s="17" t="str">
        <f ca="1">IFERROR(__xludf.DUMMYFUNCTION("""COMPUTED_VALUE"""),"MXN")</f>
        <v>MXN</v>
      </c>
      <c r="F26" s="17" t="str">
        <f ca="1">IFERROR(__xludf.DUMMYFUNCTION("""COMPUTED_VALUE"""),"Harold Pape")</f>
        <v>Harold Pape</v>
      </c>
      <c r="G26" s="17" t="str">
        <f ca="1">IFERROR(__xludf.DUMMYFUNCTION("""COMPUTED_VALUE"""),"TAXIS PASA             CIUDAD DE MEX MEX")</f>
        <v>TAXIS PASA             CIUDAD DE MEX MEX</v>
      </c>
      <c r="H26" s="17" t="str">
        <f ca="1">IFERROR(__xludf.DUMMYFUNCTION("""COMPUTED_VALUE"""),"Taxis Pasa Ciudad De Mex Mex")</f>
        <v>Taxis Pasa Ciudad De Mex Mex</v>
      </c>
      <c r="I26" s="17" t="str">
        <f ca="1">IFERROR(__xludf.DUMMYFUNCTION("""COMPUTED_VALUE"""),"Sales")</f>
        <v>Sales</v>
      </c>
      <c r="J26" s="17" t="str">
        <f ca="1">IFERROR(__xludf.DUMMYFUNCTION("""COMPUTED_VALUE"""),"Viaje CDMX Posada")</f>
        <v>Viaje CDMX Posada</v>
      </c>
      <c r="K26" s="134" t="str">
        <f ca="1">IFERROR(__xludf.DUMMYFUNCTION("""COMPUTED_VALUE"""),"66901114679615")</f>
        <v>66901114679615</v>
      </c>
      <c r="L26" s="17"/>
      <c r="M26" s="17"/>
      <c r="N26" s="17"/>
      <c r="O26" s="17"/>
    </row>
    <row r="27" spans="1:15" ht="12.5">
      <c r="A27" s="17" t="str">
        <f ca="1">IFERROR(__xludf.DUMMYFUNCTION("""COMPUTED_VALUE"""),"TRX1604")</f>
        <v>TRX1604</v>
      </c>
      <c r="B27" s="86" t="str">
        <f ca="1">IFERROR(__xludf.DUMMYFUNCTION("""COMPUTED_VALUE"""),"-")</f>
        <v>-</v>
      </c>
      <c r="C27" s="63">
        <f ca="1">IFERROR(__xludf.DUMMYFUNCTION("""COMPUTED_VALUE"""),46071.4166666666)</f>
        <v>46071.416666666599</v>
      </c>
      <c r="D27" s="65">
        <f ca="1">IFERROR(__xludf.DUMMYFUNCTION("""COMPUTED_VALUE"""),2912.69)</f>
        <v>2912.69</v>
      </c>
      <c r="E27" s="17" t="str">
        <f ca="1">IFERROR(__xludf.DUMMYFUNCTION("""COMPUTED_VALUE"""),"MXN")</f>
        <v>MXN</v>
      </c>
      <c r="F27" s="17" t="str">
        <f ca="1">IFERROR(__xludf.DUMMYFUNCTION("""COMPUTED_VALUE"""),"Harold Pape")</f>
        <v>Harold Pape</v>
      </c>
      <c r="G27" s="17" t="str">
        <f ca="1">IFERROR(__xludf.DUMMYFUNCTION("""COMPUTED_VALUE"""),"VIVA AEROBUS CIB       APODACA       MEX")</f>
        <v>VIVA AEROBUS CIB       APODACA       MEX</v>
      </c>
      <c r="H27" s="17" t="str">
        <f ca="1">IFERROR(__xludf.DUMMYFUNCTION("""COMPUTED_VALUE"""),"Viva Aerobus Cib Apodaca Mex")</f>
        <v>Viva Aerobus Cib Apodaca Mex</v>
      </c>
      <c r="I27" s="17" t="str">
        <f ca="1">IFERROR(__xludf.DUMMYFUNCTION("""COMPUTED_VALUE"""),"Sales")</f>
        <v>Sales</v>
      </c>
      <c r="J27" s="17" t="str">
        <f ca="1">IFERROR(__xludf.DUMMYFUNCTION("""COMPUTED_VALUE"""),"Viaje CDMX Posada")</f>
        <v>Viaje CDMX Posada</v>
      </c>
      <c r="K27" s="134" t="str">
        <f ca="1">IFERROR(__xludf.DUMMYFUNCTION("""COMPUTED_VALUE"""),".QQSQUV-I-0002287")</f>
        <v>.QQSQUV-I-0002287</v>
      </c>
      <c r="L27" s="17"/>
      <c r="M27" s="17"/>
      <c r="N27" s="17"/>
      <c r="O27" s="17"/>
    </row>
    <row r="28" spans="1:15" ht="12.5">
      <c r="A28" s="17" t="str">
        <f ca="1">IFERROR(__xludf.DUMMYFUNCTION("""COMPUTED_VALUE"""),"TRX1161")</f>
        <v>TRX1161</v>
      </c>
      <c r="B28" s="86" t="str">
        <f ca="1">IFERROR(__xludf.DUMMYFUNCTION("""COMPUTED_VALUE"""),"-")</f>
        <v>-</v>
      </c>
      <c r="C28" s="63">
        <f ca="1">IFERROR(__xludf.DUMMYFUNCTION("""COMPUTED_VALUE"""),46071.4173611111)</f>
        <v>46071.417361111096</v>
      </c>
      <c r="D28" s="65">
        <f ca="1">IFERROR(__xludf.DUMMYFUNCTION("""COMPUTED_VALUE"""),1124.7)</f>
        <v>1124.7</v>
      </c>
      <c r="E28" s="17" t="str">
        <f ca="1">IFERROR(__xludf.DUMMYFUNCTION("""COMPUTED_VALUE"""),"MXN")</f>
        <v>MXN</v>
      </c>
      <c r="F28" s="17" t="str">
        <f ca="1">IFERROR(__xludf.DUMMYFUNCTION("""COMPUTED_VALUE"""),"Harold Pape")</f>
        <v>Harold Pape</v>
      </c>
      <c r="G28" s="17" t="str">
        <f ca="1">IFERROR(__xludf.DUMMYFUNCTION("""COMPUTED_VALUE"""),"OXXO GASCUMBRES DEL SO MONTERREY NL  MEX")</f>
        <v>OXXO GASCUMBRES DEL SO MONTERREY NL  MEX</v>
      </c>
      <c r="H28" s="17" t="str">
        <f ca="1">IFERROR(__xludf.DUMMYFUNCTION("""COMPUTED_VALUE"""),"Oxxo")</f>
        <v>Oxxo</v>
      </c>
      <c r="I28" s="17" t="str">
        <f ca="1">IFERROR(__xludf.DUMMYFUNCTION("""COMPUTED_VALUE"""),"Sales")</f>
        <v>Sales</v>
      </c>
      <c r="J28" s="17" t="str">
        <f ca="1">IFERROR(__xludf.DUMMYFUNCTION("""COMPUTED_VALUE"""),"Viaje CDMX Posada")</f>
        <v>Viaje CDMX Posada</v>
      </c>
      <c r="K28" s="134" t="str">
        <f ca="1">IFERROR(__xludf.DUMMYFUNCTION("""COMPUTED_VALUE"""),".D13997")</f>
        <v>.D13997</v>
      </c>
      <c r="L28" s="17"/>
      <c r="M28" s="17"/>
      <c r="N28" s="17"/>
      <c r="O28" s="17"/>
    </row>
    <row r="29" spans="1:15" ht="12.5">
      <c r="A29" s="17" t="str">
        <f ca="1">IFERROR(__xludf.DUMMYFUNCTION("""COMPUTED_VALUE"""),"TRX1005")</f>
        <v>TRX1005</v>
      </c>
      <c r="B29" s="86" t="str">
        <f ca="1">IFERROR(__xludf.DUMMYFUNCTION("""COMPUTED_VALUE"""),"-")</f>
        <v>-</v>
      </c>
      <c r="C29" s="63">
        <f ca="1">IFERROR(__xludf.DUMMYFUNCTION("""COMPUTED_VALUE"""),46071.4173611111)</f>
        <v>46071.417361111096</v>
      </c>
      <c r="D29" s="65">
        <f ca="1">IFERROR(__xludf.DUMMYFUNCTION("""COMPUTED_VALUE"""),2012.38)</f>
        <v>2012.38</v>
      </c>
      <c r="E29" s="17" t="str">
        <f ca="1">IFERROR(__xludf.DUMMYFUNCTION("""COMPUTED_VALUE"""),"MXN")</f>
        <v>MXN</v>
      </c>
      <c r="F29" s="17" t="str">
        <f ca="1">IFERROR(__xludf.DUMMYFUNCTION("""COMPUTED_VALUE"""),"Harold Pape")</f>
        <v>Harold Pape</v>
      </c>
      <c r="G29" s="17" t="str">
        <f ca="1">IFERROR(__xludf.DUMMYFUNCTION("""COMPUTED_VALUE"""),"HOLIDAYINNBASILICLIBER CIUDAD DE MEX MEX")</f>
        <v>HOLIDAYINNBASILICLIBER CIUDAD DE MEX MEX</v>
      </c>
      <c r="H29" s="17" t="str">
        <f ca="1">IFERROR(__xludf.DUMMYFUNCTION("""COMPUTED_VALUE"""),"Holidayinnbasilicliber Ciudad De Mex Mex")</f>
        <v>Holidayinnbasilicliber Ciudad De Mex Mex</v>
      </c>
      <c r="I29" s="17" t="str">
        <f ca="1">IFERROR(__xludf.DUMMYFUNCTION("""COMPUTED_VALUE"""),"Sales")</f>
        <v>Sales</v>
      </c>
      <c r="J29" s="17" t="str">
        <f ca="1">IFERROR(__xludf.DUMMYFUNCTION("""COMPUTED_VALUE"""),"Vuelo CDMX Posada")</f>
        <v>Vuelo CDMX Posada</v>
      </c>
      <c r="K29" s="134" t="str">
        <f ca="1">IFERROR(__xludf.DUMMYFUNCTION("""COMPUTED_VALUE"""),"149708443")</f>
        <v>149708443</v>
      </c>
      <c r="L29" s="17"/>
      <c r="M29" s="17"/>
      <c r="N29" s="17"/>
      <c r="O29" s="17"/>
    </row>
    <row r="30" spans="1:15" ht="12.5">
      <c r="A30" s="17" t="str">
        <f ca="1">IFERROR(__xludf.DUMMYFUNCTION("""COMPUTED_VALUE"""),"TRX1586")</f>
        <v>TRX1586</v>
      </c>
      <c r="B30" s="86" t="str">
        <f ca="1">IFERROR(__xludf.DUMMYFUNCTION("""COMPUTED_VALUE"""),"-")</f>
        <v>-</v>
      </c>
      <c r="C30" s="63">
        <f ca="1">IFERROR(__xludf.DUMMYFUNCTION("""COMPUTED_VALUE"""),46072.4166666666)</f>
        <v>46072.416666666599</v>
      </c>
      <c r="D30" s="65">
        <f ca="1">IFERROR(__xludf.DUMMYFUNCTION("""COMPUTED_VALUE"""),275)</f>
        <v>275</v>
      </c>
      <c r="E30" s="17" t="str">
        <f ca="1">IFERROR(__xludf.DUMMYFUNCTION("""COMPUTED_VALUE"""),"MXN")</f>
        <v>MXN</v>
      </c>
      <c r="F30" s="17" t="str">
        <f ca="1">IFERROR(__xludf.DUMMYFUNCTION("""COMPUTED_VALUE"""),"Harold Pape")</f>
        <v>Harold Pape</v>
      </c>
      <c r="G30" s="17" t="str">
        <f ca="1">IFERROR(__xludf.DUMMYFUNCTION("""COMPUTED_VALUE"""),"ACO MEX APTO T1 CARLSJ CIUDAD DE MEX MEX")</f>
        <v>ACO MEX APTO T1 CARLSJ CIUDAD DE MEX MEX</v>
      </c>
      <c r="H30" s="17" t="str">
        <f ca="1">IFERROR(__xludf.DUMMYFUNCTION("""COMPUTED_VALUE"""),"Aco Mex Apto T1 Carlsj Ciudad De Mex Mex")</f>
        <v>Aco Mex Apto T1 Carlsj Ciudad De Mex Mex</v>
      </c>
      <c r="I30" s="17"/>
      <c r="J30" s="17"/>
      <c r="K30" s="134" t="str">
        <f ca="1">IFERROR(__xludf.DUMMYFUNCTION("""COMPUTED_VALUE"""),".")</f>
        <v>.</v>
      </c>
      <c r="L30" s="17"/>
      <c r="M30" s="17"/>
      <c r="N30" s="17"/>
      <c r="O30" s="17"/>
    </row>
    <row r="31" spans="1:15" ht="12.5">
      <c r="A31" s="17" t="str">
        <f ca="1">IFERROR(__xludf.DUMMYFUNCTION("""COMPUTED_VALUE"""),"TRX1574")</f>
        <v>TRX1574</v>
      </c>
      <c r="B31" s="86" t="str">
        <f ca="1">IFERROR(__xludf.DUMMYFUNCTION("""COMPUTED_VALUE"""),"-")</f>
        <v>-</v>
      </c>
      <c r="C31" s="63">
        <f ca="1">IFERROR(__xludf.DUMMYFUNCTION("""COMPUTED_VALUE"""),46072.4166666666)</f>
        <v>46072.416666666599</v>
      </c>
      <c r="D31" s="65">
        <f ca="1">IFERROR(__xludf.DUMMYFUNCTION("""COMPUTED_VALUE"""),309.97)</f>
        <v>309.97000000000003</v>
      </c>
      <c r="E31" s="17" t="str">
        <f ca="1">IFERROR(__xludf.DUMMYFUNCTION("""COMPUTED_VALUE"""),"MXN")</f>
        <v>MXN</v>
      </c>
      <c r="F31" s="17" t="str">
        <f ca="1">IFERROR(__xludf.DUMMYFUNCTION("""COMPUTED_VALUE"""),"Harold Pape")</f>
        <v>Harold Pape</v>
      </c>
      <c r="G31" s="17" t="str">
        <f ca="1">IFERROR(__xludf.DUMMYFUNCTION("""COMPUTED_VALUE"""),"DLO*UBER RIDE          CIUDAD DE MEX MEX")</f>
        <v>DLO*UBER RIDE          CIUDAD DE MEX MEX</v>
      </c>
      <c r="H31" s="17" t="str">
        <f ca="1">IFERROR(__xludf.DUMMYFUNCTION("""COMPUTED_VALUE"""),"Uber")</f>
        <v>Uber</v>
      </c>
      <c r="I31" s="17"/>
      <c r="J31" s="17"/>
      <c r="K31" s="134" t="str">
        <f ca="1">IFERROR(__xludf.DUMMYFUNCTION("""COMPUTED_VALUE"""),".")</f>
        <v>.</v>
      </c>
      <c r="L31" s="17"/>
      <c r="M31" s="17"/>
      <c r="N31" s="17"/>
      <c r="O31" s="17"/>
    </row>
    <row r="32" spans="1:15" ht="12.5">
      <c r="A32" s="17" t="str">
        <f ca="1">IFERROR(__xludf.DUMMYFUNCTION("""COMPUTED_VALUE"""),"TRX1817")</f>
        <v>TRX1817</v>
      </c>
      <c r="B32" s="86" t="str">
        <f ca="1">IFERROR(__xludf.DUMMYFUNCTION("""COMPUTED_VALUE"""),"-")</f>
        <v>-</v>
      </c>
      <c r="C32" s="63">
        <f ca="1">IFERROR(__xludf.DUMMYFUNCTION("""COMPUTED_VALUE"""),46072.4166666666)</f>
        <v>46072.416666666599</v>
      </c>
      <c r="D32" s="65">
        <f ca="1">IFERROR(__xludf.DUMMYFUNCTION("""COMPUTED_VALUE"""),339.98)</f>
        <v>339.98</v>
      </c>
      <c r="E32" s="17" t="str">
        <f ca="1">IFERROR(__xludf.DUMMYFUNCTION("""COMPUTED_VALUE"""),"MXN")</f>
        <v>MXN</v>
      </c>
      <c r="F32" s="17" t="str">
        <f ca="1">IFERROR(__xludf.DUMMYFUNCTION("""COMPUTED_VALUE"""),"Harold Pape")</f>
        <v>Harold Pape</v>
      </c>
      <c r="G32" s="17" t="str">
        <f ca="1">IFERROR(__xludf.DUMMYFUNCTION("""COMPUTED_VALUE"""),"DLO*UBER RIDES         CIUDAD DE MEX MEX")</f>
        <v>DLO*UBER RIDES         CIUDAD DE MEX MEX</v>
      </c>
      <c r="H32" s="17" t="str">
        <f ca="1">IFERROR(__xludf.DUMMYFUNCTION("""COMPUTED_VALUE"""),"Uber")</f>
        <v>Uber</v>
      </c>
      <c r="I32" s="17"/>
      <c r="J32" s="17"/>
      <c r="K32" s="134" t="str">
        <f ca="1">IFERROR(__xludf.DUMMYFUNCTION("""COMPUTED_VALUE"""),".")</f>
        <v>.</v>
      </c>
      <c r="L32" s="17"/>
      <c r="M32" s="17"/>
      <c r="N32" s="17"/>
      <c r="O32" s="17"/>
    </row>
    <row r="33" spans="1:15" ht="12.5">
      <c r="A33" s="17" t="str">
        <f ca="1">IFERROR(__xludf.DUMMYFUNCTION("""COMPUTED_VALUE"""),"TRX1549")</f>
        <v>TRX1549</v>
      </c>
      <c r="B33" s="86" t="str">
        <f ca="1">IFERROR(__xludf.DUMMYFUNCTION("""COMPUTED_VALUE"""),"-")</f>
        <v>-</v>
      </c>
      <c r="C33" s="63">
        <f ca="1">IFERROR(__xludf.DUMMYFUNCTION("""COMPUTED_VALUE"""),46072.4173611111)</f>
        <v>46072.417361111096</v>
      </c>
      <c r="D33" s="65">
        <f ca="1">IFERROR(__xludf.DUMMYFUNCTION("""COMPUTED_VALUE"""),500)</f>
        <v>500</v>
      </c>
      <c r="E33" s="17" t="str">
        <f ca="1">IFERROR(__xludf.DUMMYFUNCTION("""COMPUTED_VALUE"""),"MXN")</f>
        <v>MXN</v>
      </c>
      <c r="F33" s="17" t="str">
        <f ca="1">IFERROR(__xludf.DUMMYFUNCTION("""COMPUTED_VALUE"""),"Harold Pape")</f>
        <v>Harold Pape</v>
      </c>
      <c r="G33" s="17" t="str">
        <f ca="1">IFERROR(__xludf.DUMMYFUNCTION("""COMPUTED_VALUE"""),"IPARK MTY INTERRED     APODACA NL    MEX")</f>
        <v>IPARK MTY INTERRED     APODACA NL    MEX</v>
      </c>
      <c r="H33" s="17" t="str">
        <f ca="1">IFERROR(__xludf.DUMMYFUNCTION("""COMPUTED_VALUE"""),"Ipark Mty Interred Apodaca Nl Mex")</f>
        <v>Ipark Mty Interred Apodaca Nl Mex</v>
      </c>
      <c r="I33" s="17"/>
      <c r="J33" s="17"/>
      <c r="K33" s="134" t="str">
        <f ca="1">IFERROR(__xludf.DUMMYFUNCTION("""COMPUTED_VALUE"""),".")</f>
        <v>.</v>
      </c>
      <c r="L33" s="17"/>
      <c r="M33" s="17"/>
      <c r="N33" s="17"/>
      <c r="O33" s="17"/>
    </row>
    <row r="34" spans="1:15" ht="12.5">
      <c r="A34" s="17" t="str">
        <f ca="1">IFERROR(__xludf.DUMMYFUNCTION("""COMPUTED_VALUE"""),"TRX1397")</f>
        <v>TRX1397</v>
      </c>
      <c r="B34" s="86" t="str">
        <f ca="1">IFERROR(__xludf.DUMMYFUNCTION("""COMPUTED_VALUE"""),"-")</f>
        <v>-</v>
      </c>
      <c r="C34" s="63">
        <f ca="1">IFERROR(__xludf.DUMMYFUNCTION("""COMPUTED_VALUE"""),46073.4166666666)</f>
        <v>46073.416666666599</v>
      </c>
      <c r="D34" s="65">
        <f ca="1">IFERROR(__xludf.DUMMYFUNCTION("""COMPUTED_VALUE"""),148.4)</f>
        <v>148.4</v>
      </c>
      <c r="E34" s="17" t="str">
        <f ca="1">IFERROR(__xludf.DUMMYFUNCTION("""COMPUTED_VALUE"""),"MXN")</f>
        <v>MXN</v>
      </c>
      <c r="F34" s="17" t="str">
        <f ca="1">IFERROR(__xludf.DUMMYFUNCTION("""COMPUTED_VALUE"""),"Harold Pape")</f>
        <v>Harold Pape</v>
      </c>
      <c r="G34" s="17" t="str">
        <f ca="1">IFERROR(__xludf.DUMMYFUNCTION("""COMPUTED_VALUE"""),"D LOCAL*REST RAPPI     CIUDAD DE MEX MEX")</f>
        <v>D LOCAL*REST RAPPI     CIUDAD DE MEX MEX</v>
      </c>
      <c r="H34" s="17" t="str">
        <f ca="1">IFERROR(__xludf.DUMMYFUNCTION("""COMPUTED_VALUE"""),"Rappi")</f>
        <v>Rappi</v>
      </c>
      <c r="I34" s="17"/>
      <c r="J34" s="17"/>
      <c r="K34" s="134" t="str">
        <f ca="1">IFERROR(__xludf.DUMMYFUNCTION("""COMPUTED_VALUE"""),".")</f>
        <v>.</v>
      </c>
      <c r="L34" s="17"/>
      <c r="M34" s="17"/>
      <c r="N34" s="17"/>
      <c r="O34" s="17"/>
    </row>
    <row r="35" spans="1:15" ht="12.5">
      <c r="A35" s="17" t="str">
        <f ca="1">IFERROR(__xludf.DUMMYFUNCTION("""COMPUTED_VALUE"""),"TRX1729")</f>
        <v>TRX1729</v>
      </c>
      <c r="B35" s="86" t="str">
        <f ca="1">IFERROR(__xludf.DUMMYFUNCTION("""COMPUTED_VALUE"""),"-")</f>
        <v>-</v>
      </c>
      <c r="C35" s="63">
        <f ca="1">IFERROR(__xludf.DUMMYFUNCTION("""COMPUTED_VALUE"""),46073.4166666666)</f>
        <v>46073.416666666599</v>
      </c>
      <c r="D35" s="65">
        <f ca="1">IFERROR(__xludf.DUMMYFUNCTION("""COMPUTED_VALUE"""),23.85)</f>
        <v>23.85</v>
      </c>
      <c r="E35" s="17" t="str">
        <f ca="1">IFERROR(__xludf.DUMMYFUNCTION("""COMPUTED_VALUE"""),"MXN")</f>
        <v>MXN</v>
      </c>
      <c r="F35" s="17" t="str">
        <f ca="1">IFERROR(__xludf.DUMMYFUNCTION("""COMPUTED_VALUE"""),"Harold Pape")</f>
        <v>Harold Pape</v>
      </c>
      <c r="G35" s="17" t="str">
        <f ca="1">IFERROR(__xludf.DUMMYFUNCTION("""COMPUTED_VALUE"""),"D LOCAL*REST RAPPIPRO  CIUDAD DE MEX MEX")</f>
        <v>D LOCAL*REST RAPPIPRO  CIUDAD DE MEX MEX</v>
      </c>
      <c r="H35" s="17" t="str">
        <f ca="1">IFERROR(__xludf.DUMMYFUNCTION("""COMPUTED_VALUE"""),"D Local Rest Rappipro Ciudad De Mex Mex")</f>
        <v>D Local Rest Rappipro Ciudad De Mex Mex</v>
      </c>
      <c r="I35" s="17"/>
      <c r="J35" s="17"/>
      <c r="K35" s="134" t="str">
        <f ca="1">IFERROR(__xludf.DUMMYFUNCTION("""COMPUTED_VALUE"""),".")</f>
        <v>.</v>
      </c>
      <c r="L35" s="17"/>
      <c r="M35" s="17"/>
      <c r="N35" s="17"/>
      <c r="O35" s="17"/>
    </row>
    <row r="36" spans="1:15" ht="12.5">
      <c r="A36" s="17" t="str">
        <f ca="1">IFERROR(__xludf.DUMMYFUNCTION("""COMPUTED_VALUE"""),"TRX1038")</f>
        <v>TRX1038</v>
      </c>
      <c r="B36" s="86" t="str">
        <f ca="1">IFERROR(__xludf.DUMMYFUNCTION("""COMPUTED_VALUE"""),"-")</f>
        <v>-</v>
      </c>
      <c r="C36" s="63">
        <f ca="1">IFERROR(__xludf.DUMMYFUNCTION("""COMPUTED_VALUE"""),46074.4173611111)</f>
        <v>46074.417361111096</v>
      </c>
      <c r="D36" s="65">
        <f ca="1">IFERROR(__xludf.DUMMYFUNCTION("""COMPUTED_VALUE"""),23.85)</f>
        <v>23.85</v>
      </c>
      <c r="E36" s="17" t="str">
        <f ca="1">IFERROR(__xludf.DUMMYFUNCTION("""COMPUTED_VALUE"""),"MXN")</f>
        <v>MXN</v>
      </c>
      <c r="F36" s="17" t="str">
        <f ca="1">IFERROR(__xludf.DUMMYFUNCTION("""COMPUTED_VALUE"""),"Harold Pape")</f>
        <v>Harold Pape</v>
      </c>
      <c r="G36" s="17" t="str">
        <f ca="1">IFERROR(__xludf.DUMMYFUNCTION("""COMPUTED_VALUE"""),"20260219T01:01:01/D LOCAL*REST RAPPIPRO\UNKNOWN\UNKNOWN\11520        MEX")</f>
        <v>20260219T01:01:01/D LOCAL*REST RAPPIPRO\UNKNOWN\UNKNOWN\11520        MEX</v>
      </c>
      <c r="H36" s="17" t="str">
        <f ca="1">IFERROR(__xludf.DUMMYFUNCTION("""COMPUTED_VALUE"""),"T :01/D Local Rest Rappipro\Unknown\Unknown\ Mex")</f>
        <v>T :01/D Local Rest Rappipro\Unknown\Unknown\ Mex</v>
      </c>
      <c r="I36" s="17"/>
      <c r="J36" s="17"/>
      <c r="K36" s="134" t="str">
        <f ca="1">IFERROR(__xludf.DUMMYFUNCTION("""COMPUTED_VALUE"""),".")</f>
        <v>.</v>
      </c>
      <c r="L36" s="17"/>
      <c r="M36" s="17"/>
      <c r="N36" s="17"/>
      <c r="O36" s="17"/>
    </row>
    <row r="37" spans="1:15" ht="12.5">
      <c r="A37" s="17" t="str">
        <f ca="1">IFERROR(__xludf.DUMMYFUNCTION("""COMPUTED_VALUE"""),"TRX1292")</f>
        <v>TRX1292</v>
      </c>
      <c r="B37" s="86" t="str">
        <f ca="1">IFERROR(__xludf.DUMMYFUNCTION("""COMPUTED_VALUE"""),"-")</f>
        <v>-</v>
      </c>
      <c r="C37" s="63">
        <f ca="1">IFERROR(__xludf.DUMMYFUNCTION("""COMPUTED_VALUE"""),46081.4173611111)</f>
        <v>46081.417361111096</v>
      </c>
      <c r="D37" s="17">
        <f ca="1">IFERROR(__xludf.DUMMYFUNCTION("""COMPUTED_VALUE"""),1290)</f>
        <v>1290</v>
      </c>
      <c r="E37" s="17" t="str">
        <f ca="1">IFERROR(__xludf.DUMMYFUNCTION("""COMPUTED_VALUE"""),"MXN")</f>
        <v>MXN</v>
      </c>
      <c r="F37" s="17" t="str">
        <f ca="1">IFERROR(__xludf.DUMMYFUNCTION("""COMPUTED_VALUE"""),"Harold Pape")</f>
        <v>Harold Pape</v>
      </c>
      <c r="G37" s="17" t="str">
        <f ca="1">IFERROR(__xludf.DUMMYFUNCTION("""COMPUTED_VALUE"""),"HOME DEPOT GARZA GARCI SN PEDRO GARZ MEX")</f>
        <v>HOME DEPOT GARZA GARCI SN PEDRO GARZ MEX</v>
      </c>
      <c r="H37" s="17" t="str">
        <f ca="1">IFERROR(__xludf.DUMMYFUNCTION("""COMPUTED_VALUE"""),"The Home Depot")</f>
        <v>The Home Depot</v>
      </c>
      <c r="I37" s="17"/>
      <c r="J37" s="17"/>
      <c r="K37" s="134" t="str">
        <f ca="1">IFERROR(__xludf.DUMMYFUNCTION("""COMPUTED_VALUE"""),".")</f>
        <v>.</v>
      </c>
      <c r="L37" s="17"/>
      <c r="M37" s="17"/>
      <c r="N37" s="17"/>
      <c r="O37" s="17"/>
    </row>
    <row r="38" spans="1:15" ht="12.5">
      <c r="A38" s="17" t="str">
        <f ca="1">IFERROR(__xludf.DUMMYFUNCTION("""COMPUTED_VALUE"""),"TRX1294")</f>
        <v>TRX1294</v>
      </c>
      <c r="B38" s="86" t="str">
        <f ca="1">IFERROR(__xludf.DUMMYFUNCTION("""COMPUTED_VALUE"""),"-")</f>
        <v>-</v>
      </c>
      <c r="C38" s="63">
        <f ca="1">IFERROR(__xludf.DUMMYFUNCTION("""COMPUTED_VALUE"""),46081.4173611111)</f>
        <v>46081.417361111096</v>
      </c>
      <c r="D38" s="17">
        <f ca="1">IFERROR(__xludf.DUMMYFUNCTION("""COMPUTED_VALUE"""),1900.18)</f>
        <v>1900.18</v>
      </c>
      <c r="E38" s="17" t="str">
        <f ca="1">IFERROR(__xludf.DUMMYFUNCTION("""COMPUTED_VALUE"""),"MXN")</f>
        <v>MXN</v>
      </c>
      <c r="F38" s="17" t="str">
        <f ca="1">IFERROR(__xludf.DUMMYFUNCTION("""COMPUTED_VALUE"""),"Harold Pape")</f>
        <v>Harold Pape</v>
      </c>
      <c r="G38" s="17" t="str">
        <f ca="1">IFERROR(__xludf.DUMMYFUNCTION("""COMPUTED_VALUE"""),"GAS OXXOCASTELLANA     MONTERREY NL  MEX")</f>
        <v>GAS OXXOCASTELLANA     MONTERREY NL  MEX</v>
      </c>
      <c r="H38" s="17" t="str">
        <f ca="1">IFERROR(__xludf.DUMMYFUNCTION("""COMPUTED_VALUE"""),"Gas Oxxocastellana Monterrey Nl Mex")</f>
        <v>Gas Oxxocastellana Monterrey Nl Mex</v>
      </c>
      <c r="I38" s="17"/>
      <c r="J38" s="17"/>
      <c r="K38" s="134" t="str">
        <f ca="1">IFERROR(__xludf.DUMMYFUNCTION("""COMPUTED_VALUE"""),".")</f>
        <v>.</v>
      </c>
      <c r="L38" s="17"/>
      <c r="M38" s="17"/>
      <c r="N38" s="17"/>
      <c r="O38" s="17"/>
    </row>
    <row r="39" spans="1:15" ht="12.5">
      <c r="A39" s="17"/>
      <c r="B39" s="24"/>
      <c r="C39" s="24"/>
      <c r="D39" s="17"/>
      <c r="E39" s="17"/>
      <c r="F39" s="17"/>
      <c r="G39" s="17"/>
      <c r="H39" s="17"/>
      <c r="I39" s="17"/>
      <c r="J39" s="17"/>
      <c r="K39" s="134" t="str">
        <f ca="1">IFERROR(__xludf.DUMMYFUNCTION("""COMPUTED_VALUE"""),".")</f>
        <v>.</v>
      </c>
      <c r="L39" s="17"/>
      <c r="M39" s="17"/>
      <c r="N39" s="17"/>
      <c r="O39" s="17"/>
    </row>
    <row r="40" spans="1:15" ht="12.5">
      <c r="A40" s="17"/>
      <c r="B40" s="24"/>
      <c r="C40" s="24"/>
      <c r="D40" s="17"/>
      <c r="E40" s="17"/>
      <c r="F40" s="17"/>
      <c r="G40" s="17"/>
      <c r="H40" s="17"/>
      <c r="I40" s="17"/>
      <c r="J40" s="17"/>
      <c r="K40" s="134" t="str">
        <f ca="1">IFERROR(__xludf.DUMMYFUNCTION("""COMPUTED_VALUE"""),".")</f>
        <v>.</v>
      </c>
      <c r="L40" s="17"/>
      <c r="M40" s="17"/>
      <c r="N40" s="17"/>
      <c r="O40" s="17"/>
    </row>
    <row r="41" spans="1:15" ht="12.5">
      <c r="A41" s="17"/>
      <c r="B41" s="24"/>
      <c r="C41" s="24"/>
      <c r="D41" s="17"/>
      <c r="E41" s="17"/>
      <c r="F41" s="17"/>
      <c r="G41" s="17"/>
      <c r="H41" s="17"/>
      <c r="I41" s="17"/>
      <c r="J41" s="17"/>
      <c r="K41" s="134" t="str">
        <f ca="1">IFERROR(__xludf.DUMMYFUNCTION("""COMPUTED_VALUE"""),".")</f>
        <v>.</v>
      </c>
      <c r="L41" s="17"/>
      <c r="M41" s="17"/>
      <c r="N41" s="17"/>
      <c r="O41" s="17"/>
    </row>
    <row r="42" spans="1:15" ht="12.5">
      <c r="A42" s="17"/>
      <c r="B42" s="24"/>
      <c r="C42" s="24"/>
      <c r="D42" s="17"/>
      <c r="E42" s="17"/>
      <c r="F42" s="17"/>
      <c r="G42" s="17"/>
      <c r="H42" s="17"/>
      <c r="I42" s="17"/>
      <c r="J42" s="17"/>
      <c r="K42" s="134" t="str">
        <f ca="1">IFERROR(__xludf.DUMMYFUNCTION("""COMPUTED_VALUE"""),".")</f>
        <v>.</v>
      </c>
      <c r="L42" s="17"/>
      <c r="M42" s="17"/>
      <c r="N42" s="17"/>
      <c r="O42" s="17"/>
    </row>
    <row r="43" spans="1:15" ht="12.5">
      <c r="A43" s="17"/>
      <c r="B43" s="24"/>
      <c r="C43" s="24"/>
      <c r="D43" s="17"/>
      <c r="E43" s="17"/>
      <c r="F43" s="17"/>
      <c r="G43" s="17"/>
      <c r="H43" s="17"/>
      <c r="I43" s="17"/>
      <c r="J43" s="17"/>
      <c r="K43" s="134" t="str">
        <f ca="1">IFERROR(__xludf.DUMMYFUNCTION("""COMPUTED_VALUE"""),".")</f>
        <v>.</v>
      </c>
      <c r="L43" s="17"/>
      <c r="M43" s="17"/>
      <c r="N43" s="17"/>
      <c r="O43" s="17"/>
    </row>
    <row r="44" spans="1:15" ht="12.5">
      <c r="A44" s="17"/>
      <c r="B44" s="24"/>
      <c r="C44" s="24"/>
      <c r="D44" s="17"/>
      <c r="E44" s="17"/>
      <c r="F44" s="17"/>
      <c r="G44" s="17"/>
      <c r="H44" s="17"/>
      <c r="I44" s="17"/>
      <c r="J44" s="17"/>
      <c r="K44" s="134" t="str">
        <f ca="1">IFERROR(__xludf.DUMMYFUNCTION("""COMPUTED_VALUE"""),".")</f>
        <v>.</v>
      </c>
      <c r="L44" s="17"/>
      <c r="M44" s="17"/>
      <c r="N44" s="17"/>
      <c r="O44" s="17"/>
    </row>
    <row r="45" spans="1:15" ht="12.5">
      <c r="A45" s="17"/>
      <c r="B45" s="24"/>
      <c r="C45" s="24"/>
      <c r="D45" s="17"/>
      <c r="E45" s="17"/>
      <c r="F45" s="17"/>
      <c r="G45" s="17"/>
      <c r="H45" s="17"/>
      <c r="I45" s="17"/>
      <c r="J45" s="17"/>
      <c r="K45" s="134" t="str">
        <f ca="1">IFERROR(__xludf.DUMMYFUNCTION("""COMPUTED_VALUE"""),".")</f>
        <v>.</v>
      </c>
      <c r="L45" s="17"/>
      <c r="M45" s="17"/>
      <c r="N45" s="17"/>
      <c r="O45" s="17"/>
    </row>
    <row r="46" spans="1:15" ht="12.5">
      <c r="A46" s="17"/>
      <c r="B46" s="24"/>
      <c r="C46" s="24"/>
      <c r="D46" s="17"/>
      <c r="E46" s="17"/>
      <c r="F46" s="17"/>
      <c r="G46" s="17"/>
      <c r="H46" s="17"/>
      <c r="I46" s="17"/>
      <c r="J46" s="17"/>
      <c r="K46" s="134" t="str">
        <f ca="1">IFERROR(__xludf.DUMMYFUNCTION("""COMPUTED_VALUE"""),".")</f>
        <v>.</v>
      </c>
      <c r="L46" s="17"/>
      <c r="M46" s="17"/>
      <c r="N46" s="17"/>
      <c r="O46" s="17"/>
    </row>
    <row r="47" spans="1:15" ht="12.5">
      <c r="A47" s="17"/>
      <c r="B47" s="24"/>
      <c r="C47" s="24"/>
      <c r="D47" s="17"/>
      <c r="E47" s="17"/>
      <c r="F47" s="17"/>
      <c r="G47" s="17"/>
      <c r="H47" s="17"/>
      <c r="I47" s="17"/>
      <c r="J47" s="17"/>
      <c r="K47" s="134" t="str">
        <f ca="1">IFERROR(__xludf.DUMMYFUNCTION("""COMPUTED_VALUE"""),".")</f>
        <v>.</v>
      </c>
      <c r="L47" s="17"/>
      <c r="M47" s="17"/>
      <c r="N47" s="17"/>
      <c r="O47" s="17"/>
    </row>
    <row r="48" spans="1:15" ht="12.5">
      <c r="A48" s="17"/>
      <c r="B48" s="24"/>
      <c r="C48" s="24"/>
      <c r="D48" s="17"/>
      <c r="E48" s="17"/>
      <c r="F48" s="17"/>
      <c r="G48" s="17"/>
      <c r="H48" s="17"/>
      <c r="I48" s="17"/>
      <c r="J48" s="17"/>
      <c r="K48" s="134" t="str">
        <f ca="1">IFERROR(__xludf.DUMMYFUNCTION("""COMPUTED_VALUE"""),".")</f>
        <v>.</v>
      </c>
      <c r="L48" s="17"/>
      <c r="M48" s="17"/>
      <c r="N48" s="17"/>
      <c r="O48" s="17"/>
    </row>
    <row r="49" spans="1:15" ht="12.5">
      <c r="A49" s="17"/>
      <c r="B49" s="24"/>
      <c r="C49" s="24"/>
      <c r="D49" s="17"/>
      <c r="E49" s="17"/>
      <c r="F49" s="17"/>
      <c r="G49" s="17"/>
      <c r="H49" s="17"/>
      <c r="I49" s="17"/>
      <c r="J49" s="17"/>
      <c r="K49" s="134" t="str">
        <f ca="1">IFERROR(__xludf.DUMMYFUNCTION("""COMPUTED_VALUE"""),".")</f>
        <v>.</v>
      </c>
      <c r="L49" s="17"/>
      <c r="M49" s="17"/>
      <c r="N49" s="17"/>
      <c r="O49" s="17"/>
    </row>
    <row r="50" spans="1:15" ht="12.5">
      <c r="A50" s="17"/>
      <c r="B50" s="24"/>
      <c r="C50" s="24"/>
      <c r="D50" s="17"/>
      <c r="E50" s="17"/>
      <c r="F50" s="17"/>
      <c r="G50" s="17"/>
      <c r="H50" s="17"/>
      <c r="I50" s="17"/>
      <c r="J50" s="17"/>
      <c r="K50" s="134" t="str">
        <f ca="1">IFERROR(__xludf.DUMMYFUNCTION("""COMPUTED_VALUE"""),".")</f>
        <v>.</v>
      </c>
      <c r="L50" s="17"/>
      <c r="M50" s="17"/>
      <c r="N50" s="17"/>
      <c r="O50" s="17"/>
    </row>
    <row r="51" spans="1:15" ht="12.5">
      <c r="A51" s="17"/>
      <c r="B51" s="24"/>
      <c r="C51" s="24"/>
      <c r="D51" s="17"/>
      <c r="E51" s="17"/>
      <c r="F51" s="17"/>
      <c r="G51" s="17"/>
      <c r="H51" s="17"/>
      <c r="I51" s="17"/>
      <c r="J51" s="17"/>
      <c r="K51" s="134" t="str">
        <f ca="1">IFERROR(__xludf.DUMMYFUNCTION("""COMPUTED_VALUE"""),".")</f>
        <v>.</v>
      </c>
      <c r="L51" s="17"/>
      <c r="M51" s="17"/>
      <c r="N51" s="17"/>
      <c r="O51" s="17"/>
    </row>
    <row r="52" spans="1:15" ht="12.5">
      <c r="A52" s="17"/>
      <c r="B52" s="24"/>
      <c r="C52" s="24"/>
      <c r="D52" s="17"/>
      <c r="E52" s="17"/>
      <c r="F52" s="17"/>
      <c r="G52" s="17"/>
      <c r="H52" s="17"/>
      <c r="I52" s="17"/>
      <c r="J52" s="17"/>
      <c r="K52" s="134" t="str">
        <f ca="1">IFERROR(__xludf.DUMMYFUNCTION("""COMPUTED_VALUE"""),".")</f>
        <v>.</v>
      </c>
      <c r="L52" s="17"/>
      <c r="M52" s="17"/>
      <c r="N52" s="17"/>
      <c r="O52" s="17"/>
    </row>
    <row r="53" spans="1:15" ht="12.5">
      <c r="A53" s="17"/>
      <c r="B53" s="24"/>
      <c r="C53" s="24"/>
      <c r="D53" s="17"/>
      <c r="E53" s="17"/>
      <c r="F53" s="17"/>
      <c r="G53" s="17"/>
      <c r="H53" s="17"/>
      <c r="I53" s="17"/>
      <c r="J53" s="17"/>
      <c r="K53" s="134" t="str">
        <f ca="1">IFERROR(__xludf.DUMMYFUNCTION("""COMPUTED_VALUE"""),".")</f>
        <v>.</v>
      </c>
      <c r="L53" s="17"/>
      <c r="M53" s="17"/>
      <c r="N53" s="17"/>
      <c r="O53" s="17"/>
    </row>
    <row r="54" spans="1:15" ht="12.5">
      <c r="A54" s="17"/>
      <c r="B54" s="24"/>
      <c r="C54" s="24"/>
      <c r="D54" s="17"/>
      <c r="E54" s="17"/>
      <c r="F54" s="17"/>
      <c r="G54" s="17"/>
      <c r="H54" s="17"/>
      <c r="I54" s="17"/>
      <c r="J54" s="17"/>
      <c r="K54" s="134" t="str">
        <f ca="1">IFERROR(__xludf.DUMMYFUNCTION("""COMPUTED_VALUE"""),".")</f>
        <v>.</v>
      </c>
      <c r="L54" s="17"/>
      <c r="M54" s="17"/>
      <c r="N54" s="17"/>
      <c r="O54" s="17"/>
    </row>
    <row r="55" spans="1:15" ht="12.5">
      <c r="A55" s="17"/>
      <c r="B55" s="24"/>
      <c r="C55" s="24"/>
      <c r="D55" s="17"/>
      <c r="E55" s="17"/>
      <c r="F55" s="17"/>
      <c r="G55" s="17"/>
      <c r="H55" s="17"/>
      <c r="I55" s="17"/>
      <c r="J55" s="17"/>
      <c r="K55" s="134" t="str">
        <f ca="1">IFERROR(__xludf.DUMMYFUNCTION("""COMPUTED_VALUE"""),".")</f>
        <v>.</v>
      </c>
      <c r="L55" s="17"/>
      <c r="M55" s="17"/>
      <c r="N55" s="17"/>
      <c r="O55" s="17"/>
    </row>
    <row r="56" spans="1:15" ht="12.5">
      <c r="A56" s="17"/>
      <c r="B56" s="24"/>
      <c r="C56" s="24"/>
      <c r="D56" s="17"/>
      <c r="E56" s="17"/>
      <c r="F56" s="17"/>
      <c r="G56" s="17"/>
      <c r="H56" s="17"/>
      <c r="I56" s="17"/>
      <c r="J56" s="17"/>
      <c r="K56" s="134" t="str">
        <f ca="1">IFERROR(__xludf.DUMMYFUNCTION("""COMPUTED_VALUE"""),".")</f>
        <v>.</v>
      </c>
      <c r="L56" s="17"/>
      <c r="M56" s="17"/>
      <c r="N56" s="17"/>
      <c r="O56" s="17"/>
    </row>
    <row r="57" spans="1:15" ht="12.5">
      <c r="A57" s="17"/>
      <c r="B57" s="24"/>
      <c r="C57" s="24"/>
      <c r="D57" s="17"/>
      <c r="E57" s="17"/>
      <c r="F57" s="17"/>
      <c r="G57" s="17"/>
      <c r="H57" s="17"/>
      <c r="I57" s="17"/>
      <c r="J57" s="17"/>
      <c r="K57" s="134" t="str">
        <f ca="1">IFERROR(__xludf.DUMMYFUNCTION("""COMPUTED_VALUE"""),".")</f>
        <v>.</v>
      </c>
      <c r="L57" s="17"/>
      <c r="M57" s="17"/>
      <c r="N57" s="17"/>
      <c r="O57" s="17"/>
    </row>
    <row r="58" spans="1:15" ht="12.5">
      <c r="A58" s="17"/>
      <c r="B58" s="24"/>
      <c r="C58" s="24"/>
      <c r="D58" s="17"/>
      <c r="E58" s="17"/>
      <c r="F58" s="17"/>
      <c r="G58" s="17"/>
      <c r="H58" s="17"/>
      <c r="I58" s="17"/>
      <c r="J58" s="17"/>
      <c r="K58" s="134" t="str">
        <f ca="1">IFERROR(__xludf.DUMMYFUNCTION("""COMPUTED_VALUE"""),".")</f>
        <v>.</v>
      </c>
      <c r="L58" s="17"/>
      <c r="M58" s="17"/>
      <c r="N58" s="17"/>
      <c r="O58" s="17"/>
    </row>
    <row r="59" spans="1:15" ht="12.5">
      <c r="A59" s="17"/>
      <c r="B59" s="24"/>
      <c r="C59" s="24"/>
      <c r="D59" s="17"/>
      <c r="E59" s="17"/>
      <c r="F59" s="17"/>
      <c r="G59" s="17"/>
      <c r="H59" s="17"/>
      <c r="I59" s="17"/>
      <c r="J59" s="17"/>
      <c r="K59" s="134" t="str">
        <f ca="1">IFERROR(__xludf.DUMMYFUNCTION("""COMPUTED_VALUE"""),".")</f>
        <v>.</v>
      </c>
      <c r="L59" s="17"/>
      <c r="M59" s="17"/>
      <c r="N59" s="17"/>
      <c r="O59" s="17"/>
    </row>
    <row r="60" spans="1:15" ht="12.5">
      <c r="A60" s="17"/>
      <c r="B60" s="24"/>
      <c r="C60" s="24"/>
      <c r="D60" s="17"/>
      <c r="E60" s="17"/>
      <c r="F60" s="17"/>
      <c r="G60" s="17"/>
      <c r="H60" s="17"/>
      <c r="I60" s="17"/>
      <c r="J60" s="17"/>
      <c r="K60" s="134" t="str">
        <f ca="1">IFERROR(__xludf.DUMMYFUNCTION("""COMPUTED_VALUE"""),".")</f>
        <v>.</v>
      </c>
      <c r="L60" s="17"/>
      <c r="M60" s="17"/>
      <c r="N60" s="17"/>
      <c r="O60" s="17"/>
    </row>
    <row r="61" spans="1:15" ht="12.5">
      <c r="A61" s="17"/>
      <c r="B61" s="24"/>
      <c r="C61" s="24"/>
      <c r="D61" s="17"/>
      <c r="E61" s="17"/>
      <c r="F61" s="17"/>
      <c r="G61" s="17"/>
      <c r="H61" s="17"/>
      <c r="I61" s="17"/>
      <c r="J61" s="17"/>
      <c r="K61" s="134" t="str">
        <f ca="1">IFERROR(__xludf.DUMMYFUNCTION("""COMPUTED_VALUE"""),".")</f>
        <v>.</v>
      </c>
      <c r="L61" s="17"/>
      <c r="M61" s="17"/>
      <c r="N61" s="17"/>
      <c r="O61" s="17"/>
    </row>
    <row r="62" spans="1:15" ht="12.5">
      <c r="A62" s="17"/>
      <c r="B62" s="24"/>
      <c r="C62" s="24"/>
      <c r="D62" s="17"/>
      <c r="E62" s="17"/>
      <c r="F62" s="17"/>
      <c r="G62" s="17"/>
      <c r="H62" s="17"/>
      <c r="I62" s="17"/>
      <c r="J62" s="17"/>
      <c r="K62" s="134" t="str">
        <f ca="1">IFERROR(__xludf.DUMMYFUNCTION("""COMPUTED_VALUE"""),".")</f>
        <v>.</v>
      </c>
      <c r="L62" s="17"/>
      <c r="M62" s="17"/>
      <c r="N62" s="17"/>
      <c r="O62" s="17"/>
    </row>
    <row r="63" spans="1:15" ht="12.5">
      <c r="A63" s="17"/>
      <c r="B63" s="24"/>
      <c r="C63" s="24"/>
      <c r="D63" s="17"/>
      <c r="E63" s="17"/>
      <c r="F63" s="17"/>
      <c r="G63" s="17"/>
      <c r="H63" s="17"/>
      <c r="I63" s="17"/>
      <c r="J63" s="17"/>
      <c r="K63" s="134" t="str">
        <f ca="1">IFERROR(__xludf.DUMMYFUNCTION("""COMPUTED_VALUE"""),".")</f>
        <v>.</v>
      </c>
      <c r="L63" s="17"/>
      <c r="M63" s="17"/>
      <c r="N63" s="17"/>
      <c r="O63" s="17"/>
    </row>
    <row r="64" spans="1:15" ht="12.5">
      <c r="A64" s="17"/>
      <c r="B64" s="24"/>
      <c r="C64" s="24"/>
      <c r="D64" s="17"/>
      <c r="E64" s="17"/>
      <c r="F64" s="17"/>
      <c r="G64" s="17"/>
      <c r="H64" s="17"/>
      <c r="I64" s="17"/>
      <c r="J64" s="17"/>
      <c r="K64" s="134" t="str">
        <f ca="1">IFERROR(__xludf.DUMMYFUNCTION("""COMPUTED_VALUE"""),".")</f>
        <v>.</v>
      </c>
      <c r="L64" s="17"/>
      <c r="M64" s="17"/>
      <c r="N64" s="17"/>
      <c r="O64" s="17"/>
    </row>
    <row r="65" spans="1:15" ht="12.5">
      <c r="A65" s="17"/>
      <c r="B65" s="24"/>
      <c r="C65" s="24"/>
      <c r="D65" s="17"/>
      <c r="E65" s="17"/>
      <c r="F65" s="17"/>
      <c r="G65" s="17"/>
      <c r="H65" s="17"/>
      <c r="I65" s="17"/>
      <c r="J65" s="17"/>
      <c r="K65" s="134" t="str">
        <f ca="1">IFERROR(__xludf.DUMMYFUNCTION("""COMPUTED_VALUE"""),".")</f>
        <v>.</v>
      </c>
      <c r="L65" s="17"/>
      <c r="M65" s="17"/>
      <c r="N65" s="17"/>
      <c r="O65" s="17"/>
    </row>
    <row r="66" spans="1:15" ht="12.5">
      <c r="A66" s="17"/>
      <c r="B66" s="24"/>
      <c r="C66" s="24"/>
      <c r="D66" s="17"/>
      <c r="E66" s="17"/>
      <c r="F66" s="17"/>
      <c r="G66" s="17"/>
      <c r="H66" s="17"/>
      <c r="I66" s="17"/>
      <c r="J66" s="17"/>
      <c r="K66" s="134" t="str">
        <f ca="1">IFERROR(__xludf.DUMMYFUNCTION("""COMPUTED_VALUE"""),".")</f>
        <v>.</v>
      </c>
      <c r="L66" s="17"/>
      <c r="M66" s="17"/>
      <c r="N66" s="17"/>
      <c r="O66" s="17"/>
    </row>
    <row r="67" spans="1:15" ht="12.5">
      <c r="A67" s="17"/>
      <c r="B67" s="24"/>
      <c r="C67" s="24"/>
      <c r="D67" s="17"/>
      <c r="E67" s="17"/>
      <c r="F67" s="17"/>
      <c r="G67" s="17"/>
      <c r="H67" s="17"/>
      <c r="I67" s="17"/>
      <c r="J67" s="17"/>
      <c r="K67" s="134" t="str">
        <f ca="1">IFERROR(__xludf.DUMMYFUNCTION("""COMPUTED_VALUE"""),".")</f>
        <v>.</v>
      </c>
      <c r="L67" s="17"/>
      <c r="M67" s="17"/>
      <c r="N67" s="17"/>
      <c r="O67" s="17"/>
    </row>
    <row r="68" spans="1:15" ht="12.5">
      <c r="A68" s="17"/>
      <c r="B68" s="24"/>
      <c r="C68" s="24"/>
      <c r="D68" s="17"/>
      <c r="E68" s="17"/>
      <c r="F68" s="17"/>
      <c r="G68" s="17"/>
      <c r="H68" s="17"/>
      <c r="I68" s="17"/>
      <c r="J68" s="17"/>
      <c r="K68" s="134" t="str">
        <f ca="1">IFERROR(__xludf.DUMMYFUNCTION("""COMPUTED_VALUE"""),".")</f>
        <v>.</v>
      </c>
      <c r="L68" s="17"/>
      <c r="M68" s="17"/>
      <c r="N68" s="17"/>
      <c r="O68" s="17"/>
    </row>
    <row r="69" spans="1:15" ht="12.5">
      <c r="A69" s="17"/>
      <c r="B69" s="24"/>
      <c r="C69" s="24"/>
      <c r="D69" s="17"/>
      <c r="E69" s="17"/>
      <c r="F69" s="17"/>
      <c r="G69" s="17"/>
      <c r="H69" s="17"/>
      <c r="I69" s="17"/>
      <c r="J69" s="17"/>
      <c r="K69" s="134" t="str">
        <f ca="1">IFERROR(__xludf.DUMMYFUNCTION("""COMPUTED_VALUE"""),".")</f>
        <v>.</v>
      </c>
      <c r="L69" s="17"/>
      <c r="M69" s="17"/>
      <c r="N69" s="17"/>
      <c r="O69" s="17"/>
    </row>
    <row r="70" spans="1:15" ht="12.5">
      <c r="A70" s="17"/>
      <c r="B70" s="24"/>
      <c r="C70" s="24"/>
      <c r="D70" s="17"/>
      <c r="E70" s="17"/>
      <c r="F70" s="17"/>
      <c r="G70" s="17"/>
      <c r="H70" s="17"/>
      <c r="I70" s="17"/>
      <c r="J70" s="17"/>
      <c r="K70" s="134" t="str">
        <f ca="1">IFERROR(__xludf.DUMMYFUNCTION("""COMPUTED_VALUE"""),".")</f>
        <v>.</v>
      </c>
      <c r="L70" s="17"/>
      <c r="M70" s="17"/>
      <c r="N70" s="17"/>
      <c r="O70" s="17"/>
    </row>
    <row r="71" spans="1:15" ht="12.5">
      <c r="A71" s="17"/>
      <c r="B71" s="24"/>
      <c r="C71" s="24"/>
      <c r="D71" s="17"/>
      <c r="E71" s="17"/>
      <c r="F71" s="17"/>
      <c r="G71" s="17"/>
      <c r="H71" s="17"/>
      <c r="I71" s="17"/>
      <c r="J71" s="17"/>
      <c r="K71" s="134" t="str">
        <f ca="1">IFERROR(__xludf.DUMMYFUNCTION("""COMPUTED_VALUE"""),".")</f>
        <v>.</v>
      </c>
      <c r="L71" s="17"/>
      <c r="M71" s="17"/>
      <c r="N71" s="17"/>
      <c r="O71" s="17"/>
    </row>
    <row r="72" spans="1:15" ht="12.5">
      <c r="A72" s="17"/>
      <c r="B72" s="24"/>
      <c r="C72" s="24"/>
      <c r="D72" s="17"/>
      <c r="E72" s="17"/>
      <c r="F72" s="17"/>
      <c r="G72" s="17"/>
      <c r="H72" s="17"/>
      <c r="I72" s="17"/>
      <c r="J72" s="17"/>
      <c r="K72" s="134" t="str">
        <f ca="1">IFERROR(__xludf.DUMMYFUNCTION("""COMPUTED_VALUE"""),".")</f>
        <v>.</v>
      </c>
      <c r="L72" s="17"/>
      <c r="M72" s="17"/>
      <c r="N72" s="17"/>
      <c r="O72" s="17"/>
    </row>
    <row r="73" spans="1:15" ht="12.5">
      <c r="A73" s="17"/>
      <c r="B73" s="24"/>
      <c r="C73" s="24"/>
      <c r="D73" s="17"/>
      <c r="E73" s="17"/>
      <c r="F73" s="17"/>
      <c r="G73" s="17"/>
      <c r="H73" s="17"/>
      <c r="I73" s="17"/>
      <c r="J73" s="17"/>
      <c r="K73" s="134" t="str">
        <f ca="1">IFERROR(__xludf.DUMMYFUNCTION("""COMPUTED_VALUE"""),".")</f>
        <v>.</v>
      </c>
      <c r="L73" s="17"/>
      <c r="M73" s="17"/>
      <c r="N73" s="17"/>
      <c r="O73" s="17"/>
    </row>
    <row r="74" spans="1:15" ht="12.5">
      <c r="A74" s="17"/>
      <c r="B74" s="24"/>
      <c r="C74" s="24"/>
      <c r="D74" s="17"/>
      <c r="E74" s="17"/>
      <c r="F74" s="17"/>
      <c r="G74" s="17"/>
      <c r="H74" s="17"/>
      <c r="I74" s="17"/>
      <c r="J74" s="17"/>
      <c r="K74" s="134" t="str">
        <f ca="1">IFERROR(__xludf.DUMMYFUNCTION("""COMPUTED_VALUE"""),".")</f>
        <v>.</v>
      </c>
      <c r="L74" s="17"/>
      <c r="M74" s="17"/>
      <c r="N74" s="17"/>
      <c r="O74" s="17"/>
    </row>
    <row r="75" spans="1:15" ht="12.5">
      <c r="A75" s="17"/>
      <c r="B75" s="24"/>
      <c r="C75" s="24"/>
      <c r="D75" s="17"/>
      <c r="E75" s="17"/>
      <c r="F75" s="17"/>
      <c r="G75" s="17"/>
      <c r="H75" s="17"/>
      <c r="I75" s="17"/>
      <c r="J75" s="17"/>
      <c r="K75" s="134" t="str">
        <f ca="1">IFERROR(__xludf.DUMMYFUNCTION("""COMPUTED_VALUE"""),".")</f>
        <v>.</v>
      </c>
      <c r="L75" s="17"/>
      <c r="M75" s="17"/>
      <c r="N75" s="17"/>
      <c r="O75" s="17"/>
    </row>
    <row r="76" spans="1:15" ht="12.5">
      <c r="A76" s="17"/>
      <c r="B76" s="24"/>
      <c r="C76" s="24"/>
      <c r="D76" s="17"/>
      <c r="E76" s="17"/>
      <c r="F76" s="17"/>
      <c r="G76" s="17"/>
      <c r="H76" s="17"/>
      <c r="I76" s="17"/>
      <c r="J76" s="17"/>
      <c r="K76" s="134" t="str">
        <f ca="1">IFERROR(__xludf.DUMMYFUNCTION("""COMPUTED_VALUE"""),".")</f>
        <v>.</v>
      </c>
      <c r="L76" s="17"/>
      <c r="M76" s="17"/>
      <c r="N76" s="17"/>
      <c r="O76" s="17"/>
    </row>
    <row r="77" spans="1:15" ht="12.5">
      <c r="A77" s="17"/>
      <c r="B77" s="24"/>
      <c r="C77" s="24"/>
      <c r="D77" s="17"/>
      <c r="E77" s="17"/>
      <c r="F77" s="17"/>
      <c r="G77" s="17"/>
      <c r="H77" s="17"/>
      <c r="I77" s="17"/>
      <c r="J77" s="17"/>
      <c r="K77" s="134" t="str">
        <f ca="1">IFERROR(__xludf.DUMMYFUNCTION("""COMPUTED_VALUE"""),".")</f>
        <v>.</v>
      </c>
      <c r="L77" s="17"/>
      <c r="M77" s="17"/>
      <c r="N77" s="17"/>
      <c r="O77" s="17"/>
    </row>
    <row r="78" spans="1:15" ht="12.5">
      <c r="A78" s="17"/>
      <c r="B78" s="24"/>
      <c r="C78" s="24"/>
      <c r="D78" s="17"/>
      <c r="E78" s="17"/>
      <c r="F78" s="17"/>
      <c r="G78" s="17"/>
      <c r="H78" s="17"/>
      <c r="I78" s="17"/>
      <c r="J78" s="17"/>
      <c r="K78" s="134" t="str">
        <f ca="1">IFERROR(__xludf.DUMMYFUNCTION("""COMPUTED_VALUE"""),".")</f>
        <v>.</v>
      </c>
      <c r="L78" s="17"/>
      <c r="M78" s="17"/>
      <c r="N78" s="17"/>
      <c r="O78" s="17"/>
    </row>
    <row r="79" spans="1:15" ht="12.5">
      <c r="A79" s="17"/>
      <c r="B79" s="24"/>
      <c r="C79" s="24"/>
      <c r="D79" s="17"/>
      <c r="E79" s="17"/>
      <c r="F79" s="17"/>
      <c r="G79" s="17"/>
      <c r="H79" s="17"/>
      <c r="I79" s="17"/>
      <c r="J79" s="17"/>
      <c r="K79" s="134" t="str">
        <f ca="1">IFERROR(__xludf.DUMMYFUNCTION("""COMPUTED_VALUE"""),".")</f>
        <v>.</v>
      </c>
      <c r="L79" s="17"/>
      <c r="M79" s="17"/>
      <c r="N79" s="17"/>
      <c r="O79" s="17"/>
    </row>
    <row r="80" spans="1:15" ht="12.5">
      <c r="A80" s="17"/>
      <c r="B80" s="24"/>
      <c r="C80" s="24"/>
      <c r="D80" s="17"/>
      <c r="E80" s="17"/>
      <c r="F80" s="17"/>
      <c r="G80" s="17"/>
      <c r="H80" s="17"/>
      <c r="I80" s="17"/>
      <c r="J80" s="17"/>
      <c r="K80" s="134"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6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269</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Sept'!$J$12:$J$1627=$A$2)"),"TRX1261")</f>
        <v>TRX1261</v>
      </c>
      <c r="B12" s="86" t="str">
        <f ca="1">IFERROR(__xludf.DUMMYFUNCTION("""COMPUTED_VALUE"""),"-")</f>
        <v>-</v>
      </c>
      <c r="C12" s="86">
        <f ca="1">IFERROR(__xludf.DUMMYFUNCTION("""COMPUTED_VALUE"""),46057.4166666666)</f>
        <v>46057.416666666599</v>
      </c>
      <c r="D12" s="65">
        <f ca="1">IFERROR(__xludf.DUMMYFUNCTION("FILTER('Edo Cta Jeeves Sept'!$G$12:$G$1300,'Edo Cta Jeeves Sept'!$J$12:$J$1300=$A$2)"),549.98)</f>
        <v>549.98</v>
      </c>
      <c r="E12" s="17" t="str">
        <f ca="1">IFERROR(__xludf.DUMMYFUNCTION("FILTER('Edo Cta Jeeves Sept'!$I$12:$I$1300,'Edo Cta Jeeves Sept'!$J$12:$J$1300=$A$2)"),"MXN")</f>
        <v>MXN</v>
      </c>
      <c r="F12" s="17" t="str">
        <f ca="1">IFERROR(__xludf.DUMMYFUNCTION("FILTER('Edo Cta Jeeves Sept'!$J$12:$J$1300,'Edo Cta Jeeves Sept'!$J$12:$J$1300=$A$2)"),"Jose Luis Franco Vaquero")</f>
        <v>Jose Luis Franco Vaquero</v>
      </c>
      <c r="G12" s="17" t="str">
        <f ca="1">IFERROR(__xludf.DUMMYFUNCTION("FILTER('Edo Cta Jeeves Sept'!$K$12:$L$1300,'Edo Cta Jeeves Sept'!$J$12:$J$1300=$A$2)"),"UBER * PENDING         CMX           MEX")</f>
        <v>UBER * PENDING         CMX           MEX</v>
      </c>
      <c r="H12" s="17" t="str">
        <f ca="1">IFERROR(__xludf.DUMMYFUNCTION("""COMPUTED_VALUE"""),"Uber")</f>
        <v>Uber</v>
      </c>
      <c r="I12" s="17" t="str">
        <f ca="1">IFERROR(__xludf.DUMMYFUNCTION("IMPORTRANGE(""https://docs.google.com/spreadsheets/d/1-s42K6Vr8LfQkXMbDAJOdJewzJ-x4Tx8nFMX_8lcBBI/edit?gid=1404531132#gid=1404531132"",""I12:K80"")"),"Sales")</f>
        <v>Sales</v>
      </c>
      <c r="J12" s="17" t="str">
        <f ca="1">IFERROR(__xludf.DUMMYFUNCTION("""COMPUTED_VALUE"""),"Traslado a aeropuerto")</f>
        <v>Traslado a aeropuerto</v>
      </c>
      <c r="K12" s="134" t="str">
        <f ca="1">IFERROR(__xludf.DUMMYFUNCTION("""COMPUTED_VALUE"""),"140829108036")</f>
        <v>140829108036</v>
      </c>
      <c r="L12" s="17"/>
      <c r="M12" s="17"/>
      <c r="N12" s="17"/>
      <c r="O12" s="17"/>
    </row>
    <row r="13" spans="1:15" ht="15.75" customHeight="1">
      <c r="A13" s="24" t="str">
        <f ca="1">IFERROR(__xludf.DUMMYFUNCTION("""COMPUTED_VALUE"""),"TRX1240")</f>
        <v>TRX1240</v>
      </c>
      <c r="B13" s="86" t="str">
        <f ca="1">IFERROR(__xludf.DUMMYFUNCTION("""COMPUTED_VALUE"""),"-")</f>
        <v>-</v>
      </c>
      <c r="C13" s="63">
        <f ca="1">IFERROR(__xludf.DUMMYFUNCTION("""COMPUTED_VALUE"""),46058.4166666666)</f>
        <v>46058.416666666599</v>
      </c>
      <c r="D13" s="65">
        <f ca="1">IFERROR(__xludf.DUMMYFUNCTION("""COMPUTED_VALUE"""),473)</f>
        <v>473</v>
      </c>
      <c r="E13" s="17" t="str">
        <f ca="1">IFERROR(__xludf.DUMMYFUNCTION("""COMPUTED_VALUE"""),"MXN")</f>
        <v>MXN</v>
      </c>
      <c r="F13" s="17" t="str">
        <f ca="1">IFERROR(__xludf.DUMMYFUNCTION("""COMPUTED_VALUE"""),"Jose Luis Franco Vaquero")</f>
        <v>Jose Luis Franco Vaquero</v>
      </c>
      <c r="G13" s="17" t="str">
        <f ca="1">IFERROR(__xludf.DUMMYFUNCTION("""COMPUTED_VALUE"""),"LOMA LINDA III T1 3    CIUDAD DE MEX MEX")</f>
        <v>LOMA LINDA III T1 3    CIUDAD DE MEX MEX</v>
      </c>
      <c r="H13" s="17" t="str">
        <f ca="1">IFERROR(__xludf.DUMMYFUNCTION("""COMPUTED_VALUE"""),"Loma Linda Iii T1 3 Ciudad De Mex Mex")</f>
        <v>Loma Linda Iii T1 3 Ciudad De Mex Mex</v>
      </c>
      <c r="I13" s="17" t="str">
        <f ca="1">IFERROR(__xludf.DUMMYFUNCTION("""COMPUTED_VALUE"""),"Sales")</f>
        <v>Sales</v>
      </c>
      <c r="J13" s="17" t="str">
        <f ca="1">IFERROR(__xludf.DUMMYFUNCTION("""COMPUTED_VALUE"""),"PO 2196 alimentos")</f>
        <v>PO 2196 alimentos</v>
      </c>
      <c r="K13" s="134" t="str">
        <f ca="1">IFERROR(__xludf.DUMMYFUNCTION("""COMPUTED_VALUE"""),"130009")</f>
        <v>130009</v>
      </c>
      <c r="L13" s="17"/>
      <c r="M13" s="17"/>
      <c r="N13" s="17"/>
      <c r="O13" s="17"/>
    </row>
    <row r="14" spans="1:15" ht="15.75" customHeight="1">
      <c r="A14" s="24" t="str">
        <f ca="1">IFERROR(__xludf.DUMMYFUNCTION("""COMPUTED_VALUE"""),"TRX1230")</f>
        <v>TRX1230</v>
      </c>
      <c r="B14" s="86" t="str">
        <f ca="1">IFERROR(__xludf.DUMMYFUNCTION("""COMPUTED_VALUE"""),"-")</f>
        <v>-</v>
      </c>
      <c r="C14" s="63">
        <f ca="1">IFERROR(__xludf.DUMMYFUNCTION("""COMPUTED_VALUE"""),46058.4166666666)</f>
        <v>46058.416666666599</v>
      </c>
      <c r="D14" s="65">
        <f ca="1">IFERROR(__xludf.DUMMYFUNCTION("""COMPUTED_VALUE"""),1377.87)</f>
        <v>1377.87</v>
      </c>
      <c r="E14" s="17" t="str">
        <f ca="1">IFERROR(__xludf.DUMMYFUNCTION("""COMPUTED_VALUE"""),"MXN")</f>
        <v>MXN</v>
      </c>
      <c r="F14" s="17" t="str">
        <f ca="1">IFERROR(__xludf.DUMMYFUNCTION("""COMPUTED_VALUE"""),"Jose Luis Franco Vaquero")</f>
        <v>Jose Luis Franco Vaquero</v>
      </c>
      <c r="G14" s="17" t="str">
        <f ca="1">IFERROR(__xludf.DUMMYFUNCTION("""COMPUTED_VALUE"""),"MERCADOPAGO *GASOLINA  Tlalnepantla  MEX")</f>
        <v>MERCADOPAGO *GASOLINA  Tlalnepantla  MEX</v>
      </c>
      <c r="H14" s="17" t="str">
        <f ca="1">IFERROR(__xludf.DUMMYFUNCTION("""COMPUTED_VALUE"""),"Mercadopago")</f>
        <v>Mercadopago</v>
      </c>
      <c r="I14" s="17" t="str">
        <f ca="1">IFERROR(__xludf.DUMMYFUNCTION("""COMPUTED_VALUE"""),"Sales")</f>
        <v>Sales</v>
      </c>
      <c r="J14" s="17" t="str">
        <f ca="1">IFERROR(__xludf.DUMMYFUNCTION("""COMPUTED_VALUE"""),"Gasolina CDMX")</f>
        <v>Gasolina CDMX</v>
      </c>
      <c r="K14" s="134" t="str">
        <f ca="1">IFERROR(__xludf.DUMMYFUNCTION("""COMPUTED_VALUE"""),"144612356044")</f>
        <v>144612356044</v>
      </c>
      <c r="L14" s="17"/>
      <c r="M14" s="17"/>
      <c r="N14" s="17"/>
      <c r="O14" s="17"/>
    </row>
    <row r="15" spans="1:15" ht="15.75" customHeight="1">
      <c r="A15" s="24" t="str">
        <f ca="1">IFERROR(__xludf.DUMMYFUNCTION("""COMPUTED_VALUE"""),"TRX1217")</f>
        <v>TRX1217</v>
      </c>
      <c r="B15" s="86" t="str">
        <f ca="1">IFERROR(__xludf.DUMMYFUNCTION("""COMPUTED_VALUE"""),"-")</f>
        <v>-</v>
      </c>
      <c r="C15" s="63">
        <f ca="1">IFERROR(__xludf.DUMMYFUNCTION("""COMPUTED_VALUE"""),46058.4173611111)</f>
        <v>46058.417361111096</v>
      </c>
      <c r="D15" s="65">
        <f ca="1">IFERROR(__xludf.DUMMYFUNCTION("""COMPUTED_VALUE"""),61.2)</f>
        <v>61.2</v>
      </c>
      <c r="E15" s="17" t="str">
        <f ca="1">IFERROR(__xludf.DUMMYFUNCTION("""COMPUTED_VALUE"""),"MXN")</f>
        <v>MXN</v>
      </c>
      <c r="F15" s="17" t="str">
        <f ca="1">IFERROR(__xludf.DUMMYFUNCTION("""COMPUTED_VALUE"""),"Jose Luis Franco Vaquero")</f>
        <v>Jose Luis Franco Vaquero</v>
      </c>
      <c r="G15" s="17" t="str">
        <f ca="1">IFERROR(__xludf.DUMMYFUNCTION("""COMPUTED_VALUE"""),"REA AUTOPISTA GPE      CADEREYTA JIM MEX")</f>
        <v>REA AUTOPISTA GPE      CADEREYTA JIM MEX</v>
      </c>
      <c r="H15" s="17" t="str">
        <f ca="1">IFERROR(__xludf.DUMMYFUNCTION("""COMPUTED_VALUE"""),"Rea Autopista Gpe Cadereyta Jim Mex")</f>
        <v>Rea Autopista Gpe Cadereyta Jim Mex</v>
      </c>
      <c r="I15" s="17" t="str">
        <f ca="1">IFERROR(__xludf.DUMMYFUNCTION("""COMPUTED_VALUE"""),"Sales")</f>
        <v>Sales</v>
      </c>
      <c r="J15" s="17" t="str">
        <f ca="1">IFERROR(__xludf.DUMMYFUNCTION("""COMPUTED_VALUE"""),"PO 2196 Cuota MTY")</f>
        <v>PO 2196 Cuota MTY</v>
      </c>
      <c r="K15" s="134" t="str">
        <f ca="1">IFERROR(__xludf.DUMMYFUNCTION("""COMPUTED_VALUE"""),"2974045")</f>
        <v>2974045</v>
      </c>
      <c r="L15" s="17"/>
      <c r="M15" s="17"/>
      <c r="N15" s="17"/>
      <c r="O15" s="17"/>
    </row>
    <row r="16" spans="1:15" ht="15.75" customHeight="1">
      <c r="A16" s="17" t="str">
        <f ca="1">IFERROR(__xludf.DUMMYFUNCTION("""COMPUTED_VALUE"""),"TRX1216")</f>
        <v>TRX1216</v>
      </c>
      <c r="B16" s="86" t="str">
        <f ca="1">IFERROR(__xludf.DUMMYFUNCTION("""COMPUTED_VALUE"""),"-")</f>
        <v>-</v>
      </c>
      <c r="C16" s="63">
        <f ca="1">IFERROR(__xludf.DUMMYFUNCTION("""COMPUTED_VALUE"""),46058.4173611111)</f>
        <v>46058.417361111096</v>
      </c>
      <c r="D16" s="132">
        <f ca="1">IFERROR(__xludf.DUMMYFUNCTION("""COMPUTED_VALUE"""),462)</f>
        <v>462</v>
      </c>
      <c r="E16" s="65" t="str">
        <f ca="1">IFERROR(__xludf.DUMMYFUNCTION("""COMPUTED_VALUE"""),"MXN")</f>
        <v>MXN</v>
      </c>
      <c r="F16" s="17" t="str">
        <f ca="1">IFERROR(__xludf.DUMMYFUNCTION("""COMPUTED_VALUE"""),"Jose Luis Franco Vaquero")</f>
        <v>Jose Luis Franco Vaquero</v>
      </c>
      <c r="G16" s="17" t="str">
        <f ca="1">IFERROR(__xludf.DUMMYFUNCTION("""COMPUTED_VALUE"""),"REST CAFE  BARCELO     SN PEDRO GARZ MEX")</f>
        <v>REST CAFE  BARCELO     SN PEDRO GARZ MEX</v>
      </c>
      <c r="H16" s="17" t="str">
        <f ca="1">IFERROR(__xludf.DUMMYFUNCTION("""COMPUTED_VALUE"""),"Rest Cafe Barcelo Sn Pedro Garz Mex")</f>
        <v>Rest Cafe Barcelo Sn Pedro Garz Mex</v>
      </c>
      <c r="I16" s="17" t="str">
        <f ca="1">IFERROR(__xludf.DUMMYFUNCTION("""COMPUTED_VALUE"""),"Sales")</f>
        <v>Sales</v>
      </c>
      <c r="J16" s="17" t="str">
        <f ca="1">IFERROR(__xludf.DUMMYFUNCTION("""COMPUTED_VALUE"""),"PO 2196 alimentos")</f>
        <v>PO 2196 alimentos</v>
      </c>
      <c r="K16" s="134" t="str">
        <f ca="1">IFERROR(__xludf.DUMMYFUNCTION("""COMPUTED_VALUE"""),"531315")</f>
        <v>531315</v>
      </c>
      <c r="L16" s="17"/>
      <c r="M16" s="17"/>
      <c r="N16" s="17"/>
      <c r="O16" s="17"/>
    </row>
    <row r="17" spans="1:15" ht="15.75" customHeight="1">
      <c r="A17" s="17" t="str">
        <f ca="1">IFERROR(__xludf.DUMMYFUNCTION("""COMPUTED_VALUE"""),"TRX1211")</f>
        <v>TRX1211</v>
      </c>
      <c r="B17" s="86" t="str">
        <f ca="1">IFERROR(__xludf.DUMMYFUNCTION("""COMPUTED_VALUE"""),"-")</f>
        <v>-</v>
      </c>
      <c r="C17" s="63">
        <f ca="1">IFERROR(__xludf.DUMMYFUNCTION("""COMPUTED_VALUE"""),46058.4173611111)</f>
        <v>46058.417361111096</v>
      </c>
      <c r="D17" s="132">
        <f ca="1">IFERROR(__xludf.DUMMYFUNCTION("""COMPUTED_VALUE"""),389.4)</f>
        <v>389.4</v>
      </c>
      <c r="E17" s="17" t="str">
        <f ca="1">IFERROR(__xludf.DUMMYFUNCTION("""COMPUTED_VALUE"""),"MXN")</f>
        <v>MXN</v>
      </c>
      <c r="F17" s="17" t="str">
        <f ca="1">IFERROR(__xludf.DUMMYFUNCTION("""COMPUTED_VALUE"""),"Jose Luis Franco Vaquero")</f>
        <v>Jose Luis Franco Vaquero</v>
      </c>
      <c r="G17" s="17" t="str">
        <f ca="1">IFERROR(__xludf.DUMMYFUNCTION("""COMPUTED_VALUE"""),"REST KURAI FASHION DRI SN PEDRO GARZ MEX")</f>
        <v>REST KURAI FASHION DRI SN PEDRO GARZ MEX</v>
      </c>
      <c r="H17" s="17" t="str">
        <f ca="1">IFERROR(__xludf.DUMMYFUNCTION("""COMPUTED_VALUE"""),"Rest Kurai Fashion Dri Sn Pedro Garz Mex")</f>
        <v>Rest Kurai Fashion Dri Sn Pedro Garz Mex</v>
      </c>
      <c r="I17" s="17" t="str">
        <f ca="1">IFERROR(__xludf.DUMMYFUNCTION("""COMPUTED_VALUE"""),"Sales")</f>
        <v>Sales</v>
      </c>
      <c r="J17" s="17" t="str">
        <f ca="1">IFERROR(__xludf.DUMMYFUNCTION("""COMPUTED_VALUE"""),"PO 2196 alimentos")</f>
        <v>PO 2196 alimentos</v>
      </c>
      <c r="K17" s="134" t="str">
        <f ca="1">IFERROR(__xludf.DUMMYFUNCTION("""COMPUTED_VALUE"""),"MR0/1")</f>
        <v>MR0/1</v>
      </c>
      <c r="L17" s="17"/>
      <c r="M17" s="17"/>
      <c r="N17" s="17"/>
      <c r="O17" s="17"/>
    </row>
    <row r="18" spans="1:15" ht="15.75" customHeight="1">
      <c r="A18" s="17" t="str">
        <f ca="1">IFERROR(__xludf.DUMMYFUNCTION("""COMPUTED_VALUE"""),"TRX1174")</f>
        <v>TRX1174</v>
      </c>
      <c r="B18" s="86" t="str">
        <f ca="1">IFERROR(__xludf.DUMMYFUNCTION("""COMPUTED_VALUE"""),"-")</f>
        <v>-</v>
      </c>
      <c r="C18" s="63">
        <f ca="1">IFERROR(__xludf.DUMMYFUNCTION("""COMPUTED_VALUE"""),46059.4166666666)</f>
        <v>46059.416666666599</v>
      </c>
      <c r="D18" s="65">
        <f ca="1">IFERROR(__xludf.DUMMYFUNCTION("""COMPUTED_VALUE"""),117)</f>
        <v>117</v>
      </c>
      <c r="E18" s="17" t="str">
        <f ca="1">IFERROR(__xludf.DUMMYFUNCTION("""COMPUTED_VALUE"""),"MXN")</f>
        <v>MXN</v>
      </c>
      <c r="F18" s="17" t="str">
        <f ca="1">IFERROR(__xludf.DUMMYFUNCTION("""COMPUTED_VALUE"""),"Jose Luis Franco Vaquero")</f>
        <v>Jose Luis Franco Vaquero</v>
      </c>
      <c r="G18" s="17" t="str">
        <f ca="1">IFERROR(__xludf.DUMMYFUNCTION("""COMPUTED_VALUE"""),"ESTAC PARCO KIOSKO     ZAPOPAN JAL   MEX")</f>
        <v>ESTAC PARCO KIOSKO     ZAPOPAN JAL   MEX</v>
      </c>
      <c r="H18" s="17" t="str">
        <f ca="1">IFERROR(__xludf.DUMMYFUNCTION("""COMPUTED_VALUE"""),"Estac Parco Kiosko Zapopan Jal Mex")</f>
        <v>Estac Parco Kiosko Zapopan Jal Mex</v>
      </c>
      <c r="I18" s="17" t="str">
        <f ca="1">IFERROR(__xludf.DUMMYFUNCTION("""COMPUTED_VALUE"""),"Sales")</f>
        <v>Sales</v>
      </c>
      <c r="J18" s="17" t="str">
        <f ca="1">IFERROR(__xludf.DUMMYFUNCTION("""COMPUTED_VALUE"""),"PO 2196 Estacionamiento")</f>
        <v>PO 2196 Estacionamiento</v>
      </c>
      <c r="K18" s="134" t="str">
        <f ca="1">IFERROR(__xludf.DUMMYFUNCTION("""COMPUTED_VALUE"""),"731622457095")</f>
        <v>731622457095</v>
      </c>
      <c r="L18" s="17"/>
      <c r="M18" s="17"/>
      <c r="N18" s="17"/>
      <c r="O18" s="17"/>
    </row>
    <row r="19" spans="1:15" ht="15.75" customHeight="1">
      <c r="A19" s="17" t="str">
        <f ca="1">IFERROR(__xludf.DUMMYFUNCTION("""COMPUTED_VALUE"""),"TRX1306")</f>
        <v>TRX1306</v>
      </c>
      <c r="B19" s="86" t="str">
        <f ca="1">IFERROR(__xludf.DUMMYFUNCTION("""COMPUTED_VALUE"""),"-")</f>
        <v>-</v>
      </c>
      <c r="C19" s="63">
        <f ca="1">IFERROR(__xludf.DUMMYFUNCTION("""COMPUTED_VALUE"""),46059.4173611111)</f>
        <v>46059.417361111096</v>
      </c>
      <c r="D19" s="132">
        <f ca="1">IFERROR(__xludf.DUMMYFUNCTION("""COMPUTED_VALUE"""),2255)</f>
        <v>2255</v>
      </c>
      <c r="E19" s="17" t="str">
        <f ca="1">IFERROR(__xludf.DUMMYFUNCTION("""COMPUTED_VALUE"""),"MXN")</f>
        <v>MXN</v>
      </c>
      <c r="F19" s="17" t="str">
        <f ca="1">IFERROR(__xludf.DUMMYFUNCTION("""COMPUTED_VALUE"""),"Jose Luis Franco Vaquero")</f>
        <v>Jose Luis Franco Vaquero</v>
      </c>
      <c r="G19" s="17" t="str">
        <f ca="1">IFERROR(__xludf.DUMMYFUNCTION("""COMPUTED_VALUE"""),"SKY BAR                SN PEDRO GARZ MEX")</f>
        <v>SKY BAR                SN PEDRO GARZ MEX</v>
      </c>
      <c r="H19" s="17" t="str">
        <f ca="1">IFERROR(__xludf.DUMMYFUNCTION("""COMPUTED_VALUE"""),"Sky Bar Sn Pedro Garz Mex")</f>
        <v>Sky Bar Sn Pedro Garz Mex</v>
      </c>
      <c r="I19" s="17" t="str">
        <f ca="1">IFERROR(__xludf.DUMMYFUNCTION("""COMPUTED_VALUE"""),"Sales")</f>
        <v>Sales</v>
      </c>
      <c r="J19" s="17" t="str">
        <f ca="1">IFERROR(__xludf.DUMMYFUNCTION("""COMPUTED_VALUE"""),"PO 2238 comida cliente")</f>
        <v>PO 2238 comida cliente</v>
      </c>
      <c r="K19" s="134" t="str">
        <f ca="1">IFERROR(__xludf.DUMMYFUNCTION("""COMPUTED_VALUE"""),"040226")</f>
        <v>040226</v>
      </c>
      <c r="L19" s="17"/>
      <c r="M19" s="17"/>
      <c r="N19" s="17"/>
      <c r="O19" s="17"/>
    </row>
    <row r="20" spans="1:15" ht="12.5">
      <c r="A20" s="17" t="str">
        <f ca="1">IFERROR(__xludf.DUMMYFUNCTION("""COMPUTED_VALUE"""),"TRX1411")</f>
        <v>TRX1411</v>
      </c>
      <c r="B20" s="86" t="str">
        <f ca="1">IFERROR(__xludf.DUMMYFUNCTION("""COMPUTED_VALUE"""),"-")</f>
        <v>-</v>
      </c>
      <c r="C20" s="63">
        <f ca="1">IFERROR(__xludf.DUMMYFUNCTION("""COMPUTED_VALUE"""),46060.4166666666)</f>
        <v>46060.416666666599</v>
      </c>
      <c r="D20" s="132">
        <f ca="1">IFERROR(__xludf.DUMMYFUNCTION("""COMPUTED_VALUE"""),1059.9)</f>
        <v>1059.9000000000001</v>
      </c>
      <c r="E20" s="17" t="str">
        <f ca="1">IFERROR(__xludf.DUMMYFUNCTION("""COMPUTED_VALUE"""),"MXN")</f>
        <v>MXN</v>
      </c>
      <c r="F20" s="17" t="str">
        <f ca="1">IFERROR(__xludf.DUMMYFUNCTION("""COMPUTED_VALUE"""),"Jose Luis Franco Vaquero")</f>
        <v>Jose Luis Franco Vaquero</v>
      </c>
      <c r="G20" s="17" t="str">
        <f ca="1">IFERROR(__xludf.DUMMYFUNCTION("""COMPUTED_VALUE"""),"MERCADOPAGO *PEAJESAC  Tlalnepantla  MEX")</f>
        <v>MERCADOPAGO *PEAJESAC  Tlalnepantla  MEX</v>
      </c>
      <c r="H20" s="17" t="str">
        <f ca="1">IFERROR(__xludf.DUMMYFUNCTION("""COMPUTED_VALUE"""),"Mercadopago")</f>
        <v>Mercadopago</v>
      </c>
      <c r="I20" s="17" t="str">
        <f ca="1">IFERROR(__xludf.DUMMYFUNCTION("""COMPUTED_VALUE"""),"Sales")</f>
        <v>Sales</v>
      </c>
      <c r="J20" s="17" t="str">
        <f ca="1">IFERROR(__xludf.DUMMYFUNCTION("""COMPUTED_VALUE"""),"PO 2196 Peajes y propinas Coahuila")</f>
        <v>PO 2196 Peajes y propinas Coahuila</v>
      </c>
      <c r="K20" s="134" t="str">
        <f ca="1">IFERROR(__xludf.DUMMYFUNCTION("""COMPUTED_VALUE"""),"144938211198")</f>
        <v>144938211198</v>
      </c>
      <c r="L20" s="17"/>
      <c r="M20" s="17"/>
      <c r="N20" s="17"/>
      <c r="O20" s="17"/>
    </row>
    <row r="21" spans="1:15" ht="12.5">
      <c r="A21" s="17" t="str">
        <f ca="1">IFERROR(__xludf.DUMMYFUNCTION("""COMPUTED_VALUE"""),"TRX1611")</f>
        <v>TRX1611</v>
      </c>
      <c r="B21" s="86" t="str">
        <f ca="1">IFERROR(__xludf.DUMMYFUNCTION("""COMPUTED_VALUE"""),"-")</f>
        <v>-</v>
      </c>
      <c r="C21" s="63">
        <f ca="1">IFERROR(__xludf.DUMMYFUNCTION("""COMPUTED_VALUE"""),46060.4173611111)</f>
        <v>46060.417361111096</v>
      </c>
      <c r="D21" s="132">
        <f ca="1">IFERROR(__xludf.DUMMYFUNCTION("""COMPUTED_VALUE"""),704)</f>
        <v>704</v>
      </c>
      <c r="E21" s="17" t="str">
        <f ca="1">IFERROR(__xludf.DUMMYFUNCTION("""COMPUTED_VALUE"""),"MXN")</f>
        <v>MXN</v>
      </c>
      <c r="F21" s="17" t="str">
        <f ca="1">IFERROR(__xludf.DUMMYFUNCTION("""COMPUTED_VALUE"""),"Jose Luis Franco Vaquero")</f>
        <v>Jose Luis Franco Vaquero</v>
      </c>
      <c r="G21" s="17" t="str">
        <f ca="1">IFERROR(__xludf.DUMMYFUNCTION("""COMPUTED_VALUE"""),"REST RUPESTRE          MONTERREY NL  MEX")</f>
        <v>REST RUPESTRE          MONTERREY NL  MEX</v>
      </c>
      <c r="H21" s="17" t="str">
        <f ca="1">IFERROR(__xludf.DUMMYFUNCTION("""COMPUTED_VALUE"""),"Rest Rupestre Monterrey Nl Mex")</f>
        <v>Rest Rupestre Monterrey Nl Mex</v>
      </c>
      <c r="I21" s="17" t="str">
        <f ca="1">IFERROR(__xludf.DUMMYFUNCTION("""COMPUTED_VALUE"""),"Sales")</f>
        <v>Sales</v>
      </c>
      <c r="J21" s="17" t="str">
        <f ca="1">IFERROR(__xludf.DUMMYFUNCTION("""COMPUTED_VALUE"""),"PO 2196 alimentos")</f>
        <v>PO 2196 alimentos</v>
      </c>
      <c r="K21" s="134" t="str">
        <f ca="1">IFERROR(__xludf.DUMMYFUNCTION("""COMPUTED_VALUE"""),"TKT11")</f>
        <v>TKT11</v>
      </c>
      <c r="L21" s="17"/>
      <c r="M21" s="17"/>
      <c r="N21" s="17"/>
      <c r="O21" s="17"/>
    </row>
    <row r="22" spans="1:15" ht="12.5">
      <c r="A22" s="17" t="str">
        <f ca="1">IFERROR(__xludf.DUMMYFUNCTION("""COMPUTED_VALUE"""),"TRX1707")</f>
        <v>TRX1707</v>
      </c>
      <c r="B22" s="86" t="str">
        <f ca="1">IFERROR(__xludf.DUMMYFUNCTION("""COMPUTED_VALUE"""),"-")</f>
        <v>-</v>
      </c>
      <c r="C22" s="63">
        <f ca="1">IFERROR(__xludf.DUMMYFUNCTION("""COMPUTED_VALUE"""),46060.4173611111)</f>
        <v>46060.417361111096</v>
      </c>
      <c r="D22" s="65">
        <f ca="1">IFERROR(__xludf.DUMMYFUNCTION("""COMPUTED_VALUE"""),720)</f>
        <v>720</v>
      </c>
      <c r="E22" s="17" t="str">
        <f ca="1">IFERROR(__xludf.DUMMYFUNCTION("""COMPUTED_VALUE"""),"MXN")</f>
        <v>MXN</v>
      </c>
      <c r="F22" s="17" t="str">
        <f ca="1">IFERROR(__xludf.DUMMYFUNCTION("""COMPUTED_VALUE"""),"Jose Luis Franco Vaquero")</f>
        <v>Jose Luis Franco Vaquero</v>
      </c>
      <c r="G22" s="17" t="str">
        <f ca="1">IFERROR(__xludf.DUMMYFUNCTION("""COMPUTED_VALUE"""),"EL FELIGREZ            SALTILLO COAH MEX")</f>
        <v>EL FELIGREZ            SALTILLO COAH MEX</v>
      </c>
      <c r="H22" s="17" t="str">
        <f ca="1">IFERROR(__xludf.DUMMYFUNCTION("""COMPUTED_VALUE"""),"El Saltillo")</f>
        <v>El Saltillo</v>
      </c>
      <c r="I22" s="17" t="str">
        <f ca="1">IFERROR(__xludf.DUMMYFUNCTION("""COMPUTED_VALUE"""),"Sales")</f>
        <v>Sales</v>
      </c>
      <c r="J22" s="17" t="str">
        <f ca="1">IFERROR(__xludf.DUMMYFUNCTION("""COMPUTED_VALUE"""),"PO 2196 alimentos")</f>
        <v>PO 2196 alimentos</v>
      </c>
      <c r="K22" s="134" t="str">
        <f ca="1">IFERROR(__xludf.DUMMYFUNCTION("""COMPUTED_VALUE"""),"014M72")</f>
        <v>014M72</v>
      </c>
      <c r="L22" s="17"/>
      <c r="M22" s="17"/>
      <c r="N22" s="17"/>
      <c r="O22" s="17"/>
    </row>
    <row r="23" spans="1:15" ht="12.5">
      <c r="A23" s="17" t="str">
        <f ca="1">IFERROR(__xludf.DUMMYFUNCTION("""COMPUTED_VALUE"""),"TRX1741")</f>
        <v>TRX1741</v>
      </c>
      <c r="B23" s="86" t="str">
        <f ca="1">IFERROR(__xludf.DUMMYFUNCTION("""COMPUTED_VALUE"""),"-")</f>
        <v>-</v>
      </c>
      <c r="C23" s="63">
        <f ca="1">IFERROR(__xludf.DUMMYFUNCTION("""COMPUTED_VALUE"""),46061.4166666666)</f>
        <v>46061.416666666599</v>
      </c>
      <c r="D23" s="65">
        <f ca="1">IFERROR(__xludf.DUMMYFUNCTION("""COMPUTED_VALUE"""),569.99)</f>
        <v>569.99</v>
      </c>
      <c r="E23" s="17" t="str">
        <f ca="1">IFERROR(__xludf.DUMMYFUNCTION("""COMPUTED_VALUE"""),"MXN")</f>
        <v>MXN</v>
      </c>
      <c r="F23" s="17" t="str">
        <f ca="1">IFERROR(__xludf.DUMMYFUNCTION("""COMPUTED_VALUE"""),"Jose Luis Franco Vaquero")</f>
        <v>Jose Luis Franco Vaquero</v>
      </c>
      <c r="G23" s="17" t="str">
        <f ca="1">IFERROR(__xludf.DUMMYFUNCTION("""COMPUTED_VALUE"""),"UBER * PENDING         CMX           MEX")</f>
        <v>UBER * PENDING         CMX           MEX</v>
      </c>
      <c r="H23" s="17" t="str">
        <f ca="1">IFERROR(__xludf.DUMMYFUNCTION("""COMPUTED_VALUE"""),"Uber")</f>
        <v>Uber</v>
      </c>
      <c r="I23" s="17" t="str">
        <f ca="1">IFERROR(__xludf.DUMMYFUNCTION("""COMPUTED_VALUE"""),"Sales")</f>
        <v>Sales</v>
      </c>
      <c r="J23" s="17" t="str">
        <f ca="1">IFERROR(__xludf.DUMMYFUNCTION("""COMPUTED_VALUE"""),"PO 2199 Cuota MTY")</f>
        <v>PO 2199 Cuota MTY</v>
      </c>
      <c r="K23" s="134" t="str">
        <f ca="1">IFERROR(__xludf.DUMMYFUNCTION("""COMPUTED_VALUE"""),"2974045")</f>
        <v>2974045</v>
      </c>
      <c r="L23" s="17"/>
      <c r="M23" s="17"/>
      <c r="N23" s="17"/>
      <c r="O23" s="17"/>
    </row>
    <row r="24" spans="1:15" ht="12.5">
      <c r="A24" s="17" t="str">
        <f ca="1">IFERROR(__xludf.DUMMYFUNCTION("""COMPUTED_VALUE"""),"TRX1981")</f>
        <v>TRX1981</v>
      </c>
      <c r="B24" s="86" t="str">
        <f ca="1">IFERROR(__xludf.DUMMYFUNCTION("""COMPUTED_VALUE"""),"-")</f>
        <v>-</v>
      </c>
      <c r="C24" s="63">
        <f ca="1">IFERROR(__xludf.DUMMYFUNCTION("""COMPUTED_VALUE"""),46061.4166666666)</f>
        <v>46061.416666666599</v>
      </c>
      <c r="D24" s="65">
        <f ca="1">IFERROR(__xludf.DUMMYFUNCTION("""COMPUTED_VALUE"""),400)</f>
        <v>400</v>
      </c>
      <c r="E24" s="17" t="str">
        <f ca="1">IFERROR(__xludf.DUMMYFUNCTION("""COMPUTED_VALUE"""),"MXN")</f>
        <v>MXN</v>
      </c>
      <c r="F24" s="17" t="str">
        <f ca="1">IFERROR(__xludf.DUMMYFUNCTION("""COMPUTED_VALUE"""),"Jose Luis Franco Vaquero")</f>
        <v>Jose Luis Franco Vaquero</v>
      </c>
      <c r="G24" s="17" t="str">
        <f ca="1">IFERROR(__xludf.DUMMYFUNCTION("""COMPUTED_VALUE"""),"ACO MTY APTO TC CARLS  APODACA NL    MEX")</f>
        <v>ACO MTY APTO TC CARLS  APODACA NL    MEX</v>
      </c>
      <c r="H24" s="17" t="str">
        <f ca="1">IFERROR(__xludf.DUMMYFUNCTION("""COMPUTED_VALUE"""),"Aco Mty Apto Tc Carls Apodaca Nl Mex")</f>
        <v>Aco Mty Apto Tc Carls Apodaca Nl Mex</v>
      </c>
      <c r="I24" s="17" t="str">
        <f ca="1">IFERROR(__xludf.DUMMYFUNCTION("""COMPUTED_VALUE"""),"Sales")</f>
        <v>Sales</v>
      </c>
      <c r="J24" s="17" t="str">
        <f ca="1">IFERROR(__xludf.DUMMYFUNCTION("""COMPUTED_VALUE"""),"PO 2196 alimentos")</f>
        <v>PO 2196 alimentos</v>
      </c>
      <c r="K24" s="134" t="str">
        <f ca="1">IFERROR(__xludf.DUMMYFUNCTION("""COMPUTED_VALUE"""),"T002635163")</f>
        <v>T002635163</v>
      </c>
      <c r="L24" s="17"/>
      <c r="M24" s="17"/>
      <c r="N24" s="17"/>
      <c r="O24" s="17"/>
    </row>
    <row r="25" spans="1:15" ht="12.5">
      <c r="A25" s="17" t="str">
        <f ca="1">IFERROR(__xludf.DUMMYFUNCTION("""COMPUTED_VALUE"""),"TRX1895")</f>
        <v>TRX1895</v>
      </c>
      <c r="B25" s="86" t="str">
        <f ca="1">IFERROR(__xludf.DUMMYFUNCTION("""COMPUTED_VALUE"""),"-")</f>
        <v>-</v>
      </c>
      <c r="C25" s="63">
        <f ca="1">IFERROR(__xludf.DUMMYFUNCTION("""COMPUTED_VALUE"""),46061.4166666666)</f>
        <v>46061.416666666599</v>
      </c>
      <c r="D25" s="65">
        <f ca="1">IFERROR(__xludf.DUMMYFUNCTION("""COMPUTED_VALUE"""),1229.48)</f>
        <v>1229.48</v>
      </c>
      <c r="E25" s="17" t="str">
        <f ca="1">IFERROR(__xludf.DUMMYFUNCTION("""COMPUTED_VALUE"""),"MXN")</f>
        <v>MXN</v>
      </c>
      <c r="F25" s="17" t="str">
        <f ca="1">IFERROR(__xludf.DUMMYFUNCTION("""COMPUTED_VALUE"""),"Jose Luis Franco Vaquero")</f>
        <v>Jose Luis Franco Vaquero</v>
      </c>
      <c r="G25" s="17" t="str">
        <f ca="1">IFERROR(__xludf.DUMMYFUNCTION("""COMPUTED_VALUE"""),"MERCADOPAGO *GASOLINA  Tlalnepantla  MEX")</f>
        <v>MERCADOPAGO *GASOLINA  Tlalnepantla  MEX</v>
      </c>
      <c r="H25" s="17" t="str">
        <f ca="1">IFERROR(__xludf.DUMMYFUNCTION("""COMPUTED_VALUE"""),"Mercadopago")</f>
        <v>Mercadopago</v>
      </c>
      <c r="I25" s="17" t="str">
        <f ca="1">IFERROR(__xludf.DUMMYFUNCTION("""COMPUTED_VALUE"""),"Sales")</f>
        <v>Sales</v>
      </c>
      <c r="J25" s="17" t="str">
        <f ca="1">IFERROR(__xludf.DUMMYFUNCTION("""COMPUTED_VALUE"""),"PO 2196 gasolina MTY")</f>
        <v>PO 2196 gasolina MTY</v>
      </c>
      <c r="K25" s="134" t="str">
        <f ca="1">IFERROR(__xludf.DUMMYFUNCTION("""COMPUTED_VALUE"""),"144483953123")</f>
        <v>144483953123</v>
      </c>
      <c r="L25" s="17"/>
      <c r="M25" s="17"/>
      <c r="N25" s="17"/>
      <c r="O25" s="17"/>
    </row>
    <row r="26" spans="1:15" ht="12.5">
      <c r="A26" s="17" t="str">
        <f ca="1">IFERROR(__xludf.DUMMYFUNCTION("""COMPUTED_VALUE"""),"TRX1255")</f>
        <v>TRX1255</v>
      </c>
      <c r="B26" s="86" t="str">
        <f ca="1">IFERROR(__xludf.DUMMYFUNCTION("""COMPUTED_VALUE"""),"-")</f>
        <v>-</v>
      </c>
      <c r="C26" s="63">
        <f ca="1">IFERROR(__xludf.DUMMYFUNCTION("""COMPUTED_VALUE"""),46061.4173611111)</f>
        <v>46061.417361111096</v>
      </c>
      <c r="D26" s="65">
        <f ca="1">IFERROR(__xludf.DUMMYFUNCTION("""COMPUTED_VALUE"""),61.2)</f>
        <v>61.2</v>
      </c>
      <c r="E26" s="17" t="str">
        <f ca="1">IFERROR(__xludf.DUMMYFUNCTION("""COMPUTED_VALUE"""),"MXN")</f>
        <v>MXN</v>
      </c>
      <c r="F26" s="17" t="str">
        <f ca="1">IFERROR(__xludf.DUMMYFUNCTION("""COMPUTED_VALUE"""),"Jose Luis Franco Vaquero")</f>
        <v>Jose Luis Franco Vaquero</v>
      </c>
      <c r="G26" s="17" t="str">
        <f ca="1">IFERROR(__xludf.DUMMYFUNCTION("""COMPUTED_VALUE"""),"REA AUTOPISTA GPE      CADEREYTA JIM MEX")</f>
        <v>REA AUTOPISTA GPE      CADEREYTA JIM MEX</v>
      </c>
      <c r="H26" s="17" t="str">
        <f ca="1">IFERROR(__xludf.DUMMYFUNCTION("""COMPUTED_VALUE"""),"Rea Autopista Gpe Cadereyta Jim Mex")</f>
        <v>Rea Autopista Gpe Cadereyta Jim Mex</v>
      </c>
      <c r="I26" s="17" t="str">
        <f ca="1">IFERROR(__xludf.DUMMYFUNCTION("""COMPUTED_VALUE"""),"Sales")</f>
        <v>Sales</v>
      </c>
      <c r="J26" s="17" t="str">
        <f ca="1">IFERROR(__xludf.DUMMYFUNCTION("""COMPUTED_VALUE"""),"PO 2169 traslado aeropuerto")</f>
        <v>PO 2169 traslado aeropuerto</v>
      </c>
      <c r="K26" s="134" t="str">
        <f ca="1">IFERROR(__xludf.DUMMYFUNCTION("""COMPUTED_VALUE"""),"J22BRC")</f>
        <v>J22BRC</v>
      </c>
      <c r="L26" s="17"/>
      <c r="M26" s="17"/>
      <c r="N26" s="17"/>
      <c r="O26" s="17"/>
    </row>
    <row r="27" spans="1:15" ht="12.5">
      <c r="A27" s="17" t="str">
        <f ca="1">IFERROR(__xludf.DUMMYFUNCTION("""COMPUTED_VALUE"""),"TRX1642")</f>
        <v>TRX1642</v>
      </c>
      <c r="B27" s="86" t="str">
        <f ca="1">IFERROR(__xludf.DUMMYFUNCTION("""COMPUTED_VALUE"""),"-")</f>
        <v>-</v>
      </c>
      <c r="C27" s="63">
        <f ca="1">IFERROR(__xludf.DUMMYFUNCTION("""COMPUTED_VALUE"""),46063.4166666666)</f>
        <v>46063.416666666599</v>
      </c>
      <c r="D27" s="65">
        <f ca="1">IFERROR(__xludf.DUMMYFUNCTION("""COMPUTED_VALUE"""),469.99)</f>
        <v>469.99</v>
      </c>
      <c r="E27" s="17" t="str">
        <f ca="1">IFERROR(__xludf.DUMMYFUNCTION("""COMPUTED_VALUE"""),"MXN")</f>
        <v>MXN</v>
      </c>
      <c r="F27" s="17" t="str">
        <f ca="1">IFERROR(__xludf.DUMMYFUNCTION("""COMPUTED_VALUE"""),"Jose Luis Franco Vaquero")</f>
        <v>Jose Luis Franco Vaquero</v>
      </c>
      <c r="G27" s="17" t="str">
        <f ca="1">IFERROR(__xludf.DUMMYFUNCTION("""COMPUTED_VALUE"""),"UBER * PENDING         CMX           MEX")</f>
        <v>UBER * PENDING         CMX           MEX</v>
      </c>
      <c r="H27" s="17" t="str">
        <f ca="1">IFERROR(__xludf.DUMMYFUNCTION("""COMPUTED_VALUE"""),"Uber")</f>
        <v>Uber</v>
      </c>
      <c r="I27" s="17" t="str">
        <f ca="1">IFERROR(__xludf.DUMMYFUNCTION("""COMPUTED_VALUE"""),"Sales")</f>
        <v>Sales</v>
      </c>
      <c r="J27" s="17" t="str">
        <f ca="1">IFERROR(__xludf.DUMMYFUNCTION("""COMPUTED_VALUE"""),"PO 2169 traslado aeropuerto")</f>
        <v>PO 2169 traslado aeropuerto</v>
      </c>
      <c r="K27" s="134" t="str">
        <f ca="1">IFERROR(__xludf.DUMMYFUNCTION("""COMPUTED_VALUE"""),"PCW519B")</f>
        <v>PCW519B</v>
      </c>
      <c r="L27" s="17"/>
      <c r="M27" s="17"/>
      <c r="N27" s="17"/>
      <c r="O27" s="17"/>
    </row>
    <row r="28" spans="1:15" ht="12.5">
      <c r="A28" s="17" t="str">
        <f ca="1">IFERROR(__xludf.DUMMYFUNCTION("""COMPUTED_VALUE"""),"TRX1060")</f>
        <v>TRX1060</v>
      </c>
      <c r="B28" s="86" t="str">
        <f ca="1">IFERROR(__xludf.DUMMYFUNCTION("""COMPUTED_VALUE"""),"-")</f>
        <v>-</v>
      </c>
      <c r="C28" s="63">
        <f ca="1">IFERROR(__xludf.DUMMYFUNCTION("""COMPUTED_VALUE"""),46064.4166666666)</f>
        <v>46064.416666666599</v>
      </c>
      <c r="D28" s="65">
        <f ca="1">IFERROR(__xludf.DUMMYFUNCTION("""COMPUTED_VALUE"""),392)</f>
        <v>392</v>
      </c>
      <c r="E28" s="17" t="str">
        <f ca="1">IFERROR(__xludf.DUMMYFUNCTION("""COMPUTED_VALUE"""),"MXN")</f>
        <v>MXN</v>
      </c>
      <c r="F28" s="17" t="str">
        <f ca="1">IFERROR(__xludf.DUMMYFUNCTION("""COMPUTED_VALUE"""),"Jose Luis Franco Vaquero")</f>
        <v>Jose Luis Franco Vaquero</v>
      </c>
      <c r="G28" s="17" t="str">
        <f ca="1">IFERROR(__xludf.DUMMYFUNCTION("""COMPUTED_VALUE"""),"COM RAP ACO MX AP T1 G CIUDAD DE MEX MEX")</f>
        <v>COM RAP ACO MX AP T1 G CIUDAD DE MEX MEX</v>
      </c>
      <c r="H28" s="17" t="str">
        <f ca="1">IFERROR(__xludf.DUMMYFUNCTION("""COMPUTED_VALUE"""),"Com Rap Aco Mx Ap T1 G Ciudad De Mex Mex")</f>
        <v>Com Rap Aco Mx Ap T1 G Ciudad De Mex Mex</v>
      </c>
      <c r="I28" s="17" t="str">
        <f ca="1">IFERROR(__xludf.DUMMYFUNCTION("""COMPUTED_VALUE"""),"Sales")</f>
        <v>Sales</v>
      </c>
      <c r="J28" s="17" t="str">
        <f ca="1">IFERROR(__xludf.DUMMYFUNCTION("""COMPUTED_VALUE"""),"PO 2196 alimentos")</f>
        <v>PO 2196 alimentos</v>
      </c>
      <c r="K28" s="134" t="str">
        <f ca="1">IFERROR(__xludf.DUMMYFUNCTION("""COMPUTED_VALUE"""),"T001161607")</f>
        <v>T001161607</v>
      </c>
      <c r="L28" s="17"/>
      <c r="M28" s="17"/>
      <c r="N28" s="17"/>
      <c r="O28" s="17"/>
    </row>
    <row r="29" spans="1:15" ht="12.5">
      <c r="A29" s="17" t="str">
        <f ca="1">IFERROR(__xludf.DUMMYFUNCTION("""COMPUTED_VALUE"""),"TRX2018")</f>
        <v>TRX2018</v>
      </c>
      <c r="B29" s="86" t="str">
        <f ca="1">IFERROR(__xludf.DUMMYFUNCTION("""COMPUTED_VALUE"""),"-")</f>
        <v>-</v>
      </c>
      <c r="C29" s="63">
        <f ca="1">IFERROR(__xludf.DUMMYFUNCTION("""COMPUTED_VALUE"""),46064.4166666666)</f>
        <v>46064.416666666599</v>
      </c>
      <c r="D29" s="17">
        <f ca="1">IFERROR(__xludf.DUMMYFUNCTION("""COMPUTED_VALUE"""),1012)</f>
        <v>1012</v>
      </c>
      <c r="E29" s="17" t="str">
        <f ca="1">IFERROR(__xludf.DUMMYFUNCTION("""COMPUTED_VALUE"""),"MXN")</f>
        <v>MXN</v>
      </c>
      <c r="F29" s="17" t="str">
        <f ca="1">IFERROR(__xludf.DUMMYFUNCTION("""COMPUTED_VALUE"""),"Jose Luis Franco Vaquero")</f>
        <v>Jose Luis Franco Vaquero</v>
      </c>
      <c r="G29" s="17" t="str">
        <f ca="1">IFERROR(__xludf.DUMMYFUNCTION("""COMPUTED_VALUE"""),"BAIFO RESTAURANT       SALTILLO COAH MEX")</f>
        <v>BAIFO RESTAURANT       SALTILLO COAH MEX</v>
      </c>
      <c r="H29" s="17" t="str">
        <f ca="1">IFERROR(__xludf.DUMMYFUNCTION("""COMPUTED_VALUE"""),"Baifo Restaurant Saltillo Coah Mex")</f>
        <v>Baifo Restaurant Saltillo Coah Mex</v>
      </c>
      <c r="I29" s="17" t="str">
        <f ca="1">IFERROR(__xludf.DUMMYFUNCTION("""COMPUTED_VALUE"""),"Sales")</f>
        <v>Sales</v>
      </c>
      <c r="J29" s="17" t="str">
        <f ca="1">IFERROR(__xludf.DUMMYFUNCTION("""COMPUTED_VALUE"""),"PO 2196 Cuota MTY")</f>
        <v>PO 2196 Cuota MTY</v>
      </c>
      <c r="K29" s="134" t="str">
        <f ca="1">IFERROR(__xludf.DUMMYFUNCTION("""COMPUTED_VALUE"""),"2447993")</f>
        <v>2447993</v>
      </c>
      <c r="L29" s="17"/>
      <c r="M29" s="17"/>
      <c r="N29" s="17"/>
      <c r="O29" s="17"/>
    </row>
    <row r="30" spans="1:15" ht="12.5">
      <c r="A30" s="17" t="str">
        <f ca="1">IFERROR(__xludf.DUMMYFUNCTION("""COMPUTED_VALUE"""),"TRX1740")</f>
        <v>TRX1740</v>
      </c>
      <c r="B30" s="86" t="str">
        <f ca="1">IFERROR(__xludf.DUMMYFUNCTION("""COMPUTED_VALUE"""),"-")</f>
        <v>-</v>
      </c>
      <c r="C30" s="63">
        <f ca="1">IFERROR(__xludf.DUMMYFUNCTION("""COMPUTED_VALUE"""),46064.4166666666)</f>
        <v>46064.416666666599</v>
      </c>
      <c r="D30" s="65">
        <f ca="1">IFERROR(__xludf.DUMMYFUNCTION("""COMPUTED_VALUE"""),138)</f>
        <v>138</v>
      </c>
      <c r="E30" s="17" t="str">
        <f ca="1">IFERROR(__xludf.DUMMYFUNCTION("""COMPUTED_VALUE"""),"MXN")</f>
        <v>MXN</v>
      </c>
      <c r="F30" s="17" t="str">
        <f ca="1">IFERROR(__xludf.DUMMYFUNCTION("""COMPUTED_VALUE"""),"Jose Luis Franco Vaquero")</f>
        <v>Jose Luis Franco Vaquero</v>
      </c>
      <c r="G30" s="17" t="str">
        <f ca="1">IFERROR(__xludf.DUMMYFUNCTION("""COMPUTED_VALUE"""),"TH CARRANZA            SALTILLO COAH MEX")</f>
        <v>TH CARRANZA            SALTILLO COAH MEX</v>
      </c>
      <c r="H30" s="17" t="str">
        <f ca="1">IFERROR(__xludf.DUMMYFUNCTION("""COMPUTED_VALUE"""),"Th Carranza Saltillo Coah Mex")</f>
        <v>Th Carranza Saltillo Coah Mex</v>
      </c>
      <c r="I30" s="17" t="str">
        <f ca="1">IFERROR(__xludf.DUMMYFUNCTION("""COMPUTED_VALUE"""),"Sales")</f>
        <v>Sales</v>
      </c>
      <c r="J30" s="17" t="str">
        <f ca="1">IFERROR(__xludf.DUMMYFUNCTION("""COMPUTED_VALUE"""),"PO 2196 Cuota MTY")</f>
        <v>PO 2196 Cuota MTY</v>
      </c>
      <c r="K30" s="134">
        <f ca="1">IFERROR(__xludf.DUMMYFUNCTION("""COMPUTED_VALUE"""),1485634)</f>
        <v>1485634</v>
      </c>
      <c r="L30" s="17"/>
      <c r="M30" s="17"/>
      <c r="N30" s="17"/>
      <c r="O30" s="17"/>
    </row>
    <row r="31" spans="1:15" ht="12.5">
      <c r="A31" s="17" t="str">
        <f ca="1">IFERROR(__xludf.DUMMYFUNCTION("""COMPUTED_VALUE"""),"TRX1322")</f>
        <v>TRX1322</v>
      </c>
      <c r="B31" s="86" t="str">
        <f ca="1">IFERROR(__xludf.DUMMYFUNCTION("""COMPUTED_VALUE"""),"-")</f>
        <v>-</v>
      </c>
      <c r="C31" s="63">
        <f ca="1">IFERROR(__xludf.DUMMYFUNCTION("""COMPUTED_VALUE"""),46064.4166666666)</f>
        <v>46064.416666666599</v>
      </c>
      <c r="D31" s="65">
        <f ca="1">IFERROR(__xludf.DUMMYFUNCTION("""COMPUTED_VALUE"""),80.6)</f>
        <v>80.599999999999994</v>
      </c>
      <c r="E31" s="17" t="str">
        <f ca="1">IFERROR(__xludf.DUMMYFUNCTION("""COMPUTED_VALUE"""),"MXN")</f>
        <v>MXN</v>
      </c>
      <c r="F31" s="17" t="str">
        <f ca="1">IFERROR(__xludf.DUMMYFUNCTION("""COMPUTED_VALUE"""),"Jose Luis Franco Vaquero")</f>
        <v>Jose Luis Franco Vaquero</v>
      </c>
      <c r="G31" s="17" t="str">
        <f ca="1">IFERROR(__xludf.DUMMYFUNCTION("""COMPUTED_VALUE"""),"RED ESTATAL DE AUTOPIS APODACA NL    MEX")</f>
        <v>RED ESTATAL DE AUTOPIS APODACA NL    MEX</v>
      </c>
      <c r="H31" s="17" t="str">
        <f ca="1">IFERROR(__xludf.DUMMYFUNCTION("""COMPUTED_VALUE"""),"Red Estatal De Autopis Apodaca Nl Mex")</f>
        <v>Red Estatal De Autopis Apodaca Nl Mex</v>
      </c>
      <c r="I31" s="17" t="str">
        <f ca="1">IFERROR(__xludf.DUMMYFUNCTION("""COMPUTED_VALUE"""),"Sales")</f>
        <v>Sales</v>
      </c>
      <c r="J31" s="17" t="str">
        <f ca="1">IFERROR(__xludf.DUMMYFUNCTION("""COMPUTED_VALUE"""),"PO 2196 Cuota MTY")</f>
        <v>PO 2196 Cuota MTY</v>
      </c>
      <c r="K31" s="134">
        <f ca="1">IFERROR(__xludf.DUMMYFUNCTION("""COMPUTED_VALUE"""),1309493)</f>
        <v>1309493</v>
      </c>
      <c r="L31" s="17"/>
      <c r="M31" s="17"/>
      <c r="N31" s="17"/>
      <c r="O31" s="17"/>
    </row>
    <row r="32" spans="1:15" ht="12.5">
      <c r="A32" s="17" t="str">
        <f ca="1">IFERROR(__xludf.DUMMYFUNCTION("""COMPUTED_VALUE"""),"TRX1357")</f>
        <v>TRX1357</v>
      </c>
      <c r="B32" s="86" t="str">
        <f ca="1">IFERROR(__xludf.DUMMYFUNCTION("""COMPUTED_VALUE"""),"-")</f>
        <v>-</v>
      </c>
      <c r="C32" s="63">
        <f ca="1">IFERROR(__xludf.DUMMYFUNCTION("""COMPUTED_VALUE"""),46064.4173611111)</f>
        <v>46064.417361111096</v>
      </c>
      <c r="D32" s="65">
        <f ca="1">IFERROR(__xludf.DUMMYFUNCTION("""COMPUTED_VALUE"""),98)</f>
        <v>98</v>
      </c>
      <c r="E32" s="17" t="str">
        <f ca="1">IFERROR(__xludf.DUMMYFUNCTION("""COMPUTED_VALUE"""),"MXN")</f>
        <v>MXN</v>
      </c>
      <c r="F32" s="17" t="str">
        <f ca="1">IFERROR(__xludf.DUMMYFUNCTION("""COMPUTED_VALUE"""),"Jose Luis Franco Vaquero")</f>
        <v>Jose Luis Franco Vaquero</v>
      </c>
      <c r="G32" s="17" t="str">
        <f ca="1">IFERROR(__xludf.DUMMYFUNCTION("""COMPUTED_VALUE"""),"CONCESIONARIA AUT MTY  SANTA CATARIN MEX")</f>
        <v>CONCESIONARIA AUT MTY  SANTA CATARIN MEX</v>
      </c>
      <c r="H32" s="17" t="str">
        <f ca="1">IFERROR(__xludf.DUMMYFUNCTION("""COMPUTED_VALUE"""),"Concesionaria Aut Mty Santa Catarin Mex")</f>
        <v>Concesionaria Aut Mty Santa Catarin Mex</v>
      </c>
      <c r="I32" s="17" t="str">
        <f ca="1">IFERROR(__xludf.DUMMYFUNCTION("""COMPUTED_VALUE"""),"Sales")</f>
        <v>Sales</v>
      </c>
      <c r="J32" s="17" t="str">
        <f ca="1">IFERROR(__xludf.DUMMYFUNCTION("""COMPUTED_VALUE"""),"PO 2196 alimentos")</f>
        <v>PO 2196 alimentos</v>
      </c>
      <c r="K32" s="134" t="str">
        <f ca="1">IFERROR(__xludf.DUMMYFUNCTION("""COMPUTED_VALUE"""),"2PDV1")</f>
        <v>2PDV1</v>
      </c>
      <c r="L32" s="17"/>
      <c r="M32" s="17"/>
      <c r="N32" s="17"/>
      <c r="O32" s="17"/>
    </row>
    <row r="33" spans="1:15" ht="12.5">
      <c r="A33" s="17" t="str">
        <f ca="1">IFERROR(__xludf.DUMMYFUNCTION("""COMPUTED_VALUE"""),"TRX1862")</f>
        <v>TRX1862</v>
      </c>
      <c r="B33" s="86" t="str">
        <f ca="1">IFERROR(__xludf.DUMMYFUNCTION("""COMPUTED_VALUE"""),"-")</f>
        <v>-</v>
      </c>
      <c r="C33" s="63">
        <f ca="1">IFERROR(__xludf.DUMMYFUNCTION("""COMPUTED_VALUE"""),46064.4173611111)</f>
        <v>46064.417361111096</v>
      </c>
      <c r="D33" s="65">
        <f ca="1">IFERROR(__xludf.DUMMYFUNCTION("""COMPUTED_VALUE"""),234.6)</f>
        <v>234.6</v>
      </c>
      <c r="E33" s="17" t="str">
        <f ca="1">IFERROR(__xludf.DUMMYFUNCTION("""COMPUTED_VALUE"""),"MXN")</f>
        <v>MXN</v>
      </c>
      <c r="F33" s="17" t="str">
        <f ca="1">IFERROR(__xludf.DUMMYFUNCTION("""COMPUTED_VALUE"""),"Jose Luis Franco Vaquero")</f>
        <v>Jose Luis Franco Vaquero</v>
      </c>
      <c r="G33" s="17" t="str">
        <f ca="1">IFERROR(__xludf.DUMMYFUNCTION("""COMPUTED_VALUE"""),"RED ESTATAL DE AUTOPIS GARCIA NL     MEX")</f>
        <v>RED ESTATAL DE AUTOPIS GARCIA NL     MEX</v>
      </c>
      <c r="H33" s="17" t="str">
        <f ca="1">IFERROR(__xludf.DUMMYFUNCTION("""COMPUTED_VALUE"""),"Red Estatal De Autopis Garcia Nl Mex")</f>
        <v>Red Estatal De Autopis Garcia Nl Mex</v>
      </c>
      <c r="I33" s="17" t="str">
        <f ca="1">IFERROR(__xludf.DUMMYFUNCTION("""COMPUTED_VALUE"""),"Sales")</f>
        <v>Sales</v>
      </c>
      <c r="J33" s="17" t="str">
        <f ca="1">IFERROR(__xludf.DUMMYFUNCTION("""COMPUTED_VALUE"""),"PO 2196 alimentos")</f>
        <v>PO 2196 alimentos</v>
      </c>
      <c r="K33" s="134" t="str">
        <f ca="1">IFERROR(__xludf.DUMMYFUNCTION("""COMPUTED_VALUE"""),"100194712")</f>
        <v>100194712</v>
      </c>
      <c r="L33" s="17"/>
      <c r="M33" s="17"/>
      <c r="N33" s="17"/>
      <c r="O33" s="17"/>
    </row>
    <row r="34" spans="1:15" ht="12.5">
      <c r="A34" s="17" t="str">
        <f ca="1">IFERROR(__xludf.DUMMYFUNCTION("""COMPUTED_VALUE"""),"TRX1851")</f>
        <v>TRX1851</v>
      </c>
      <c r="B34" s="86" t="str">
        <f ca="1">IFERROR(__xludf.DUMMYFUNCTION("""COMPUTED_VALUE"""),"-")</f>
        <v>-</v>
      </c>
      <c r="C34" s="63">
        <f ca="1">IFERROR(__xludf.DUMMYFUNCTION("""COMPUTED_VALUE"""),46065.4166666666)</f>
        <v>46065.416666666599</v>
      </c>
      <c r="D34" s="65">
        <f ca="1">IFERROR(__xludf.DUMMYFUNCTION("""COMPUTED_VALUE"""),499.4)</f>
        <v>499.4</v>
      </c>
      <c r="E34" s="17" t="str">
        <f ca="1">IFERROR(__xludf.DUMMYFUNCTION("""COMPUTED_VALUE"""),"MXN")</f>
        <v>MXN</v>
      </c>
      <c r="F34" s="17" t="str">
        <f ca="1">IFERROR(__xludf.DUMMYFUNCTION("""COMPUTED_VALUE"""),"Jose Luis Franco Vaquero")</f>
        <v>Jose Luis Franco Vaquero</v>
      </c>
      <c r="G34" s="17" t="str">
        <f ca="1">IFERROR(__xludf.DUMMYFUNCTION("""COMPUTED_VALUE"""),"WP Kitchen             ROO           MEX")</f>
        <v>WP Kitchen             ROO           MEX</v>
      </c>
      <c r="H34" s="17" t="str">
        <f ca="1">IFERROR(__xludf.DUMMYFUNCTION("""COMPUTED_VALUE"""),"Wp Kitchen Roo Mex")</f>
        <v>Wp Kitchen Roo Mex</v>
      </c>
      <c r="I34" s="17" t="str">
        <f ca="1">IFERROR(__xludf.DUMMYFUNCTION("""COMPUTED_VALUE"""),"Sales")</f>
        <v>Sales</v>
      </c>
      <c r="J34" s="17" t="str">
        <f ca="1">IFERROR(__xludf.DUMMYFUNCTION("""COMPUTED_VALUE"""),"PO 2196 Cuota MTY")</f>
        <v>PO 2196 Cuota MTY</v>
      </c>
      <c r="K34" s="134" t="str">
        <f ca="1">IFERROR(__xludf.DUMMYFUNCTION("""COMPUTED_VALUE"""),"02317650")</f>
        <v>02317650</v>
      </c>
      <c r="L34" s="17"/>
      <c r="M34" s="17"/>
      <c r="N34" s="17"/>
      <c r="O34" s="17"/>
    </row>
    <row r="35" spans="1:15" ht="12.5">
      <c r="A35" s="17" t="str">
        <f ca="1">IFERROR(__xludf.DUMMYFUNCTION("""COMPUTED_VALUE"""),"TRX1436")</f>
        <v>TRX1436</v>
      </c>
      <c r="B35" s="86" t="str">
        <f ca="1">IFERROR(__xludf.DUMMYFUNCTION("""COMPUTED_VALUE"""),"-")</f>
        <v>-</v>
      </c>
      <c r="C35" s="63">
        <f ca="1">IFERROR(__xludf.DUMMYFUNCTION("""COMPUTED_VALUE"""),46065.4166666666)</f>
        <v>46065.416666666599</v>
      </c>
      <c r="D35" s="65">
        <f ca="1">IFERROR(__xludf.DUMMYFUNCTION("""COMPUTED_VALUE"""),489.98)</f>
        <v>489.98</v>
      </c>
      <c r="E35" s="17" t="str">
        <f ca="1">IFERROR(__xludf.DUMMYFUNCTION("""COMPUTED_VALUE"""),"MXN")</f>
        <v>MXN</v>
      </c>
      <c r="F35" s="17" t="str">
        <f ca="1">IFERROR(__xludf.DUMMYFUNCTION("""COMPUTED_VALUE"""),"Jose Luis Franco Vaquero")</f>
        <v>Jose Luis Franco Vaquero</v>
      </c>
      <c r="G35" s="17" t="str">
        <f ca="1">IFERROR(__xludf.DUMMYFUNCTION("""COMPUTED_VALUE"""),"UBER * PENDING         CMX           MEX")</f>
        <v>UBER * PENDING         CMX           MEX</v>
      </c>
      <c r="H35" s="17" t="str">
        <f ca="1">IFERROR(__xludf.DUMMYFUNCTION("""COMPUTED_VALUE"""),"Uber")</f>
        <v>Uber</v>
      </c>
      <c r="I35" s="17" t="str">
        <f ca="1">IFERROR(__xludf.DUMMYFUNCTION("""COMPUTED_VALUE"""),"Sales")</f>
        <v>Sales</v>
      </c>
      <c r="J35" s="17" t="str">
        <f ca="1">IFERROR(__xludf.DUMMYFUNCTION("""COMPUTED_VALUE"""),"PO 2196 Cuota MTY")</f>
        <v>PO 2196 Cuota MTY</v>
      </c>
      <c r="K35" s="134" t="str">
        <f ca="1">IFERROR(__xludf.DUMMYFUNCTION("""COMPUTED_VALUE"""),"2979220")</f>
        <v>2979220</v>
      </c>
      <c r="L35" s="17"/>
      <c r="M35" s="17"/>
      <c r="N35" s="17"/>
      <c r="O35" s="17"/>
    </row>
    <row r="36" spans="1:15" ht="12.5">
      <c r="A36" s="17" t="str">
        <f ca="1">IFERROR(__xludf.DUMMYFUNCTION("""COMPUTED_VALUE"""),"TRX1839")</f>
        <v>TRX1839</v>
      </c>
      <c r="B36" s="86" t="str">
        <f ca="1">IFERROR(__xludf.DUMMYFUNCTION("""COMPUTED_VALUE"""),"-")</f>
        <v>-</v>
      </c>
      <c r="C36" s="63">
        <f ca="1">IFERROR(__xludf.DUMMYFUNCTION("""COMPUTED_VALUE"""),46065.4166666666)</f>
        <v>46065.416666666599</v>
      </c>
      <c r="D36" s="65">
        <f ca="1">IFERROR(__xludf.DUMMYFUNCTION("""COMPUTED_VALUE"""),1038.7)</f>
        <v>1038.7</v>
      </c>
      <c r="E36" s="17" t="str">
        <f ca="1">IFERROR(__xludf.DUMMYFUNCTION("""COMPUTED_VALUE"""),"MXN")</f>
        <v>MXN</v>
      </c>
      <c r="F36" s="17" t="str">
        <f ca="1">IFERROR(__xludf.DUMMYFUNCTION("""COMPUTED_VALUE"""),"Jose Luis Franco Vaquero")</f>
        <v>Jose Luis Franco Vaquero</v>
      </c>
      <c r="G36" s="17" t="str">
        <f ca="1">IFERROR(__xludf.DUMMYFUNCTION("""COMPUTED_VALUE"""),"MERCADOPAGO *GASOLINA  Tlalnepantla  MEX")</f>
        <v>MERCADOPAGO *GASOLINA  Tlalnepantla  MEX</v>
      </c>
      <c r="H36" s="17" t="str">
        <f ca="1">IFERROR(__xludf.DUMMYFUNCTION("""COMPUTED_VALUE"""),"Mercadopago")</f>
        <v>Mercadopago</v>
      </c>
      <c r="I36" s="17" t="str">
        <f ca="1">IFERROR(__xludf.DUMMYFUNCTION("""COMPUTED_VALUE"""),"Sales")</f>
        <v>Sales</v>
      </c>
      <c r="J36" s="17" t="str">
        <f ca="1">IFERROR(__xludf.DUMMYFUNCTION("""COMPUTED_VALUE"""),"PO 2196 Gasolina coahuila")</f>
        <v>PO 2196 Gasolina coahuila</v>
      </c>
      <c r="K36" s="134" t="str">
        <f ca="1">IFERROR(__xludf.DUMMYFUNCTION("""COMPUTED_VALUE"""),"145010738679")</f>
        <v>145010738679</v>
      </c>
      <c r="L36" s="17"/>
      <c r="M36" s="17"/>
      <c r="N36" s="17"/>
      <c r="O36" s="17"/>
    </row>
    <row r="37" spans="1:15" ht="12.5">
      <c r="A37" s="17" t="str">
        <f ca="1">IFERROR(__xludf.DUMMYFUNCTION("""COMPUTED_VALUE"""),"TRX1878")</f>
        <v>TRX1878</v>
      </c>
      <c r="B37" s="86" t="str">
        <f ca="1">IFERROR(__xludf.DUMMYFUNCTION("""COMPUTED_VALUE"""),"-")</f>
        <v>-</v>
      </c>
      <c r="C37" s="63">
        <f ca="1">IFERROR(__xludf.DUMMYFUNCTION("""COMPUTED_VALUE"""),46065.4173611111)</f>
        <v>46065.417361111096</v>
      </c>
      <c r="D37" s="65">
        <f ca="1">IFERROR(__xludf.DUMMYFUNCTION("""COMPUTED_VALUE"""),64.3)</f>
        <v>64.3</v>
      </c>
      <c r="E37" s="17" t="str">
        <f ca="1">IFERROR(__xludf.DUMMYFUNCTION("""COMPUTED_VALUE"""),"MXN")</f>
        <v>MXN</v>
      </c>
      <c r="F37" s="17" t="str">
        <f ca="1">IFERROR(__xludf.DUMMYFUNCTION("""COMPUTED_VALUE"""),"Jose Luis Franco Vaquero")</f>
        <v>Jose Luis Franco Vaquero</v>
      </c>
      <c r="G37" s="17" t="str">
        <f ca="1">IFERROR(__xludf.DUMMYFUNCTION("""COMPUTED_VALUE"""),"REA AUTOPISTA GPE      CADEREYTA JIM MEX")</f>
        <v>REA AUTOPISTA GPE      CADEREYTA JIM MEX</v>
      </c>
      <c r="H37" s="17" t="str">
        <f ca="1">IFERROR(__xludf.DUMMYFUNCTION("""COMPUTED_VALUE"""),"Rea Autopista Gpe Cadereyta Jim Mex")</f>
        <v>Rea Autopista Gpe Cadereyta Jim Mex</v>
      </c>
      <c r="I37" s="17" t="str">
        <f ca="1">IFERROR(__xludf.DUMMYFUNCTION("""COMPUTED_VALUE"""),"Sales")</f>
        <v>Sales</v>
      </c>
      <c r="J37" s="17" t="str">
        <f ca="1">IFERROR(__xludf.DUMMYFUNCTION("""COMPUTED_VALUE"""),"PO 2196 alimentos")</f>
        <v>PO 2196 alimentos</v>
      </c>
      <c r="K37" s="134" t="str">
        <f ca="1">IFERROR(__xludf.DUMMYFUNCTION("""COMPUTED_VALUE"""),"39116")</f>
        <v>39116</v>
      </c>
      <c r="L37" s="17"/>
      <c r="M37" s="17"/>
      <c r="N37" s="17"/>
      <c r="O37" s="17"/>
    </row>
    <row r="38" spans="1:15" ht="12.5">
      <c r="A38" s="17" t="str">
        <f ca="1">IFERROR(__xludf.DUMMYFUNCTION("""COMPUTED_VALUE"""),"TRX1590")</f>
        <v>TRX1590</v>
      </c>
      <c r="B38" s="86" t="str">
        <f ca="1">IFERROR(__xludf.DUMMYFUNCTION("""COMPUTED_VALUE"""),"-")</f>
        <v>-</v>
      </c>
      <c r="C38" s="63">
        <f ca="1">IFERROR(__xludf.DUMMYFUNCTION("""COMPUTED_VALUE"""),46065.4173611111)</f>
        <v>46065.417361111096</v>
      </c>
      <c r="D38" s="65">
        <f ca="1">IFERROR(__xludf.DUMMYFUNCTION("""COMPUTED_VALUE"""),143)</f>
        <v>143</v>
      </c>
      <c r="E38" s="17" t="str">
        <f ca="1">IFERROR(__xludf.DUMMYFUNCTION("""COMPUTED_VALUE"""),"MXN")</f>
        <v>MXN</v>
      </c>
      <c r="F38" s="17" t="str">
        <f ca="1">IFERROR(__xludf.DUMMYFUNCTION("""COMPUTED_VALUE"""),"Jose Luis Franco Vaquero")</f>
        <v>Jose Luis Franco Vaquero</v>
      </c>
      <c r="G38" s="17" t="str">
        <f ca="1">IFERROR(__xludf.DUMMYFUNCTION("""COMPUTED_VALUE"""),"CONCESIONARIA AUT MTY  SANTA CATARIN MEX")</f>
        <v>CONCESIONARIA AUT MTY  SANTA CATARIN MEX</v>
      </c>
      <c r="H38" s="17" t="str">
        <f ca="1">IFERROR(__xludf.DUMMYFUNCTION("""COMPUTED_VALUE"""),"Concesionaria Aut Mty Santa Catarin Mex")</f>
        <v>Concesionaria Aut Mty Santa Catarin Mex</v>
      </c>
      <c r="I38" s="17" t="str">
        <f ca="1">IFERROR(__xludf.DUMMYFUNCTION("""COMPUTED_VALUE"""),"Sales")</f>
        <v>Sales</v>
      </c>
      <c r="J38" s="17" t="str">
        <f ca="1">IFERROR(__xludf.DUMMYFUNCTION("""COMPUTED_VALUE"""),"PO 2196 alimentos")</f>
        <v>PO 2196 alimentos</v>
      </c>
      <c r="K38" s="134">
        <f ca="1">IFERROR(__xludf.DUMMYFUNCTION("""COMPUTED_VALUE"""),219101252604112)</f>
        <v>219101252604112</v>
      </c>
      <c r="L38" s="17"/>
      <c r="M38" s="17"/>
      <c r="N38" s="17"/>
      <c r="O38" s="17"/>
    </row>
    <row r="39" spans="1:15" ht="12.5">
      <c r="A39" s="17" t="str">
        <f ca="1">IFERROR(__xludf.DUMMYFUNCTION("""COMPUTED_VALUE"""),"TRX1305")</f>
        <v>TRX1305</v>
      </c>
      <c r="B39" s="86" t="str">
        <f ca="1">IFERROR(__xludf.DUMMYFUNCTION("""COMPUTED_VALUE"""),"-")</f>
        <v>-</v>
      </c>
      <c r="C39" s="63">
        <f ca="1">IFERROR(__xludf.DUMMYFUNCTION("""COMPUTED_VALUE"""),46066.4166666666)</f>
        <v>46066.416666666599</v>
      </c>
      <c r="D39" s="65">
        <f ca="1">IFERROR(__xludf.DUMMYFUNCTION("""COMPUTED_VALUE"""),1377.87)</f>
        <v>1377.87</v>
      </c>
      <c r="E39" s="17" t="str">
        <f ca="1">IFERROR(__xludf.DUMMYFUNCTION("""COMPUTED_VALUE"""),"MXN")</f>
        <v>MXN</v>
      </c>
      <c r="F39" s="17" t="str">
        <f ca="1">IFERROR(__xludf.DUMMYFUNCTION("""COMPUTED_VALUE"""),"Jose Luis Franco Vaquero")</f>
        <v>Jose Luis Franco Vaquero</v>
      </c>
      <c r="G39" s="17" t="str">
        <f ca="1">IFERROR(__xludf.DUMMYFUNCTION("""COMPUTED_VALUE"""),"MERCADOPAGO *GASOLINA  Tlalnepantla  MEX")</f>
        <v>MERCADOPAGO *GASOLINA  Tlalnepantla  MEX</v>
      </c>
      <c r="H39" s="17" t="str">
        <f ca="1">IFERROR(__xludf.DUMMYFUNCTION("""COMPUTED_VALUE"""),"Mercadopago")</f>
        <v>Mercadopago</v>
      </c>
      <c r="I39" s="17" t="str">
        <f ca="1">IFERROR(__xludf.DUMMYFUNCTION("""COMPUTED_VALUE"""),"Sales")</f>
        <v>Sales</v>
      </c>
      <c r="J39" s="17" t="str">
        <f ca="1">IFERROR(__xludf.DUMMYFUNCTION("""COMPUTED_VALUE"""),"PO 2169 traslado aeropuerto")</f>
        <v>PO 2169 traslado aeropuerto</v>
      </c>
      <c r="K39" s="134" t="str">
        <f ca="1">IFERROR(__xludf.DUMMYFUNCTION("""COMPUTED_VALUE"""),"51F754")</f>
        <v>51F754</v>
      </c>
      <c r="L39" s="17"/>
      <c r="M39" s="17"/>
      <c r="N39" s="17"/>
      <c r="O39" s="17"/>
    </row>
    <row r="40" spans="1:15" ht="12.5">
      <c r="A40" s="17" t="str">
        <f ca="1">IFERROR(__xludf.DUMMYFUNCTION("""COMPUTED_VALUE"""),"TRX1270")</f>
        <v>TRX1270</v>
      </c>
      <c r="B40" s="86" t="str">
        <f ca="1">IFERROR(__xludf.DUMMYFUNCTION("""COMPUTED_VALUE"""),"-")</f>
        <v>-</v>
      </c>
      <c r="C40" s="63">
        <f ca="1">IFERROR(__xludf.DUMMYFUNCTION("""COMPUTED_VALUE"""),46066.4173611111)</f>
        <v>46066.417361111096</v>
      </c>
      <c r="D40" s="65">
        <f ca="1">IFERROR(__xludf.DUMMYFUNCTION("""COMPUTED_VALUE"""),373)</f>
        <v>373</v>
      </c>
      <c r="E40" s="17" t="str">
        <f ca="1">IFERROR(__xludf.DUMMYFUNCTION("""COMPUTED_VALUE"""),"MXN")</f>
        <v>MXN</v>
      </c>
      <c r="F40" s="17" t="str">
        <f ca="1">IFERROR(__xludf.DUMMYFUNCTION("""COMPUTED_VALUE"""),"Jose Luis Franco Vaquero")</f>
        <v>Jose Luis Franco Vaquero</v>
      </c>
      <c r="G40" s="17" t="str">
        <f ca="1">IFERROR(__xludf.DUMMYFUNCTION("""COMPUTED_VALUE"""),"KFC 219 AEROPUERTO T1  CIUDAD DE MEX MEX")</f>
        <v>KFC 219 AEROPUERTO T1  CIUDAD DE MEX MEX</v>
      </c>
      <c r="H40" s="17" t="str">
        <f ca="1">IFERROR(__xludf.DUMMYFUNCTION("""COMPUTED_VALUE"""),"Kentucky Fried Chicken")</f>
        <v>Kentucky Fried Chicken</v>
      </c>
      <c r="I40" s="17" t="str">
        <f ca="1">IFERROR(__xludf.DUMMYFUNCTION("""COMPUTED_VALUE"""),"Sales")</f>
        <v>Sales</v>
      </c>
      <c r="J40" s="17" t="str">
        <f ca="1">IFERROR(__xludf.DUMMYFUNCTION("""COMPUTED_VALUE"""),"Gasolina CDMX")</f>
        <v>Gasolina CDMX</v>
      </c>
      <c r="K40" s="134">
        <f ca="1">IFERROR(__xludf.DUMMYFUNCTION("""COMPUTED_VALUE"""),145897368416)</f>
        <v>145897368416</v>
      </c>
      <c r="L40" s="17"/>
      <c r="M40" s="17"/>
      <c r="N40" s="17"/>
      <c r="O40" s="17"/>
    </row>
    <row r="41" spans="1:15" ht="12.5">
      <c r="A41" s="17" t="str">
        <f ca="1">IFERROR(__xludf.DUMMYFUNCTION("""COMPUTED_VALUE"""),"TRX1891")</f>
        <v>TRX1891</v>
      </c>
      <c r="B41" s="86" t="str">
        <f ca="1">IFERROR(__xludf.DUMMYFUNCTION("""COMPUTED_VALUE"""),"-")</f>
        <v>-</v>
      </c>
      <c r="C41" s="63">
        <f ca="1">IFERROR(__xludf.DUMMYFUNCTION("""COMPUTED_VALUE"""),46067.4166666666)</f>
        <v>46067.416666666599</v>
      </c>
      <c r="D41" s="65">
        <f ca="1">IFERROR(__xludf.DUMMYFUNCTION("""COMPUTED_VALUE"""),119.72)</f>
        <v>119.72</v>
      </c>
      <c r="E41" s="17" t="str">
        <f ca="1">IFERROR(__xludf.DUMMYFUNCTION("""COMPUTED_VALUE"""),"MXN")</f>
        <v>MXN</v>
      </c>
      <c r="F41" s="17" t="str">
        <f ca="1">IFERROR(__xludf.DUMMYFUNCTION("""COMPUTED_VALUE"""),"Jose Luis Franco Vaquero")</f>
        <v>Jose Luis Franco Vaquero</v>
      </c>
      <c r="G41" s="17" t="str">
        <f ca="1">IFERROR(__xludf.DUMMYFUNCTION("""COMPUTED_VALUE"""),"UBER *TRIP HELP.UBER.C CMX           MEX")</f>
        <v>UBER *TRIP HELP.UBER.C CMX           MEX</v>
      </c>
      <c r="H41" s="17" t="str">
        <f ca="1">IFERROR(__xludf.DUMMYFUNCTION("""COMPUTED_VALUE"""),"Uber")</f>
        <v>Uber</v>
      </c>
      <c r="I41" s="17" t="str">
        <f ca="1">IFERROR(__xludf.DUMMYFUNCTION("""COMPUTED_VALUE"""),"Sales")</f>
        <v>Sales</v>
      </c>
      <c r="J41" s="17" t="str">
        <f ca="1">IFERROR(__xludf.DUMMYFUNCTION("""COMPUTED_VALUE"""),"PO 2169 traslado aeropuerto")</f>
        <v>PO 2169 traslado aeropuerto</v>
      </c>
      <c r="K41" s="134" t="str">
        <f ca="1">IFERROR(__xludf.DUMMYFUNCTION("""COMPUTED_VALUE"""),"141917881609")</f>
        <v>141917881609</v>
      </c>
      <c r="L41" s="17"/>
      <c r="M41" s="17"/>
      <c r="N41" s="17"/>
      <c r="O41" s="17"/>
    </row>
    <row r="42" spans="1:15" ht="12.5">
      <c r="A42" s="17" t="str">
        <f ca="1">IFERROR(__xludf.DUMMYFUNCTION("""COMPUTED_VALUE"""),"TRX1023")</f>
        <v>TRX1023</v>
      </c>
      <c r="B42" s="86" t="str">
        <f ca="1">IFERROR(__xludf.DUMMYFUNCTION("""COMPUTED_VALUE"""),"-")</f>
        <v>-</v>
      </c>
      <c r="C42" s="63">
        <f ca="1">IFERROR(__xludf.DUMMYFUNCTION("""COMPUTED_VALUE"""),46067.4166666666)</f>
        <v>46067.416666666599</v>
      </c>
      <c r="D42" s="65">
        <f ca="1">IFERROR(__xludf.DUMMYFUNCTION("""COMPUTED_VALUE"""),1000)</f>
        <v>1000</v>
      </c>
      <c r="E42" s="17" t="str">
        <f ca="1">IFERROR(__xludf.DUMMYFUNCTION("""COMPUTED_VALUE"""),"MXN")</f>
        <v>MXN</v>
      </c>
      <c r="F42" s="17" t="str">
        <f ca="1">IFERROR(__xludf.DUMMYFUNCTION("""COMPUTED_VALUE"""),"Jose Luis Franco Vaquero")</f>
        <v>Jose Luis Franco Vaquero</v>
      </c>
      <c r="G42" s="17" t="str">
        <f ca="1">IFERROR(__xludf.DUMMYFUNCTION("""COMPUTED_VALUE"""),"MERCADOPAGO *TELEVIA   MIGUEL HIDALG MEX")</f>
        <v>MERCADOPAGO *TELEVIA   MIGUEL HIDALG MEX</v>
      </c>
      <c r="H42" s="17" t="str">
        <f ca="1">IFERROR(__xludf.DUMMYFUNCTION("""COMPUTED_VALUE"""),"Mercadopago")</f>
        <v>Mercadopago</v>
      </c>
      <c r="I42" s="17" t="str">
        <f ca="1">IFERROR(__xludf.DUMMYFUNCTION("""COMPUTED_VALUE"""),"Sales")</f>
        <v>Sales</v>
      </c>
      <c r="J42" s="17" t="str">
        <f ca="1">IFERROR(__xludf.DUMMYFUNCTION("""COMPUTED_VALUE"""),"TAG TELEVIA")</f>
        <v>TAG TELEVIA</v>
      </c>
      <c r="K42" s="134" t="str">
        <f ca="1">IFERROR(__xludf.DUMMYFUNCTION("""COMPUTED_VALUE"""),"715777359")</f>
        <v>715777359</v>
      </c>
      <c r="L42" s="17"/>
      <c r="M42" s="17"/>
      <c r="N42" s="17"/>
      <c r="O42" s="17"/>
    </row>
    <row r="43" spans="1:15" ht="12.5">
      <c r="A43" s="17" t="str">
        <f ca="1">IFERROR(__xludf.DUMMYFUNCTION("""COMPUTED_VALUE"""),"TRX1847")</f>
        <v>TRX1847</v>
      </c>
      <c r="B43" s="86" t="str">
        <f ca="1">IFERROR(__xludf.DUMMYFUNCTION("""COMPUTED_VALUE"""),"-")</f>
        <v>-</v>
      </c>
      <c r="C43" s="63">
        <f ca="1">IFERROR(__xludf.DUMMYFUNCTION("""COMPUTED_VALUE"""),46067.4173611111)</f>
        <v>46067.417361111096</v>
      </c>
      <c r="D43" s="65">
        <f ca="1">IFERROR(__xludf.DUMMYFUNCTION("""COMPUTED_VALUE"""),500)</f>
        <v>500</v>
      </c>
      <c r="E43" s="17" t="str">
        <f ca="1">IFERROR(__xludf.DUMMYFUNCTION("""COMPUTED_VALUE"""),"MXN")</f>
        <v>MXN</v>
      </c>
      <c r="F43" s="17" t="str">
        <f ca="1">IFERROR(__xludf.DUMMYFUNCTION("""COMPUTED_VALUE"""),"Jose Luis Franco Vaquero")</f>
        <v>Jose Luis Franco Vaquero</v>
      </c>
      <c r="G43" s="17" t="str">
        <f ca="1">IFERROR(__xludf.DUMMYFUNCTION("""COMPUTED_VALUE"""),"MEXPAGO*MUEVECIUDAD    CIUDAD DE MEX MEX")</f>
        <v>MEXPAGO*MUEVECIUDAD    CIUDAD DE MEX MEX</v>
      </c>
      <c r="H43" s="17" t="str">
        <f ca="1">IFERROR(__xludf.DUMMYFUNCTION("""COMPUTED_VALUE"""),"Mexpago Mueveciudad Ciudad De Mex Mex")</f>
        <v>Mexpago Mueveciudad Ciudad De Mex Mex</v>
      </c>
      <c r="I43" s="17" t="str">
        <f ca="1">IFERROR(__xludf.DUMMYFUNCTION("""COMPUTED_VALUE"""),"Sales")</f>
        <v>Sales</v>
      </c>
      <c r="J43" s="17" t="str">
        <f ca="1">IFERROR(__xludf.DUMMYFUNCTION("""COMPUTED_VALUE"""),"Parquimetro")</f>
        <v>Parquimetro</v>
      </c>
      <c r="K43" s="134" t="str">
        <f ca="1">IFERROR(__xludf.DUMMYFUNCTION("""COMPUTED_VALUE"""),"933600")</f>
        <v>933600</v>
      </c>
      <c r="L43" s="17"/>
      <c r="M43" s="17"/>
      <c r="N43" s="17"/>
      <c r="O43" s="17"/>
    </row>
    <row r="44" spans="1:15" ht="12.5">
      <c r="A44" s="17" t="str">
        <f ca="1">IFERROR(__xludf.DUMMYFUNCTION("""COMPUTED_VALUE"""),"TRX1072")</f>
        <v>TRX1072</v>
      </c>
      <c r="B44" s="86" t="str">
        <f ca="1">IFERROR(__xludf.DUMMYFUNCTION("""COMPUTED_VALUE"""),"-")</f>
        <v>-</v>
      </c>
      <c r="C44" s="63">
        <f ca="1">IFERROR(__xludf.DUMMYFUNCTION("""COMPUTED_VALUE"""),46071.4166666666)</f>
        <v>46071.416666666599</v>
      </c>
      <c r="D44" s="65">
        <f ca="1">IFERROR(__xludf.DUMMYFUNCTION("""COMPUTED_VALUE"""),559.97)</f>
        <v>559.97</v>
      </c>
      <c r="E44" s="17" t="str">
        <f ca="1">IFERROR(__xludf.DUMMYFUNCTION("""COMPUTED_VALUE"""),"MXN")</f>
        <v>MXN</v>
      </c>
      <c r="F44" s="17" t="str">
        <f ca="1">IFERROR(__xludf.DUMMYFUNCTION("""COMPUTED_VALUE"""),"Jose Luis Franco Vaquero")</f>
        <v>Jose Luis Franco Vaquero</v>
      </c>
      <c r="G44" s="17" t="str">
        <f ca="1">IFERROR(__xludf.DUMMYFUNCTION("""COMPUTED_VALUE"""),"UBER *TRIP HELP.UBER.C CMX           MEX")</f>
        <v>UBER *TRIP HELP.UBER.C CMX           MEX</v>
      </c>
      <c r="H44" s="17" t="str">
        <f ca="1">IFERROR(__xludf.DUMMYFUNCTION("""COMPUTED_VALUE"""),"Uber")</f>
        <v>Uber</v>
      </c>
      <c r="I44" s="17" t="str">
        <f ca="1">IFERROR(__xludf.DUMMYFUNCTION("""COMPUTED_VALUE"""),"Sales")</f>
        <v>Sales</v>
      </c>
      <c r="J44" s="17" t="str">
        <f ca="1">IFERROR(__xludf.DUMMYFUNCTION("""COMPUTED_VALUE"""),"PO 2169 traslado aeropuerto")</f>
        <v>PO 2169 traslado aeropuerto</v>
      </c>
      <c r="K44" s="134" t="str">
        <f ca="1">IFERROR(__xludf.DUMMYFUNCTION("""COMPUTED_VALUE"""),"016600")</f>
        <v>016600</v>
      </c>
      <c r="L44" s="17"/>
      <c r="M44" s="17"/>
      <c r="N44" s="17"/>
      <c r="O44" s="17"/>
    </row>
    <row r="45" spans="1:15" ht="12.5">
      <c r="A45" s="17" t="str">
        <f ca="1">IFERROR(__xludf.DUMMYFUNCTION("""COMPUTED_VALUE"""),"TRX1128")</f>
        <v>TRX1128</v>
      </c>
      <c r="B45" s="86" t="str">
        <f ca="1">IFERROR(__xludf.DUMMYFUNCTION("""COMPUTED_VALUE"""),"-")</f>
        <v>-</v>
      </c>
      <c r="C45" s="63">
        <f ca="1">IFERROR(__xludf.DUMMYFUNCTION("""COMPUTED_VALUE"""),46073.4166666666)</f>
        <v>46073.416666666599</v>
      </c>
      <c r="D45" s="65">
        <f ca="1">IFERROR(__xludf.DUMMYFUNCTION("""COMPUTED_VALUE"""),1377.87)</f>
        <v>1377.87</v>
      </c>
      <c r="E45" s="17" t="str">
        <f ca="1">IFERROR(__xludf.DUMMYFUNCTION("""COMPUTED_VALUE"""),"MXN")</f>
        <v>MXN</v>
      </c>
      <c r="F45" s="17" t="str">
        <f ca="1">IFERROR(__xludf.DUMMYFUNCTION("""COMPUTED_VALUE"""),"Jose Luis Franco Vaquero")</f>
        <v>Jose Luis Franco Vaquero</v>
      </c>
      <c r="G45" s="17" t="str">
        <f ca="1">IFERROR(__xludf.DUMMYFUNCTION("""COMPUTED_VALUE"""),"MERCADOPAGO *GASOLINA  Tlalnepantla  MEX")</f>
        <v>MERCADOPAGO *GASOLINA  Tlalnepantla  MEX</v>
      </c>
      <c r="H45" s="17" t="str">
        <f ca="1">IFERROR(__xludf.DUMMYFUNCTION("""COMPUTED_VALUE"""),"Mercadopago")</f>
        <v>Mercadopago</v>
      </c>
      <c r="I45" s="17" t="str">
        <f ca="1">IFERROR(__xludf.DUMMYFUNCTION("""COMPUTED_VALUE"""),"Sales")</f>
        <v>Sales</v>
      </c>
      <c r="J45" s="17" t="str">
        <f ca="1">IFERROR(__xludf.DUMMYFUNCTION("""COMPUTED_VALUE"""),"Estacionamiento")</f>
        <v>Estacionamiento</v>
      </c>
      <c r="K45" s="134" t="str">
        <f ca="1">IFERROR(__xludf.DUMMYFUNCTION("""COMPUTED_VALUE"""),"18022026")</f>
        <v>18022026</v>
      </c>
      <c r="L45" s="17"/>
      <c r="M45" s="17"/>
      <c r="N45" s="17"/>
      <c r="O45" s="17"/>
    </row>
    <row r="46" spans="1:15" ht="12.5">
      <c r="A46" s="17" t="str">
        <f ca="1">IFERROR(__xludf.DUMMYFUNCTION("""COMPUTED_VALUE"""),"TRX1825")</f>
        <v>TRX1825</v>
      </c>
      <c r="B46" s="86" t="str">
        <f ca="1">IFERROR(__xludf.DUMMYFUNCTION("""COMPUTED_VALUE"""),"-")</f>
        <v>-</v>
      </c>
      <c r="C46" s="63">
        <f ca="1">IFERROR(__xludf.DUMMYFUNCTION("""COMPUTED_VALUE"""),46073.4166666666)</f>
        <v>46073.416666666599</v>
      </c>
      <c r="D46" s="65">
        <f ca="1">IFERROR(__xludf.DUMMYFUNCTION("""COMPUTED_VALUE"""),42)</f>
        <v>42</v>
      </c>
      <c r="E46" s="17" t="str">
        <f ca="1">IFERROR(__xludf.DUMMYFUNCTION("""COMPUTED_VALUE"""),"MXN")</f>
        <v>MXN</v>
      </c>
      <c r="F46" s="17" t="str">
        <f ca="1">IFERROR(__xludf.DUMMYFUNCTION("""COMPUTED_VALUE"""),"Jose Luis Franco Vaquero")</f>
        <v>Jose Luis Franco Vaquero</v>
      </c>
      <c r="G46" s="17" t="str">
        <f ca="1">IFERROR(__xludf.DUMMYFUNCTION("""COMPUTED_VALUE"""),"PARCO                  ZAPOPAN JAL   MEX")</f>
        <v>PARCO                  ZAPOPAN JAL   MEX</v>
      </c>
      <c r="H46" s="17" t="str">
        <f ca="1">IFERROR(__xludf.DUMMYFUNCTION("""COMPUTED_VALUE"""),"Parco Zapopan Jal Mex")</f>
        <v>Parco Zapopan Jal Mex</v>
      </c>
      <c r="I46" s="17" t="str">
        <f ca="1">IFERROR(__xludf.DUMMYFUNCTION("""COMPUTED_VALUE"""),"Sales")</f>
        <v>Sales</v>
      </c>
      <c r="J46" s="17" t="str">
        <f ca="1">IFERROR(__xludf.DUMMYFUNCTION("""COMPUTED_VALUE"""),"Gasolina CDMX")</f>
        <v>Gasolina CDMX</v>
      </c>
      <c r="K46" s="134" t="str">
        <f ca="1">IFERROR(__xludf.DUMMYFUNCTION("""COMPUTED_VALUE"""),"141462325075")</f>
        <v>141462325075</v>
      </c>
      <c r="L46" s="17"/>
      <c r="M46" s="17"/>
      <c r="N46" s="17"/>
      <c r="O46" s="17"/>
    </row>
    <row r="47" spans="1:15" ht="12.5">
      <c r="A47" s="17" t="str">
        <f ca="1">IFERROR(__xludf.DUMMYFUNCTION("""COMPUTED_VALUE"""),"TRX1049")</f>
        <v>TRX1049</v>
      </c>
      <c r="B47" s="86" t="str">
        <f ca="1">IFERROR(__xludf.DUMMYFUNCTION("""COMPUTED_VALUE"""),"-")</f>
        <v>-</v>
      </c>
      <c r="C47" s="63">
        <f ca="1">IFERROR(__xludf.DUMMYFUNCTION("""COMPUTED_VALUE"""),46075.4166666666)</f>
        <v>46075.416666666599</v>
      </c>
      <c r="D47" s="65">
        <f ca="1">IFERROR(__xludf.DUMMYFUNCTION("""COMPUTED_VALUE"""),160.54)</f>
        <v>160.54</v>
      </c>
      <c r="E47" s="17" t="str">
        <f ca="1">IFERROR(__xludf.DUMMYFUNCTION("""COMPUTED_VALUE"""),"MXN")</f>
        <v>MXN</v>
      </c>
      <c r="F47" s="17" t="str">
        <f ca="1">IFERROR(__xludf.DUMMYFUNCTION("""COMPUTED_VALUE"""),"Jose Luis Franco Vaquero")</f>
        <v>Jose Luis Franco Vaquero</v>
      </c>
      <c r="G47" s="17" t="str">
        <f ca="1">IFERROR(__xludf.DUMMYFUNCTION("""COMPUTED_VALUE"""),"UBER *TRIP HELP.UBER.C CMX           MEX")</f>
        <v>UBER *TRIP HELP.UBER.C CMX           MEX</v>
      </c>
      <c r="H47" s="17" t="str">
        <f ca="1">IFERROR(__xludf.DUMMYFUNCTION("""COMPUTED_VALUE"""),"Uber")</f>
        <v>Uber</v>
      </c>
      <c r="I47" s="17" t="str">
        <f ca="1">IFERROR(__xludf.DUMMYFUNCTION("""COMPUTED_VALUE"""),"Sales")</f>
        <v>Sales</v>
      </c>
      <c r="J47" s="17" t="str">
        <f ca="1">IFERROR(__xludf.DUMMYFUNCTION("""COMPUTED_VALUE"""),"Botas de seguridad")</f>
        <v>Botas de seguridad</v>
      </c>
      <c r="K47" s="134" t="str">
        <f ca="1">IFERROR(__xludf.DUMMYFUNCTION("""COMPUTED_VALUE"""),"144011475176")</f>
        <v>144011475176</v>
      </c>
      <c r="L47" s="17"/>
      <c r="M47" s="17"/>
      <c r="N47" s="17"/>
      <c r="O47" s="17"/>
    </row>
    <row r="48" spans="1:15" ht="12.5">
      <c r="A48" s="17" t="str">
        <f ca="1">IFERROR(__xludf.DUMMYFUNCTION("""COMPUTED_VALUE"""),"TRX1107")</f>
        <v>TRX1107</v>
      </c>
      <c r="B48" s="86" t="str">
        <f ca="1">IFERROR(__xludf.DUMMYFUNCTION("""COMPUTED_VALUE"""),"-")</f>
        <v>-</v>
      </c>
      <c r="C48" s="63">
        <f ca="1">IFERROR(__xludf.DUMMYFUNCTION("""COMPUTED_VALUE"""),46077.4166666666)</f>
        <v>46077.416666666599</v>
      </c>
      <c r="D48" s="65">
        <f ca="1">IFERROR(__xludf.DUMMYFUNCTION("""COMPUTED_VALUE"""),439.97)</f>
        <v>439.97</v>
      </c>
      <c r="E48" s="17" t="str">
        <f ca="1">IFERROR(__xludf.DUMMYFUNCTION("""COMPUTED_VALUE"""),"MXN")</f>
        <v>MXN</v>
      </c>
      <c r="F48" s="17" t="str">
        <f ca="1">IFERROR(__xludf.DUMMYFUNCTION("""COMPUTED_VALUE"""),"Jose Luis Franco Vaquero")</f>
        <v>Jose Luis Franco Vaquero</v>
      </c>
      <c r="G48" s="17" t="str">
        <f ca="1">IFERROR(__xludf.DUMMYFUNCTION("""COMPUTED_VALUE"""),"UBER * PENDING         CMX           MEX")</f>
        <v>UBER * PENDING         CMX           MEX</v>
      </c>
      <c r="H48" s="17" t="str">
        <f ca="1">IFERROR(__xludf.DUMMYFUNCTION("""COMPUTED_VALUE"""),"Uber")</f>
        <v>Uber</v>
      </c>
      <c r="I48" s="17" t="str">
        <f ca="1">IFERROR(__xludf.DUMMYFUNCTION("""COMPUTED_VALUE"""),"Sales")</f>
        <v>Sales</v>
      </c>
      <c r="J48" s="17" t="str">
        <f ca="1">IFERROR(__xludf.DUMMYFUNCTION("""COMPUTED_VALUE"""),"traslado")</f>
        <v>traslado</v>
      </c>
      <c r="K48" s="134" t="str">
        <f ca="1">IFERROR(__xludf.DUMMYFUNCTION("""COMPUTED_VALUE"""),"W98BRN")</f>
        <v>W98BRN</v>
      </c>
      <c r="L48" s="17"/>
      <c r="M48" s="17"/>
      <c r="N48" s="17"/>
      <c r="O48" s="17"/>
    </row>
    <row r="49" spans="1:15" ht="12.5">
      <c r="A49" s="17" t="str">
        <f ca="1">IFERROR(__xludf.DUMMYFUNCTION("""COMPUTED_VALUE"""),"TRX1122")</f>
        <v>TRX1122</v>
      </c>
      <c r="B49" s="86" t="str">
        <f ca="1">IFERROR(__xludf.DUMMYFUNCTION("""COMPUTED_VALUE"""),"-")</f>
        <v>-</v>
      </c>
      <c r="C49" s="63">
        <f ca="1">IFERROR(__xludf.DUMMYFUNCTION("""COMPUTED_VALUE"""),46077.4166666666)</f>
        <v>46077.416666666599</v>
      </c>
      <c r="D49" s="65">
        <f ca="1">IFERROR(__xludf.DUMMYFUNCTION("""COMPUTED_VALUE"""),165)</f>
        <v>165</v>
      </c>
      <c r="E49" s="17" t="str">
        <f ca="1">IFERROR(__xludf.DUMMYFUNCTION("""COMPUTED_VALUE"""),"MXN")</f>
        <v>MXN</v>
      </c>
      <c r="F49" s="17" t="str">
        <f ca="1">IFERROR(__xludf.DUMMYFUNCTION("""COMPUTED_VALUE"""),"Jose Luis Franco Vaquero")</f>
        <v>Jose Luis Franco Vaquero</v>
      </c>
      <c r="G49" s="17" t="str">
        <f ca="1">IFERROR(__xludf.DUMMYFUNCTION("""COMPUTED_VALUE"""),"THE GATE I             CIUDAD DE MEX MEX")</f>
        <v>THE GATE I             CIUDAD DE MEX MEX</v>
      </c>
      <c r="H49" s="17" t="str">
        <f ca="1">IFERROR(__xludf.DUMMYFUNCTION("""COMPUTED_VALUE"""),"The Gate I Ciudad De Mex Mex")</f>
        <v>The Gate I Ciudad De Mex Mex</v>
      </c>
      <c r="I49" s="17" t="str">
        <f ca="1">IFERROR(__xludf.DUMMYFUNCTION("""COMPUTED_VALUE"""),"Sales")</f>
        <v>Sales</v>
      </c>
      <c r="J49" s="17" t="str">
        <f ca="1">IFERROR(__xludf.DUMMYFUNCTION("""COMPUTED_VALUE"""),"PO 2196 alimentos")</f>
        <v>PO 2196 alimentos</v>
      </c>
      <c r="K49" s="134" t="str">
        <f ca="1">IFERROR(__xludf.DUMMYFUNCTION("""COMPUTED_VALUE"""),"207847ERJ4GRDA")</f>
        <v>207847ERJ4GRDA</v>
      </c>
      <c r="L49" s="17"/>
      <c r="M49" s="17"/>
      <c r="N49" s="17"/>
      <c r="O49" s="17"/>
    </row>
    <row r="50" spans="1:15" ht="12.5">
      <c r="A50" s="17" t="str">
        <f ca="1">IFERROR(__xludf.DUMMYFUNCTION("""COMPUTED_VALUE"""),"TRX1136")</f>
        <v>TRX1136</v>
      </c>
      <c r="B50" s="86" t="str">
        <f ca="1">IFERROR(__xludf.DUMMYFUNCTION("""COMPUTED_VALUE"""),"-")</f>
        <v>-</v>
      </c>
      <c r="C50" s="63">
        <f ca="1">IFERROR(__xludf.DUMMYFUNCTION("""COMPUTED_VALUE"""),46078.4166666666)</f>
        <v>46078.416666666599</v>
      </c>
      <c r="D50" s="65">
        <f ca="1">IFERROR(__xludf.DUMMYFUNCTION("""COMPUTED_VALUE"""),339)</f>
        <v>339</v>
      </c>
      <c r="E50" s="17" t="str">
        <f ca="1">IFERROR(__xludf.DUMMYFUNCTION("""COMPUTED_VALUE"""),"MXN")</f>
        <v>MXN</v>
      </c>
      <c r="F50" s="17" t="str">
        <f ca="1">IFERROR(__xludf.DUMMYFUNCTION("""COMPUTED_VALUE"""),"Jose Luis Franco Vaquero")</f>
        <v>Jose Luis Franco Vaquero</v>
      </c>
      <c r="G50" s="17" t="str">
        <f ca="1">IFERROR(__xludf.DUMMYFUNCTION("""COMPUTED_VALUE"""),"STARBUCKS MAGMA TOWERS NLE           MEX")</f>
        <v>STARBUCKS MAGMA TOWERS NLE           MEX</v>
      </c>
      <c r="H50" s="17" t="str">
        <f ca="1">IFERROR(__xludf.DUMMYFUNCTION("""COMPUTED_VALUE"""),"Starbucks")</f>
        <v>Starbucks</v>
      </c>
      <c r="I50" s="17" t="str">
        <f ca="1">IFERROR(__xludf.DUMMYFUNCTION("""COMPUTED_VALUE"""),"Sales")</f>
        <v>Sales</v>
      </c>
      <c r="J50" s="17" t="str">
        <f ca="1">IFERROR(__xludf.DUMMYFUNCTION("""COMPUTED_VALUE"""),"PO 2196 alimentos")</f>
        <v>PO 2196 alimentos</v>
      </c>
      <c r="K50" s="134" t="str">
        <f ca="1">IFERROR(__xludf.DUMMYFUNCTION("""COMPUTED_VALUE"""),"304571")</f>
        <v>304571</v>
      </c>
      <c r="L50" s="17"/>
      <c r="M50" s="17"/>
      <c r="N50" s="17"/>
      <c r="O50" s="17"/>
    </row>
    <row r="51" spans="1:15" ht="12.5">
      <c r="A51" s="17" t="str">
        <f ca="1">IFERROR(__xludf.DUMMYFUNCTION("""COMPUTED_VALUE"""),"TRX1147")</f>
        <v>TRX1147</v>
      </c>
      <c r="B51" s="86" t="str">
        <f ca="1">IFERROR(__xludf.DUMMYFUNCTION("""COMPUTED_VALUE"""),"-")</f>
        <v>-</v>
      </c>
      <c r="C51" s="63">
        <f ca="1">IFERROR(__xludf.DUMMYFUNCTION("""COMPUTED_VALUE"""),46078.4166666666)</f>
        <v>46078.416666666599</v>
      </c>
      <c r="D51" s="65">
        <f ca="1">IFERROR(__xludf.DUMMYFUNCTION("""COMPUTED_VALUE"""),779.4)</f>
        <v>779.4</v>
      </c>
      <c r="E51" s="17" t="str">
        <f ca="1">IFERROR(__xludf.DUMMYFUNCTION("""COMPUTED_VALUE"""),"MXN")</f>
        <v>MXN</v>
      </c>
      <c r="F51" s="17" t="str">
        <f ca="1">IFERROR(__xludf.DUMMYFUNCTION("""COMPUTED_VALUE"""),"Jose Luis Franco Vaquero")</f>
        <v>Jose Luis Franco Vaquero</v>
      </c>
      <c r="G51" s="17" t="str">
        <f ca="1">IFERROR(__xludf.DUMMYFUNCTION("""COMPUTED_VALUE"""),"OFFICE DEPOT VASCONCE  SAN PEDRO GAR MEX")</f>
        <v>OFFICE DEPOT VASCONCE  SAN PEDRO GAR MEX</v>
      </c>
      <c r="H51" s="17" t="str">
        <f ca="1">IFERROR(__xludf.DUMMYFUNCTION("""COMPUTED_VALUE"""),"Office Depot")</f>
        <v>Office Depot</v>
      </c>
      <c r="I51" s="17" t="str">
        <f ca="1">IFERROR(__xludf.DUMMYFUNCTION("""COMPUTED_VALUE"""),"Sales")</f>
        <v>Sales</v>
      </c>
      <c r="J51" s="17" t="str">
        <f ca="1">IFERROR(__xludf.DUMMYFUNCTION("""COMPUTED_VALUE"""),"mochila laptop")</f>
        <v>mochila laptop</v>
      </c>
      <c r="K51" s="134" t="str">
        <f ca="1">IFERROR(__xludf.DUMMYFUNCTION("""COMPUTED_VALUE"""),"202602230030")</f>
        <v>202602230030</v>
      </c>
      <c r="L51" s="17"/>
      <c r="M51" s="17"/>
      <c r="N51" s="17"/>
      <c r="O51" s="17"/>
    </row>
    <row r="52" spans="1:15" ht="12.5">
      <c r="A52" s="17" t="str">
        <f ca="1">IFERROR(__xludf.DUMMYFUNCTION("""COMPUTED_VALUE"""),"TRX1164")</f>
        <v>TRX1164</v>
      </c>
      <c r="B52" s="86" t="str">
        <f ca="1">IFERROR(__xludf.DUMMYFUNCTION("""COMPUTED_VALUE"""),"-")</f>
        <v>-</v>
      </c>
      <c r="C52" s="63">
        <f ca="1">IFERROR(__xludf.DUMMYFUNCTION("""COMPUTED_VALUE"""),46078.4173611111)</f>
        <v>46078.417361111096</v>
      </c>
      <c r="D52" s="65">
        <f ca="1">IFERROR(__xludf.DUMMYFUNCTION("""COMPUTED_VALUE"""),451)</f>
        <v>451</v>
      </c>
      <c r="E52" s="17" t="str">
        <f ca="1">IFERROR(__xludf.DUMMYFUNCTION("""COMPUTED_VALUE"""),"MXN")</f>
        <v>MXN</v>
      </c>
      <c r="F52" s="17" t="str">
        <f ca="1">IFERROR(__xludf.DUMMYFUNCTION("""COMPUTED_VALUE"""),"Jose Luis Franco Vaquero")</f>
        <v>Jose Luis Franco Vaquero</v>
      </c>
      <c r="G52" s="17" t="str">
        <f ca="1">IFERROR(__xludf.DUMMYFUNCTION("""COMPUTED_VALUE"""),"SIGNATURE ROOM         SN PEDRO GARZ MEX")</f>
        <v>SIGNATURE ROOM         SN PEDRO GARZ MEX</v>
      </c>
      <c r="H52" s="17" t="str">
        <f ca="1">IFERROR(__xludf.DUMMYFUNCTION("""COMPUTED_VALUE"""),"Signature Room Sn Pedro Garz Mex")</f>
        <v>Signature Room Sn Pedro Garz Mex</v>
      </c>
      <c r="I52" s="17" t="str">
        <f ca="1">IFERROR(__xludf.DUMMYFUNCTION("""COMPUTED_VALUE"""),"Sales")</f>
        <v>Sales</v>
      </c>
      <c r="J52" s="17" t="str">
        <f ca="1">IFERROR(__xludf.DUMMYFUNCTION("""COMPUTED_VALUE"""),"PO 2196 alimentos")</f>
        <v>PO 2196 alimentos</v>
      </c>
      <c r="K52" s="134" t="str">
        <f ca="1">IFERROR(__xludf.DUMMYFUNCTION("""COMPUTED_VALUE"""),"906148")</f>
        <v>906148</v>
      </c>
      <c r="L52" s="17"/>
      <c r="M52" s="17"/>
      <c r="N52" s="17"/>
      <c r="O52" s="17"/>
    </row>
    <row r="53" spans="1:15" ht="12.5">
      <c r="A53" s="17" t="str">
        <f ca="1">IFERROR(__xludf.DUMMYFUNCTION("""COMPUTED_VALUE"""),"TRX1166")</f>
        <v>TRX1166</v>
      </c>
      <c r="B53" s="86" t="str">
        <f ca="1">IFERROR(__xludf.DUMMYFUNCTION("""COMPUTED_VALUE"""),"-")</f>
        <v>-</v>
      </c>
      <c r="C53" s="63">
        <f ca="1">IFERROR(__xludf.DUMMYFUNCTION("""COMPUTED_VALUE"""),46078.4173611111)</f>
        <v>46078.417361111096</v>
      </c>
      <c r="D53" s="65">
        <f ca="1">IFERROR(__xludf.DUMMYFUNCTION("""COMPUTED_VALUE"""),461.03)</f>
        <v>461.03</v>
      </c>
      <c r="E53" s="17" t="str">
        <f ca="1">IFERROR(__xludf.DUMMYFUNCTION("""COMPUTED_VALUE"""),"MXN")</f>
        <v>MXN</v>
      </c>
      <c r="F53" s="17" t="str">
        <f ca="1">IFERROR(__xludf.DUMMYFUNCTION("""COMPUTED_VALUE"""),"Jose Luis Franco Vaquero")</f>
        <v>Jose Luis Franco Vaquero</v>
      </c>
      <c r="G53" s="17" t="str">
        <f ca="1">IFERROR(__xludf.DUMMYFUNCTION("""COMPUTED_VALUE"""),"FIBRA HOTELERA         SAN PEDRO GAR MEX")</f>
        <v>FIBRA HOTELERA         SAN PEDRO GAR MEX</v>
      </c>
      <c r="H53" s="17" t="str">
        <f ca="1">IFERROR(__xludf.DUMMYFUNCTION("""COMPUTED_VALUE"""),"Fibra Hotelera San Pedro Gar Mex")</f>
        <v>Fibra Hotelera San Pedro Gar Mex</v>
      </c>
      <c r="I53" s="17" t="str">
        <f ca="1">IFERROR(__xludf.DUMMYFUNCTION("""COMPUTED_VALUE"""),"Sales")</f>
        <v>Sales</v>
      </c>
      <c r="J53" s="17" t="str">
        <f ca="1">IFERROR(__xludf.DUMMYFUNCTION("""COMPUTED_VALUE"""),"PO 2196 alimentos")</f>
        <v>PO 2196 alimentos</v>
      </c>
      <c r="K53" s="134" t="str">
        <f ca="1">IFERROR(__xludf.DUMMYFUNCTION("""COMPUTED_VALUE"""),"272601725")</f>
        <v>272601725</v>
      </c>
      <c r="L53" s="17"/>
      <c r="M53" s="17"/>
      <c r="N53" s="17"/>
      <c r="O53" s="17"/>
    </row>
    <row r="54" spans="1:15" ht="12.5">
      <c r="A54" s="17" t="str">
        <f ca="1">IFERROR(__xludf.DUMMYFUNCTION("""COMPUTED_VALUE"""),"TRX1168")</f>
        <v>TRX1168</v>
      </c>
      <c r="B54" s="86" t="str">
        <f ca="1">IFERROR(__xludf.DUMMYFUNCTION("""COMPUTED_VALUE"""),"-")</f>
        <v>-</v>
      </c>
      <c r="C54" s="63">
        <f ca="1">IFERROR(__xludf.DUMMYFUNCTION("""COMPUTED_VALUE"""),46078.4173611111)</f>
        <v>46078.417361111096</v>
      </c>
      <c r="D54" s="65">
        <f ca="1">IFERROR(__xludf.DUMMYFUNCTION("""COMPUTED_VALUE"""),380)</f>
        <v>380</v>
      </c>
      <c r="E54" s="17" t="str">
        <f ca="1">IFERROR(__xludf.DUMMYFUNCTION("""COMPUTED_VALUE"""),"MXN")</f>
        <v>MXN</v>
      </c>
      <c r="F54" s="17" t="str">
        <f ca="1">IFERROR(__xludf.DUMMYFUNCTION("""COMPUTED_VALUE"""),"Jose Luis Franco Vaquero")</f>
        <v>Jose Luis Franco Vaquero</v>
      </c>
      <c r="G54" s="17" t="str">
        <f ca="1">IFERROR(__xludf.DUMMYFUNCTION("""COMPUTED_VALUE"""),"FIBRA HOTELERA         SAN PEDRO GAR MEX")</f>
        <v>FIBRA HOTELERA         SAN PEDRO GAR MEX</v>
      </c>
      <c r="H54" s="17" t="str">
        <f ca="1">IFERROR(__xludf.DUMMYFUNCTION("""COMPUTED_VALUE"""),"Fibra Hotelera San Pedro Gar Mex")</f>
        <v>Fibra Hotelera San Pedro Gar Mex</v>
      </c>
      <c r="I54" s="17" t="str">
        <f ca="1">IFERROR(__xludf.DUMMYFUNCTION("""COMPUTED_VALUE"""),"Sales")</f>
        <v>Sales</v>
      </c>
      <c r="J54" s="17" t="str">
        <f ca="1">IFERROR(__xludf.DUMMYFUNCTION("""COMPUTED_VALUE"""),"PO 2196 alimentos")</f>
        <v>PO 2196 alimentos</v>
      </c>
      <c r="K54" s="134" t="str">
        <f ca="1">IFERROR(__xludf.DUMMYFUNCTION("""COMPUTED_VALUE"""),"PDV1")</f>
        <v>PDV1</v>
      </c>
      <c r="L54" s="17"/>
      <c r="M54" s="17"/>
      <c r="N54" s="17"/>
      <c r="O54" s="17"/>
    </row>
    <row r="55" spans="1:15" ht="12.5">
      <c r="A55" s="17" t="str">
        <f ca="1">IFERROR(__xludf.DUMMYFUNCTION("""COMPUTED_VALUE"""),"TRX1185")</f>
        <v>TRX1185</v>
      </c>
      <c r="B55" s="86" t="str">
        <f ca="1">IFERROR(__xludf.DUMMYFUNCTION("""COMPUTED_VALUE"""),"-")</f>
        <v>-</v>
      </c>
      <c r="C55" s="63">
        <f ca="1">IFERROR(__xludf.DUMMYFUNCTION("""COMPUTED_VALUE"""),46079.4166666666)</f>
        <v>46079.416666666599</v>
      </c>
      <c r="D55" s="65">
        <f ca="1">IFERROR(__xludf.DUMMYFUNCTION("""COMPUTED_VALUE"""),635.94)</f>
        <v>635.94000000000005</v>
      </c>
      <c r="E55" s="17" t="str">
        <f ca="1">IFERROR(__xludf.DUMMYFUNCTION("""COMPUTED_VALUE"""),"MXN")</f>
        <v>MXN</v>
      </c>
      <c r="F55" s="17" t="str">
        <f ca="1">IFERROR(__xludf.DUMMYFUNCTION("""COMPUTED_VALUE"""),"Jose Luis Franco Vaquero")</f>
        <v>Jose Luis Franco Vaquero</v>
      </c>
      <c r="G55" s="17" t="str">
        <f ca="1">IFERROR(__xludf.DUMMYFUNCTION("""COMPUTED_VALUE"""),"MERCADOPAGO *PROPINAS  Tlalnepantla  MEX")</f>
        <v>MERCADOPAGO *PROPINAS  Tlalnepantla  MEX</v>
      </c>
      <c r="H55" s="17" t="str">
        <f ca="1">IFERROR(__xludf.DUMMYFUNCTION("""COMPUTED_VALUE"""),"Mercadopago")</f>
        <v>Mercadopago</v>
      </c>
      <c r="I55" s="17" t="str">
        <f ca="1">IFERROR(__xludf.DUMMYFUNCTION("""COMPUTED_VALUE"""),"Sales")</f>
        <v>Sales</v>
      </c>
      <c r="J55" s="17" t="str">
        <f ca="1">IFERROR(__xludf.DUMMYFUNCTION("""COMPUTED_VALUE"""),"PO 2196 alimentos")</f>
        <v>PO 2196 alimentos</v>
      </c>
      <c r="K55" s="134" t="str">
        <f ca="1">IFERROR(__xludf.DUMMYFUNCTION("""COMPUTED_VALUE"""),"28274")</f>
        <v>28274</v>
      </c>
      <c r="L55" s="17"/>
      <c r="M55" s="17"/>
      <c r="N55" s="17"/>
      <c r="O55" s="17"/>
    </row>
    <row r="56" spans="1:15" ht="12.5">
      <c r="A56" s="17" t="str">
        <f ca="1">IFERROR(__xludf.DUMMYFUNCTION("""COMPUTED_VALUE"""),"TRX1186")</f>
        <v>TRX1186</v>
      </c>
      <c r="B56" s="86" t="str">
        <f ca="1">IFERROR(__xludf.DUMMYFUNCTION("""COMPUTED_VALUE"""),"-")</f>
        <v>-</v>
      </c>
      <c r="C56" s="63">
        <f ca="1">IFERROR(__xludf.DUMMYFUNCTION("""COMPUTED_VALUE"""),46079.4166666666)</f>
        <v>46079.416666666599</v>
      </c>
      <c r="D56" s="65">
        <f ca="1">IFERROR(__xludf.DUMMYFUNCTION("""COMPUTED_VALUE"""),794.93)</f>
        <v>794.93</v>
      </c>
      <c r="E56" s="17" t="str">
        <f ca="1">IFERROR(__xludf.DUMMYFUNCTION("""COMPUTED_VALUE"""),"MXN")</f>
        <v>MXN</v>
      </c>
      <c r="F56" s="17" t="str">
        <f ca="1">IFERROR(__xludf.DUMMYFUNCTION("""COMPUTED_VALUE"""),"Jose Luis Franco Vaquero")</f>
        <v>Jose Luis Franco Vaquero</v>
      </c>
      <c r="G56" s="17" t="str">
        <f ca="1">IFERROR(__xludf.DUMMYFUNCTION("""COMPUTED_VALUE"""),"MERCADOPAGO *GASOLINA  Tlalnepantla  MEX")</f>
        <v>MERCADOPAGO *GASOLINA  Tlalnepantla  MEX</v>
      </c>
      <c r="H56" s="17" t="str">
        <f ca="1">IFERROR(__xludf.DUMMYFUNCTION("""COMPUTED_VALUE"""),"Mercadopago")</f>
        <v>Mercadopago</v>
      </c>
      <c r="I56" s="17" t="str">
        <f ca="1">IFERROR(__xludf.DUMMYFUNCTION("""COMPUTED_VALUE"""),"Sales")</f>
        <v>Sales</v>
      </c>
      <c r="J56" s="17" t="str">
        <f ca="1">IFERROR(__xludf.DUMMYFUNCTION("""COMPUTED_VALUE"""),"PO 2196 alimentos")</f>
        <v>PO 2196 alimentos</v>
      </c>
      <c r="K56" s="134" t="str">
        <f ca="1">IFERROR(__xludf.DUMMYFUNCTION("""COMPUTED_VALUE"""),"26MTYTAVP250000031")</f>
        <v>26MTYTAVP250000031</v>
      </c>
      <c r="L56" s="17"/>
      <c r="M56" s="17"/>
      <c r="N56" s="17"/>
      <c r="O56" s="17"/>
    </row>
    <row r="57" spans="1:15" ht="12.5">
      <c r="A57" s="17" t="str">
        <f ca="1">IFERROR(__xludf.DUMMYFUNCTION("""COMPUTED_VALUE"""),"TRX1196")</f>
        <v>TRX1196</v>
      </c>
      <c r="B57" s="86" t="str">
        <f ca="1">IFERROR(__xludf.DUMMYFUNCTION("""COMPUTED_VALUE"""),"-")</f>
        <v>-</v>
      </c>
      <c r="C57" s="63">
        <f ca="1">IFERROR(__xludf.DUMMYFUNCTION("""COMPUTED_VALUE"""),46079.4166666666)</f>
        <v>46079.416666666599</v>
      </c>
      <c r="D57" s="65">
        <f ca="1">IFERROR(__xludf.DUMMYFUNCTION("""COMPUTED_VALUE"""),419.99)</f>
        <v>419.99</v>
      </c>
      <c r="E57" s="17" t="str">
        <f ca="1">IFERROR(__xludf.DUMMYFUNCTION("""COMPUTED_VALUE"""),"MXN")</f>
        <v>MXN</v>
      </c>
      <c r="F57" s="17" t="str">
        <f ca="1">IFERROR(__xludf.DUMMYFUNCTION("""COMPUTED_VALUE"""),"Jose Luis Franco Vaquero")</f>
        <v>Jose Luis Franco Vaquero</v>
      </c>
      <c r="G57" s="17" t="str">
        <f ca="1">IFERROR(__xludf.DUMMYFUNCTION("""COMPUTED_VALUE"""),"DLO*Uber               CDMX          MEX")</f>
        <v>DLO*Uber               CDMX          MEX</v>
      </c>
      <c r="H57" s="17" t="str">
        <f ca="1">IFERROR(__xludf.DUMMYFUNCTION("""COMPUTED_VALUE"""),"Uber")</f>
        <v>Uber</v>
      </c>
      <c r="I57" s="17" t="str">
        <f ca="1">IFERROR(__xludf.DUMMYFUNCTION("""COMPUTED_VALUE"""),"Sales")</f>
        <v>Sales</v>
      </c>
      <c r="J57" s="17" t="str">
        <f ca="1">IFERROR(__xludf.DUMMYFUNCTION("""COMPUTED_VALUE"""),"PO 2196 alimentos gasolina MTY")</f>
        <v>PO 2196 alimentos gasolina MTY</v>
      </c>
      <c r="K57" s="134" t="str">
        <f ca="1">IFERROR(__xludf.DUMMYFUNCTION("""COMPUTED_VALUE"""),"1476099465396")</f>
        <v>1476099465396</v>
      </c>
      <c r="L57" s="17"/>
      <c r="M57" s="17"/>
      <c r="N57" s="17"/>
      <c r="O57" s="17"/>
    </row>
    <row r="58" spans="1:15" ht="12.5">
      <c r="A58" s="17" t="str">
        <f ca="1">IFERROR(__xludf.DUMMYFUNCTION("""COMPUTED_VALUE"""),"TRX1197")</f>
        <v>TRX1197</v>
      </c>
      <c r="B58" s="86" t="str">
        <f ca="1">IFERROR(__xludf.DUMMYFUNCTION("""COMPUTED_VALUE"""),"-")</f>
        <v>-</v>
      </c>
      <c r="C58" s="63">
        <f ca="1">IFERROR(__xludf.DUMMYFUNCTION("""COMPUTED_VALUE"""),46079.4166666666)</f>
        <v>46079.416666666599</v>
      </c>
      <c r="D58" s="65">
        <f ca="1">IFERROR(__xludf.DUMMYFUNCTION("""COMPUTED_VALUE"""),499)</f>
        <v>499</v>
      </c>
      <c r="E58" s="17" t="str">
        <f ca="1">IFERROR(__xludf.DUMMYFUNCTION("""COMPUTED_VALUE"""),"MXN")</f>
        <v>MXN</v>
      </c>
      <c r="F58" s="17" t="str">
        <f ca="1">IFERROR(__xludf.DUMMYFUNCTION("""COMPUTED_VALUE"""),"Jose Luis Franco Vaquero")</f>
        <v>Jose Luis Franco Vaquero</v>
      </c>
      <c r="G58" s="17" t="str">
        <f ca="1">IFERROR(__xludf.DUMMYFUNCTION("""COMPUTED_VALUE"""),"OMA MTY PREPAGO VC     APODACA NL    MEX")</f>
        <v>OMA MTY PREPAGO VC     APODACA NL    MEX</v>
      </c>
      <c r="H58" s="17" t="str">
        <f ca="1">IFERROR(__xludf.DUMMYFUNCTION("""COMPUTED_VALUE"""),"Oma Mty Prepago Vc Apodaca Nl Mex")</f>
        <v>Oma Mty Prepago Vc Apodaca Nl Mex</v>
      </c>
      <c r="I58" s="17" t="str">
        <f ca="1">IFERROR(__xludf.DUMMYFUNCTION("""COMPUTED_VALUE"""),"Sales")</f>
        <v>Sales</v>
      </c>
      <c r="J58" s="17" t="str">
        <f ca="1">IFERROR(__xludf.DUMMYFUNCTION("""COMPUTED_VALUE"""),"PO 2169 peaje, estacionamiento y propinas MTY")</f>
        <v>PO 2169 peaje, estacionamiento y propinas MTY</v>
      </c>
      <c r="K58" s="134" t="str">
        <f ca="1">IFERROR(__xludf.DUMMYFUNCTION("""COMPUTED_VALUE"""),"147609449548")</f>
        <v>147609449548</v>
      </c>
      <c r="L58" s="17"/>
      <c r="M58" s="17"/>
      <c r="N58" s="17"/>
      <c r="O58" s="17"/>
    </row>
    <row r="59" spans="1:15" ht="12.5">
      <c r="A59" s="17" t="str">
        <f ca="1">IFERROR(__xludf.DUMMYFUNCTION("""COMPUTED_VALUE"""),"TRX1211")</f>
        <v>TRX1211</v>
      </c>
      <c r="B59" s="86" t="str">
        <f ca="1">IFERROR(__xludf.DUMMYFUNCTION("""COMPUTED_VALUE"""),"-")</f>
        <v>-</v>
      </c>
      <c r="C59" s="63">
        <f ca="1">IFERROR(__xludf.DUMMYFUNCTION("""COMPUTED_VALUE"""),46079.4173611111)</f>
        <v>46079.417361111096</v>
      </c>
      <c r="D59" s="65">
        <f ca="1">IFERROR(__xludf.DUMMYFUNCTION("""COMPUTED_VALUE"""),535.7)</f>
        <v>535.70000000000005</v>
      </c>
      <c r="E59" s="17" t="str">
        <f ca="1">IFERROR(__xludf.DUMMYFUNCTION("""COMPUTED_VALUE"""),"MXN")</f>
        <v>MXN</v>
      </c>
      <c r="F59" s="17" t="str">
        <f ca="1">IFERROR(__xludf.DUMMYFUNCTION("""COMPUTED_VALUE"""),"Jose Luis Franco Vaquero")</f>
        <v>Jose Luis Franco Vaquero</v>
      </c>
      <c r="G59" s="17" t="str">
        <f ca="1">IFERROR(__xludf.DUMMYFUNCTION("""COMPUTED_VALUE"""),"SUSHI ATIZAPAN         ATIZAPAN DE Z MEX")</f>
        <v>SUSHI ATIZAPAN         ATIZAPAN DE Z MEX</v>
      </c>
      <c r="H59" s="17" t="str">
        <f ca="1">IFERROR(__xludf.DUMMYFUNCTION("""COMPUTED_VALUE"""),"Sushi Atizapan Atizapan De Z Mex")</f>
        <v>Sushi Atizapan Atizapan De Z Mex</v>
      </c>
      <c r="I59" s="17" t="str">
        <f ca="1">IFERROR(__xludf.DUMMYFUNCTION("""COMPUTED_VALUE"""),"Sales")</f>
        <v>Sales</v>
      </c>
      <c r="J59" s="17" t="str">
        <f ca="1">IFERROR(__xludf.DUMMYFUNCTION("""COMPUTED_VALUE"""),"traslado aeropuerto")</f>
        <v>traslado aeropuerto</v>
      </c>
      <c r="K59" s="134" t="str">
        <f ca="1">IFERROR(__xludf.DUMMYFUNCTION("""COMPUTED_VALUE"""),"NDR769C")</f>
        <v>NDR769C</v>
      </c>
      <c r="L59" s="17"/>
      <c r="M59" s="17"/>
      <c r="N59" s="17"/>
      <c r="O59" s="17"/>
    </row>
    <row r="60" spans="1:15" ht="12.5">
      <c r="A60" s="17" t="str">
        <f ca="1">IFERROR(__xludf.DUMMYFUNCTION("""COMPUTED_VALUE"""),"TRX1212")</f>
        <v>TRX1212</v>
      </c>
      <c r="B60" s="86" t="str">
        <f ca="1">IFERROR(__xludf.DUMMYFUNCTION("""COMPUTED_VALUE"""),"-")</f>
        <v>-</v>
      </c>
      <c r="C60" s="63">
        <f ca="1">IFERROR(__xludf.DUMMYFUNCTION("""COMPUTED_VALUE"""),46079.4173611111)</f>
        <v>46079.417361111096</v>
      </c>
      <c r="D60" s="65">
        <f ca="1">IFERROR(__xludf.DUMMYFUNCTION("""COMPUTED_VALUE"""),616)</f>
        <v>616</v>
      </c>
      <c r="E60" s="17" t="str">
        <f ca="1">IFERROR(__xludf.DUMMYFUNCTION("""COMPUTED_VALUE"""),"MXN")</f>
        <v>MXN</v>
      </c>
      <c r="F60" s="17" t="str">
        <f ca="1">IFERROR(__xludf.DUMMYFUNCTION("""COMPUTED_VALUE"""),"Jose Luis Franco Vaquero")</f>
        <v>Jose Luis Franco Vaquero</v>
      </c>
      <c r="G60" s="17" t="str">
        <f ca="1">IFERROR(__xludf.DUMMYFUNCTION("""COMPUTED_VALUE"""),"REST SAFI METROPOLITAN SN PEDRO GARZ MEX")</f>
        <v>REST SAFI METROPOLITAN SN PEDRO GARZ MEX</v>
      </c>
      <c r="H60" s="17" t="str">
        <f ca="1">IFERROR(__xludf.DUMMYFUNCTION("""COMPUTED_VALUE"""),"Rest Safi Metropolitan Sn Pedro Garz Mex")</f>
        <v>Rest Safi Metropolitan Sn Pedro Garz Mex</v>
      </c>
      <c r="I60" s="17" t="str">
        <f ca="1">IFERROR(__xludf.DUMMYFUNCTION("""COMPUTED_VALUE"""),"Sales")</f>
        <v>Sales</v>
      </c>
      <c r="J60" s="17" t="str">
        <f ca="1">IFERROR(__xludf.DUMMYFUNCTION("""COMPUTED_VALUE"""),"PO 2196 alimentos")</f>
        <v>PO 2196 alimentos</v>
      </c>
      <c r="K60" s="134" t="str">
        <f ca="1">IFERROR(__xludf.DUMMYFUNCTION("""COMPUTED_VALUE"""),"269957000247337")</f>
        <v>269957000247337</v>
      </c>
      <c r="L60" s="17"/>
      <c r="M60" s="17"/>
      <c r="N60" s="17"/>
      <c r="O60" s="17"/>
    </row>
    <row r="61" spans="1:15" ht="12.5">
      <c r="A61" s="17" t="str">
        <f ca="1">IFERROR(__xludf.DUMMYFUNCTION("""COMPUTED_VALUE"""),"TRX1219")</f>
        <v>TRX1219</v>
      </c>
      <c r="B61" s="86" t="str">
        <f ca="1">IFERROR(__xludf.DUMMYFUNCTION("""COMPUTED_VALUE"""),"-")</f>
        <v>-</v>
      </c>
      <c r="C61" s="63">
        <f ca="1">IFERROR(__xludf.DUMMYFUNCTION("""COMPUTED_VALUE"""),46080.4166666666)</f>
        <v>46080.416666666599</v>
      </c>
      <c r="D61" s="65">
        <f ca="1">IFERROR(__xludf.DUMMYFUNCTION("""COMPUTED_VALUE"""),567)</f>
        <v>567</v>
      </c>
      <c r="E61" s="17" t="str">
        <f ca="1">IFERROR(__xludf.DUMMYFUNCTION("""COMPUTED_VALUE"""),"MXN")</f>
        <v>MXN</v>
      </c>
      <c r="F61" s="17" t="str">
        <f ca="1">IFERROR(__xludf.DUMMYFUNCTION("""COMPUTED_VALUE"""),"Jose Luis Franco Vaquero")</f>
        <v>Jose Luis Franco Vaquero</v>
      </c>
      <c r="G61" s="17" t="str">
        <f ca="1">IFERROR(__xludf.DUMMYFUNCTION("""COMPUTED_VALUE"""),"SBX Atizapan           CMX           MEX")</f>
        <v>SBX Atizapan           CMX           MEX</v>
      </c>
      <c r="H61" s="17" t="str">
        <f ca="1">IFERROR(__xludf.DUMMYFUNCTION("""COMPUTED_VALUE"""),"Sbx Atizapan Cmx Mex")</f>
        <v>Sbx Atizapan Cmx Mex</v>
      </c>
      <c r="I61" s="17" t="str">
        <f ca="1">IFERROR(__xludf.DUMMYFUNCTION("""COMPUTED_VALUE"""),"Sales")</f>
        <v>Sales</v>
      </c>
      <c r="J61" s="17" t="str">
        <f ca="1">IFERROR(__xludf.DUMMYFUNCTION("""COMPUTED_VALUE"""),"PO 2250 comida cliente")</f>
        <v>PO 2250 comida cliente</v>
      </c>
      <c r="K61" s="134" t="str">
        <f ca="1">IFERROR(__xludf.DUMMYFUNCTION("""COMPUTED_VALUE"""),"269957000247337")</f>
        <v>269957000247337</v>
      </c>
      <c r="L61" s="17"/>
      <c r="M61" s="17"/>
      <c r="N61" s="17"/>
      <c r="O61" s="17"/>
    </row>
    <row r="62" spans="1:15" ht="12.5">
      <c r="A62" s="17" t="str">
        <f ca="1">IFERROR(__xludf.DUMMYFUNCTION("""COMPUTED_VALUE"""),"TRX1225")</f>
        <v>TRX1225</v>
      </c>
      <c r="B62" s="86" t="str">
        <f ca="1">IFERROR(__xludf.DUMMYFUNCTION("""COMPUTED_VALUE"""),"-")</f>
        <v>-</v>
      </c>
      <c r="C62" s="63">
        <f ca="1">IFERROR(__xludf.DUMMYFUNCTION("""COMPUTED_VALUE"""),46080.4166666666)</f>
        <v>46080.416666666599</v>
      </c>
      <c r="D62" s="65">
        <f ca="1">IFERROR(__xludf.DUMMYFUNCTION("""COMPUTED_VALUE"""),1377.87)</f>
        <v>1377.87</v>
      </c>
      <c r="E62" s="17" t="str">
        <f ca="1">IFERROR(__xludf.DUMMYFUNCTION("""COMPUTED_VALUE"""),"MXN")</f>
        <v>MXN</v>
      </c>
      <c r="F62" s="17" t="str">
        <f ca="1">IFERROR(__xludf.DUMMYFUNCTION("""COMPUTED_VALUE"""),"Jose Luis Franco Vaquero")</f>
        <v>Jose Luis Franco Vaquero</v>
      </c>
      <c r="G62" s="17" t="str">
        <f ca="1">IFERROR(__xludf.DUMMYFUNCTION("""COMPUTED_VALUE"""),"MERCADOPAGO *GASOLINA  Tlalnepantla  MEX")</f>
        <v>MERCADOPAGO *GASOLINA  Tlalnepantla  MEX</v>
      </c>
      <c r="H62" s="17" t="str">
        <f ca="1">IFERROR(__xludf.DUMMYFUNCTION("""COMPUTED_VALUE"""),"Mercadopago")</f>
        <v>Mercadopago</v>
      </c>
      <c r="I62" s="17" t="str">
        <f ca="1">IFERROR(__xludf.DUMMYFUNCTION("""COMPUTED_VALUE"""),"Sales")</f>
        <v>Sales</v>
      </c>
      <c r="J62" s="17" t="str">
        <f ca="1">IFERROR(__xludf.DUMMYFUNCTION("""COMPUTED_VALUE"""),"Gasolina CDMX")</f>
        <v>Gasolina CDMX</v>
      </c>
      <c r="K62" s="134" t="str">
        <f ca="1">IFERROR(__xludf.DUMMYFUNCTION("""COMPUTED_VALUE"""),"147727435787")</f>
        <v>147727435787</v>
      </c>
      <c r="L62" s="17"/>
      <c r="M62" s="17"/>
      <c r="N62" s="17"/>
      <c r="O62" s="17"/>
    </row>
    <row r="63" spans="1:15" ht="12.5">
      <c r="A63" s="17"/>
      <c r="B63" s="24"/>
      <c r="C63" s="24"/>
      <c r="D63" s="17"/>
      <c r="E63" s="17"/>
      <c r="F63" s="17"/>
      <c r="G63" s="17"/>
      <c r="H63" s="17"/>
      <c r="I63" s="17"/>
      <c r="J63" s="17"/>
      <c r="K63" s="134" t="str">
        <f ca="1">IFERROR(__xludf.DUMMYFUNCTION("""COMPUTED_VALUE"""),".")</f>
        <v>.</v>
      </c>
      <c r="L63" s="17"/>
      <c r="M63" s="17"/>
      <c r="N63" s="17"/>
      <c r="O63" s="17"/>
    </row>
    <row r="64" spans="1:15" ht="12.5">
      <c r="A64" s="17"/>
      <c r="B64" s="24"/>
      <c r="C64" s="24"/>
      <c r="D64" s="17"/>
      <c r="E64" s="17"/>
      <c r="F64" s="17"/>
      <c r="G64" s="17"/>
      <c r="H64" s="17"/>
      <c r="I64" s="17"/>
      <c r="J64" s="17"/>
      <c r="K64" s="134" t="str">
        <f ca="1">IFERROR(__xludf.DUMMYFUNCTION("""COMPUTED_VALUE"""),".")</f>
        <v>.</v>
      </c>
      <c r="L64" s="17"/>
      <c r="M64" s="17"/>
      <c r="N64" s="17"/>
      <c r="O64" s="17"/>
    </row>
    <row r="65" spans="1:15" ht="12.5">
      <c r="A65" s="17"/>
      <c r="B65" s="24"/>
      <c r="C65" s="24"/>
      <c r="D65" s="17"/>
      <c r="E65" s="17"/>
      <c r="F65" s="17"/>
      <c r="G65" s="17"/>
      <c r="H65" s="17"/>
      <c r="I65" s="17"/>
      <c r="J65" s="17"/>
      <c r="K65" s="134" t="str">
        <f ca="1">IFERROR(__xludf.DUMMYFUNCTION("""COMPUTED_VALUE"""),".")</f>
        <v>.</v>
      </c>
      <c r="L65" s="17"/>
      <c r="M65" s="17"/>
      <c r="N65" s="17"/>
      <c r="O65" s="17"/>
    </row>
    <row r="66" spans="1:15" ht="12.5">
      <c r="A66" s="17"/>
      <c r="B66" s="24"/>
      <c r="C66" s="24"/>
      <c r="D66" s="17"/>
      <c r="E66" s="17"/>
      <c r="F66" s="17"/>
      <c r="G66" s="17"/>
      <c r="H66" s="17"/>
      <c r="I66" s="17"/>
      <c r="J66" s="17"/>
      <c r="K66" s="134" t="str">
        <f ca="1">IFERROR(__xludf.DUMMYFUNCTION("""COMPUTED_VALUE"""),".")</f>
        <v>.</v>
      </c>
      <c r="L66" s="17"/>
      <c r="M66" s="17"/>
      <c r="N66" s="17"/>
      <c r="O66" s="17"/>
    </row>
    <row r="67" spans="1:15" ht="12.5">
      <c r="A67" s="17"/>
      <c r="B67" s="24"/>
      <c r="C67" s="24"/>
      <c r="D67" s="17"/>
      <c r="E67" s="17"/>
      <c r="F67" s="17"/>
      <c r="G67" s="17"/>
      <c r="H67" s="17"/>
      <c r="I67" s="17"/>
      <c r="J67" s="17"/>
      <c r="K67" s="134" t="str">
        <f ca="1">IFERROR(__xludf.DUMMYFUNCTION("""COMPUTED_VALUE"""),".")</f>
        <v>.</v>
      </c>
      <c r="L67" s="17"/>
      <c r="M67" s="17"/>
      <c r="N67" s="17"/>
      <c r="O67" s="17"/>
    </row>
    <row r="68" spans="1:15" ht="12.5">
      <c r="A68" s="17"/>
      <c r="B68" s="24"/>
      <c r="C68" s="24"/>
      <c r="D68" s="17"/>
      <c r="E68" s="17"/>
      <c r="F68" s="17"/>
      <c r="G68" s="17"/>
      <c r="H68" s="17"/>
      <c r="I68" s="17"/>
      <c r="J68" s="17"/>
      <c r="K68" s="134" t="str">
        <f ca="1">IFERROR(__xludf.DUMMYFUNCTION("""COMPUTED_VALUE"""),".")</f>
        <v>.</v>
      </c>
      <c r="L68" s="17"/>
      <c r="M68" s="17"/>
      <c r="N68" s="17"/>
      <c r="O68" s="17"/>
    </row>
    <row r="69" spans="1:15" ht="12.5">
      <c r="A69" s="17"/>
      <c r="B69" s="24"/>
      <c r="C69" s="24"/>
      <c r="D69" s="17"/>
      <c r="E69" s="17"/>
      <c r="F69" s="17"/>
      <c r="G69" s="17"/>
      <c r="H69" s="17"/>
      <c r="I69" s="17"/>
      <c r="J69" s="17"/>
      <c r="K69" s="134" t="str">
        <f ca="1">IFERROR(__xludf.DUMMYFUNCTION("""COMPUTED_VALUE"""),".")</f>
        <v>.</v>
      </c>
      <c r="L69" s="17"/>
      <c r="M69" s="17"/>
      <c r="N69" s="17"/>
      <c r="O69" s="17"/>
    </row>
    <row r="70" spans="1:15" ht="12.5">
      <c r="A70" s="17"/>
      <c r="B70" s="24"/>
      <c r="C70" s="24"/>
      <c r="D70" s="17"/>
      <c r="E70" s="17"/>
      <c r="F70" s="17"/>
      <c r="G70" s="17"/>
      <c r="H70" s="17"/>
      <c r="I70" s="17"/>
      <c r="J70" s="17"/>
      <c r="K70" s="134" t="str">
        <f ca="1">IFERROR(__xludf.DUMMYFUNCTION("""COMPUTED_VALUE"""),".")</f>
        <v>.</v>
      </c>
      <c r="L70" s="17"/>
      <c r="M70" s="17"/>
      <c r="N70" s="17"/>
      <c r="O70" s="17"/>
    </row>
    <row r="71" spans="1:15" ht="12.5">
      <c r="A71" s="17"/>
      <c r="B71" s="24"/>
      <c r="C71" s="24"/>
      <c r="D71" s="17"/>
      <c r="E71" s="17"/>
      <c r="F71" s="17"/>
      <c r="G71" s="17"/>
      <c r="H71" s="17"/>
      <c r="I71" s="17"/>
      <c r="J71" s="17"/>
      <c r="K71" s="134" t="str">
        <f ca="1">IFERROR(__xludf.DUMMYFUNCTION("""COMPUTED_VALUE"""),".")</f>
        <v>.</v>
      </c>
      <c r="L71" s="17"/>
      <c r="M71" s="17"/>
      <c r="N71" s="17"/>
      <c r="O71" s="17"/>
    </row>
    <row r="72" spans="1:15" ht="12.5">
      <c r="A72" s="17"/>
      <c r="B72" s="24"/>
      <c r="C72" s="24"/>
      <c r="D72" s="17"/>
      <c r="E72" s="17"/>
      <c r="F72" s="17"/>
      <c r="G72" s="17"/>
      <c r="H72" s="17"/>
      <c r="I72" s="17"/>
      <c r="J72" s="17"/>
      <c r="K72" s="134" t="str">
        <f ca="1">IFERROR(__xludf.DUMMYFUNCTION("""COMPUTED_VALUE"""),".")</f>
        <v>.</v>
      </c>
      <c r="L72" s="17"/>
      <c r="M72" s="17"/>
      <c r="N72" s="17"/>
      <c r="O72" s="17"/>
    </row>
    <row r="73" spans="1:15" ht="12.5">
      <c r="A73" s="17"/>
      <c r="B73" s="24"/>
      <c r="C73" s="24"/>
      <c r="D73" s="17"/>
      <c r="E73" s="17"/>
      <c r="F73" s="17"/>
      <c r="G73" s="17"/>
      <c r="H73" s="17"/>
      <c r="I73" s="17"/>
      <c r="J73" s="17"/>
      <c r="K73" s="134" t="str">
        <f ca="1">IFERROR(__xludf.DUMMYFUNCTION("""COMPUTED_VALUE"""),".")</f>
        <v>.</v>
      </c>
      <c r="L73" s="17"/>
      <c r="M73" s="17"/>
      <c r="N73" s="17"/>
      <c r="O73" s="17"/>
    </row>
    <row r="74" spans="1:15" ht="12.5">
      <c r="A74" s="17"/>
      <c r="B74" s="24"/>
      <c r="C74" s="24"/>
      <c r="D74" s="17"/>
      <c r="E74" s="17"/>
      <c r="F74" s="17"/>
      <c r="G74" s="17"/>
      <c r="H74" s="17"/>
      <c r="I74" s="17"/>
      <c r="J74" s="17"/>
      <c r="K74" s="134" t="str">
        <f ca="1">IFERROR(__xludf.DUMMYFUNCTION("""COMPUTED_VALUE"""),".")</f>
        <v>.</v>
      </c>
      <c r="L74" s="17"/>
      <c r="M74" s="17"/>
      <c r="N74" s="17"/>
      <c r="O74" s="17"/>
    </row>
    <row r="75" spans="1:15" ht="12.5">
      <c r="A75" s="17"/>
      <c r="B75" s="24"/>
      <c r="C75" s="24"/>
      <c r="D75" s="17"/>
      <c r="E75" s="17"/>
      <c r="F75" s="17"/>
      <c r="G75" s="17"/>
      <c r="H75" s="17"/>
      <c r="I75" s="17"/>
      <c r="J75" s="17"/>
      <c r="K75" s="134" t="str">
        <f ca="1">IFERROR(__xludf.DUMMYFUNCTION("""COMPUTED_VALUE"""),".")</f>
        <v>.</v>
      </c>
      <c r="L75" s="17"/>
      <c r="M75" s="17"/>
      <c r="N75" s="17"/>
      <c r="O75" s="17"/>
    </row>
    <row r="76" spans="1:15" ht="12.5">
      <c r="A76" s="17"/>
      <c r="B76" s="24"/>
      <c r="C76" s="24"/>
      <c r="D76" s="17"/>
      <c r="E76" s="17"/>
      <c r="F76" s="17"/>
      <c r="G76" s="17"/>
      <c r="H76" s="17"/>
      <c r="I76" s="17"/>
      <c r="J76" s="17"/>
      <c r="K76" s="134" t="str">
        <f ca="1">IFERROR(__xludf.DUMMYFUNCTION("""COMPUTED_VALUE"""),".")</f>
        <v>.</v>
      </c>
      <c r="L76" s="17"/>
      <c r="M76" s="17"/>
      <c r="N76" s="17"/>
      <c r="O76" s="17"/>
    </row>
    <row r="77" spans="1:15" ht="12.5">
      <c r="A77" s="17"/>
      <c r="B77" s="24"/>
      <c r="C77" s="24"/>
      <c r="D77" s="17"/>
      <c r="E77" s="17"/>
      <c r="F77" s="17"/>
      <c r="G77" s="17"/>
      <c r="H77" s="17"/>
      <c r="I77" s="17"/>
      <c r="J77" s="17"/>
      <c r="K77" s="134" t="str">
        <f ca="1">IFERROR(__xludf.DUMMYFUNCTION("""COMPUTED_VALUE"""),".")</f>
        <v>.</v>
      </c>
      <c r="L77" s="17"/>
      <c r="M77" s="17"/>
      <c r="N77" s="17"/>
      <c r="O77" s="17"/>
    </row>
    <row r="78" spans="1:15" ht="12.5">
      <c r="A78" s="17"/>
      <c r="B78" s="24"/>
      <c r="C78" s="24"/>
      <c r="D78" s="17"/>
      <c r="E78" s="17"/>
      <c r="F78" s="17"/>
      <c r="G78" s="17"/>
      <c r="H78" s="17"/>
      <c r="I78" s="17"/>
      <c r="J78" s="17"/>
      <c r="K78" s="134" t="str">
        <f ca="1">IFERROR(__xludf.DUMMYFUNCTION("""COMPUTED_VALUE"""),".")</f>
        <v>.</v>
      </c>
      <c r="L78" s="17"/>
      <c r="M78" s="17"/>
      <c r="N78" s="17"/>
      <c r="O78" s="17"/>
    </row>
    <row r="79" spans="1:15" ht="12.5">
      <c r="A79" s="17"/>
      <c r="B79" s="24"/>
      <c r="C79" s="24"/>
      <c r="D79" s="17"/>
      <c r="E79" s="17"/>
      <c r="F79" s="17"/>
      <c r="G79" s="17"/>
      <c r="H79" s="17"/>
      <c r="I79" s="17"/>
      <c r="J79" s="17"/>
      <c r="K79" s="134" t="str">
        <f ca="1">IFERROR(__xludf.DUMMYFUNCTION("""COMPUTED_VALUE"""),".")</f>
        <v>.</v>
      </c>
      <c r="L79" s="17"/>
      <c r="M79" s="17"/>
      <c r="N79" s="17"/>
      <c r="O79" s="17"/>
    </row>
    <row r="80" spans="1:15" ht="12.5">
      <c r="A80" s="17"/>
      <c r="B80" s="24"/>
      <c r="C80" s="24"/>
      <c r="D80" s="17"/>
      <c r="E80" s="17"/>
      <c r="F80" s="17"/>
      <c r="G80" s="17"/>
      <c r="H80" s="17"/>
      <c r="I80" s="17"/>
      <c r="J80" s="17"/>
      <c r="K80" s="134"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7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321</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Sept'!$J$12:$J$1627=$A$2)"),"TRX1236")</f>
        <v>TRX1236</v>
      </c>
      <c r="B12" s="86" t="str">
        <f ca="1">IFERROR(__xludf.DUMMYFUNCTION("""COMPUTED_VALUE"""),"-")</f>
        <v>-</v>
      </c>
      <c r="C12" s="86">
        <f ca="1">IFERROR(__xludf.DUMMYFUNCTION("""COMPUTED_VALUE"""),46058.4166666666)</f>
        <v>46058.416666666599</v>
      </c>
      <c r="D12" s="65">
        <f ca="1">IFERROR(__xludf.DUMMYFUNCTION("FILTER('Edo Cta Jeeves Sept'!$G$12:$G$1300,'Edo Cta Jeeves Sept'!$J$12:$J$1300=$A$2)"),755.7)</f>
        <v>755.7</v>
      </c>
      <c r="E12" s="17" t="str">
        <f ca="1">IFERROR(__xludf.DUMMYFUNCTION("FILTER('Edo Cta Jeeves Sept'!$I$12:$I$1300,'Edo Cta Jeeves Sept'!$J$12:$J$1300=$A$2)"),"MXN")</f>
        <v>MXN</v>
      </c>
      <c r="F12" s="17" t="str">
        <f ca="1">IFERROR(__xludf.DUMMYFUNCTION("FILTER('Edo Cta Jeeves Sept'!$J$12:$J$1300,'Edo Cta Jeeves Sept'!$J$12:$J$1300=$A$2)"),"Jose Luis Ramirez Gonzalez")</f>
        <v>Jose Luis Ramirez Gonzalez</v>
      </c>
      <c r="G12" s="17" t="str">
        <f ca="1">IFERROR(__xludf.DUMMYFUNCTION("FILTER('Edo Cta Jeeves Sept'!$K$12:$L$1300,'Edo Cta Jeeves Sept'!$J$12:$J$1300=$A$2)"),"GAS DUERO              TOLUCA EM     MEX")</f>
        <v>GAS DUERO              TOLUCA EM     MEX</v>
      </c>
      <c r="H12" s="17" t="str">
        <f ca="1">IFERROR(__xludf.DUMMYFUNCTION("""COMPUTED_VALUE"""),"Gas Duero Toluca Em Mex")</f>
        <v>Gas Duero Toluca Em Mex</v>
      </c>
      <c r="I12" s="17" t="str">
        <f ca="1">IFERROR(__xludf.DUMMYFUNCTION("IMPORTRANGE(""https://docs.google.com/spreadsheets/d/1NPVTCsqByt3fMx62xPs4nRce-G2afR8tqoZWO3oT3KE/edit?gid=1404531132#gid=1404531132"",""I12:K80"")"),"Sales")</f>
        <v>Sales</v>
      </c>
      <c r="J12" s="17" t="str">
        <f ca="1">IFERROR(__xludf.DUMMYFUNCTION("""COMPUTED_VALUE"""),"PO1953- GASOLINA TRASLADO")</f>
        <v>PO1953- GASOLINA TRASLADO</v>
      </c>
      <c r="K12" s="134" t="str">
        <f ca="1">IFERROR(__xludf.DUMMYFUNCTION("""COMPUTED_VALUE"""),"B899D7E4-DDBD-4811-AA46-7C43A7A8B6E8")</f>
        <v>B899D7E4-DDBD-4811-AA46-7C43A7A8B6E8</v>
      </c>
      <c r="L12" s="17"/>
      <c r="M12" s="17"/>
      <c r="N12" s="17"/>
      <c r="O12" s="17"/>
    </row>
    <row r="13" spans="1:15" ht="15.75" customHeight="1">
      <c r="A13" s="24" t="str">
        <f ca="1">IFERROR(__xludf.DUMMYFUNCTION("""COMPUTED_VALUE"""),"TRX1232")</f>
        <v>TRX1232</v>
      </c>
      <c r="B13" s="86" t="str">
        <f ca="1">IFERROR(__xludf.DUMMYFUNCTION("""COMPUTED_VALUE"""),"-")</f>
        <v>-</v>
      </c>
      <c r="C13" s="63">
        <f ca="1">IFERROR(__xludf.DUMMYFUNCTION("""COMPUTED_VALUE"""),46058.4166666666)</f>
        <v>46058.416666666599</v>
      </c>
      <c r="D13" s="65">
        <f ca="1">IFERROR(__xludf.DUMMYFUNCTION("""COMPUTED_VALUE"""),1510)</f>
        <v>1510</v>
      </c>
      <c r="E13" s="17" t="str">
        <f ca="1">IFERROR(__xludf.DUMMYFUNCTION("""COMPUTED_VALUE"""),"MXN")</f>
        <v>MXN</v>
      </c>
      <c r="F13" s="17" t="str">
        <f ca="1">IFERROR(__xludf.DUMMYFUNCTION("""COMPUTED_VALUE"""),"Jose Luis Ramirez Gonzalez")</f>
        <v>Jose Luis Ramirez Gonzalez</v>
      </c>
      <c r="G13" s="17" t="str">
        <f ca="1">IFERROR(__xludf.DUMMYFUNCTION("""COMPUTED_VALUE"""),"MERCADOPAGO *PASE      MIGUEL HIDALG MEX")</f>
        <v>MERCADOPAGO *PASE      MIGUEL HIDALG MEX</v>
      </c>
      <c r="H13" s="17" t="str">
        <f ca="1">IFERROR(__xludf.DUMMYFUNCTION("""COMPUTED_VALUE"""),"Mercadopago")</f>
        <v>Mercadopago</v>
      </c>
      <c r="I13" s="17" t="str">
        <f ca="1">IFERROR(__xludf.DUMMYFUNCTION("""COMPUTED_VALUE"""),"Sales")</f>
        <v>Sales</v>
      </c>
      <c r="J13" s="17" t="str">
        <f ca="1">IFERROR(__xludf.DUMMYFUNCTION("""COMPUTED_VALUE"""),"PO1953-CASETAS ")</f>
        <v xml:space="preserve">PO1953-CASETAS </v>
      </c>
      <c r="K13" s="134" t="str">
        <f ca="1">IFERROR(__xludf.DUMMYFUNCTION("""COMPUTED_VALUE"""),"EDFEB0DA-C99A-43CF-B1D6-4E1B238F347D")</f>
        <v>EDFEB0DA-C99A-43CF-B1D6-4E1B238F347D</v>
      </c>
      <c r="L13" s="17"/>
      <c r="M13" s="17"/>
      <c r="N13" s="17"/>
      <c r="O13" s="17"/>
    </row>
    <row r="14" spans="1:15" ht="15.75" customHeight="1">
      <c r="A14" s="24" t="str">
        <f ca="1">IFERROR(__xludf.DUMMYFUNCTION("""COMPUTED_VALUE"""),"TRX1200")</f>
        <v>TRX1200</v>
      </c>
      <c r="B14" s="86" t="str">
        <f ca="1">IFERROR(__xludf.DUMMYFUNCTION("""COMPUTED_VALUE"""),"-")</f>
        <v>-</v>
      </c>
      <c r="C14" s="63">
        <f ca="1">IFERROR(__xludf.DUMMYFUNCTION("""COMPUTED_VALUE"""),46058.4173611111)</f>
        <v>46058.417361111096</v>
      </c>
      <c r="D14" s="65">
        <f ca="1">IFERROR(__xludf.DUMMYFUNCTION("""COMPUTED_VALUE"""),500)</f>
        <v>500</v>
      </c>
      <c r="E14" s="17" t="str">
        <f ca="1">IFERROR(__xludf.DUMMYFUNCTION("""COMPUTED_VALUE"""),"MXN")</f>
        <v>MXN</v>
      </c>
      <c r="F14" s="17" t="str">
        <f ca="1">IFERROR(__xludf.DUMMYFUNCTION("""COMPUTED_VALUE"""),"Jose Luis Ramirez Gonzalez")</f>
        <v>Jose Luis Ramirez Gonzalez</v>
      </c>
      <c r="G14" s="17" t="str">
        <f ca="1">IFERROR(__xludf.DUMMYFUNCTION("""COMPUTED_VALUE"""),"SERVICIO CABRAL        TOLUCA EM     MEX")</f>
        <v>SERVICIO CABRAL        TOLUCA EM     MEX</v>
      </c>
      <c r="H14" s="17" t="str">
        <f ca="1">IFERROR(__xludf.DUMMYFUNCTION("""COMPUTED_VALUE"""),"Servicio Cabral Toluca Em Mex")</f>
        <v>Servicio Cabral Toluca Em Mex</v>
      </c>
      <c r="I14" s="17" t="str">
        <f ca="1">IFERROR(__xludf.DUMMYFUNCTION("""COMPUTED_VALUE"""),"Sales")</f>
        <v>Sales</v>
      </c>
      <c r="J14" s="17" t="str">
        <f ca="1">IFERROR(__xludf.DUMMYFUNCTION("""COMPUTED_VALUE"""),"PO1953-MANTENIMIENTO")</f>
        <v>PO1953-MANTENIMIENTO</v>
      </c>
      <c r="K14" s="134" t="str">
        <f ca="1">IFERROR(__xludf.DUMMYFUNCTION("""COMPUTED_VALUE"""),"BC1DFBCE-0C09-45C4-B80B-8B18DEB9DD2D")</f>
        <v>BC1DFBCE-0C09-45C4-B80B-8B18DEB9DD2D</v>
      </c>
      <c r="L14" s="17"/>
      <c r="M14" s="17"/>
      <c r="N14" s="17"/>
      <c r="O14" s="17"/>
    </row>
    <row r="15" spans="1:15" ht="15.75" customHeight="1">
      <c r="A15" s="24" t="str">
        <f ca="1">IFERROR(__xludf.DUMMYFUNCTION("""COMPUTED_VALUE"""),"TRX1121")</f>
        <v>TRX1121</v>
      </c>
      <c r="B15" s="86" t="str">
        <f ca="1">IFERROR(__xludf.DUMMYFUNCTION("""COMPUTED_VALUE"""),"-")</f>
        <v>-</v>
      </c>
      <c r="C15" s="63">
        <f ca="1">IFERROR(__xludf.DUMMYFUNCTION("""COMPUTED_VALUE"""),46060.4173611111)</f>
        <v>46060.417361111096</v>
      </c>
      <c r="D15" s="65">
        <f ca="1">IFERROR(__xludf.DUMMYFUNCTION("""COMPUTED_VALUE"""),923.71)</f>
        <v>923.71</v>
      </c>
      <c r="E15" s="17" t="str">
        <f ca="1">IFERROR(__xludf.DUMMYFUNCTION("""COMPUTED_VALUE"""),"MXN")</f>
        <v>MXN</v>
      </c>
      <c r="F15" s="17" t="str">
        <f ca="1">IFERROR(__xludf.DUMMYFUNCTION("""COMPUTED_VALUE"""),"Jose Luis Ramirez Gonzalez")</f>
        <v>Jose Luis Ramirez Gonzalez</v>
      </c>
      <c r="G15" s="17" t="str">
        <f ca="1">IFERROR(__xludf.DUMMYFUNCTION("""COMPUTED_VALUE"""),"GASOL CAP AVANDARO     VALLE DE BRAV MEX")</f>
        <v>GASOL CAP AVANDARO     VALLE DE BRAV MEX</v>
      </c>
      <c r="H15" s="17" t="str">
        <f ca="1">IFERROR(__xludf.DUMMYFUNCTION("""COMPUTED_VALUE"""),"Gasol Cap Avandaro Valle De Brav Mex")</f>
        <v>Gasol Cap Avandaro Valle De Brav Mex</v>
      </c>
      <c r="I15" s="17" t="str">
        <f ca="1">IFERROR(__xludf.DUMMYFUNCTION("""COMPUTED_VALUE"""),"Sales")</f>
        <v>Sales</v>
      </c>
      <c r="J15" s="17" t="str">
        <f ca="1">IFERROR(__xludf.DUMMYFUNCTION("""COMPUTED_VALUE"""),"PO1953- GASOLINA TRASLADO")</f>
        <v>PO1953- GASOLINA TRASLADO</v>
      </c>
      <c r="K15" s="17"/>
      <c r="L15" s="17"/>
      <c r="M15" s="17"/>
      <c r="N15" s="17"/>
      <c r="O15" s="17"/>
    </row>
    <row r="16" spans="1:15" ht="15.75" customHeight="1">
      <c r="A16" s="17" t="str">
        <f ca="1">IFERROR(__xludf.DUMMYFUNCTION("""COMPUTED_VALUE"""),"TRX1838")</f>
        <v>TRX1838</v>
      </c>
      <c r="B16" s="86" t="str">
        <f ca="1">IFERROR(__xludf.DUMMYFUNCTION("""COMPUTED_VALUE"""),"-")</f>
        <v>-</v>
      </c>
      <c r="C16" s="63">
        <f ca="1">IFERROR(__xludf.DUMMYFUNCTION("""COMPUTED_VALUE"""),46061.4166666666)</f>
        <v>46061.416666666599</v>
      </c>
      <c r="D16" s="132">
        <f ca="1">IFERROR(__xludf.DUMMYFUNCTION("""COMPUTED_VALUE"""),810)</f>
        <v>810</v>
      </c>
      <c r="E16" s="17" t="str">
        <f ca="1">IFERROR(__xludf.DUMMYFUNCTION("""COMPUTED_VALUE"""),"MXN")</f>
        <v>MXN</v>
      </c>
      <c r="F16" s="17" t="str">
        <f ca="1">IFERROR(__xludf.DUMMYFUNCTION("""COMPUTED_VALUE"""),"Jose Luis Ramirez Gonzalez")</f>
        <v>Jose Luis Ramirez Gonzalez</v>
      </c>
      <c r="G16" s="17" t="str">
        <f ca="1">IFERROR(__xludf.DUMMYFUNCTION("""COMPUTED_VALUE"""),"MERCADOPAGO *PASE      MIGUEL HIDALG MEX")</f>
        <v>MERCADOPAGO *PASE      MIGUEL HIDALG MEX</v>
      </c>
      <c r="H16" s="17" t="str">
        <f ca="1">IFERROR(__xludf.DUMMYFUNCTION("""COMPUTED_VALUE"""),"Mercadopago")</f>
        <v>Mercadopago</v>
      </c>
      <c r="I16" s="17" t="str">
        <f ca="1">IFERROR(__xludf.DUMMYFUNCTION("""COMPUTED_VALUE"""),"Sales")</f>
        <v>Sales</v>
      </c>
      <c r="J16" s="17" t="str">
        <f ca="1">IFERROR(__xludf.DUMMYFUNCTION("""COMPUTED_VALUE"""),"PO1953-CASETAS ")</f>
        <v xml:space="preserve">PO1953-CASETAS </v>
      </c>
      <c r="K16" s="134" t="str">
        <f ca="1">IFERROR(__xludf.DUMMYFUNCTION("""COMPUTED_VALUE"""),"9A0CD526-B739-4FAC-A33F-79F1325EFEE8")</f>
        <v>9A0CD526-B739-4FAC-A33F-79F1325EFEE8</v>
      </c>
      <c r="L16" s="17"/>
      <c r="M16" s="17"/>
      <c r="N16" s="17"/>
      <c r="O16" s="17"/>
    </row>
    <row r="17" spans="1:15" ht="15.75" customHeight="1">
      <c r="A17" s="17" t="str">
        <f ca="1">IFERROR(__xludf.DUMMYFUNCTION("""COMPUTED_VALUE"""),"TRX1193")</f>
        <v>TRX1193</v>
      </c>
      <c r="B17" s="86" t="str">
        <f ca="1">IFERROR(__xludf.DUMMYFUNCTION("""COMPUTED_VALUE"""),"-")</f>
        <v>-</v>
      </c>
      <c r="C17" s="63">
        <f ca="1">IFERROR(__xludf.DUMMYFUNCTION("""COMPUTED_VALUE"""),46062.4166666666)</f>
        <v>46062.416666666599</v>
      </c>
      <c r="D17" s="132">
        <f ca="1">IFERROR(__xludf.DUMMYFUNCTION("""COMPUTED_VALUE"""),499)</f>
        <v>499</v>
      </c>
      <c r="E17" s="17" t="str">
        <f ca="1">IFERROR(__xludf.DUMMYFUNCTION("""COMPUTED_VALUE"""),"MXN")</f>
        <v>MXN</v>
      </c>
      <c r="F17" s="17" t="str">
        <f ca="1">IFERROR(__xludf.DUMMYFUNCTION("""COMPUTED_VALUE"""),"Jose Luis Ramirez Gonzalez")</f>
        <v>Jose Luis Ramirez Gonzalez</v>
      </c>
      <c r="G17" s="17" t="str">
        <f ca="1">IFERROR(__xludf.DUMMYFUNCTION("""COMPUTED_VALUE"""),"GASOL LAS TORRES       ZINACANTEPEC  MEX")</f>
        <v>GASOL LAS TORRES       ZINACANTEPEC  MEX</v>
      </c>
      <c r="H17" s="17" t="str">
        <f ca="1">IFERROR(__xludf.DUMMYFUNCTION("""COMPUTED_VALUE"""),"Gasol Las Torres Zinacantepec Mex")</f>
        <v>Gasol Las Torres Zinacantepec Mex</v>
      </c>
      <c r="I17" s="17" t="str">
        <f ca="1">IFERROR(__xludf.DUMMYFUNCTION("""COMPUTED_VALUE"""),"Sales")</f>
        <v>Sales</v>
      </c>
      <c r="J17" s="17" t="str">
        <f ca="1">IFERROR(__xludf.DUMMYFUNCTION("""COMPUTED_VALUE"""),"PO1953- GASOLINA TRASLADO")</f>
        <v>PO1953- GASOLINA TRASLADO</v>
      </c>
      <c r="K17" s="17"/>
      <c r="L17" s="17"/>
      <c r="M17" s="17"/>
      <c r="N17" s="17"/>
      <c r="O17" s="17"/>
    </row>
    <row r="18" spans="1:15" ht="15.75" customHeight="1">
      <c r="A18" s="17" t="str">
        <f ca="1">IFERROR(__xludf.DUMMYFUNCTION("""COMPUTED_VALUE"""),"TRX1783")</f>
        <v>TRX1783</v>
      </c>
      <c r="B18" s="86" t="str">
        <f ca="1">IFERROR(__xludf.DUMMYFUNCTION("""COMPUTED_VALUE"""),"-")</f>
        <v>-</v>
      </c>
      <c r="C18" s="63">
        <f ca="1">IFERROR(__xludf.DUMMYFUNCTION("""COMPUTED_VALUE"""),46062.4166666666)</f>
        <v>46062.416666666599</v>
      </c>
      <c r="D18" s="65">
        <f ca="1">IFERROR(__xludf.DUMMYFUNCTION("""COMPUTED_VALUE"""),25)</f>
        <v>25</v>
      </c>
      <c r="E18" s="17" t="str">
        <f ca="1">IFERROR(__xludf.DUMMYFUNCTION("""COMPUTED_VALUE"""),"MXN")</f>
        <v>MXN</v>
      </c>
      <c r="F18" s="17" t="str">
        <f ca="1">IFERROR(__xludf.DUMMYFUNCTION("""COMPUTED_VALUE"""),"Jose Luis Ramirez Gonzalez")</f>
        <v>Jose Luis Ramirez Gonzalez</v>
      </c>
      <c r="G18" s="17" t="str">
        <f ca="1">IFERROR(__xludf.DUMMYFUNCTION("""COMPUTED_VALUE"""),"TELCEL RECARGAS FONY   CIUDAD DE MEX MEX")</f>
        <v>TELCEL RECARGAS FONY   CIUDAD DE MEX MEX</v>
      </c>
      <c r="H18" s="17" t="str">
        <f ca="1">IFERROR(__xludf.DUMMYFUNCTION("""COMPUTED_VALUE"""),"Telcel")</f>
        <v>Telcel</v>
      </c>
      <c r="I18" s="17" t="str">
        <f ca="1">IFERROR(__xludf.DUMMYFUNCTION("""COMPUTED_VALUE"""),"Sales")</f>
        <v>Sales</v>
      </c>
      <c r="J18" s="17" t="str">
        <f ca="1">IFERROR(__xludf.DUMMYFUNCTION("""COMPUTED_VALUE"""),"PO1953-INTERNET PROYECTO")</f>
        <v>PO1953-INTERNET PROYECTO</v>
      </c>
      <c r="K18" s="17"/>
      <c r="L18" s="17"/>
      <c r="M18" s="17"/>
      <c r="N18" s="17"/>
      <c r="O18" s="17"/>
    </row>
    <row r="19" spans="1:15" ht="15.75" customHeight="1">
      <c r="A19" s="17" t="str">
        <f ca="1">IFERROR(__xludf.DUMMYFUNCTION("""COMPUTED_VALUE"""),"TRX1829")</f>
        <v>TRX1829</v>
      </c>
      <c r="B19" s="86" t="str">
        <f ca="1">IFERROR(__xludf.DUMMYFUNCTION("""COMPUTED_VALUE"""),"-")</f>
        <v>-</v>
      </c>
      <c r="C19" s="63">
        <f ca="1">IFERROR(__xludf.DUMMYFUNCTION("""COMPUTED_VALUE"""),46063.4166666666)</f>
        <v>46063.416666666599</v>
      </c>
      <c r="D19" s="132">
        <f ca="1">IFERROR(__xludf.DUMMYFUNCTION("""COMPUTED_VALUE"""),810)</f>
        <v>810</v>
      </c>
      <c r="E19" s="17" t="str">
        <f ca="1">IFERROR(__xludf.DUMMYFUNCTION("""COMPUTED_VALUE"""),"MXN")</f>
        <v>MXN</v>
      </c>
      <c r="F19" s="17" t="str">
        <f ca="1">IFERROR(__xludf.DUMMYFUNCTION("""COMPUTED_VALUE"""),"Jose Luis Ramirez Gonzalez")</f>
        <v>Jose Luis Ramirez Gonzalez</v>
      </c>
      <c r="G19" s="17" t="str">
        <f ca="1">IFERROR(__xludf.DUMMYFUNCTION("""COMPUTED_VALUE"""),"MERCADOPAGO *PASE      MIGUEL HIDALG MEX")</f>
        <v>MERCADOPAGO *PASE      MIGUEL HIDALG MEX</v>
      </c>
      <c r="H19" s="17" t="str">
        <f ca="1">IFERROR(__xludf.DUMMYFUNCTION("""COMPUTED_VALUE"""),"Mercadopago")</f>
        <v>Mercadopago</v>
      </c>
      <c r="I19" s="17" t="str">
        <f ca="1">IFERROR(__xludf.DUMMYFUNCTION("""COMPUTED_VALUE"""),"Sales")</f>
        <v>Sales</v>
      </c>
      <c r="J19" s="17" t="str">
        <f ca="1">IFERROR(__xludf.DUMMYFUNCTION("""COMPUTED_VALUE"""),"PO1953-CASETAS ")</f>
        <v xml:space="preserve">PO1953-CASETAS </v>
      </c>
      <c r="K19" s="134" t="str">
        <f ca="1">IFERROR(__xludf.DUMMYFUNCTION("""COMPUTED_VALUE"""),"DEE2166B-765C-4C2F-BBED-0E4F5E509BE7")</f>
        <v>DEE2166B-765C-4C2F-BBED-0E4F5E509BE7</v>
      </c>
      <c r="L19" s="17"/>
      <c r="M19" s="17"/>
      <c r="N19" s="17"/>
      <c r="O19" s="17"/>
    </row>
    <row r="20" spans="1:15" ht="12.5">
      <c r="A20" s="17" t="str">
        <f ca="1">IFERROR(__xludf.DUMMYFUNCTION("""COMPUTED_VALUE"""),"TRX1361")</f>
        <v>TRX1361</v>
      </c>
      <c r="B20" s="86" t="str">
        <f ca="1">IFERROR(__xludf.DUMMYFUNCTION("""COMPUTED_VALUE"""),"-")</f>
        <v>-</v>
      </c>
      <c r="C20" s="63">
        <f ca="1">IFERROR(__xludf.DUMMYFUNCTION("""COMPUTED_VALUE"""),46063.4166666666)</f>
        <v>46063.416666666599</v>
      </c>
      <c r="D20" s="132">
        <f ca="1">IFERROR(__xludf.DUMMYFUNCTION("""COMPUTED_VALUE"""),15)</f>
        <v>15</v>
      </c>
      <c r="E20" s="17" t="str">
        <f ca="1">IFERROR(__xludf.DUMMYFUNCTION("""COMPUTED_VALUE"""),"MXN")</f>
        <v>MXN</v>
      </c>
      <c r="F20" s="17" t="str">
        <f ca="1">IFERROR(__xludf.DUMMYFUNCTION("""COMPUTED_VALUE"""),"Jose Luis Ramirez Gonzalez")</f>
        <v>Jose Luis Ramirez Gonzalez</v>
      </c>
      <c r="G20" s="17" t="str">
        <f ca="1">IFERROR(__xludf.DUMMYFUNCTION("""COMPUTED_VALUE"""),"TELCEL RECARGAS FONY   CIUDAD DE MEX MEX")</f>
        <v>TELCEL RECARGAS FONY   CIUDAD DE MEX MEX</v>
      </c>
      <c r="H20" s="17" t="str">
        <f ca="1">IFERROR(__xludf.DUMMYFUNCTION("""COMPUTED_VALUE"""),"Telcel")</f>
        <v>Telcel</v>
      </c>
      <c r="I20" s="17" t="str">
        <f ca="1">IFERROR(__xludf.DUMMYFUNCTION("""COMPUTED_VALUE"""),"Sales")</f>
        <v>Sales</v>
      </c>
      <c r="J20" s="17" t="str">
        <f ca="1">IFERROR(__xludf.DUMMYFUNCTION("""COMPUTED_VALUE"""),"PO1953-INTERNET PROYECTO")</f>
        <v>PO1953-INTERNET PROYECTO</v>
      </c>
      <c r="K20" s="17"/>
      <c r="L20" s="17"/>
      <c r="M20" s="17"/>
      <c r="N20" s="17"/>
      <c r="O20" s="17"/>
    </row>
    <row r="21" spans="1:15" ht="12.5">
      <c r="A21" s="17" t="str">
        <f ca="1">IFERROR(__xludf.DUMMYFUNCTION("""COMPUTED_VALUE"""),"TRX1767")</f>
        <v>TRX1767</v>
      </c>
      <c r="B21" s="86" t="str">
        <f ca="1">IFERROR(__xludf.DUMMYFUNCTION("""COMPUTED_VALUE"""),"-")</f>
        <v>-</v>
      </c>
      <c r="C21" s="63">
        <f ca="1">IFERROR(__xludf.DUMMYFUNCTION("""COMPUTED_VALUE"""),46063.4166666666)</f>
        <v>46063.416666666599</v>
      </c>
      <c r="D21" s="132">
        <f ca="1">IFERROR(__xludf.DUMMYFUNCTION("""COMPUTED_VALUE"""),25)</f>
        <v>25</v>
      </c>
      <c r="E21" s="17" t="str">
        <f ca="1">IFERROR(__xludf.DUMMYFUNCTION("""COMPUTED_VALUE"""),"MXN")</f>
        <v>MXN</v>
      </c>
      <c r="F21" s="17" t="str">
        <f ca="1">IFERROR(__xludf.DUMMYFUNCTION("""COMPUTED_VALUE"""),"Jose Luis Ramirez Gonzalez")</f>
        <v>Jose Luis Ramirez Gonzalez</v>
      </c>
      <c r="G21" s="17" t="str">
        <f ca="1">IFERROR(__xludf.DUMMYFUNCTION("""COMPUTED_VALUE"""),"TELCEL RECARGAS FONY   CIUDAD DE MEX MEX")</f>
        <v>TELCEL RECARGAS FONY   CIUDAD DE MEX MEX</v>
      </c>
      <c r="H21" s="17" t="str">
        <f ca="1">IFERROR(__xludf.DUMMYFUNCTION("""COMPUTED_VALUE"""),"Telcel")</f>
        <v>Telcel</v>
      </c>
      <c r="I21" s="17" t="str">
        <f ca="1">IFERROR(__xludf.DUMMYFUNCTION("""COMPUTED_VALUE"""),"Sales")</f>
        <v>Sales</v>
      </c>
      <c r="J21" s="17" t="str">
        <f ca="1">IFERROR(__xludf.DUMMYFUNCTION("""COMPUTED_VALUE"""),"PO1953-INTERNET PROYECTO")</f>
        <v>PO1953-INTERNET PROYECTO</v>
      </c>
      <c r="K21" s="17"/>
      <c r="L21" s="17"/>
      <c r="M21" s="17"/>
      <c r="N21" s="17"/>
      <c r="O21" s="17"/>
    </row>
    <row r="22" spans="1:15" ht="12.5">
      <c r="A22" s="17" t="str">
        <f ca="1">IFERROR(__xludf.DUMMYFUNCTION("""COMPUTED_VALUE"""),"TRX1595")</f>
        <v>TRX1595</v>
      </c>
      <c r="B22" s="86" t="str">
        <f ca="1">IFERROR(__xludf.DUMMYFUNCTION("""COMPUTED_VALUE"""),"-")</f>
        <v>-</v>
      </c>
      <c r="C22" s="63">
        <f ca="1">IFERROR(__xludf.DUMMYFUNCTION("""COMPUTED_VALUE"""),46063.4166666666)</f>
        <v>46063.416666666599</v>
      </c>
      <c r="D22" s="65">
        <f ca="1">IFERROR(__xludf.DUMMYFUNCTION("""COMPUTED_VALUE"""),25)</f>
        <v>25</v>
      </c>
      <c r="E22" s="17" t="str">
        <f ca="1">IFERROR(__xludf.DUMMYFUNCTION("""COMPUTED_VALUE"""),"MXN")</f>
        <v>MXN</v>
      </c>
      <c r="F22" s="17" t="str">
        <f ca="1">IFERROR(__xludf.DUMMYFUNCTION("""COMPUTED_VALUE"""),"Jose Luis Ramirez Gonzalez")</f>
        <v>Jose Luis Ramirez Gonzalez</v>
      </c>
      <c r="G22" s="17" t="str">
        <f ca="1">IFERROR(__xludf.DUMMYFUNCTION("""COMPUTED_VALUE"""),"TELCEL RECARGAS FONY   CIUDAD DE MEX MEX")</f>
        <v>TELCEL RECARGAS FONY   CIUDAD DE MEX MEX</v>
      </c>
      <c r="H22" s="17" t="str">
        <f ca="1">IFERROR(__xludf.DUMMYFUNCTION("""COMPUTED_VALUE"""),"Telcel")</f>
        <v>Telcel</v>
      </c>
      <c r="I22" s="17" t="str">
        <f ca="1">IFERROR(__xludf.DUMMYFUNCTION("""COMPUTED_VALUE"""),"Sales")</f>
        <v>Sales</v>
      </c>
      <c r="J22" s="17" t="str">
        <f ca="1">IFERROR(__xludf.DUMMYFUNCTION("""COMPUTED_VALUE"""),"PO1953-INTERNET PROYECTO")</f>
        <v>PO1953-INTERNET PROYECTO</v>
      </c>
      <c r="K22" s="17"/>
      <c r="L22" s="17"/>
      <c r="M22" s="17"/>
      <c r="N22" s="17"/>
      <c r="O22" s="17"/>
    </row>
    <row r="23" spans="1:15" ht="12.5">
      <c r="A23" s="17" t="str">
        <f ca="1">IFERROR(__xludf.DUMMYFUNCTION("""COMPUTED_VALUE"""),"TRX1907")</f>
        <v>TRX1907</v>
      </c>
      <c r="B23" s="86" t="str">
        <f ca="1">IFERROR(__xludf.DUMMYFUNCTION("""COMPUTED_VALUE"""),"-")</f>
        <v>-</v>
      </c>
      <c r="C23" s="63">
        <f ca="1">IFERROR(__xludf.DUMMYFUNCTION("""COMPUTED_VALUE"""),46064.4166666666)</f>
        <v>46064.416666666599</v>
      </c>
      <c r="D23" s="65">
        <f ca="1">IFERROR(__xludf.DUMMYFUNCTION("""COMPUTED_VALUE"""),755.7)</f>
        <v>755.7</v>
      </c>
      <c r="E23" s="17" t="str">
        <f ca="1">IFERROR(__xludf.DUMMYFUNCTION("""COMPUTED_VALUE"""),"MXN")</f>
        <v>MXN</v>
      </c>
      <c r="F23" s="17" t="str">
        <f ca="1">IFERROR(__xludf.DUMMYFUNCTION("""COMPUTED_VALUE"""),"Jose Luis Ramirez Gonzalez")</f>
        <v>Jose Luis Ramirez Gonzalez</v>
      </c>
      <c r="G23" s="17" t="str">
        <f ca="1">IFERROR(__xludf.DUMMYFUNCTION("""COMPUTED_VALUE"""),"SERV LOPEZ PORTILL     TOLUCA EM     MEX")</f>
        <v>SERV LOPEZ PORTILL     TOLUCA EM     MEX</v>
      </c>
      <c r="H23" s="17" t="str">
        <f ca="1">IFERROR(__xludf.DUMMYFUNCTION("""COMPUTED_VALUE"""),"Serv Lopez Portill Toluca Em Mex")</f>
        <v>Serv Lopez Portill Toluca Em Mex</v>
      </c>
      <c r="I23" s="17" t="str">
        <f ca="1">IFERROR(__xludf.DUMMYFUNCTION("""COMPUTED_VALUE"""),"Sales")</f>
        <v>Sales</v>
      </c>
      <c r="J23" s="17" t="str">
        <f ca="1">IFERROR(__xludf.DUMMYFUNCTION("""COMPUTED_VALUE"""),"PO1953-INTERNET PROYECTO")</f>
        <v>PO1953-INTERNET PROYECTO</v>
      </c>
      <c r="K23" s="17"/>
      <c r="L23" s="17"/>
      <c r="M23" s="17"/>
      <c r="N23" s="17"/>
      <c r="O23" s="17"/>
    </row>
    <row r="24" spans="1:15" ht="12.5">
      <c r="A24" s="17" t="str">
        <f ca="1">IFERROR(__xludf.DUMMYFUNCTION("""COMPUTED_VALUE"""),"TRX1276")</f>
        <v>TRX1276</v>
      </c>
      <c r="B24" s="86" t="str">
        <f ca="1">IFERROR(__xludf.DUMMYFUNCTION("""COMPUTED_VALUE"""),"-")</f>
        <v>-</v>
      </c>
      <c r="C24" s="63">
        <f ca="1">IFERROR(__xludf.DUMMYFUNCTION("""COMPUTED_VALUE"""),46064.4166666666)</f>
        <v>46064.416666666599</v>
      </c>
      <c r="D24" s="65">
        <f ca="1">IFERROR(__xludf.DUMMYFUNCTION("""COMPUTED_VALUE"""),25)</f>
        <v>25</v>
      </c>
      <c r="E24" s="17" t="str">
        <f ca="1">IFERROR(__xludf.DUMMYFUNCTION("""COMPUTED_VALUE"""),"MXN")</f>
        <v>MXN</v>
      </c>
      <c r="F24" s="17" t="str">
        <f ca="1">IFERROR(__xludf.DUMMYFUNCTION("""COMPUTED_VALUE"""),"Jose Luis Ramirez Gonzalez")</f>
        <v>Jose Luis Ramirez Gonzalez</v>
      </c>
      <c r="G24" s="17" t="str">
        <f ca="1">IFERROR(__xludf.DUMMYFUNCTION("""COMPUTED_VALUE"""),"TELCEL RECARGAS FONY   CIUDAD DE MEX MEX")</f>
        <v>TELCEL RECARGAS FONY   CIUDAD DE MEX MEX</v>
      </c>
      <c r="H24" s="17" t="str">
        <f ca="1">IFERROR(__xludf.DUMMYFUNCTION("""COMPUTED_VALUE"""),"Telcel")</f>
        <v>Telcel</v>
      </c>
      <c r="I24" s="17" t="str">
        <f ca="1">IFERROR(__xludf.DUMMYFUNCTION("""COMPUTED_VALUE"""),"Sales")</f>
        <v>Sales</v>
      </c>
      <c r="J24" s="17" t="str">
        <f ca="1">IFERROR(__xludf.DUMMYFUNCTION("""COMPUTED_VALUE"""),"PO1953-INTERNET PROYECTO")</f>
        <v>PO1953-INTERNET PROYECTO</v>
      </c>
      <c r="K24" s="17"/>
      <c r="L24" s="17"/>
      <c r="M24" s="17"/>
      <c r="N24" s="17"/>
      <c r="O24" s="17"/>
    </row>
    <row r="25" spans="1:15" ht="12.5">
      <c r="A25" s="17" t="str">
        <f ca="1">IFERROR(__xludf.DUMMYFUNCTION("""COMPUTED_VALUE"""),"TRX1039")</f>
        <v>TRX1039</v>
      </c>
      <c r="B25" s="86" t="str">
        <f ca="1">IFERROR(__xludf.DUMMYFUNCTION("""COMPUTED_VALUE"""),"-")</f>
        <v>-</v>
      </c>
      <c r="C25" s="63">
        <f ca="1">IFERROR(__xludf.DUMMYFUNCTION("""COMPUTED_VALUE"""),46064.4173611111)</f>
        <v>46064.417361111096</v>
      </c>
      <c r="D25" s="65">
        <f ca="1">IFERROR(__xludf.DUMMYFUNCTION("""COMPUTED_VALUE"""),25)</f>
        <v>25</v>
      </c>
      <c r="E25" s="17" t="str">
        <f ca="1">IFERROR(__xludf.DUMMYFUNCTION("""COMPUTED_VALUE"""),"MXN")</f>
        <v>MXN</v>
      </c>
      <c r="F25" s="17" t="str">
        <f ca="1">IFERROR(__xludf.DUMMYFUNCTION("""COMPUTED_VALUE"""),"Jose Luis Ramirez Gonzalez")</f>
        <v>Jose Luis Ramirez Gonzalez</v>
      </c>
      <c r="G25" s="17" t="str">
        <f ca="1">IFERROR(__xludf.DUMMYFUNCTION("""COMPUTED_VALUE"""),"TELCEL RECARGAS FONY   CIUDAD DE MEX MEX")</f>
        <v>TELCEL RECARGAS FONY   CIUDAD DE MEX MEX</v>
      </c>
      <c r="H25" s="17" t="str">
        <f ca="1">IFERROR(__xludf.DUMMYFUNCTION("""COMPUTED_VALUE"""),"Telcel")</f>
        <v>Telcel</v>
      </c>
      <c r="I25" s="17" t="str">
        <f ca="1">IFERROR(__xludf.DUMMYFUNCTION("""COMPUTED_VALUE"""),"Sales")</f>
        <v>Sales</v>
      </c>
      <c r="J25" s="17" t="str">
        <f ca="1">IFERROR(__xludf.DUMMYFUNCTION("""COMPUTED_VALUE"""),"PO1953-INTERNET PROYECTO")</f>
        <v>PO1953-INTERNET PROYECTO</v>
      </c>
      <c r="K25" s="17"/>
      <c r="L25" s="17"/>
      <c r="M25" s="17"/>
      <c r="N25" s="17"/>
      <c r="O25" s="17"/>
    </row>
    <row r="26" spans="1:15" ht="12.5">
      <c r="A26" s="17" t="str">
        <f ca="1">IFERROR(__xludf.DUMMYFUNCTION("""COMPUTED_VALUE"""),"TRX1249")</f>
        <v>TRX1249</v>
      </c>
      <c r="B26" s="86" t="str">
        <f ca="1">IFERROR(__xludf.DUMMYFUNCTION("""COMPUTED_VALUE"""),"-")</f>
        <v>-</v>
      </c>
      <c r="C26" s="63">
        <f ca="1">IFERROR(__xludf.DUMMYFUNCTION("""COMPUTED_VALUE"""),46064.4173611111)</f>
        <v>46064.417361111096</v>
      </c>
      <c r="D26" s="65">
        <f ca="1">IFERROR(__xludf.DUMMYFUNCTION("""COMPUTED_VALUE"""),1239)</f>
        <v>1239</v>
      </c>
      <c r="E26" s="17" t="str">
        <f ca="1">IFERROR(__xludf.DUMMYFUNCTION("""COMPUTED_VALUE"""),"MXN")</f>
        <v>MXN</v>
      </c>
      <c r="F26" s="17" t="str">
        <f ca="1">IFERROR(__xludf.DUMMYFUNCTION("""COMPUTED_VALUE"""),"Jose Luis Ramirez Gonzalez")</f>
        <v>Jose Luis Ramirez Gonzalez</v>
      </c>
      <c r="G26" s="17" t="str">
        <f ca="1">IFERROR(__xludf.DUMMYFUNCTION("""COMPUTED_VALUE"""),"HOME DEPOT             METEPEC EM    MEX")</f>
        <v>HOME DEPOT             METEPEC EM    MEX</v>
      </c>
      <c r="H26" s="17" t="str">
        <f ca="1">IFERROR(__xludf.DUMMYFUNCTION("""COMPUTED_VALUE"""),"The Home Depot")</f>
        <v>The Home Depot</v>
      </c>
      <c r="I26" s="17" t="str">
        <f ca="1">IFERROR(__xludf.DUMMYFUNCTION("""COMPUTED_VALUE"""),"Sales")</f>
        <v>Sales</v>
      </c>
      <c r="J26" s="17" t="str">
        <f ca="1">IFERROR(__xludf.DUMMYFUNCTION("""COMPUTED_VALUE"""),"PO1953-EPP")</f>
        <v>PO1953-EPP</v>
      </c>
      <c r="K26" s="17" t="str">
        <f ca="1">IFERROR(__xludf.DUMMYFUNCTION("""COMPUTED_VALUE"""),"b4a18093-8c93-4342-a48d-b9666fcdb0cc")</f>
        <v>b4a18093-8c93-4342-a48d-b9666fcdb0cc</v>
      </c>
      <c r="L26" s="17"/>
      <c r="M26" s="17"/>
      <c r="N26" s="17"/>
      <c r="O26" s="17"/>
    </row>
    <row r="27" spans="1:15" ht="12.5">
      <c r="A27" s="17" t="str">
        <f ca="1">IFERROR(__xludf.DUMMYFUNCTION("""COMPUTED_VALUE"""),"TRX1243")</f>
        <v>TRX1243</v>
      </c>
      <c r="B27" s="86" t="str">
        <f ca="1">IFERROR(__xludf.DUMMYFUNCTION("""COMPUTED_VALUE"""),"-")</f>
        <v>-</v>
      </c>
      <c r="C27" s="63">
        <f ca="1">IFERROR(__xludf.DUMMYFUNCTION("""COMPUTED_VALUE"""),46064.4173611111)</f>
        <v>46064.417361111096</v>
      </c>
      <c r="D27" s="65">
        <f ca="1">IFERROR(__xludf.DUMMYFUNCTION("""COMPUTED_VALUE"""),25)</f>
        <v>25</v>
      </c>
      <c r="E27" s="17" t="str">
        <f ca="1">IFERROR(__xludf.DUMMYFUNCTION("""COMPUTED_VALUE"""),"MXN")</f>
        <v>MXN</v>
      </c>
      <c r="F27" s="17" t="str">
        <f ca="1">IFERROR(__xludf.DUMMYFUNCTION("""COMPUTED_VALUE"""),"Jose Luis Ramirez Gonzalez")</f>
        <v>Jose Luis Ramirez Gonzalez</v>
      </c>
      <c r="G27" s="17" t="str">
        <f ca="1">IFERROR(__xludf.DUMMYFUNCTION("""COMPUTED_VALUE"""),"TELCEL RECARGAS FONY   CIUDAD DE MEX MEX")</f>
        <v>TELCEL RECARGAS FONY   CIUDAD DE MEX MEX</v>
      </c>
      <c r="H27" s="17" t="str">
        <f ca="1">IFERROR(__xludf.DUMMYFUNCTION("""COMPUTED_VALUE"""),"Telcel")</f>
        <v>Telcel</v>
      </c>
      <c r="I27" s="17" t="str">
        <f ca="1">IFERROR(__xludf.DUMMYFUNCTION("""COMPUTED_VALUE"""),"Sales")</f>
        <v>Sales</v>
      </c>
      <c r="J27" s="17" t="str">
        <f ca="1">IFERROR(__xludf.DUMMYFUNCTION("""COMPUTED_VALUE"""),"PO1953-INTERNET PROYECTO")</f>
        <v>PO1953-INTERNET PROYECTO</v>
      </c>
      <c r="K27" s="17"/>
      <c r="L27" s="17"/>
      <c r="M27" s="17"/>
      <c r="N27" s="17"/>
      <c r="O27" s="17"/>
    </row>
    <row r="28" spans="1:15" ht="12.5">
      <c r="A28" s="17" t="str">
        <f ca="1">IFERROR(__xludf.DUMMYFUNCTION("""COMPUTED_VALUE"""),"TRX1083")</f>
        <v>TRX1083</v>
      </c>
      <c r="B28" s="86" t="str">
        <f ca="1">IFERROR(__xludf.DUMMYFUNCTION("""COMPUTED_VALUE"""),"-")</f>
        <v>-</v>
      </c>
      <c r="C28" s="63">
        <f ca="1">IFERROR(__xludf.DUMMYFUNCTION("""COMPUTED_VALUE"""),46065.4166666666)</f>
        <v>46065.416666666599</v>
      </c>
      <c r="D28" s="65">
        <f ca="1">IFERROR(__xludf.DUMMYFUNCTION("""COMPUTED_VALUE"""),610)</f>
        <v>610</v>
      </c>
      <c r="E28" s="17" t="str">
        <f ca="1">IFERROR(__xludf.DUMMYFUNCTION("""COMPUTED_VALUE"""),"MXN")</f>
        <v>MXN</v>
      </c>
      <c r="F28" s="17" t="str">
        <f ca="1">IFERROR(__xludf.DUMMYFUNCTION("""COMPUTED_VALUE"""),"Jose Luis Ramirez Gonzalez")</f>
        <v>Jose Luis Ramirez Gonzalez</v>
      </c>
      <c r="G28" s="17" t="str">
        <f ca="1">IFERROR(__xludf.DUMMYFUNCTION("""COMPUTED_VALUE"""),"MERCADOPAGO *PASE      MIGUEL HIDALG MEX")</f>
        <v>MERCADOPAGO *PASE      MIGUEL HIDALG MEX</v>
      </c>
      <c r="H28" s="17" t="str">
        <f ca="1">IFERROR(__xludf.DUMMYFUNCTION("""COMPUTED_VALUE"""),"Mercadopago")</f>
        <v>Mercadopago</v>
      </c>
      <c r="I28" s="17" t="str">
        <f ca="1">IFERROR(__xludf.DUMMYFUNCTION("""COMPUTED_VALUE"""),"Sales")</f>
        <v>Sales</v>
      </c>
      <c r="J28" s="17" t="str">
        <f ca="1">IFERROR(__xludf.DUMMYFUNCTION("""COMPUTED_VALUE"""),"PO1953-CASETAS ")</f>
        <v xml:space="preserve">PO1953-CASETAS </v>
      </c>
      <c r="K28" s="134" t="str">
        <f ca="1">IFERROR(__xludf.DUMMYFUNCTION("""COMPUTED_VALUE"""),"95F1B372-98E9-41B1-9D7D-32949B9E847B")</f>
        <v>95F1B372-98E9-41B1-9D7D-32949B9E847B</v>
      </c>
      <c r="L28" s="17"/>
      <c r="M28" s="17"/>
      <c r="N28" s="17"/>
      <c r="O28" s="17"/>
    </row>
    <row r="29" spans="1:15" ht="12.5">
      <c r="A29" s="17" t="str">
        <f ca="1">IFERROR(__xludf.DUMMYFUNCTION("""COMPUTED_VALUE"""),"TRX1967")</f>
        <v>TRX1967</v>
      </c>
      <c r="B29" s="86" t="str">
        <f ca="1">IFERROR(__xludf.DUMMYFUNCTION("""COMPUTED_VALUE"""),"-")</f>
        <v>-</v>
      </c>
      <c r="C29" s="63">
        <f ca="1">IFERROR(__xludf.DUMMYFUNCTION("""COMPUTED_VALUE"""),46065.4166666666)</f>
        <v>46065.416666666599</v>
      </c>
      <c r="D29" s="65">
        <f ca="1">IFERROR(__xludf.DUMMYFUNCTION("""COMPUTED_VALUE"""),310)</f>
        <v>310</v>
      </c>
      <c r="E29" s="17" t="str">
        <f ca="1">IFERROR(__xludf.DUMMYFUNCTION("""COMPUTED_VALUE"""),"MXN")</f>
        <v>MXN</v>
      </c>
      <c r="F29" s="17" t="str">
        <f ca="1">IFERROR(__xludf.DUMMYFUNCTION("""COMPUTED_VALUE"""),"Jose Luis Ramirez Gonzalez")</f>
        <v>Jose Luis Ramirez Gonzalez</v>
      </c>
      <c r="G29" s="17" t="str">
        <f ca="1">IFERROR(__xludf.DUMMYFUNCTION("""COMPUTED_VALUE"""),"PITS CORTADITO TOLUCA  ALMOLOYA DE J MEX")</f>
        <v>PITS CORTADITO TOLUCA  ALMOLOYA DE J MEX</v>
      </c>
      <c r="H29" s="17" t="str">
        <f ca="1">IFERROR(__xludf.DUMMYFUNCTION("""COMPUTED_VALUE"""),"Pits Cortadito Toluca Almoloya De J Mex")</f>
        <v>Pits Cortadito Toluca Almoloya De J Mex</v>
      </c>
      <c r="I29" s="17" t="str">
        <f ca="1">IFERROR(__xludf.DUMMYFUNCTION("""COMPUTED_VALUE"""),"Sales")</f>
        <v>Sales</v>
      </c>
      <c r="J29" s="17" t="str">
        <f ca="1">IFERROR(__xludf.DUMMYFUNCTION("""COMPUTED_VALUE"""),"PO1953-DESAYUNO PERSONAL")</f>
        <v>PO1953-DESAYUNO PERSONAL</v>
      </c>
      <c r="K29" s="134" t="str">
        <f ca="1">IFERROR(__xludf.DUMMYFUNCTION("""COMPUTED_VALUE"""),"A3DCDA9D-E98D-FF48-BD63-AE7AA90E9759")</f>
        <v>A3DCDA9D-E98D-FF48-BD63-AE7AA90E9759</v>
      </c>
      <c r="L29" s="17"/>
      <c r="M29" s="17"/>
      <c r="N29" s="17"/>
      <c r="O29" s="17"/>
    </row>
    <row r="30" spans="1:15" ht="12.5">
      <c r="A30" s="17" t="str">
        <f ca="1">IFERROR(__xludf.DUMMYFUNCTION("""COMPUTED_VALUE"""),"TRX1191")</f>
        <v>TRX1191</v>
      </c>
      <c r="B30" s="86" t="str">
        <f ca="1">IFERROR(__xludf.DUMMYFUNCTION("""COMPUTED_VALUE"""),"-")</f>
        <v>-</v>
      </c>
      <c r="C30" s="63">
        <f ca="1">IFERROR(__xludf.DUMMYFUNCTION("""COMPUTED_VALUE"""),46065.4173611111)</f>
        <v>46065.417361111096</v>
      </c>
      <c r="D30" s="65">
        <f ca="1">IFERROR(__xludf.DUMMYFUNCTION("""COMPUTED_VALUE"""),450)</f>
        <v>450</v>
      </c>
      <c r="E30" s="17" t="str">
        <f ca="1">IFERROR(__xludf.DUMMYFUNCTION("""COMPUTED_VALUE"""),"MXN")</f>
        <v>MXN</v>
      </c>
      <c r="F30" s="17" t="str">
        <f ca="1">IFERROR(__xludf.DUMMYFUNCTION("""COMPUTED_VALUE"""),"Jose Luis Ramirez Gonzalez")</f>
        <v>Jose Luis Ramirez Gonzalez</v>
      </c>
      <c r="G30" s="17" t="str">
        <f ca="1">IFERROR(__xludf.DUMMYFUNCTION("""COMPUTED_VALUE"""),"OPENPAY*MERAKY         VALLE DE BRAV MEX")</f>
        <v>OPENPAY*MERAKY         VALLE DE BRAV MEX</v>
      </c>
      <c r="H30" s="17" t="str">
        <f ca="1">IFERROR(__xludf.DUMMYFUNCTION("""COMPUTED_VALUE"""),"Openpay UK")</f>
        <v>Openpay UK</v>
      </c>
      <c r="I30" s="17" t="str">
        <f ca="1">IFERROR(__xludf.DUMMYFUNCTION("""COMPUTED_VALUE"""),"Sales")</f>
        <v>Sales</v>
      </c>
      <c r="J30" s="17" t="str">
        <f ca="1">IFERROR(__xludf.DUMMYFUNCTION("""COMPUTED_VALUE"""),"PO1953- GASOLINA TRASLADO")</f>
        <v>PO1953- GASOLINA TRASLADO</v>
      </c>
      <c r="K30" s="17"/>
      <c r="L30" s="17"/>
      <c r="M30" s="17"/>
      <c r="N30" s="17"/>
      <c r="O30" s="17"/>
    </row>
    <row r="31" spans="1:15" ht="12.5">
      <c r="A31" s="17" t="str">
        <f ca="1">IFERROR(__xludf.DUMMYFUNCTION("""COMPUTED_VALUE"""),"TRX1449")</f>
        <v>TRX1449</v>
      </c>
      <c r="B31" s="86" t="str">
        <f ca="1">IFERROR(__xludf.DUMMYFUNCTION("""COMPUTED_VALUE"""),"-")</f>
        <v>-</v>
      </c>
      <c r="C31" s="63">
        <f ca="1">IFERROR(__xludf.DUMMYFUNCTION("""COMPUTED_VALUE"""),46065.4173611111)</f>
        <v>46065.417361111096</v>
      </c>
      <c r="D31" s="65">
        <f ca="1">IFERROR(__xludf.DUMMYFUNCTION("""COMPUTED_VALUE"""),25)</f>
        <v>25</v>
      </c>
      <c r="E31" s="17" t="str">
        <f ca="1">IFERROR(__xludf.DUMMYFUNCTION("""COMPUTED_VALUE"""),"MXN")</f>
        <v>MXN</v>
      </c>
      <c r="F31" s="17" t="str">
        <f ca="1">IFERROR(__xludf.DUMMYFUNCTION("""COMPUTED_VALUE"""),"Jose Luis Ramirez Gonzalez")</f>
        <v>Jose Luis Ramirez Gonzalez</v>
      </c>
      <c r="G31" s="17" t="str">
        <f ca="1">IFERROR(__xludf.DUMMYFUNCTION("""COMPUTED_VALUE"""),"TELCEL RECARGAS FONY   CIUDAD DE MEX MEX")</f>
        <v>TELCEL RECARGAS FONY   CIUDAD DE MEX MEX</v>
      </c>
      <c r="H31" s="17" t="str">
        <f ca="1">IFERROR(__xludf.DUMMYFUNCTION("""COMPUTED_VALUE"""),"Telcel")</f>
        <v>Telcel</v>
      </c>
      <c r="I31" s="17" t="str">
        <f ca="1">IFERROR(__xludf.DUMMYFUNCTION("""COMPUTED_VALUE"""),"Sales")</f>
        <v>Sales</v>
      </c>
      <c r="J31" s="17" t="str">
        <f ca="1">IFERROR(__xludf.DUMMYFUNCTION("""COMPUTED_VALUE"""),"PO1953-INTERNET PROYECTO")</f>
        <v>PO1953-INTERNET PROYECTO</v>
      </c>
      <c r="K31" s="17"/>
      <c r="L31" s="17"/>
      <c r="M31" s="17"/>
      <c r="N31" s="17"/>
      <c r="O31" s="17"/>
    </row>
    <row r="32" spans="1:15" ht="12.5">
      <c r="A32" s="17" t="str">
        <f ca="1">IFERROR(__xludf.DUMMYFUNCTION("""COMPUTED_VALUE"""),"TRX1570")</f>
        <v>TRX1570</v>
      </c>
      <c r="B32" s="86" t="str">
        <f ca="1">IFERROR(__xludf.DUMMYFUNCTION("""COMPUTED_VALUE"""),"-")</f>
        <v>-</v>
      </c>
      <c r="C32" s="63">
        <f ca="1">IFERROR(__xludf.DUMMYFUNCTION("""COMPUTED_VALUE"""),46065.4173611111)</f>
        <v>46065.417361111096</v>
      </c>
      <c r="D32" s="65">
        <f ca="1">IFERROR(__xludf.DUMMYFUNCTION("""COMPUTED_VALUE"""),25)</f>
        <v>25</v>
      </c>
      <c r="E32" s="17" t="str">
        <f ca="1">IFERROR(__xludf.DUMMYFUNCTION("""COMPUTED_VALUE"""),"MXN")</f>
        <v>MXN</v>
      </c>
      <c r="F32" s="17" t="str">
        <f ca="1">IFERROR(__xludf.DUMMYFUNCTION("""COMPUTED_VALUE"""),"Jose Luis Ramirez Gonzalez")</f>
        <v>Jose Luis Ramirez Gonzalez</v>
      </c>
      <c r="G32" s="17" t="str">
        <f ca="1">IFERROR(__xludf.DUMMYFUNCTION("""COMPUTED_VALUE"""),"TELCEL RECARGAS FONY   CIUDAD DE MEX MEX")</f>
        <v>TELCEL RECARGAS FONY   CIUDAD DE MEX MEX</v>
      </c>
      <c r="H32" s="17" t="str">
        <f ca="1">IFERROR(__xludf.DUMMYFUNCTION("""COMPUTED_VALUE"""),"Telcel")</f>
        <v>Telcel</v>
      </c>
      <c r="I32" s="17" t="str">
        <f ca="1">IFERROR(__xludf.DUMMYFUNCTION("""COMPUTED_VALUE"""),"Sales")</f>
        <v>Sales</v>
      </c>
      <c r="J32" s="17" t="str">
        <f ca="1">IFERROR(__xludf.DUMMYFUNCTION("""COMPUTED_VALUE"""),"PO1953-INTERNET PROYECTO")</f>
        <v>PO1953-INTERNET PROYECTO</v>
      </c>
      <c r="K32" s="17"/>
      <c r="L32" s="17"/>
      <c r="M32" s="17"/>
      <c r="N32" s="17"/>
      <c r="O32" s="17"/>
    </row>
    <row r="33" spans="1:15" ht="12.5">
      <c r="A33" s="17" t="str">
        <f ca="1">IFERROR(__xludf.DUMMYFUNCTION("""COMPUTED_VALUE"""),"TRX1951")</f>
        <v>TRX1951</v>
      </c>
      <c r="B33" s="86" t="str">
        <f ca="1">IFERROR(__xludf.DUMMYFUNCTION("""COMPUTED_VALUE"""),"-")</f>
        <v>-</v>
      </c>
      <c r="C33" s="63">
        <f ca="1">IFERROR(__xludf.DUMMYFUNCTION("""COMPUTED_VALUE"""),46066.4166666666)</f>
        <v>46066.416666666599</v>
      </c>
      <c r="D33" s="65">
        <f ca="1">IFERROR(__xludf.DUMMYFUNCTION("""COMPUTED_VALUE"""),755.7)</f>
        <v>755.7</v>
      </c>
      <c r="E33" s="17" t="str">
        <f ca="1">IFERROR(__xludf.DUMMYFUNCTION("""COMPUTED_VALUE"""),"MXN")</f>
        <v>MXN</v>
      </c>
      <c r="F33" s="17" t="str">
        <f ca="1">IFERROR(__xludf.DUMMYFUNCTION("""COMPUTED_VALUE"""),"Jose Luis Ramirez Gonzalez")</f>
        <v>Jose Luis Ramirez Gonzalez</v>
      </c>
      <c r="G33" s="17" t="str">
        <f ca="1">IFERROR(__xludf.DUMMYFUNCTION("""COMPUTED_VALUE"""),"GAS DUERO              TOLUCA EM     MEX")</f>
        <v>GAS DUERO              TOLUCA EM     MEX</v>
      </c>
      <c r="H33" s="17" t="str">
        <f ca="1">IFERROR(__xludf.DUMMYFUNCTION("""COMPUTED_VALUE"""),"Gas Duero Toluca Em Mex")</f>
        <v>Gas Duero Toluca Em Mex</v>
      </c>
      <c r="I33" s="17" t="str">
        <f ca="1">IFERROR(__xludf.DUMMYFUNCTION("""COMPUTED_VALUE"""),"Sales")</f>
        <v>Sales</v>
      </c>
      <c r="J33" s="17" t="str">
        <f ca="1">IFERROR(__xludf.DUMMYFUNCTION("""COMPUTED_VALUE"""),"PO1953- GASOLINA TRASLADO")</f>
        <v>PO1953- GASOLINA TRASLADO</v>
      </c>
      <c r="K33" s="134" t="str">
        <f ca="1">IFERROR(__xludf.DUMMYFUNCTION("""COMPUTED_VALUE"""),"8007AC82-3F57-417D-8D3B-1DCC03527AED")</f>
        <v>8007AC82-3F57-417D-8D3B-1DCC03527AED</v>
      </c>
      <c r="L33" s="17"/>
      <c r="M33" s="17"/>
      <c r="N33" s="17"/>
      <c r="O33" s="17"/>
    </row>
    <row r="34" spans="1:15" ht="12.5">
      <c r="A34" s="17" t="str">
        <f ca="1">IFERROR(__xludf.DUMMYFUNCTION("""COMPUTED_VALUE"""),"TRX1326")</f>
        <v>TRX1326</v>
      </c>
      <c r="B34" s="86" t="str">
        <f ca="1">IFERROR(__xludf.DUMMYFUNCTION("""COMPUTED_VALUE"""),"-")</f>
        <v>-</v>
      </c>
      <c r="C34" s="63">
        <f ca="1">IFERROR(__xludf.DUMMYFUNCTION("""COMPUTED_VALUE"""),46066.4166666666)</f>
        <v>46066.416666666599</v>
      </c>
      <c r="D34" s="65">
        <f ca="1">IFERROR(__xludf.DUMMYFUNCTION("""COMPUTED_VALUE"""),810)</f>
        <v>810</v>
      </c>
      <c r="E34" s="17" t="str">
        <f ca="1">IFERROR(__xludf.DUMMYFUNCTION("""COMPUTED_VALUE"""),"MXN")</f>
        <v>MXN</v>
      </c>
      <c r="F34" s="17" t="str">
        <f ca="1">IFERROR(__xludf.DUMMYFUNCTION("""COMPUTED_VALUE"""),"Jose Luis Ramirez Gonzalez")</f>
        <v>Jose Luis Ramirez Gonzalez</v>
      </c>
      <c r="G34" s="17" t="str">
        <f ca="1">IFERROR(__xludf.DUMMYFUNCTION("""COMPUTED_VALUE"""),"MERCADOPAGO *PASE      MIGUEL HIDALG MEX")</f>
        <v>MERCADOPAGO *PASE      MIGUEL HIDALG MEX</v>
      </c>
      <c r="H34" s="17" t="str">
        <f ca="1">IFERROR(__xludf.DUMMYFUNCTION("""COMPUTED_VALUE"""),"Mercadopago")</f>
        <v>Mercadopago</v>
      </c>
      <c r="I34" s="17" t="str">
        <f ca="1">IFERROR(__xludf.DUMMYFUNCTION("""COMPUTED_VALUE"""),"Sales")</f>
        <v>Sales</v>
      </c>
      <c r="J34" s="17" t="str">
        <f ca="1">IFERROR(__xludf.DUMMYFUNCTION("""COMPUTED_VALUE"""),"PO1953-CASETAS ")</f>
        <v xml:space="preserve">PO1953-CASETAS </v>
      </c>
      <c r="K34" s="134" t="str">
        <f ca="1">IFERROR(__xludf.DUMMYFUNCTION("""COMPUTED_VALUE"""),"5F4063CF-0974-44D9-BD44-E73FBA84D36C")</f>
        <v>5F4063CF-0974-44D9-BD44-E73FBA84D36C</v>
      </c>
      <c r="L34" s="17"/>
      <c r="M34" s="17"/>
      <c r="N34" s="17"/>
      <c r="O34" s="17"/>
    </row>
    <row r="35" spans="1:15" ht="12.5">
      <c r="A35" s="17" t="str">
        <f ca="1">IFERROR(__xludf.DUMMYFUNCTION("""COMPUTED_VALUE"""),"TRX1681")</f>
        <v>TRX1681</v>
      </c>
      <c r="B35" s="86" t="str">
        <f ca="1">IFERROR(__xludf.DUMMYFUNCTION("""COMPUTED_VALUE"""),"-")</f>
        <v>-</v>
      </c>
      <c r="C35" s="63">
        <f ca="1">IFERROR(__xludf.DUMMYFUNCTION("""COMPUTED_VALUE"""),46066.4173611111)</f>
        <v>46066.417361111096</v>
      </c>
      <c r="D35" s="65">
        <f ca="1">IFERROR(__xludf.DUMMYFUNCTION("""COMPUTED_VALUE"""),25)</f>
        <v>25</v>
      </c>
      <c r="E35" s="17" t="str">
        <f ca="1">IFERROR(__xludf.DUMMYFUNCTION("""COMPUTED_VALUE"""),"MXN")</f>
        <v>MXN</v>
      </c>
      <c r="F35" s="17" t="str">
        <f ca="1">IFERROR(__xludf.DUMMYFUNCTION("""COMPUTED_VALUE"""),"Jose Luis Ramirez Gonzalez")</f>
        <v>Jose Luis Ramirez Gonzalez</v>
      </c>
      <c r="G35" s="17" t="str">
        <f ca="1">IFERROR(__xludf.DUMMYFUNCTION("""COMPUTED_VALUE"""),"TELCEL RECARGAS FONY   CIUDAD DE MEX MEX")</f>
        <v>TELCEL RECARGAS FONY   CIUDAD DE MEX MEX</v>
      </c>
      <c r="H35" s="17" t="str">
        <f ca="1">IFERROR(__xludf.DUMMYFUNCTION("""COMPUTED_VALUE"""),"Telcel")</f>
        <v>Telcel</v>
      </c>
      <c r="I35" s="17" t="str">
        <f ca="1">IFERROR(__xludf.DUMMYFUNCTION("""COMPUTED_VALUE"""),"Sales")</f>
        <v>Sales</v>
      </c>
      <c r="J35" s="17" t="str">
        <f ca="1">IFERROR(__xludf.DUMMYFUNCTION("""COMPUTED_VALUE"""),"PO1953-INTERNET PROYECTO")</f>
        <v>PO1953-INTERNET PROYECTO</v>
      </c>
      <c r="K35" s="17"/>
      <c r="L35" s="17"/>
      <c r="M35" s="17"/>
      <c r="N35" s="17"/>
      <c r="O35" s="17"/>
    </row>
    <row r="36" spans="1:15" ht="12.5">
      <c r="A36" s="17" t="str">
        <f ca="1">IFERROR(__xludf.DUMMYFUNCTION("""COMPUTED_VALUE"""),"TRX1271")</f>
        <v>TRX1271</v>
      </c>
      <c r="B36" s="86" t="str">
        <f ca="1">IFERROR(__xludf.DUMMYFUNCTION("""COMPUTED_VALUE"""),"-")</f>
        <v>-</v>
      </c>
      <c r="C36" s="63">
        <f ca="1">IFERROR(__xludf.DUMMYFUNCTION("""COMPUTED_VALUE"""),46066.4173611111)</f>
        <v>46066.417361111096</v>
      </c>
      <c r="D36" s="65">
        <f ca="1">IFERROR(__xludf.DUMMYFUNCTION("""COMPUTED_VALUE"""),25)</f>
        <v>25</v>
      </c>
      <c r="E36" s="17" t="str">
        <f ca="1">IFERROR(__xludf.DUMMYFUNCTION("""COMPUTED_VALUE"""),"MXN")</f>
        <v>MXN</v>
      </c>
      <c r="F36" s="17" t="str">
        <f ca="1">IFERROR(__xludf.DUMMYFUNCTION("""COMPUTED_VALUE"""),"Jose Luis Ramirez Gonzalez")</f>
        <v>Jose Luis Ramirez Gonzalez</v>
      </c>
      <c r="G36" s="17" t="str">
        <f ca="1">IFERROR(__xludf.DUMMYFUNCTION("""COMPUTED_VALUE"""),"TELCEL RECARGAS FONY   CIUDAD DE MEX MEX")</f>
        <v>TELCEL RECARGAS FONY   CIUDAD DE MEX MEX</v>
      </c>
      <c r="H36" s="17" t="str">
        <f ca="1">IFERROR(__xludf.DUMMYFUNCTION("""COMPUTED_VALUE"""),"Telcel")</f>
        <v>Telcel</v>
      </c>
      <c r="I36" s="17" t="str">
        <f ca="1">IFERROR(__xludf.DUMMYFUNCTION("""COMPUTED_VALUE"""),"Sales")</f>
        <v>Sales</v>
      </c>
      <c r="J36" s="17" t="str">
        <f ca="1">IFERROR(__xludf.DUMMYFUNCTION("""COMPUTED_VALUE"""),"PO1953-INTERNET PROYECTO")</f>
        <v>PO1953-INTERNET PROYECTO</v>
      </c>
      <c r="K36" s="17"/>
      <c r="L36" s="17"/>
      <c r="M36" s="17"/>
      <c r="N36" s="17"/>
      <c r="O36" s="17"/>
    </row>
    <row r="37" spans="1:15" ht="12.5">
      <c r="A37" s="17" t="str">
        <f ca="1">IFERROR(__xludf.DUMMYFUNCTION("""COMPUTED_VALUE"""),"TRX1919")</f>
        <v>TRX1919</v>
      </c>
      <c r="B37" s="86" t="str">
        <f ca="1">IFERROR(__xludf.DUMMYFUNCTION("""COMPUTED_VALUE"""),"-")</f>
        <v>-</v>
      </c>
      <c r="C37" s="63">
        <f ca="1">IFERROR(__xludf.DUMMYFUNCTION("""COMPUTED_VALUE"""),46066.4173611111)</f>
        <v>46066.417361111096</v>
      </c>
      <c r="D37" s="65">
        <f ca="1">IFERROR(__xludf.DUMMYFUNCTION("""COMPUTED_VALUE"""),25)</f>
        <v>25</v>
      </c>
      <c r="E37" s="17" t="str">
        <f ca="1">IFERROR(__xludf.DUMMYFUNCTION("""COMPUTED_VALUE"""),"MXN")</f>
        <v>MXN</v>
      </c>
      <c r="F37" s="17" t="str">
        <f ca="1">IFERROR(__xludf.DUMMYFUNCTION("""COMPUTED_VALUE"""),"Jose Luis Ramirez Gonzalez")</f>
        <v>Jose Luis Ramirez Gonzalez</v>
      </c>
      <c r="G37" s="17" t="str">
        <f ca="1">IFERROR(__xludf.DUMMYFUNCTION("""COMPUTED_VALUE"""),"TELCEL RECARGAS FONY   CIUDAD DE MEX MEX")</f>
        <v>TELCEL RECARGAS FONY   CIUDAD DE MEX MEX</v>
      </c>
      <c r="H37" s="17" t="str">
        <f ca="1">IFERROR(__xludf.DUMMYFUNCTION("""COMPUTED_VALUE"""),"Telcel")</f>
        <v>Telcel</v>
      </c>
      <c r="I37" s="17" t="str">
        <f ca="1">IFERROR(__xludf.DUMMYFUNCTION("""COMPUTED_VALUE"""),"Sales")</f>
        <v>Sales</v>
      </c>
      <c r="J37" s="17" t="str">
        <f ca="1">IFERROR(__xludf.DUMMYFUNCTION("""COMPUTED_VALUE"""),"PO1953-INTERNET PROYECTO")</f>
        <v>PO1953-INTERNET PROYECTO</v>
      </c>
      <c r="K37" s="134" t="str">
        <f ca="1">IFERROR(__xludf.DUMMYFUNCTION("""COMPUTED_VALUE"""),".")</f>
        <v>.</v>
      </c>
      <c r="L37" s="17"/>
      <c r="M37" s="17"/>
      <c r="N37" s="17"/>
      <c r="O37" s="17"/>
    </row>
    <row r="38" spans="1:15" ht="12.5">
      <c r="A38" s="17" t="str">
        <f ca="1">IFERROR(__xludf.DUMMYFUNCTION("""COMPUTED_VALUE"""),"TRX1394")</f>
        <v>TRX1394</v>
      </c>
      <c r="B38" s="86" t="str">
        <f ca="1">IFERROR(__xludf.DUMMYFUNCTION("""COMPUTED_VALUE"""),"-")</f>
        <v>-</v>
      </c>
      <c r="C38" s="63">
        <f ca="1">IFERROR(__xludf.DUMMYFUNCTION("""COMPUTED_VALUE"""),46067.4166666666)</f>
        <v>46067.416666666599</v>
      </c>
      <c r="D38" s="65">
        <f ca="1">IFERROR(__xludf.DUMMYFUNCTION("""COMPUTED_VALUE"""),810)</f>
        <v>810</v>
      </c>
      <c r="E38" s="17" t="str">
        <f ca="1">IFERROR(__xludf.DUMMYFUNCTION("""COMPUTED_VALUE"""),"MXN")</f>
        <v>MXN</v>
      </c>
      <c r="F38" s="17" t="str">
        <f ca="1">IFERROR(__xludf.DUMMYFUNCTION("""COMPUTED_VALUE"""),"Jose Luis Ramirez Gonzalez")</f>
        <v>Jose Luis Ramirez Gonzalez</v>
      </c>
      <c r="G38" s="17" t="str">
        <f ca="1">IFERROR(__xludf.DUMMYFUNCTION("""COMPUTED_VALUE"""),"MERCADOPAGO *PASE      MIGUEL HIDALG MEX")</f>
        <v>MERCADOPAGO *PASE      MIGUEL HIDALG MEX</v>
      </c>
      <c r="H38" s="17" t="str">
        <f ca="1">IFERROR(__xludf.DUMMYFUNCTION("""COMPUTED_VALUE"""),"Mercadopago")</f>
        <v>Mercadopago</v>
      </c>
      <c r="I38" s="17" t="str">
        <f ca="1">IFERROR(__xludf.DUMMYFUNCTION("""COMPUTED_VALUE"""),"Sales")</f>
        <v>Sales</v>
      </c>
      <c r="J38" s="17" t="str">
        <f ca="1">IFERROR(__xludf.DUMMYFUNCTION("""COMPUTED_VALUE"""),"PO1953-CASETAS ")</f>
        <v xml:space="preserve">PO1953-CASETAS </v>
      </c>
      <c r="K38" s="134" t="str">
        <f ca="1">IFERROR(__xludf.DUMMYFUNCTION("""COMPUTED_VALUE"""),"6C443E97-D56E-43F6-A27B-A96702C8388B")</f>
        <v>6C443E97-D56E-43F6-A27B-A96702C8388B</v>
      </c>
      <c r="L38" s="17"/>
      <c r="M38" s="17"/>
      <c r="N38" s="17"/>
      <c r="O38" s="17"/>
    </row>
    <row r="39" spans="1:15" ht="12.5">
      <c r="A39" s="17" t="str">
        <f ca="1">IFERROR(__xludf.DUMMYFUNCTION("""COMPUTED_VALUE"""),"TRX1223")</f>
        <v>TRX1223</v>
      </c>
      <c r="B39" s="86" t="str">
        <f ca="1">IFERROR(__xludf.DUMMYFUNCTION("""COMPUTED_VALUE"""),"-")</f>
        <v>-</v>
      </c>
      <c r="C39" s="63">
        <f ca="1">IFERROR(__xludf.DUMMYFUNCTION("""COMPUTED_VALUE"""),46067.4166666666)</f>
        <v>46067.416666666599</v>
      </c>
      <c r="D39" s="65">
        <f ca="1">IFERROR(__xludf.DUMMYFUNCTION("""COMPUTED_VALUE"""),755.7)</f>
        <v>755.7</v>
      </c>
      <c r="E39" s="17" t="str">
        <f ca="1">IFERROR(__xludf.DUMMYFUNCTION("""COMPUTED_VALUE"""),"MXN")</f>
        <v>MXN</v>
      </c>
      <c r="F39" s="17" t="str">
        <f ca="1">IFERROR(__xludf.DUMMYFUNCTION("""COMPUTED_VALUE"""),"Jose Luis Ramirez Gonzalez")</f>
        <v>Jose Luis Ramirez Gonzalez</v>
      </c>
      <c r="G39" s="17" t="str">
        <f ca="1">IFERROR(__xludf.DUMMYFUNCTION("""COMPUTED_VALUE"""),"GAS DUERO              TOLUCA EM     MEX")</f>
        <v>GAS DUERO              TOLUCA EM     MEX</v>
      </c>
      <c r="H39" s="17" t="str">
        <f ca="1">IFERROR(__xludf.DUMMYFUNCTION("""COMPUTED_VALUE"""),"Gas Duero Toluca Em Mex")</f>
        <v>Gas Duero Toluca Em Mex</v>
      </c>
      <c r="I39" s="17" t="str">
        <f ca="1">IFERROR(__xludf.DUMMYFUNCTION("""COMPUTED_VALUE"""),"Sales")</f>
        <v>Sales</v>
      </c>
      <c r="J39" s="17" t="str">
        <f ca="1">IFERROR(__xludf.DUMMYFUNCTION("""COMPUTED_VALUE"""),"PO1953- GASOLINA TRASLADO")</f>
        <v>PO1953- GASOLINA TRASLADO</v>
      </c>
      <c r="K39" s="134" t="str">
        <f ca="1">IFERROR(__xludf.DUMMYFUNCTION("""COMPUTED_VALUE"""),".")</f>
        <v>.</v>
      </c>
      <c r="L39" s="17"/>
      <c r="M39" s="17"/>
      <c r="N39" s="17"/>
      <c r="O39" s="17"/>
    </row>
    <row r="40" spans="1:15" ht="12.5">
      <c r="A40" s="17" t="str">
        <f ca="1">IFERROR(__xludf.DUMMYFUNCTION("""COMPUTED_VALUE"""),"TRX1725")</f>
        <v>TRX1725</v>
      </c>
      <c r="B40" s="86" t="str">
        <f ca="1">IFERROR(__xludf.DUMMYFUNCTION("""COMPUTED_VALUE"""),"-")</f>
        <v>-</v>
      </c>
      <c r="C40" s="63">
        <f ca="1">IFERROR(__xludf.DUMMYFUNCTION("""COMPUTED_VALUE"""),46067.4173611111)</f>
        <v>46067.417361111096</v>
      </c>
      <c r="D40" s="65">
        <f ca="1">IFERROR(__xludf.DUMMYFUNCTION("""COMPUTED_VALUE"""),25)</f>
        <v>25</v>
      </c>
      <c r="E40" s="17" t="str">
        <f ca="1">IFERROR(__xludf.DUMMYFUNCTION("""COMPUTED_VALUE"""),"MXN")</f>
        <v>MXN</v>
      </c>
      <c r="F40" s="17" t="str">
        <f ca="1">IFERROR(__xludf.DUMMYFUNCTION("""COMPUTED_VALUE"""),"Jose Luis Ramirez Gonzalez")</f>
        <v>Jose Luis Ramirez Gonzalez</v>
      </c>
      <c r="G40" s="17" t="str">
        <f ca="1">IFERROR(__xludf.DUMMYFUNCTION("""COMPUTED_VALUE"""),"TELCEL RECARGAS FONY   CIUDAD DE MEX MEX")</f>
        <v>TELCEL RECARGAS FONY   CIUDAD DE MEX MEX</v>
      </c>
      <c r="H40" s="17" t="str">
        <f ca="1">IFERROR(__xludf.DUMMYFUNCTION("""COMPUTED_VALUE"""),"Telcel")</f>
        <v>Telcel</v>
      </c>
      <c r="I40" s="17" t="str">
        <f ca="1">IFERROR(__xludf.DUMMYFUNCTION("""COMPUTED_VALUE"""),"Sales")</f>
        <v>Sales</v>
      </c>
      <c r="J40" s="17" t="str">
        <f ca="1">IFERROR(__xludf.DUMMYFUNCTION("""COMPUTED_VALUE"""),"PO1953-INTERNET PROYECTO")</f>
        <v>PO1953-INTERNET PROYECTO</v>
      </c>
      <c r="K40" s="134" t="str">
        <f ca="1">IFERROR(__xludf.DUMMYFUNCTION("""COMPUTED_VALUE"""),".")</f>
        <v>.</v>
      </c>
      <c r="L40" s="17"/>
      <c r="M40" s="17"/>
      <c r="N40" s="17"/>
      <c r="O40" s="17"/>
    </row>
    <row r="41" spans="1:15" ht="12.5">
      <c r="A41" s="17" t="str">
        <f ca="1">IFERROR(__xludf.DUMMYFUNCTION("""COMPUTED_VALUE"""),"TRX1793")</f>
        <v>TRX1793</v>
      </c>
      <c r="B41" s="86" t="str">
        <f ca="1">IFERROR(__xludf.DUMMYFUNCTION("""COMPUTED_VALUE"""),"-")</f>
        <v>-</v>
      </c>
      <c r="C41" s="63">
        <f ca="1">IFERROR(__xludf.DUMMYFUNCTION("""COMPUTED_VALUE"""),46067.4173611111)</f>
        <v>46067.417361111096</v>
      </c>
      <c r="D41" s="65">
        <f ca="1">IFERROR(__xludf.DUMMYFUNCTION("""COMPUTED_VALUE"""),25)</f>
        <v>25</v>
      </c>
      <c r="E41" s="17" t="str">
        <f ca="1">IFERROR(__xludf.DUMMYFUNCTION("""COMPUTED_VALUE"""),"MXN")</f>
        <v>MXN</v>
      </c>
      <c r="F41" s="17" t="str">
        <f ca="1">IFERROR(__xludf.DUMMYFUNCTION("""COMPUTED_VALUE"""),"Jose Luis Ramirez Gonzalez")</f>
        <v>Jose Luis Ramirez Gonzalez</v>
      </c>
      <c r="G41" s="17" t="str">
        <f ca="1">IFERROR(__xludf.DUMMYFUNCTION("""COMPUTED_VALUE"""),"TELCEL RECARGAS FONY   CIUDAD DE MEX MEX")</f>
        <v>TELCEL RECARGAS FONY   CIUDAD DE MEX MEX</v>
      </c>
      <c r="H41" s="17" t="str">
        <f ca="1">IFERROR(__xludf.DUMMYFUNCTION("""COMPUTED_VALUE"""),"Telcel")</f>
        <v>Telcel</v>
      </c>
      <c r="I41" s="17" t="str">
        <f ca="1">IFERROR(__xludf.DUMMYFUNCTION("""COMPUTED_VALUE"""),"Sales")</f>
        <v>Sales</v>
      </c>
      <c r="J41" s="17" t="str">
        <f ca="1">IFERROR(__xludf.DUMMYFUNCTION("""COMPUTED_VALUE"""),"PO1953-INTERNET PROYECTO")</f>
        <v>PO1953-INTERNET PROYECTO</v>
      </c>
      <c r="K41" s="134" t="str">
        <f ca="1">IFERROR(__xludf.DUMMYFUNCTION("""COMPUTED_VALUE"""),".")</f>
        <v>.</v>
      </c>
      <c r="L41" s="17"/>
      <c r="M41" s="17"/>
      <c r="N41" s="17"/>
      <c r="O41" s="17"/>
    </row>
    <row r="42" spans="1:15" ht="12.5">
      <c r="A42" s="17" t="str">
        <f ca="1">IFERROR(__xludf.DUMMYFUNCTION("""COMPUTED_VALUE"""),"TRX1414")</f>
        <v>TRX1414</v>
      </c>
      <c r="B42" s="86" t="str">
        <f ca="1">IFERROR(__xludf.DUMMYFUNCTION("""COMPUTED_VALUE"""),"-")</f>
        <v>-</v>
      </c>
      <c r="C42" s="63">
        <f ca="1">IFERROR(__xludf.DUMMYFUNCTION("""COMPUTED_VALUE"""),46067.4173611111)</f>
        <v>46067.417361111096</v>
      </c>
      <c r="D42" s="65">
        <f ca="1">IFERROR(__xludf.DUMMYFUNCTION("""COMPUTED_VALUE"""),15)</f>
        <v>15</v>
      </c>
      <c r="E42" s="17" t="str">
        <f ca="1">IFERROR(__xludf.DUMMYFUNCTION("""COMPUTED_VALUE"""),"MXN")</f>
        <v>MXN</v>
      </c>
      <c r="F42" s="17" t="str">
        <f ca="1">IFERROR(__xludf.DUMMYFUNCTION("""COMPUTED_VALUE"""),"Jose Luis Ramirez Gonzalez")</f>
        <v>Jose Luis Ramirez Gonzalez</v>
      </c>
      <c r="G42" s="17" t="str">
        <f ca="1">IFERROR(__xludf.DUMMYFUNCTION("""COMPUTED_VALUE"""),"TELCEL RECARGAS FONY   CIUDAD DE MEX MEX")</f>
        <v>TELCEL RECARGAS FONY   CIUDAD DE MEX MEX</v>
      </c>
      <c r="H42" s="17" t="str">
        <f ca="1">IFERROR(__xludf.DUMMYFUNCTION("""COMPUTED_VALUE"""),"Telcel")</f>
        <v>Telcel</v>
      </c>
      <c r="I42" s="17" t="str">
        <f ca="1">IFERROR(__xludf.DUMMYFUNCTION("""COMPUTED_VALUE"""),"Sales")</f>
        <v>Sales</v>
      </c>
      <c r="J42" s="17" t="str">
        <f ca="1">IFERROR(__xludf.DUMMYFUNCTION("""COMPUTED_VALUE"""),"PO1953-INTERNET PROYECTO")</f>
        <v>PO1953-INTERNET PROYECTO</v>
      </c>
      <c r="K42" s="134" t="str">
        <f ca="1">IFERROR(__xludf.DUMMYFUNCTION("""COMPUTED_VALUE"""),".")</f>
        <v>.</v>
      </c>
      <c r="L42" s="17"/>
      <c r="M42" s="17"/>
      <c r="N42" s="17"/>
      <c r="O42" s="17"/>
    </row>
    <row r="43" spans="1:15" ht="12.5">
      <c r="A43" s="17" t="str">
        <f ca="1">IFERROR(__xludf.DUMMYFUNCTION("""COMPUTED_VALUE"""),"TRX1947")</f>
        <v>TRX1947</v>
      </c>
      <c r="B43" s="86" t="str">
        <f ca="1">IFERROR(__xludf.DUMMYFUNCTION("""COMPUTED_VALUE"""),"-")</f>
        <v>-</v>
      </c>
      <c r="C43" s="63">
        <f ca="1">IFERROR(__xludf.DUMMYFUNCTION("""COMPUTED_VALUE"""),46068.4166666666)</f>
        <v>46068.416666666599</v>
      </c>
      <c r="D43" s="65">
        <f ca="1">IFERROR(__xludf.DUMMYFUNCTION("""COMPUTED_VALUE"""),382.35)</f>
        <v>382.35</v>
      </c>
      <c r="E43" s="17" t="str">
        <f ca="1">IFERROR(__xludf.DUMMYFUNCTION("""COMPUTED_VALUE"""),"MXN")</f>
        <v>MXN</v>
      </c>
      <c r="F43" s="17" t="str">
        <f ca="1">IFERROR(__xludf.DUMMYFUNCTION("""COMPUTED_VALUE"""),"Jose Luis Ramirez Gonzalez")</f>
        <v>Jose Luis Ramirez Gonzalez</v>
      </c>
      <c r="G43" s="17" t="str">
        <f ca="1">IFERROR(__xludf.DUMMYFUNCTION("""COMPUTED_VALUE"""),"GASOL ES 06481         TOLUCA EM     MEX")</f>
        <v>GASOL ES 06481         TOLUCA EM     MEX</v>
      </c>
      <c r="H43" s="17" t="str">
        <f ca="1">IFERROR(__xludf.DUMMYFUNCTION("""COMPUTED_VALUE"""),"Gasol Es Toluca Em Mex")</f>
        <v>Gasol Es Toluca Em Mex</v>
      </c>
      <c r="I43" s="17" t="str">
        <f ca="1">IFERROR(__xludf.DUMMYFUNCTION("""COMPUTED_VALUE"""),"Sales")</f>
        <v>Sales</v>
      </c>
      <c r="J43" s="17" t="str">
        <f ca="1">IFERROR(__xludf.DUMMYFUNCTION("""COMPUTED_VALUE"""),"PO1953- GASOLINA TRASLADO")</f>
        <v>PO1953- GASOLINA TRASLADO</v>
      </c>
      <c r="K43" s="134" t="str">
        <f ca="1">IFERROR(__xludf.DUMMYFUNCTION("""COMPUTED_VALUE"""),"B5671201-B519-4867-B65A-91E107946280")</f>
        <v>B5671201-B519-4867-B65A-91E107946280</v>
      </c>
      <c r="L43" s="17"/>
      <c r="M43" s="17"/>
      <c r="N43" s="17"/>
      <c r="O43" s="17"/>
    </row>
    <row r="44" spans="1:15" ht="12.5">
      <c r="A44" s="17" t="str">
        <f ca="1">IFERROR(__xludf.DUMMYFUNCTION("""COMPUTED_VALUE"""),"TRX1075")</f>
        <v>TRX1075</v>
      </c>
      <c r="B44" s="86" t="str">
        <f ca="1">IFERROR(__xludf.DUMMYFUNCTION("""COMPUTED_VALUE"""),"-")</f>
        <v>-</v>
      </c>
      <c r="C44" s="63">
        <f ca="1">IFERROR(__xludf.DUMMYFUNCTION("""COMPUTED_VALUE"""),46068.4166666666)</f>
        <v>46068.416666666599</v>
      </c>
      <c r="D44" s="65">
        <f ca="1">IFERROR(__xludf.DUMMYFUNCTION("""COMPUTED_VALUE"""),810)</f>
        <v>810</v>
      </c>
      <c r="E44" s="17" t="str">
        <f ca="1">IFERROR(__xludf.DUMMYFUNCTION("""COMPUTED_VALUE"""),"MXN")</f>
        <v>MXN</v>
      </c>
      <c r="F44" s="17" t="str">
        <f ca="1">IFERROR(__xludf.DUMMYFUNCTION("""COMPUTED_VALUE"""),"Jose Luis Ramirez Gonzalez")</f>
        <v>Jose Luis Ramirez Gonzalez</v>
      </c>
      <c r="G44" s="17" t="str">
        <f ca="1">IFERROR(__xludf.DUMMYFUNCTION("""COMPUTED_VALUE"""),"MERCADOPAGO *PASE      MIGUEL HIDALG MEX")</f>
        <v>MERCADOPAGO *PASE      MIGUEL HIDALG MEX</v>
      </c>
      <c r="H44" s="17" t="str">
        <f ca="1">IFERROR(__xludf.DUMMYFUNCTION("""COMPUTED_VALUE"""),"Mercadopago")</f>
        <v>Mercadopago</v>
      </c>
      <c r="I44" s="17" t="str">
        <f ca="1">IFERROR(__xludf.DUMMYFUNCTION("""COMPUTED_VALUE"""),"Sales")</f>
        <v>Sales</v>
      </c>
      <c r="J44" s="17" t="str">
        <f ca="1">IFERROR(__xludf.DUMMYFUNCTION("""COMPUTED_VALUE"""),"PO1953-CASETAS ")</f>
        <v xml:space="preserve">PO1953-CASETAS </v>
      </c>
      <c r="K44" s="134" t="str">
        <f ca="1">IFERROR(__xludf.DUMMYFUNCTION("""COMPUTED_VALUE"""),"367913D7-CF6F-4EC7-8480-5E6C66D89B5A")</f>
        <v>367913D7-CF6F-4EC7-8480-5E6C66D89B5A</v>
      </c>
      <c r="L44" s="17"/>
      <c r="M44" s="17"/>
      <c r="N44" s="17"/>
      <c r="O44" s="17"/>
    </row>
    <row r="45" spans="1:15" ht="12.5">
      <c r="A45" s="17" t="str">
        <f ca="1">IFERROR(__xludf.DUMMYFUNCTION("""COMPUTED_VALUE"""),"TRX1665")</f>
        <v>TRX1665</v>
      </c>
      <c r="B45" s="86" t="str">
        <f ca="1">IFERROR(__xludf.DUMMYFUNCTION("""COMPUTED_VALUE"""),"-")</f>
        <v>-</v>
      </c>
      <c r="C45" s="63">
        <f ca="1">IFERROR(__xludf.DUMMYFUNCTION("""COMPUTED_VALUE"""),46068.4173611111)</f>
        <v>46068.417361111096</v>
      </c>
      <c r="D45" s="65">
        <f ca="1">IFERROR(__xludf.DUMMYFUNCTION("""COMPUTED_VALUE"""),25)</f>
        <v>25</v>
      </c>
      <c r="E45" s="17" t="str">
        <f ca="1">IFERROR(__xludf.DUMMYFUNCTION("""COMPUTED_VALUE"""),"MXN")</f>
        <v>MXN</v>
      </c>
      <c r="F45" s="17" t="str">
        <f ca="1">IFERROR(__xludf.DUMMYFUNCTION("""COMPUTED_VALUE"""),"Jose Luis Ramirez Gonzalez")</f>
        <v>Jose Luis Ramirez Gonzalez</v>
      </c>
      <c r="G45" s="17" t="str">
        <f ca="1">IFERROR(__xludf.DUMMYFUNCTION("""COMPUTED_VALUE"""),"TELCEL RECARGAS FONY   CIUDAD DE MEX MEX")</f>
        <v>TELCEL RECARGAS FONY   CIUDAD DE MEX MEX</v>
      </c>
      <c r="H45" s="17" t="str">
        <f ca="1">IFERROR(__xludf.DUMMYFUNCTION("""COMPUTED_VALUE"""),"Telcel")</f>
        <v>Telcel</v>
      </c>
      <c r="I45" s="17" t="str">
        <f ca="1">IFERROR(__xludf.DUMMYFUNCTION("""COMPUTED_VALUE"""),"Sales")</f>
        <v>Sales</v>
      </c>
      <c r="J45" s="17" t="str">
        <f ca="1">IFERROR(__xludf.DUMMYFUNCTION("""COMPUTED_VALUE"""),"PO1953-INTERNET PROYECTO")</f>
        <v>PO1953-INTERNET PROYECTO</v>
      </c>
      <c r="K45" s="134" t="str">
        <f ca="1">IFERROR(__xludf.DUMMYFUNCTION("""COMPUTED_VALUE"""),".")</f>
        <v>.</v>
      </c>
      <c r="L45" s="17"/>
      <c r="M45" s="17"/>
      <c r="N45" s="17"/>
      <c r="O45" s="17"/>
    </row>
    <row r="46" spans="1:15" ht="12.5">
      <c r="A46" s="17" t="str">
        <f ca="1">IFERROR(__xludf.DUMMYFUNCTION("""COMPUTED_VALUE"""),"TRX1986")</f>
        <v>TRX1986</v>
      </c>
      <c r="B46" s="86" t="str">
        <f ca="1">IFERROR(__xludf.DUMMYFUNCTION("""COMPUTED_VALUE"""),"-")</f>
        <v>-</v>
      </c>
      <c r="C46" s="63">
        <f ca="1">IFERROR(__xludf.DUMMYFUNCTION("""COMPUTED_VALUE"""),46068.4173611111)</f>
        <v>46068.417361111096</v>
      </c>
      <c r="D46" s="65">
        <f ca="1">IFERROR(__xludf.DUMMYFUNCTION("""COMPUTED_VALUE"""),25)</f>
        <v>25</v>
      </c>
      <c r="E46" s="17" t="str">
        <f ca="1">IFERROR(__xludf.DUMMYFUNCTION("""COMPUTED_VALUE"""),"MXN")</f>
        <v>MXN</v>
      </c>
      <c r="F46" s="17" t="str">
        <f ca="1">IFERROR(__xludf.DUMMYFUNCTION("""COMPUTED_VALUE"""),"Jose Luis Ramirez Gonzalez")</f>
        <v>Jose Luis Ramirez Gonzalez</v>
      </c>
      <c r="G46" s="17" t="str">
        <f ca="1">IFERROR(__xludf.DUMMYFUNCTION("""COMPUTED_VALUE"""),"TELCEL RECARGAS FONY   CIUDAD DE MEX MEX")</f>
        <v>TELCEL RECARGAS FONY   CIUDAD DE MEX MEX</v>
      </c>
      <c r="H46" s="17" t="str">
        <f ca="1">IFERROR(__xludf.DUMMYFUNCTION("""COMPUTED_VALUE"""),"Telcel")</f>
        <v>Telcel</v>
      </c>
      <c r="I46" s="17" t="str">
        <f ca="1">IFERROR(__xludf.DUMMYFUNCTION("""COMPUTED_VALUE"""),"Sales")</f>
        <v>Sales</v>
      </c>
      <c r="J46" s="17" t="str">
        <f ca="1">IFERROR(__xludf.DUMMYFUNCTION("""COMPUTED_VALUE"""),"PO1953-INTERNET PROYECTO")</f>
        <v>PO1953-INTERNET PROYECTO</v>
      </c>
      <c r="K46" s="134" t="str">
        <f ca="1">IFERROR(__xludf.DUMMYFUNCTION("""COMPUTED_VALUE"""),".")</f>
        <v>.</v>
      </c>
      <c r="L46" s="17"/>
      <c r="M46" s="17"/>
      <c r="N46" s="17"/>
      <c r="O46" s="17"/>
    </row>
    <row r="47" spans="1:15" ht="12.5">
      <c r="A47" s="17" t="str">
        <f ca="1">IFERROR(__xludf.DUMMYFUNCTION("""COMPUTED_VALUE"""),"TRX1785")</f>
        <v>TRX1785</v>
      </c>
      <c r="B47" s="86" t="str">
        <f ca="1">IFERROR(__xludf.DUMMYFUNCTION("""COMPUTED_VALUE"""),"-")</f>
        <v>-</v>
      </c>
      <c r="C47" s="63">
        <f ca="1">IFERROR(__xludf.DUMMYFUNCTION("""COMPUTED_VALUE"""),46068.4173611111)</f>
        <v>46068.417361111096</v>
      </c>
      <c r="D47" s="65">
        <f ca="1">IFERROR(__xludf.DUMMYFUNCTION("""COMPUTED_VALUE"""),25)</f>
        <v>25</v>
      </c>
      <c r="E47" s="17" t="str">
        <f ca="1">IFERROR(__xludf.DUMMYFUNCTION("""COMPUTED_VALUE"""),"MXN")</f>
        <v>MXN</v>
      </c>
      <c r="F47" s="17" t="str">
        <f ca="1">IFERROR(__xludf.DUMMYFUNCTION("""COMPUTED_VALUE"""),"Jose Luis Ramirez Gonzalez")</f>
        <v>Jose Luis Ramirez Gonzalez</v>
      </c>
      <c r="G47" s="17" t="str">
        <f ca="1">IFERROR(__xludf.DUMMYFUNCTION("""COMPUTED_VALUE"""),"TELCEL RECARGAS FONY   CIUDAD DE MEX MEX")</f>
        <v>TELCEL RECARGAS FONY   CIUDAD DE MEX MEX</v>
      </c>
      <c r="H47" s="17" t="str">
        <f ca="1">IFERROR(__xludf.DUMMYFUNCTION("""COMPUTED_VALUE"""),"Telcel")</f>
        <v>Telcel</v>
      </c>
      <c r="I47" s="17" t="str">
        <f ca="1">IFERROR(__xludf.DUMMYFUNCTION("""COMPUTED_VALUE"""),"Sales")</f>
        <v>Sales</v>
      </c>
      <c r="J47" s="17" t="str">
        <f ca="1">IFERROR(__xludf.DUMMYFUNCTION("""COMPUTED_VALUE"""),"PO1953-INTERNET PROYECTO")</f>
        <v>PO1953-INTERNET PROYECTO</v>
      </c>
      <c r="K47" s="134" t="str">
        <f ca="1">IFERROR(__xludf.DUMMYFUNCTION("""COMPUTED_VALUE"""),".")</f>
        <v>.</v>
      </c>
      <c r="L47" s="17"/>
      <c r="M47" s="17"/>
      <c r="N47" s="17"/>
      <c r="O47" s="17"/>
    </row>
    <row r="48" spans="1:15" ht="12.5">
      <c r="A48" s="17" t="str">
        <f ca="1">IFERROR(__xludf.DUMMYFUNCTION("""COMPUTED_VALUE"""),"TRX1062")</f>
        <v>TRX1062</v>
      </c>
      <c r="B48" s="86" t="str">
        <f ca="1">IFERROR(__xludf.DUMMYFUNCTION("""COMPUTED_VALUE"""),"-")</f>
        <v>-</v>
      </c>
      <c r="C48" s="63">
        <f ca="1">IFERROR(__xludf.DUMMYFUNCTION("""COMPUTED_VALUE"""),46068.4173611111)</f>
        <v>46068.417361111096</v>
      </c>
      <c r="D48" s="65">
        <f ca="1">IFERROR(__xludf.DUMMYFUNCTION("""COMPUTED_VALUE"""),402.6)</f>
        <v>402.6</v>
      </c>
      <c r="E48" s="17" t="str">
        <f ca="1">IFERROR(__xludf.DUMMYFUNCTION("""COMPUTED_VALUE"""),"MXN")</f>
        <v>MXN</v>
      </c>
      <c r="F48" s="17" t="str">
        <f ca="1">IFERROR(__xludf.DUMMYFUNCTION("""COMPUTED_VALUE"""),"Jose Luis Ramirez Gonzalez")</f>
        <v>Jose Luis Ramirez Gonzalez</v>
      </c>
      <c r="G48" s="17" t="str">
        <f ca="1">IFERROR(__xludf.DUMMYFUNCTION("""COMPUTED_VALUE"""),"SUSHI VALLE DE BRAVO   VALLE DE BRAV MEX")</f>
        <v>SUSHI VALLE DE BRAVO   VALLE DE BRAV MEX</v>
      </c>
      <c r="H48" s="17" t="str">
        <f ca="1">IFERROR(__xludf.DUMMYFUNCTION("""COMPUTED_VALUE"""),"Sushi Valle De Bravo Valle De Brav Mex")</f>
        <v>Sushi Valle De Bravo Valle De Brav Mex</v>
      </c>
      <c r="I48" s="17" t="str">
        <f ca="1">IFERROR(__xludf.DUMMYFUNCTION("""COMPUTED_VALUE"""),"Sales")</f>
        <v>Sales</v>
      </c>
      <c r="J48" s="17" t="str">
        <f ca="1">IFERROR(__xludf.DUMMYFUNCTION("""COMPUTED_VALUE"""),"PO1953-comida viernes personal ")</f>
        <v xml:space="preserve">PO1953-comida viernes personal </v>
      </c>
      <c r="K48" s="134" t="str">
        <f ca="1">IFERROR(__xludf.DUMMYFUNCTION("""COMPUTED_VALUE"""),"B5671201-B519-4867-B65A-91E107946280")</f>
        <v>B5671201-B519-4867-B65A-91E107946280</v>
      </c>
      <c r="L48" s="17"/>
      <c r="M48" s="17"/>
      <c r="N48" s="17"/>
      <c r="O48" s="17"/>
    </row>
    <row r="49" spans="1:15" ht="12.5">
      <c r="A49" s="17" t="str">
        <f ca="1">IFERROR(__xludf.DUMMYFUNCTION("""COMPUTED_VALUE"""),"TRX1716")</f>
        <v>TRX1716</v>
      </c>
      <c r="B49" s="86" t="str">
        <f ca="1">IFERROR(__xludf.DUMMYFUNCTION("""COMPUTED_VALUE"""),"-")</f>
        <v>-</v>
      </c>
      <c r="C49" s="63">
        <f ca="1">IFERROR(__xludf.DUMMYFUNCTION("""COMPUTED_VALUE"""),46069.4166666666)</f>
        <v>46069.416666666599</v>
      </c>
      <c r="D49" s="65">
        <f ca="1">IFERROR(__xludf.DUMMYFUNCTION("""COMPUTED_VALUE"""),382.35)</f>
        <v>382.35</v>
      </c>
      <c r="E49" s="17" t="str">
        <f ca="1">IFERROR(__xludf.DUMMYFUNCTION("""COMPUTED_VALUE"""),"MXN")</f>
        <v>MXN</v>
      </c>
      <c r="F49" s="17" t="str">
        <f ca="1">IFERROR(__xludf.DUMMYFUNCTION("""COMPUTED_VALUE"""),"Jose Luis Ramirez Gonzalez")</f>
        <v>Jose Luis Ramirez Gonzalez</v>
      </c>
      <c r="G49" s="17" t="str">
        <f ca="1">IFERROR(__xludf.DUMMYFUNCTION("""COMPUTED_VALUE"""),"GASOL ES 06481         TOLUCA EM     MEX")</f>
        <v>GASOL ES 06481         TOLUCA EM     MEX</v>
      </c>
      <c r="H49" s="17" t="str">
        <f ca="1">IFERROR(__xludf.DUMMYFUNCTION("""COMPUTED_VALUE"""),"Gasol Es Toluca Em Mex")</f>
        <v>Gasol Es Toluca Em Mex</v>
      </c>
      <c r="I49" s="17" t="str">
        <f ca="1">IFERROR(__xludf.DUMMYFUNCTION("""COMPUTED_VALUE"""),"Sales")</f>
        <v>Sales</v>
      </c>
      <c r="J49" s="17" t="str">
        <f ca="1">IFERROR(__xludf.DUMMYFUNCTION("""COMPUTED_VALUE"""),"PO1953- GASOLINA TRASLADO")</f>
        <v>PO1953- GASOLINA TRASLADO</v>
      </c>
      <c r="K49" s="134" t="str">
        <f ca="1">IFERROR(__xludf.DUMMYFUNCTION("""COMPUTED_VALUE"""),"8259f4f0-d1a0-4509-a6f6-e6c2d0760132")</f>
        <v>8259f4f0-d1a0-4509-a6f6-e6c2d0760132</v>
      </c>
      <c r="L49" s="17"/>
      <c r="M49" s="17"/>
      <c r="N49" s="17"/>
      <c r="O49" s="17"/>
    </row>
    <row r="50" spans="1:15" ht="12.5">
      <c r="A50" s="17" t="str">
        <f ca="1">IFERROR(__xludf.DUMMYFUNCTION("""COMPUTED_VALUE"""),"TRX1096")</f>
        <v>TRX1096</v>
      </c>
      <c r="B50" s="86" t="str">
        <f ca="1">IFERROR(__xludf.DUMMYFUNCTION("""COMPUTED_VALUE"""),"-")</f>
        <v>-</v>
      </c>
      <c r="C50" s="63">
        <f ca="1">IFERROR(__xludf.DUMMYFUNCTION("""COMPUTED_VALUE"""),46069.4166666666)</f>
        <v>46069.416666666599</v>
      </c>
      <c r="D50" s="65">
        <f ca="1">IFERROR(__xludf.DUMMYFUNCTION("""COMPUTED_VALUE"""),258.96)</f>
        <v>258.95999999999998</v>
      </c>
      <c r="E50" s="17" t="str">
        <f ca="1">IFERROR(__xludf.DUMMYFUNCTION("""COMPUTED_VALUE"""),"MXN")</f>
        <v>MXN</v>
      </c>
      <c r="F50" s="17" t="str">
        <f ca="1">IFERROR(__xludf.DUMMYFUNCTION("""COMPUTED_VALUE"""),"Jose Luis Ramirez Gonzalez")</f>
        <v>Jose Luis Ramirez Gonzalez</v>
      </c>
      <c r="G50" s="17" t="str">
        <f ca="1">IFERROR(__xludf.DUMMYFUNCTION("""COMPUTED_VALUE"""),"UBER * EATS PENDING    CMX           MEX")</f>
        <v>UBER * EATS PENDING    CMX           MEX</v>
      </c>
      <c r="H50" s="17" t="str">
        <f ca="1">IFERROR(__xludf.DUMMYFUNCTION("""COMPUTED_VALUE"""),"Uber Eats")</f>
        <v>Uber Eats</v>
      </c>
      <c r="I50" s="17" t="str">
        <f ca="1">IFERROR(__xludf.DUMMYFUNCTION("""COMPUTED_VALUE"""),"Sales")</f>
        <v>Sales</v>
      </c>
      <c r="J50" s="17" t="str">
        <f ca="1">IFERROR(__xludf.DUMMYFUNCTION("""COMPUTED_VALUE"""),"PO1953-comida ")</f>
        <v xml:space="preserve">PO1953-comida </v>
      </c>
      <c r="K50" s="134" t="str">
        <f ca="1">IFERROR(__xludf.DUMMYFUNCTION("""COMPUTED_VALUE"""),"C0C3277D-97F6-537F-BBA9-DCB3C2F48604")</f>
        <v>C0C3277D-97F6-537F-BBA9-DCB3C2F48604</v>
      </c>
      <c r="L50" s="17"/>
      <c r="M50" s="17"/>
      <c r="N50" s="17"/>
      <c r="O50" s="17"/>
    </row>
    <row r="51" spans="1:15" ht="12.5">
      <c r="A51" s="17" t="str">
        <f ca="1">IFERROR(__xludf.DUMMYFUNCTION("""COMPUTED_VALUE"""),"TRX1458")</f>
        <v>TRX1458</v>
      </c>
      <c r="B51" s="86" t="str">
        <f ca="1">IFERROR(__xludf.DUMMYFUNCTION("""COMPUTED_VALUE"""),"-")</f>
        <v>-</v>
      </c>
      <c r="C51" s="63">
        <f ca="1">IFERROR(__xludf.DUMMYFUNCTION("""COMPUTED_VALUE"""),46069.4166666666)</f>
        <v>46069.416666666599</v>
      </c>
      <c r="D51" s="65">
        <f ca="1">IFERROR(__xludf.DUMMYFUNCTION("""COMPUTED_VALUE"""),25)</f>
        <v>25</v>
      </c>
      <c r="E51" s="17" t="str">
        <f ca="1">IFERROR(__xludf.DUMMYFUNCTION("""COMPUTED_VALUE"""),"MXN")</f>
        <v>MXN</v>
      </c>
      <c r="F51" s="17" t="str">
        <f ca="1">IFERROR(__xludf.DUMMYFUNCTION("""COMPUTED_VALUE"""),"Jose Luis Ramirez Gonzalez")</f>
        <v>Jose Luis Ramirez Gonzalez</v>
      </c>
      <c r="G51" s="17" t="str">
        <f ca="1">IFERROR(__xludf.DUMMYFUNCTION("""COMPUTED_VALUE"""),"TELCEL RECARGAS FONY   CIUDAD DE MEX MEX")</f>
        <v>TELCEL RECARGAS FONY   CIUDAD DE MEX MEX</v>
      </c>
      <c r="H51" s="17" t="str">
        <f ca="1">IFERROR(__xludf.DUMMYFUNCTION("""COMPUTED_VALUE"""),"Telcel")</f>
        <v>Telcel</v>
      </c>
      <c r="I51" s="17" t="str">
        <f ca="1">IFERROR(__xludf.DUMMYFUNCTION("""COMPUTED_VALUE"""),"Sales")</f>
        <v>Sales</v>
      </c>
      <c r="J51" s="17" t="str">
        <f ca="1">IFERROR(__xludf.DUMMYFUNCTION("""COMPUTED_VALUE"""),"PO1953-INTERNET PROYECTO")</f>
        <v>PO1953-INTERNET PROYECTO</v>
      </c>
      <c r="K51" s="134" t="str">
        <f ca="1">IFERROR(__xludf.DUMMYFUNCTION("""COMPUTED_VALUE"""),".")</f>
        <v>.</v>
      </c>
      <c r="L51" s="17"/>
      <c r="M51" s="17"/>
      <c r="N51" s="17"/>
      <c r="O51" s="17"/>
    </row>
    <row r="52" spans="1:15" ht="12.5">
      <c r="A52" s="17" t="str">
        <f ca="1">IFERROR(__xludf.DUMMYFUNCTION("""COMPUTED_VALUE"""),"TRX1173")</f>
        <v>TRX1173</v>
      </c>
      <c r="B52" s="86" t="str">
        <f ca="1">IFERROR(__xludf.DUMMYFUNCTION("""COMPUTED_VALUE"""),"-")</f>
        <v>-</v>
      </c>
      <c r="C52" s="63">
        <f ca="1">IFERROR(__xludf.DUMMYFUNCTION("""COMPUTED_VALUE"""),46069.4166666666)</f>
        <v>46069.416666666599</v>
      </c>
      <c r="D52" s="65">
        <f ca="1">IFERROR(__xludf.DUMMYFUNCTION("""COMPUTED_VALUE"""),25)</f>
        <v>25</v>
      </c>
      <c r="E52" s="17" t="str">
        <f ca="1">IFERROR(__xludf.DUMMYFUNCTION("""COMPUTED_VALUE"""),"MXN")</f>
        <v>MXN</v>
      </c>
      <c r="F52" s="17" t="str">
        <f ca="1">IFERROR(__xludf.DUMMYFUNCTION("""COMPUTED_VALUE"""),"Jose Luis Ramirez Gonzalez")</f>
        <v>Jose Luis Ramirez Gonzalez</v>
      </c>
      <c r="G52" s="17" t="str">
        <f ca="1">IFERROR(__xludf.DUMMYFUNCTION("""COMPUTED_VALUE"""),"TELCEL RECARGAS FONY   CIUDAD DE MEX MEX")</f>
        <v>TELCEL RECARGAS FONY   CIUDAD DE MEX MEX</v>
      </c>
      <c r="H52" s="17" t="str">
        <f ca="1">IFERROR(__xludf.DUMMYFUNCTION("""COMPUTED_VALUE"""),"Telcel")</f>
        <v>Telcel</v>
      </c>
      <c r="I52" s="17" t="str">
        <f ca="1">IFERROR(__xludf.DUMMYFUNCTION("""COMPUTED_VALUE"""),"Sales")</f>
        <v>Sales</v>
      </c>
      <c r="J52" s="17" t="str">
        <f ca="1">IFERROR(__xludf.DUMMYFUNCTION("""COMPUTED_VALUE"""),"PO1953-INTERNET PROYECTO")</f>
        <v>PO1953-INTERNET PROYECTO</v>
      </c>
      <c r="K52" s="134" t="str">
        <f ca="1">IFERROR(__xludf.DUMMYFUNCTION("""COMPUTED_VALUE"""),".")</f>
        <v>.</v>
      </c>
      <c r="L52" s="17"/>
      <c r="M52" s="17"/>
      <c r="N52" s="17"/>
      <c r="O52" s="17"/>
    </row>
    <row r="53" spans="1:15" ht="12.5">
      <c r="A53" s="17" t="str">
        <f ca="1">IFERROR(__xludf.DUMMYFUNCTION("""COMPUTED_VALUE"""),"TRX1479")</f>
        <v>TRX1479</v>
      </c>
      <c r="B53" s="86" t="str">
        <f ca="1">IFERROR(__xludf.DUMMYFUNCTION("""COMPUTED_VALUE"""),"-")</f>
        <v>-</v>
      </c>
      <c r="C53" s="63">
        <f ca="1">IFERROR(__xludf.DUMMYFUNCTION("""COMPUTED_VALUE"""),46070.4166666666)</f>
        <v>46070.416666666599</v>
      </c>
      <c r="D53" s="65">
        <f ca="1">IFERROR(__xludf.DUMMYFUNCTION("""COMPUTED_VALUE"""),410)</f>
        <v>410</v>
      </c>
      <c r="E53" s="17" t="str">
        <f ca="1">IFERROR(__xludf.DUMMYFUNCTION("""COMPUTED_VALUE"""),"MXN")</f>
        <v>MXN</v>
      </c>
      <c r="F53" s="17" t="str">
        <f ca="1">IFERROR(__xludf.DUMMYFUNCTION("""COMPUTED_VALUE"""),"Jose Luis Ramirez Gonzalez")</f>
        <v>Jose Luis Ramirez Gonzalez</v>
      </c>
      <c r="G53" s="17" t="str">
        <f ca="1">IFERROR(__xludf.DUMMYFUNCTION("""COMPUTED_VALUE"""),"MERCADOPAGO *PASE      MIGUEL HIDALG MEX")</f>
        <v>MERCADOPAGO *PASE      MIGUEL HIDALG MEX</v>
      </c>
      <c r="H53" s="17" t="str">
        <f ca="1">IFERROR(__xludf.DUMMYFUNCTION("""COMPUTED_VALUE"""),"Mercadopago")</f>
        <v>Mercadopago</v>
      </c>
      <c r="I53" s="17" t="str">
        <f ca="1">IFERROR(__xludf.DUMMYFUNCTION("""COMPUTED_VALUE"""),"Sales")</f>
        <v>Sales</v>
      </c>
      <c r="J53" s="17" t="str">
        <f ca="1">IFERROR(__xludf.DUMMYFUNCTION("""COMPUTED_VALUE"""),"PO1953-CASETAS ")</f>
        <v xml:space="preserve">PO1953-CASETAS </v>
      </c>
      <c r="K53" s="134" t="str">
        <f ca="1">IFERROR(__xludf.DUMMYFUNCTION("""COMPUTED_VALUE"""),"C3D22A2D-EEAC-4C0D-B0F4-F03F9BB1DBC6")</f>
        <v>C3D22A2D-EEAC-4C0D-B0F4-F03F9BB1DBC6</v>
      </c>
      <c r="L53" s="17"/>
      <c r="M53" s="17"/>
      <c r="N53" s="17"/>
      <c r="O53" s="17"/>
    </row>
    <row r="54" spans="1:15" ht="12.5">
      <c r="A54" s="17" t="str">
        <f ca="1">IFERROR(__xludf.DUMMYFUNCTION("""COMPUTED_VALUE"""),"TRX1521")</f>
        <v>TRX1521</v>
      </c>
      <c r="B54" s="86" t="str">
        <f ca="1">IFERROR(__xludf.DUMMYFUNCTION("""COMPUTED_VALUE"""),"-")</f>
        <v>-</v>
      </c>
      <c r="C54" s="63">
        <f ca="1">IFERROR(__xludf.DUMMYFUNCTION("""COMPUTED_VALUE"""),46070.4166666666)</f>
        <v>46070.416666666599</v>
      </c>
      <c r="D54" s="65">
        <f ca="1">IFERROR(__xludf.DUMMYFUNCTION("""COMPUTED_VALUE"""),25)</f>
        <v>25</v>
      </c>
      <c r="E54" s="17" t="str">
        <f ca="1">IFERROR(__xludf.DUMMYFUNCTION("""COMPUTED_VALUE"""),"MXN")</f>
        <v>MXN</v>
      </c>
      <c r="F54" s="17" t="str">
        <f ca="1">IFERROR(__xludf.DUMMYFUNCTION("""COMPUTED_VALUE"""),"Jose Luis Ramirez Gonzalez")</f>
        <v>Jose Luis Ramirez Gonzalez</v>
      </c>
      <c r="G54" s="17" t="str">
        <f ca="1">IFERROR(__xludf.DUMMYFUNCTION("""COMPUTED_VALUE"""),"TELCEL RECARGAS FONY   CIUDAD DE MEX MEX")</f>
        <v>TELCEL RECARGAS FONY   CIUDAD DE MEX MEX</v>
      </c>
      <c r="H54" s="17" t="str">
        <f ca="1">IFERROR(__xludf.DUMMYFUNCTION("""COMPUTED_VALUE"""),"Telcel")</f>
        <v>Telcel</v>
      </c>
      <c r="I54" s="17" t="str">
        <f ca="1">IFERROR(__xludf.DUMMYFUNCTION("""COMPUTED_VALUE"""),"Sales")</f>
        <v>Sales</v>
      </c>
      <c r="J54" s="17" t="str">
        <f ca="1">IFERROR(__xludf.DUMMYFUNCTION("""COMPUTED_VALUE"""),"PO1953-INTERNET PROYECTO")</f>
        <v>PO1953-INTERNET PROYECTO</v>
      </c>
      <c r="K54" s="134" t="str">
        <f ca="1">IFERROR(__xludf.DUMMYFUNCTION("""COMPUTED_VALUE"""),".")</f>
        <v>.</v>
      </c>
      <c r="L54" s="17"/>
      <c r="M54" s="17"/>
      <c r="N54" s="17"/>
      <c r="O54" s="17"/>
    </row>
    <row r="55" spans="1:15" ht="12.5">
      <c r="A55" s="17" t="str">
        <f ca="1">IFERROR(__xludf.DUMMYFUNCTION("""COMPUTED_VALUE"""),"TRX1353")</f>
        <v>TRX1353</v>
      </c>
      <c r="B55" s="86" t="str">
        <f ca="1">IFERROR(__xludf.DUMMYFUNCTION("""COMPUTED_VALUE"""),"-")</f>
        <v>-</v>
      </c>
      <c r="C55" s="63">
        <f ca="1">IFERROR(__xludf.DUMMYFUNCTION("""COMPUTED_VALUE"""),46071.4166666666)</f>
        <v>46071.416666666599</v>
      </c>
      <c r="D55" s="65">
        <f ca="1">IFERROR(__xludf.DUMMYFUNCTION("""COMPUTED_VALUE"""),755.7)</f>
        <v>755.7</v>
      </c>
      <c r="E55" s="17" t="str">
        <f ca="1">IFERROR(__xludf.DUMMYFUNCTION("""COMPUTED_VALUE"""),"MXN")</f>
        <v>MXN</v>
      </c>
      <c r="F55" s="17" t="str">
        <f ca="1">IFERROR(__xludf.DUMMYFUNCTION("""COMPUTED_VALUE"""),"Jose Luis Ramirez Gonzalez")</f>
        <v>Jose Luis Ramirez Gonzalez</v>
      </c>
      <c r="G55" s="17" t="str">
        <f ca="1">IFERROR(__xludf.DUMMYFUNCTION("""COMPUTED_VALUE"""),"GAS DUERO              TOLUCA EM     MEX")</f>
        <v>GAS DUERO              TOLUCA EM     MEX</v>
      </c>
      <c r="H55" s="17" t="str">
        <f ca="1">IFERROR(__xludf.DUMMYFUNCTION("""COMPUTED_VALUE"""),"Gas Duero Toluca Em Mex")</f>
        <v>Gas Duero Toluca Em Mex</v>
      </c>
      <c r="I55" s="17" t="str">
        <f ca="1">IFERROR(__xludf.DUMMYFUNCTION("""COMPUTED_VALUE"""),"Sales")</f>
        <v>Sales</v>
      </c>
      <c r="J55" s="17" t="str">
        <f ca="1">IFERROR(__xludf.DUMMYFUNCTION("""COMPUTED_VALUE"""),"PO1953- GASOLINA TRASLADO")</f>
        <v>PO1953- GASOLINA TRASLADO</v>
      </c>
      <c r="K55" s="134" t="str">
        <f ca="1">IFERROR(__xludf.DUMMYFUNCTION("""COMPUTED_VALUE"""),".")</f>
        <v>.</v>
      </c>
      <c r="L55" s="17"/>
      <c r="M55" s="17"/>
      <c r="N55" s="17"/>
      <c r="O55" s="17"/>
    </row>
    <row r="56" spans="1:15" ht="12.5">
      <c r="A56" s="17" t="str">
        <f ca="1">IFERROR(__xludf.DUMMYFUNCTION("""COMPUTED_VALUE"""),"TRX1809")</f>
        <v>TRX1809</v>
      </c>
      <c r="B56" s="86" t="str">
        <f ca="1">IFERROR(__xludf.DUMMYFUNCTION("""COMPUTED_VALUE"""),"-")</f>
        <v>-</v>
      </c>
      <c r="C56" s="63">
        <f ca="1">IFERROR(__xludf.DUMMYFUNCTION("""COMPUTED_VALUE"""),46071.4166666666)</f>
        <v>46071.416666666599</v>
      </c>
      <c r="D56" s="65">
        <f ca="1">IFERROR(__xludf.DUMMYFUNCTION("""COMPUTED_VALUE"""),810)</f>
        <v>810</v>
      </c>
      <c r="E56" s="17" t="str">
        <f ca="1">IFERROR(__xludf.DUMMYFUNCTION("""COMPUTED_VALUE"""),"MXN")</f>
        <v>MXN</v>
      </c>
      <c r="F56" s="17" t="str">
        <f ca="1">IFERROR(__xludf.DUMMYFUNCTION("""COMPUTED_VALUE"""),"Jose Luis Ramirez Gonzalez")</f>
        <v>Jose Luis Ramirez Gonzalez</v>
      </c>
      <c r="G56" s="17" t="str">
        <f ca="1">IFERROR(__xludf.DUMMYFUNCTION("""COMPUTED_VALUE"""),"MERCADOPAGO *PASE      MIGUEL HIDALG MEX")</f>
        <v>MERCADOPAGO *PASE      MIGUEL HIDALG MEX</v>
      </c>
      <c r="H56" s="17" t="str">
        <f ca="1">IFERROR(__xludf.DUMMYFUNCTION("""COMPUTED_VALUE"""),"Mercadopago")</f>
        <v>Mercadopago</v>
      </c>
      <c r="I56" s="17" t="str">
        <f ca="1">IFERROR(__xludf.DUMMYFUNCTION("""COMPUTED_VALUE"""),"Sales")</f>
        <v>Sales</v>
      </c>
      <c r="J56" s="17" t="str">
        <f ca="1">IFERROR(__xludf.DUMMYFUNCTION("""COMPUTED_VALUE"""),"PO1953-CASETAS ")</f>
        <v xml:space="preserve">PO1953-CASETAS </v>
      </c>
      <c r="K56" s="134" t="str">
        <f ca="1">IFERROR(__xludf.DUMMYFUNCTION("""COMPUTED_VALUE"""),"A450B174-8201-4D8F-9BBE-24AC79AD5B0E")</f>
        <v>A450B174-8201-4D8F-9BBE-24AC79AD5B0E</v>
      </c>
      <c r="L56" s="17"/>
      <c r="M56" s="17"/>
      <c r="N56" s="17"/>
      <c r="O56" s="17"/>
    </row>
    <row r="57" spans="1:15" ht="12.5">
      <c r="A57" s="17" t="str">
        <f ca="1">IFERROR(__xludf.DUMMYFUNCTION("""COMPUTED_VALUE"""),"TRX1457")</f>
        <v>TRX1457</v>
      </c>
      <c r="B57" s="86" t="str">
        <f ca="1">IFERROR(__xludf.DUMMYFUNCTION("""COMPUTED_VALUE"""),"-")</f>
        <v>-</v>
      </c>
      <c r="C57" s="63">
        <f ca="1">IFERROR(__xludf.DUMMYFUNCTION("""COMPUTED_VALUE"""),46071.4173611111)</f>
        <v>46071.417361111096</v>
      </c>
      <c r="D57" s="65">
        <f ca="1">IFERROR(__xludf.DUMMYFUNCTION("""COMPUTED_VALUE"""),65)</f>
        <v>65</v>
      </c>
      <c r="E57" s="17" t="str">
        <f ca="1">IFERROR(__xludf.DUMMYFUNCTION("""COMPUTED_VALUE"""),"MXN")</f>
        <v>MXN</v>
      </c>
      <c r="F57" s="17" t="str">
        <f ca="1">IFERROR(__xludf.DUMMYFUNCTION("""COMPUTED_VALUE"""),"Jose Luis Ramirez Gonzalez")</f>
        <v>Jose Luis Ramirez Gonzalez</v>
      </c>
      <c r="G57" s="17" t="str">
        <f ca="1">IFERROR(__xludf.DUMMYFUNCTION("""COMPUTED_VALUE"""),"PITS CORTADITO TOLUCA  ALMOLOYA DE J MEX")</f>
        <v>PITS CORTADITO TOLUCA  ALMOLOYA DE J MEX</v>
      </c>
      <c r="H57" s="17" t="str">
        <f ca="1">IFERROR(__xludf.DUMMYFUNCTION("""COMPUTED_VALUE"""),"Pits Cortadito Toluca Almoloya De J Mex")</f>
        <v>Pits Cortadito Toluca Almoloya De J Mex</v>
      </c>
      <c r="I57" s="17" t="str">
        <f ca="1">IFERROR(__xludf.DUMMYFUNCTION("""COMPUTED_VALUE"""),"Sales")</f>
        <v>Sales</v>
      </c>
      <c r="J57" s="17" t="str">
        <f ca="1">IFERROR(__xludf.DUMMYFUNCTION("""COMPUTED_VALUE"""),"PO1953-DESAYUNO PERSONAL")</f>
        <v>PO1953-DESAYUNO PERSONAL</v>
      </c>
      <c r="K57" s="134" t="str">
        <f ca="1">IFERROR(__xludf.DUMMYFUNCTION("""COMPUTED_VALUE"""),"740A3571-763B-134E-A297-D9978661FF8E")</f>
        <v>740A3571-763B-134E-A297-D9978661FF8E</v>
      </c>
      <c r="L57" s="17"/>
      <c r="M57" s="17"/>
      <c r="N57" s="17"/>
      <c r="O57" s="17"/>
    </row>
    <row r="58" spans="1:15" ht="12.5">
      <c r="A58" s="17" t="str">
        <f ca="1">IFERROR(__xludf.DUMMYFUNCTION("""COMPUTED_VALUE"""),"TRX1254")</f>
        <v>TRX1254</v>
      </c>
      <c r="B58" s="86" t="str">
        <f ca="1">IFERROR(__xludf.DUMMYFUNCTION("""COMPUTED_VALUE"""),"-")</f>
        <v>-</v>
      </c>
      <c r="C58" s="63">
        <f ca="1">IFERROR(__xludf.DUMMYFUNCTION("""COMPUTED_VALUE"""),46071.4173611111)</f>
        <v>46071.417361111096</v>
      </c>
      <c r="D58" s="65">
        <f ca="1">IFERROR(__xludf.DUMMYFUNCTION("""COMPUTED_VALUE"""),25)</f>
        <v>25</v>
      </c>
      <c r="E58" s="17" t="str">
        <f ca="1">IFERROR(__xludf.DUMMYFUNCTION("""COMPUTED_VALUE"""),"MXN")</f>
        <v>MXN</v>
      </c>
      <c r="F58" s="17" t="str">
        <f ca="1">IFERROR(__xludf.DUMMYFUNCTION("""COMPUTED_VALUE"""),"Jose Luis Ramirez Gonzalez")</f>
        <v>Jose Luis Ramirez Gonzalez</v>
      </c>
      <c r="G58" s="17" t="str">
        <f ca="1">IFERROR(__xludf.DUMMYFUNCTION("""COMPUTED_VALUE"""),"TELCEL RECARGAS FONY   CIUDAD DE MEX MEX")</f>
        <v>TELCEL RECARGAS FONY   CIUDAD DE MEX MEX</v>
      </c>
      <c r="H58" s="17" t="str">
        <f ca="1">IFERROR(__xludf.DUMMYFUNCTION("""COMPUTED_VALUE"""),"Telcel")</f>
        <v>Telcel</v>
      </c>
      <c r="I58" s="17" t="str">
        <f ca="1">IFERROR(__xludf.DUMMYFUNCTION("""COMPUTED_VALUE"""),"Sales")</f>
        <v>Sales</v>
      </c>
      <c r="J58" s="17" t="str">
        <f ca="1">IFERROR(__xludf.DUMMYFUNCTION("""COMPUTED_VALUE"""),"PO1953-INTERNET PROYECTO")</f>
        <v>PO1953-INTERNET PROYECTO</v>
      </c>
      <c r="K58" s="134" t="str">
        <f ca="1">IFERROR(__xludf.DUMMYFUNCTION("""COMPUTED_VALUE"""),".")</f>
        <v>.</v>
      </c>
      <c r="L58" s="17"/>
      <c r="M58" s="17"/>
      <c r="N58" s="17"/>
      <c r="O58" s="17"/>
    </row>
    <row r="59" spans="1:15" ht="12.5">
      <c r="A59" s="17" t="str">
        <f ca="1">IFERROR(__xludf.DUMMYFUNCTION("""COMPUTED_VALUE"""),"TRX1404")</f>
        <v>TRX1404</v>
      </c>
      <c r="B59" s="86" t="str">
        <f ca="1">IFERROR(__xludf.DUMMYFUNCTION("""COMPUTED_VALUE"""),"-")</f>
        <v>-</v>
      </c>
      <c r="C59" s="63">
        <f ca="1">IFERROR(__xludf.DUMMYFUNCTION("""COMPUTED_VALUE"""),46072.4166666666)</f>
        <v>46072.416666666599</v>
      </c>
      <c r="D59" s="65">
        <f ca="1">IFERROR(__xludf.DUMMYFUNCTION("""COMPUTED_VALUE"""),1510)</f>
        <v>1510</v>
      </c>
      <c r="E59" s="17" t="str">
        <f ca="1">IFERROR(__xludf.DUMMYFUNCTION("""COMPUTED_VALUE"""),"MXN")</f>
        <v>MXN</v>
      </c>
      <c r="F59" s="17" t="str">
        <f ca="1">IFERROR(__xludf.DUMMYFUNCTION("""COMPUTED_VALUE"""),"Jose Luis Ramirez Gonzalez")</f>
        <v>Jose Luis Ramirez Gonzalez</v>
      </c>
      <c r="G59" s="17" t="str">
        <f ca="1">IFERROR(__xludf.DUMMYFUNCTION("""COMPUTED_VALUE"""),"MERCADOPAGO *PASE      MIGUEL HIDALG MEX")</f>
        <v>MERCADOPAGO *PASE      MIGUEL HIDALG MEX</v>
      </c>
      <c r="H59" s="17" t="str">
        <f ca="1">IFERROR(__xludf.DUMMYFUNCTION("""COMPUTED_VALUE"""),"Mercadopago")</f>
        <v>Mercadopago</v>
      </c>
      <c r="I59" s="17" t="str">
        <f ca="1">IFERROR(__xludf.DUMMYFUNCTION("""COMPUTED_VALUE"""),"Sales")</f>
        <v>Sales</v>
      </c>
      <c r="J59" s="17" t="str">
        <f ca="1">IFERROR(__xludf.DUMMYFUNCTION("""COMPUTED_VALUE"""),"PO1953-CASETAS ")</f>
        <v xml:space="preserve">PO1953-CASETAS </v>
      </c>
      <c r="K59" s="134" t="str">
        <f ca="1">IFERROR(__xludf.DUMMYFUNCTION("""COMPUTED_VALUE"""),"F88A79C0-7F5E-44F2-A2FE-356DB89792B2")</f>
        <v>F88A79C0-7F5E-44F2-A2FE-356DB89792B2</v>
      </c>
      <c r="L59" s="17"/>
      <c r="M59" s="17"/>
      <c r="N59" s="17"/>
      <c r="O59" s="17"/>
    </row>
    <row r="60" spans="1:15" ht="12.5">
      <c r="A60" s="17" t="str">
        <f ca="1">IFERROR(__xludf.DUMMYFUNCTION("""COMPUTED_VALUE"""),"TRX1776")</f>
        <v>TRX1776</v>
      </c>
      <c r="B60" s="86" t="str">
        <f ca="1">IFERROR(__xludf.DUMMYFUNCTION("""COMPUTED_VALUE"""),"-")</f>
        <v>-</v>
      </c>
      <c r="C60" s="63">
        <f ca="1">IFERROR(__xludf.DUMMYFUNCTION("""COMPUTED_VALUE"""),46072.4173611111)</f>
        <v>46072.417361111096</v>
      </c>
      <c r="D60" s="65">
        <f ca="1">IFERROR(__xludf.DUMMYFUNCTION("""COMPUTED_VALUE"""),1312)</f>
        <v>1312</v>
      </c>
      <c r="E60" s="17" t="str">
        <f ca="1">IFERROR(__xludf.DUMMYFUNCTION("""COMPUTED_VALUE"""),"MXN")</f>
        <v>MXN</v>
      </c>
      <c r="F60" s="17" t="str">
        <f ca="1">IFERROR(__xludf.DUMMYFUNCTION("""COMPUTED_VALUE"""),"Jose Luis Ramirez Gonzalez")</f>
        <v>Jose Luis Ramirez Gonzalez</v>
      </c>
      <c r="G60" s="17" t="str">
        <f ca="1">IFERROR(__xludf.DUMMYFUNCTION("""COMPUTED_VALUE"""),"SUPERCENTER SANTIN     TOLUCA EM     MEX")</f>
        <v>SUPERCENTER SANTIN     TOLUCA EM     MEX</v>
      </c>
      <c r="H60" s="17" t="str">
        <f ca="1">IFERROR(__xludf.DUMMYFUNCTION("""COMPUTED_VALUE"""),"Supercenter Santin Toluca Em Mex")</f>
        <v>Supercenter Santin Toluca Em Mex</v>
      </c>
      <c r="I60" s="17" t="str">
        <f ca="1">IFERROR(__xludf.DUMMYFUNCTION("""COMPUTED_VALUE"""),"Sales")</f>
        <v>Sales</v>
      </c>
      <c r="J60" s="17" t="str">
        <f ca="1">IFERROR(__xludf.DUMMYFUNCTION("""COMPUTED_VALUE"""),"PO1953-internet proyecto ")</f>
        <v xml:space="preserve">PO1953-internet proyecto </v>
      </c>
      <c r="K60" s="134" t="str">
        <f ca="1">IFERROR(__xludf.DUMMYFUNCTION("""COMPUTED_VALUE"""),"E959378A-B26E-465C-88BA-08FCE5FCA71F")</f>
        <v>E959378A-B26E-465C-88BA-08FCE5FCA71F</v>
      </c>
      <c r="L60" s="17"/>
      <c r="M60" s="17"/>
      <c r="N60" s="17"/>
      <c r="O60" s="17"/>
    </row>
    <row r="61" spans="1:15" ht="12.5">
      <c r="A61" s="17" t="str">
        <f ca="1">IFERROR(__xludf.DUMMYFUNCTION("""COMPUTED_VALUE"""),"TRX1634")</f>
        <v>TRX1634</v>
      </c>
      <c r="B61" s="86" t="str">
        <f ca="1">IFERROR(__xludf.DUMMYFUNCTION("""COMPUTED_VALUE"""),"-")</f>
        <v>-</v>
      </c>
      <c r="C61" s="63">
        <f ca="1">IFERROR(__xludf.DUMMYFUNCTION("""COMPUTED_VALUE"""),46072.4173611111)</f>
        <v>46072.417361111096</v>
      </c>
      <c r="D61" s="65">
        <f ca="1">IFERROR(__xludf.DUMMYFUNCTION("""COMPUTED_VALUE"""),25)</f>
        <v>25</v>
      </c>
      <c r="E61" s="17" t="str">
        <f ca="1">IFERROR(__xludf.DUMMYFUNCTION("""COMPUTED_VALUE"""),"MXN")</f>
        <v>MXN</v>
      </c>
      <c r="F61" s="17" t="str">
        <f ca="1">IFERROR(__xludf.DUMMYFUNCTION("""COMPUTED_VALUE"""),"Jose Luis Ramirez Gonzalez")</f>
        <v>Jose Luis Ramirez Gonzalez</v>
      </c>
      <c r="G61" s="17" t="str">
        <f ca="1">IFERROR(__xludf.DUMMYFUNCTION("""COMPUTED_VALUE"""),"TELCEL RECARGAS FONY   CIUDAD DE MEX MEX")</f>
        <v>TELCEL RECARGAS FONY   CIUDAD DE MEX MEX</v>
      </c>
      <c r="H61" s="17" t="str">
        <f ca="1">IFERROR(__xludf.DUMMYFUNCTION("""COMPUTED_VALUE"""),"Telcel")</f>
        <v>Telcel</v>
      </c>
      <c r="I61" s="17" t="str">
        <f ca="1">IFERROR(__xludf.DUMMYFUNCTION("""COMPUTED_VALUE"""),"Sales")</f>
        <v>Sales</v>
      </c>
      <c r="J61" s="17" t="str">
        <f ca="1">IFERROR(__xludf.DUMMYFUNCTION("""COMPUTED_VALUE"""),"PO1953-INTERNET PROYECTO")</f>
        <v>PO1953-INTERNET PROYECTO</v>
      </c>
      <c r="K61" s="134" t="str">
        <f ca="1">IFERROR(__xludf.DUMMYFUNCTION("""COMPUTED_VALUE"""),".")</f>
        <v>.</v>
      </c>
      <c r="L61" s="17"/>
      <c r="M61" s="17"/>
      <c r="N61" s="17"/>
      <c r="O61" s="17"/>
    </row>
    <row r="62" spans="1:15" ht="12.5">
      <c r="A62" s="17" t="str">
        <f ca="1">IFERROR(__xludf.DUMMYFUNCTION("""COMPUTED_VALUE"""),"TRX1216")</f>
        <v>TRX1216</v>
      </c>
      <c r="B62" s="86" t="str">
        <f ca="1">IFERROR(__xludf.DUMMYFUNCTION("""COMPUTED_VALUE"""),"-")</f>
        <v>-</v>
      </c>
      <c r="C62" s="63">
        <f ca="1">IFERROR(__xludf.DUMMYFUNCTION("""COMPUTED_VALUE"""),46072.4173611111)</f>
        <v>46072.417361111096</v>
      </c>
      <c r="D62" s="65">
        <f ca="1">IFERROR(__xludf.DUMMYFUNCTION("""COMPUTED_VALUE"""),1701.98)</f>
        <v>1701.98</v>
      </c>
      <c r="E62" s="17" t="str">
        <f ca="1">IFERROR(__xludf.DUMMYFUNCTION("""COMPUTED_VALUE"""),"MXN")</f>
        <v>MXN</v>
      </c>
      <c r="F62" s="17" t="str">
        <f ca="1">IFERROR(__xludf.DUMMYFUNCTION("""COMPUTED_VALUE"""),"Jose Luis Ramirez Gonzalez")</f>
        <v>Jose Luis Ramirez Gonzalez</v>
      </c>
      <c r="G62" s="17" t="str">
        <f ca="1">IFERROR(__xludf.DUMMYFUNCTION("""COMPUTED_VALUE"""),"AIRBNB * HMKF89TWWY    LONDON        GBR")</f>
        <v>AIRBNB * HMKF89TWWY    LONDON        GBR</v>
      </c>
      <c r="H62" s="17" t="str">
        <f ca="1">IFERROR(__xludf.DUMMYFUNCTION("""COMPUTED_VALUE"""),"Airbnb")</f>
        <v>Airbnb</v>
      </c>
      <c r="I62" s="17" t="str">
        <f ca="1">IFERROR(__xludf.DUMMYFUNCTION("""COMPUTED_VALUE"""),"Sales")</f>
        <v>Sales</v>
      </c>
      <c r="J62" s="17" t="str">
        <f ca="1">IFERROR(__xludf.DUMMYFUNCTION("""COMPUTED_VALUE"""),"PO1953-Hospedaje ")</f>
        <v xml:space="preserve">PO1953-Hospedaje </v>
      </c>
      <c r="K62" s="134" t="str">
        <f ca="1">IFERROR(__xludf.DUMMYFUNCTION("""COMPUTED_VALUE"""),"57E69895-15F0-4CEA-8556-40B8795325A")</f>
        <v>57E69895-15F0-4CEA-8556-40B8795325A</v>
      </c>
      <c r="L62" s="17"/>
      <c r="M62" s="17"/>
      <c r="N62" s="17"/>
      <c r="O62" s="17"/>
    </row>
    <row r="63" spans="1:15" ht="12.5">
      <c r="A63" s="17" t="str">
        <f ca="1">IFERROR(__xludf.DUMMYFUNCTION("""COMPUTED_VALUE"""),"TRX1232")</f>
        <v>TRX1232</v>
      </c>
      <c r="B63" s="86" t="str">
        <f ca="1">IFERROR(__xludf.DUMMYFUNCTION("""COMPUTED_VALUE"""),"-")</f>
        <v>-</v>
      </c>
      <c r="C63" s="63">
        <f ca="1">IFERROR(__xludf.DUMMYFUNCTION("""COMPUTED_VALUE"""),46073.4166666666)</f>
        <v>46073.416666666599</v>
      </c>
      <c r="D63" s="65">
        <f ca="1">IFERROR(__xludf.DUMMYFUNCTION("""COMPUTED_VALUE"""),65)</f>
        <v>65</v>
      </c>
      <c r="E63" s="17" t="str">
        <f ca="1">IFERROR(__xludf.DUMMYFUNCTION("""COMPUTED_VALUE"""),"MXN")</f>
        <v>MXN</v>
      </c>
      <c r="F63" s="17" t="str">
        <f ca="1">IFERROR(__xludf.DUMMYFUNCTION("""COMPUTED_VALUE"""),"Jose Luis Ramirez Gonzalez")</f>
        <v>Jose Luis Ramirez Gonzalez</v>
      </c>
      <c r="G63" s="17" t="str">
        <f ca="1">IFERROR(__xludf.DUMMYFUNCTION("""COMPUTED_VALUE"""),"PITS CORTADITO TOLUCA  ALMOLOYA DE J MEX")</f>
        <v>PITS CORTADITO TOLUCA  ALMOLOYA DE J MEX</v>
      </c>
      <c r="H63" s="17" t="str">
        <f ca="1">IFERROR(__xludf.DUMMYFUNCTION("""COMPUTED_VALUE"""),"Pits Cortadito Toluca Almoloya De J Mex")</f>
        <v>Pits Cortadito Toluca Almoloya De J Mex</v>
      </c>
      <c r="I63" s="17" t="str">
        <f ca="1">IFERROR(__xludf.DUMMYFUNCTION("""COMPUTED_VALUE"""),"Sales")</f>
        <v>Sales</v>
      </c>
      <c r="J63" s="17" t="str">
        <f ca="1">IFERROR(__xludf.DUMMYFUNCTION("""COMPUTED_VALUE"""),"PO1953-DESAYUNO PERSONAL")</f>
        <v>PO1953-DESAYUNO PERSONAL</v>
      </c>
      <c r="K63" s="134" t="str">
        <f ca="1">IFERROR(__xludf.DUMMYFUNCTION("""COMPUTED_VALUE"""),"83DC5FC0-F90C-EF42-8BD8-CD1C67050437")</f>
        <v>83DC5FC0-F90C-EF42-8BD8-CD1C67050437</v>
      </c>
      <c r="L63" s="17"/>
      <c r="M63" s="17"/>
      <c r="N63" s="17"/>
      <c r="O63" s="17"/>
    </row>
    <row r="64" spans="1:15" ht="12.5">
      <c r="A64" s="17" t="str">
        <f ca="1">IFERROR(__xludf.DUMMYFUNCTION("""COMPUTED_VALUE"""),"TRX1461")</f>
        <v>TRX1461</v>
      </c>
      <c r="B64" s="86" t="str">
        <f ca="1">IFERROR(__xludf.DUMMYFUNCTION("""COMPUTED_VALUE"""),"-")</f>
        <v>-</v>
      </c>
      <c r="C64" s="63">
        <f ca="1">IFERROR(__xludf.DUMMYFUNCTION("""COMPUTED_VALUE"""),46073.4166666666)</f>
        <v>46073.416666666599</v>
      </c>
      <c r="D64" s="65">
        <f ca="1">IFERROR(__xludf.DUMMYFUNCTION("""COMPUTED_VALUE"""),400.35)</f>
        <v>400.35</v>
      </c>
      <c r="E64" s="17" t="str">
        <f ca="1">IFERROR(__xludf.DUMMYFUNCTION("""COMPUTED_VALUE"""),"MXN")</f>
        <v>MXN</v>
      </c>
      <c r="F64" s="17" t="str">
        <f ca="1">IFERROR(__xludf.DUMMYFUNCTION("""COMPUTED_VALUE"""),"Jose Luis Ramirez Gonzalez")</f>
        <v>Jose Luis Ramirez Gonzalez</v>
      </c>
      <c r="G64" s="17" t="str">
        <f ca="1">IFERROR(__xludf.DUMMYFUNCTION("""COMPUTED_VALUE"""),"PITS GAS EST TOLUCA    ALMOLOYA DE J MEX")</f>
        <v>PITS GAS EST TOLUCA    ALMOLOYA DE J MEX</v>
      </c>
      <c r="H64" s="17" t="str">
        <f ca="1">IFERROR(__xludf.DUMMYFUNCTION("""COMPUTED_VALUE"""),"Pits Gas Est Toluca Almoloya De J Mex")</f>
        <v>Pits Gas Est Toluca Almoloya De J Mex</v>
      </c>
      <c r="I64" s="17" t="str">
        <f ca="1">IFERROR(__xludf.DUMMYFUNCTION("""COMPUTED_VALUE"""),"Sales")</f>
        <v>Sales</v>
      </c>
      <c r="J64" s="17" t="str">
        <f ca="1">IFERROR(__xludf.DUMMYFUNCTION("""COMPUTED_VALUE"""),"PO1953- GASOLINA TRASLADO")</f>
        <v>PO1953- GASOLINA TRASLADO</v>
      </c>
      <c r="K64" s="134" t="str">
        <f ca="1">IFERROR(__xludf.DUMMYFUNCTION("""COMPUTED_VALUE"""),"C643EA6C-16A0-4A4C-BCDF-03786769C109")</f>
        <v>C643EA6C-16A0-4A4C-BCDF-03786769C109</v>
      </c>
      <c r="L64" s="17"/>
      <c r="M64" s="17"/>
      <c r="N64" s="17"/>
      <c r="O64" s="17"/>
    </row>
    <row r="65" spans="1:15" ht="12.5">
      <c r="A65" s="17" t="str">
        <f ca="1">IFERROR(__xludf.DUMMYFUNCTION("""COMPUTED_VALUE"""),"TRX1278")</f>
        <v>TRX1278</v>
      </c>
      <c r="B65" s="86" t="str">
        <f ca="1">IFERROR(__xludf.DUMMYFUNCTION("""COMPUTED_VALUE"""),"-")</f>
        <v>-</v>
      </c>
      <c r="C65" s="63">
        <f ca="1">IFERROR(__xludf.DUMMYFUNCTION("""COMPUTED_VALUE"""),46073.4166666666)</f>
        <v>46073.416666666599</v>
      </c>
      <c r="D65" s="65">
        <f ca="1">IFERROR(__xludf.DUMMYFUNCTION("""COMPUTED_VALUE"""),356)</f>
        <v>356</v>
      </c>
      <c r="E65" s="17" t="str">
        <f ca="1">IFERROR(__xludf.DUMMYFUNCTION("""COMPUTED_VALUE"""),"MXN")</f>
        <v>MXN</v>
      </c>
      <c r="F65" s="17" t="str">
        <f ca="1">IFERROR(__xludf.DUMMYFUNCTION("""COMPUTED_VALUE"""),"Jose Luis Ramirez Gonzalez")</f>
        <v>Jose Luis Ramirez Gonzalez</v>
      </c>
      <c r="G65" s="17" t="str">
        <f ca="1">IFERROR(__xludf.DUMMYFUNCTION("""COMPUTED_VALUE"""),"MISC PITS TOL ZIT      ALMOLOYA DE J MEX")</f>
        <v>MISC PITS TOL ZIT      ALMOLOYA DE J MEX</v>
      </c>
      <c r="H65" s="17" t="str">
        <f ca="1">IFERROR(__xludf.DUMMYFUNCTION("""COMPUTED_VALUE"""),"Misc Pits Tol Zit Almoloya De J Mex")</f>
        <v>Misc Pits Tol Zit Almoloya De J Mex</v>
      </c>
      <c r="I65" s="17" t="str">
        <f ca="1">IFERROR(__xludf.DUMMYFUNCTION("""COMPUTED_VALUE"""),"Sales")</f>
        <v>Sales</v>
      </c>
      <c r="J65" s="17" t="str">
        <f ca="1">IFERROR(__xludf.DUMMYFUNCTION("""COMPUTED_VALUE"""),"PO1953-DESAYUNO PERSONAL")</f>
        <v>PO1953-DESAYUNO PERSONAL</v>
      </c>
      <c r="K65" s="134" t="str">
        <f ca="1">IFERROR(__xludf.DUMMYFUNCTION("""COMPUTED_VALUE"""),"9B0AA97F-BFE6-7142-B555-B52BB6D6CBF0")</f>
        <v>9B0AA97F-BFE6-7142-B555-B52BB6D6CBF0</v>
      </c>
      <c r="L65" s="17"/>
      <c r="M65" s="17"/>
      <c r="N65" s="17"/>
      <c r="O65" s="17"/>
    </row>
    <row r="66" spans="1:15" ht="12.5">
      <c r="A66" s="17" t="str">
        <f ca="1">IFERROR(__xludf.DUMMYFUNCTION("""COMPUTED_VALUE"""),"TRX1309")</f>
        <v>TRX1309</v>
      </c>
      <c r="B66" s="86" t="str">
        <f ca="1">IFERROR(__xludf.DUMMYFUNCTION("""COMPUTED_VALUE"""),"-")</f>
        <v>-</v>
      </c>
      <c r="C66" s="63">
        <f ca="1">IFERROR(__xludf.DUMMYFUNCTION("""COMPUTED_VALUE"""),46073.4166666666)</f>
        <v>46073.416666666599</v>
      </c>
      <c r="D66" s="65">
        <f ca="1">IFERROR(__xludf.DUMMYFUNCTION("""COMPUTED_VALUE"""),108)</f>
        <v>108</v>
      </c>
      <c r="E66" s="17" t="str">
        <f ca="1">IFERROR(__xludf.DUMMYFUNCTION("""COMPUTED_VALUE"""),"MXN")</f>
        <v>MXN</v>
      </c>
      <c r="F66" s="17" t="str">
        <f ca="1">IFERROR(__xludf.DUMMYFUNCTION("""COMPUTED_VALUE"""),"Jose Luis Ramirez Gonzalez")</f>
        <v>Jose Luis Ramirez Gonzalez</v>
      </c>
      <c r="G66" s="17" t="str">
        <f ca="1">IFERROR(__xludf.DUMMYFUNCTION("""COMPUTED_VALUE"""),"MISC PITS TOL ZIT      ALMOLOYA DE J MEX")</f>
        <v>MISC PITS TOL ZIT      ALMOLOYA DE J MEX</v>
      </c>
      <c r="H66" s="17" t="str">
        <f ca="1">IFERROR(__xludf.DUMMYFUNCTION("""COMPUTED_VALUE"""),"Misc Pits Tol Zit Almoloya De J Mex")</f>
        <v>Misc Pits Tol Zit Almoloya De J Mex</v>
      </c>
      <c r="I66" s="17" t="str">
        <f ca="1">IFERROR(__xludf.DUMMYFUNCTION("""COMPUTED_VALUE"""),"Sales")</f>
        <v>Sales</v>
      </c>
      <c r="J66" s="17" t="str">
        <f ca="1">IFERROR(__xludf.DUMMYFUNCTION("""COMPUTED_VALUE"""),"PO1953-DESAYUNO PERSONAL")</f>
        <v>PO1953-DESAYUNO PERSONAL</v>
      </c>
      <c r="K66" s="134" t="str">
        <f ca="1">IFERROR(__xludf.DUMMYFUNCTION("""COMPUTED_VALUE"""),"35D0FD7E-E260-3C4F-9432-8776E494397B")</f>
        <v>35D0FD7E-E260-3C4F-9432-8776E494397B</v>
      </c>
      <c r="L66" s="17"/>
      <c r="M66" s="17"/>
      <c r="N66" s="17"/>
      <c r="O66" s="17"/>
    </row>
    <row r="67" spans="1:15" ht="12.5">
      <c r="A67" s="17" t="str">
        <f ca="1">IFERROR(__xludf.DUMMYFUNCTION("""COMPUTED_VALUE"""),"TRX1076")</f>
        <v>TRX1076</v>
      </c>
      <c r="B67" s="86" t="str">
        <f ca="1">IFERROR(__xludf.DUMMYFUNCTION("""COMPUTED_VALUE"""),"-")</f>
        <v>-</v>
      </c>
      <c r="C67" s="63">
        <f ca="1">IFERROR(__xludf.DUMMYFUNCTION("""COMPUTED_VALUE"""),46075.4173611111)</f>
        <v>46075.417361111096</v>
      </c>
      <c r="D67" s="65">
        <f ca="1">IFERROR(__xludf.DUMMYFUNCTION("""COMPUTED_VALUE"""),400.35)</f>
        <v>400.35</v>
      </c>
      <c r="E67" s="17" t="str">
        <f ca="1">IFERROR(__xludf.DUMMYFUNCTION("""COMPUTED_VALUE"""),"MXN")</f>
        <v>MXN</v>
      </c>
      <c r="F67" s="17" t="str">
        <f ca="1">IFERROR(__xludf.DUMMYFUNCTION("""COMPUTED_VALUE"""),"Jose Luis Ramirez Gonzalez")</f>
        <v>Jose Luis Ramirez Gonzalez</v>
      </c>
      <c r="G67" s="17" t="str">
        <f ca="1">IFERROR(__xludf.DUMMYFUNCTION("""COMPUTED_VALUE"""),"PITS GAS EST TOLUCA    ALMOLOYA DE J MEX")</f>
        <v>PITS GAS EST TOLUCA    ALMOLOYA DE J MEX</v>
      </c>
      <c r="H67" s="17" t="str">
        <f ca="1">IFERROR(__xludf.DUMMYFUNCTION("""COMPUTED_VALUE"""),"Pits Gas Est Toluca Almoloya De J Mex")</f>
        <v>Pits Gas Est Toluca Almoloya De J Mex</v>
      </c>
      <c r="I67" s="17" t="str">
        <f ca="1">IFERROR(__xludf.DUMMYFUNCTION("""COMPUTED_VALUE"""),"Sales")</f>
        <v>Sales</v>
      </c>
      <c r="J67" s="17" t="str">
        <f ca="1">IFERROR(__xludf.DUMMYFUNCTION("""COMPUTED_VALUE"""),"PO1953- GASOLINA TRASLADO")</f>
        <v>PO1953- GASOLINA TRASLADO</v>
      </c>
      <c r="K67" s="134" t="str">
        <f ca="1">IFERROR(__xludf.DUMMYFUNCTION("""COMPUTED_VALUE"""),"FC0205DC-D6D9-4773-8A88-15C85E0A003A")</f>
        <v>FC0205DC-D6D9-4773-8A88-15C85E0A003A</v>
      </c>
      <c r="L67" s="17"/>
      <c r="M67" s="17"/>
      <c r="N67" s="17"/>
      <c r="O67" s="17"/>
    </row>
    <row r="68" spans="1:15" ht="12.5">
      <c r="A68" s="17" t="str">
        <f ca="1">IFERROR(__xludf.DUMMYFUNCTION("""COMPUTED_VALUE"""),"TRX1128")</f>
        <v>TRX1128</v>
      </c>
      <c r="B68" s="86" t="str">
        <f ca="1">IFERROR(__xludf.DUMMYFUNCTION("""COMPUTED_VALUE"""),"-")</f>
        <v>-</v>
      </c>
      <c r="C68" s="63">
        <f ca="1">IFERROR(__xludf.DUMMYFUNCTION("""COMPUTED_VALUE"""),46077.4166666666)</f>
        <v>46077.416666666599</v>
      </c>
      <c r="D68" s="65">
        <f ca="1">IFERROR(__xludf.DUMMYFUNCTION("""COMPUTED_VALUE"""),2381.14)</f>
        <v>2381.14</v>
      </c>
      <c r="E68" s="17" t="str">
        <f ca="1">IFERROR(__xludf.DUMMYFUNCTION("""COMPUTED_VALUE"""),"MXN")</f>
        <v>MXN</v>
      </c>
      <c r="F68" s="17" t="str">
        <f ca="1">IFERROR(__xludf.DUMMYFUNCTION("""COMPUTED_VALUE"""),"Jose Luis Ramirez Gonzalez")</f>
        <v>Jose Luis Ramirez Gonzalez</v>
      </c>
      <c r="G68" s="17" t="str">
        <f ca="1">IFERROR(__xludf.DUMMYFUNCTION("""COMPUTED_VALUE"""),"AIRBNB * HMSMKWFYH2    LONDON        GBR")</f>
        <v>AIRBNB * HMSMKWFYH2    LONDON        GBR</v>
      </c>
      <c r="H68" s="17" t="str">
        <f ca="1">IFERROR(__xludf.DUMMYFUNCTION("""COMPUTED_VALUE"""),"Airbnb")</f>
        <v>Airbnb</v>
      </c>
      <c r="I68" s="17" t="str">
        <f ca="1">IFERROR(__xludf.DUMMYFUNCTION("""COMPUTED_VALUE"""),"Sales")</f>
        <v>Sales</v>
      </c>
      <c r="J68" s="17" t="str">
        <f ca="1">IFERROR(__xludf.DUMMYFUNCTION("""COMPUTED_VALUE"""),"PO1953-Hospedaje ")</f>
        <v xml:space="preserve">PO1953-Hospedaje </v>
      </c>
      <c r="K68" s="134" t="str">
        <f ca="1">IFERROR(__xludf.DUMMYFUNCTION("""COMPUTED_VALUE"""),"BA953584-0BFA-42AD-B6ED-EACDD669248E")</f>
        <v>BA953584-0BFA-42AD-B6ED-EACDD669248E</v>
      </c>
      <c r="L68" s="17"/>
      <c r="M68" s="17"/>
      <c r="N68" s="17"/>
      <c r="O68" s="17"/>
    </row>
    <row r="69" spans="1:15" ht="12.5">
      <c r="A69" s="17" t="str">
        <f ca="1">IFERROR(__xludf.DUMMYFUNCTION("""COMPUTED_VALUE"""),"TRX1141")</f>
        <v>TRX1141</v>
      </c>
      <c r="B69" s="86" t="str">
        <f ca="1">IFERROR(__xludf.DUMMYFUNCTION("""COMPUTED_VALUE"""),"-")</f>
        <v>-</v>
      </c>
      <c r="C69" s="63">
        <f ca="1">IFERROR(__xludf.DUMMYFUNCTION("""COMPUTED_VALUE"""),46078.4166666666)</f>
        <v>46078.416666666599</v>
      </c>
      <c r="D69" s="65">
        <f ca="1">IFERROR(__xludf.DUMMYFUNCTION("""COMPUTED_VALUE"""),1510)</f>
        <v>1510</v>
      </c>
      <c r="E69" s="17" t="str">
        <f ca="1">IFERROR(__xludf.DUMMYFUNCTION("""COMPUTED_VALUE"""),"MXN")</f>
        <v>MXN</v>
      </c>
      <c r="F69" s="17" t="str">
        <f ca="1">IFERROR(__xludf.DUMMYFUNCTION("""COMPUTED_VALUE"""),"Jose Luis Ramirez Gonzalez")</f>
        <v>Jose Luis Ramirez Gonzalez</v>
      </c>
      <c r="G69" s="17" t="str">
        <f ca="1">IFERROR(__xludf.DUMMYFUNCTION("""COMPUTED_VALUE"""),"MERCADOPAGO *PASE      MIGUEL HIDALG MEX")</f>
        <v>MERCADOPAGO *PASE      MIGUEL HIDALG MEX</v>
      </c>
      <c r="H69" s="17" t="str">
        <f ca="1">IFERROR(__xludf.DUMMYFUNCTION("""COMPUTED_VALUE"""),"Mercadopago")</f>
        <v>Mercadopago</v>
      </c>
      <c r="I69" s="17" t="str">
        <f ca="1">IFERROR(__xludf.DUMMYFUNCTION("""COMPUTED_VALUE"""),"Sales")</f>
        <v>Sales</v>
      </c>
      <c r="J69" s="17" t="str">
        <f ca="1">IFERROR(__xludf.DUMMYFUNCTION("""COMPUTED_VALUE"""),"PO1953-CASETAS ")</f>
        <v xml:space="preserve">PO1953-CASETAS </v>
      </c>
      <c r="K69" s="134" t="str">
        <f ca="1">IFERROR(__xludf.DUMMYFUNCTION("""COMPUTED_VALUE"""),"EC805A55-3697-4786-A271-EA7D31AD0699")</f>
        <v>EC805A55-3697-4786-A271-EA7D31AD0699</v>
      </c>
      <c r="L69" s="17"/>
      <c r="M69" s="17"/>
      <c r="N69" s="17"/>
      <c r="O69" s="17"/>
    </row>
    <row r="70" spans="1:15" ht="12.5">
      <c r="A70" s="17" t="str">
        <f ca="1">IFERROR(__xludf.DUMMYFUNCTION("""COMPUTED_VALUE"""),"TRX1144")</f>
        <v>TRX1144</v>
      </c>
      <c r="B70" s="86" t="str">
        <f ca="1">IFERROR(__xludf.DUMMYFUNCTION("""COMPUTED_VALUE"""),"-")</f>
        <v>-</v>
      </c>
      <c r="C70" s="63">
        <f ca="1">IFERROR(__xludf.DUMMYFUNCTION("""COMPUTED_VALUE"""),46078.4166666666)</f>
        <v>46078.416666666599</v>
      </c>
      <c r="D70" s="65">
        <f ca="1">IFERROR(__xludf.DUMMYFUNCTION("""COMPUTED_VALUE"""),110)</f>
        <v>110</v>
      </c>
      <c r="E70" s="17" t="str">
        <f ca="1">IFERROR(__xludf.DUMMYFUNCTION("""COMPUTED_VALUE"""),"MXN")</f>
        <v>MXN</v>
      </c>
      <c r="F70" s="17" t="str">
        <f ca="1">IFERROR(__xludf.DUMMYFUNCTION("""COMPUTED_VALUE"""),"Jose Luis Ramirez Gonzalez")</f>
        <v>Jose Luis Ramirez Gonzalez</v>
      </c>
      <c r="G70" s="17" t="str">
        <f ca="1">IFERROR(__xludf.DUMMYFUNCTION("""COMPUTED_VALUE"""),"MISC PITS TOL ZIT      ALMOLOYA DE J MEX")</f>
        <v>MISC PITS TOL ZIT      ALMOLOYA DE J MEX</v>
      </c>
      <c r="H70" s="17" t="str">
        <f ca="1">IFERROR(__xludf.DUMMYFUNCTION("""COMPUTED_VALUE"""),"Misc Pits Tol Zit Almoloya De J Mex")</f>
        <v>Misc Pits Tol Zit Almoloya De J Mex</v>
      </c>
      <c r="I70" s="17" t="str">
        <f ca="1">IFERROR(__xludf.DUMMYFUNCTION("""COMPUTED_VALUE"""),"Sales")</f>
        <v>Sales</v>
      </c>
      <c r="J70" s="17" t="str">
        <f ca="1">IFERROR(__xludf.DUMMYFUNCTION("""COMPUTED_VALUE"""),"PO1953-DESAYUNO PERSONAL")</f>
        <v>PO1953-DESAYUNO PERSONAL</v>
      </c>
      <c r="K70" s="17" t="str">
        <f ca="1">IFERROR(__xludf.DUMMYFUNCTION("""COMPUTED_VALUE"""),"7AF25AB6-DD1A-184E-9A09-3D694B3F2BE4")</f>
        <v>7AF25AB6-DD1A-184E-9A09-3D694B3F2BE4</v>
      </c>
      <c r="L70" s="17"/>
      <c r="M70" s="17"/>
      <c r="N70" s="17"/>
      <c r="O70" s="17"/>
    </row>
    <row r="71" spans="1:15" ht="12.5">
      <c r="A71" s="17" t="str">
        <f ca="1">IFERROR(__xludf.DUMMYFUNCTION("""COMPUTED_VALUE"""),"TRX1145")</f>
        <v>TRX1145</v>
      </c>
      <c r="B71" s="86" t="str">
        <f ca="1">IFERROR(__xludf.DUMMYFUNCTION("""COMPUTED_VALUE"""),"-")</f>
        <v>-</v>
      </c>
      <c r="C71" s="63">
        <f ca="1">IFERROR(__xludf.DUMMYFUNCTION("""COMPUTED_VALUE"""),46078.4166666666)</f>
        <v>46078.416666666599</v>
      </c>
      <c r="D71" s="65">
        <f ca="1">IFERROR(__xludf.DUMMYFUNCTION("""COMPUTED_VALUE"""),400.35)</f>
        <v>400.35</v>
      </c>
      <c r="E71" s="17" t="str">
        <f ca="1">IFERROR(__xludf.DUMMYFUNCTION("""COMPUTED_VALUE"""),"MXN")</f>
        <v>MXN</v>
      </c>
      <c r="F71" s="17" t="str">
        <f ca="1">IFERROR(__xludf.DUMMYFUNCTION("""COMPUTED_VALUE"""),"Jose Luis Ramirez Gonzalez")</f>
        <v>Jose Luis Ramirez Gonzalez</v>
      </c>
      <c r="G71" s="17" t="str">
        <f ca="1">IFERROR(__xludf.DUMMYFUNCTION("""COMPUTED_VALUE"""),"PITS GAS EST TOLUCA    ALMOLOYA DE J MEX")</f>
        <v>PITS GAS EST TOLUCA    ALMOLOYA DE J MEX</v>
      </c>
      <c r="H71" s="17" t="str">
        <f ca="1">IFERROR(__xludf.DUMMYFUNCTION("""COMPUTED_VALUE"""),"Pits Gas Est Toluca Almoloya De J Mex")</f>
        <v>Pits Gas Est Toluca Almoloya De J Mex</v>
      </c>
      <c r="I71" s="17" t="str">
        <f ca="1">IFERROR(__xludf.DUMMYFUNCTION("""COMPUTED_VALUE"""),"Sales")</f>
        <v>Sales</v>
      </c>
      <c r="J71" s="17" t="str">
        <f ca="1">IFERROR(__xludf.DUMMYFUNCTION("""COMPUTED_VALUE"""),"PO1953- GASOLINA TRASLADO")</f>
        <v>PO1953- GASOLINA TRASLADO</v>
      </c>
      <c r="K71" s="134" t="str">
        <f ca="1">IFERROR(__xludf.DUMMYFUNCTION("""COMPUTED_VALUE"""),"592657C8-C7C7-498F-BE7C-5820FE803B5C")</f>
        <v>592657C8-C7C7-498F-BE7C-5820FE803B5C</v>
      </c>
      <c r="L71" s="17"/>
      <c r="M71" s="17"/>
      <c r="N71" s="17"/>
      <c r="O71" s="17"/>
    </row>
    <row r="72" spans="1:15" ht="12.5">
      <c r="A72" s="17" t="str">
        <f ca="1">IFERROR(__xludf.DUMMYFUNCTION("""COMPUTED_VALUE"""),"TRX1179")</f>
        <v>TRX1179</v>
      </c>
      <c r="B72" s="86" t="str">
        <f ca="1">IFERROR(__xludf.DUMMYFUNCTION("""COMPUTED_VALUE"""),"-")</f>
        <v>-</v>
      </c>
      <c r="C72" s="63">
        <f ca="1">IFERROR(__xludf.DUMMYFUNCTION("""COMPUTED_VALUE"""),46079.4166666666)</f>
        <v>46079.416666666599</v>
      </c>
      <c r="D72" s="65">
        <f ca="1">IFERROR(__xludf.DUMMYFUNCTION("""COMPUTED_VALUE"""),65)</f>
        <v>65</v>
      </c>
      <c r="E72" s="17" t="str">
        <f ca="1">IFERROR(__xludf.DUMMYFUNCTION("""COMPUTED_VALUE"""),"MXN")</f>
        <v>MXN</v>
      </c>
      <c r="F72" s="17" t="str">
        <f ca="1">IFERROR(__xludf.DUMMYFUNCTION("""COMPUTED_VALUE"""),"Jose Luis Ramirez Gonzalez")</f>
        <v>Jose Luis Ramirez Gonzalez</v>
      </c>
      <c r="G72" s="17" t="str">
        <f ca="1">IFERROR(__xludf.DUMMYFUNCTION("""COMPUTED_VALUE"""),"PITS CORTADITO TOLUCA  ALMOLOYA DE J MEX")</f>
        <v>PITS CORTADITO TOLUCA  ALMOLOYA DE J MEX</v>
      </c>
      <c r="H72" s="17" t="str">
        <f ca="1">IFERROR(__xludf.DUMMYFUNCTION("""COMPUTED_VALUE"""),"Pits Cortadito Toluca Almoloya De J Mex")</f>
        <v>Pits Cortadito Toluca Almoloya De J Mex</v>
      </c>
      <c r="I72" s="17" t="str">
        <f ca="1">IFERROR(__xludf.DUMMYFUNCTION("""COMPUTED_VALUE"""),"Sales")</f>
        <v>Sales</v>
      </c>
      <c r="J72" s="17" t="str">
        <f ca="1">IFERROR(__xludf.DUMMYFUNCTION("""COMPUTED_VALUE"""),"PO1953-DESAYUNO PERSONAL")</f>
        <v>PO1953-DESAYUNO PERSONAL</v>
      </c>
      <c r="K72" s="134" t="str">
        <f ca="1">IFERROR(__xludf.DUMMYFUNCTION("""COMPUTED_VALUE"""),"ED345450-AC15-2C44-A503-3BB10DA171E4")</f>
        <v>ED345450-AC15-2C44-A503-3BB10DA171E4</v>
      </c>
      <c r="L72" s="17"/>
      <c r="M72" s="17"/>
      <c r="N72" s="17"/>
      <c r="O72" s="17"/>
    </row>
    <row r="73" spans="1:15" ht="12.5">
      <c r="A73" s="17" t="str">
        <f ca="1">IFERROR(__xludf.DUMMYFUNCTION("""COMPUTED_VALUE"""),"TRX1187")</f>
        <v>TRX1187</v>
      </c>
      <c r="B73" s="86" t="str">
        <f ca="1">IFERROR(__xludf.DUMMYFUNCTION("""COMPUTED_VALUE"""),"-")</f>
        <v>-</v>
      </c>
      <c r="C73" s="63">
        <f ca="1">IFERROR(__xludf.DUMMYFUNCTION("""COMPUTED_VALUE"""),46079.4166666666)</f>
        <v>46079.416666666599</v>
      </c>
      <c r="D73" s="65">
        <f ca="1">IFERROR(__xludf.DUMMYFUNCTION("""COMPUTED_VALUE"""),400.35)</f>
        <v>400.35</v>
      </c>
      <c r="E73" s="17" t="str">
        <f ca="1">IFERROR(__xludf.DUMMYFUNCTION("""COMPUTED_VALUE"""),"MXN")</f>
        <v>MXN</v>
      </c>
      <c r="F73" s="17" t="str">
        <f ca="1">IFERROR(__xludf.DUMMYFUNCTION("""COMPUTED_VALUE"""),"Jose Luis Ramirez Gonzalez")</f>
        <v>Jose Luis Ramirez Gonzalez</v>
      </c>
      <c r="G73" s="17" t="str">
        <f ca="1">IFERROR(__xludf.DUMMYFUNCTION("""COMPUTED_VALUE"""),"PITS GAS EST TOLUCA    ALMOLOYA DE J MEX")</f>
        <v>PITS GAS EST TOLUCA    ALMOLOYA DE J MEX</v>
      </c>
      <c r="H73" s="17" t="str">
        <f ca="1">IFERROR(__xludf.DUMMYFUNCTION("""COMPUTED_VALUE"""),"Pits Gas Est Toluca Almoloya De J Mex")</f>
        <v>Pits Gas Est Toluca Almoloya De J Mex</v>
      </c>
      <c r="I73" s="17" t="str">
        <f ca="1">IFERROR(__xludf.DUMMYFUNCTION("""COMPUTED_VALUE"""),"Sales")</f>
        <v>Sales</v>
      </c>
      <c r="J73" s="17" t="str">
        <f ca="1">IFERROR(__xludf.DUMMYFUNCTION("""COMPUTED_VALUE"""),"PO1953- GASOLINA TRASLADO")</f>
        <v>PO1953- GASOLINA TRASLADO</v>
      </c>
      <c r="K73" s="134" t="str">
        <f ca="1">IFERROR(__xludf.DUMMYFUNCTION("""COMPUTED_VALUE"""),"8771FF17-46A9-424A-BE5D-55B19AA2393D")</f>
        <v>8771FF17-46A9-424A-BE5D-55B19AA2393D</v>
      </c>
      <c r="L73" s="17"/>
      <c r="M73" s="17"/>
      <c r="N73" s="17"/>
      <c r="O73" s="17"/>
    </row>
    <row r="74" spans="1:15" ht="12.5">
      <c r="A74" s="17" t="str">
        <f ca="1">IFERROR(__xludf.DUMMYFUNCTION("""COMPUTED_VALUE"""),"TRX1213")</f>
        <v>TRX1213</v>
      </c>
      <c r="B74" s="86" t="str">
        <f ca="1">IFERROR(__xludf.DUMMYFUNCTION("""COMPUTED_VALUE"""),"-")</f>
        <v>-</v>
      </c>
      <c r="C74" s="63">
        <f ca="1">IFERROR(__xludf.DUMMYFUNCTION("""COMPUTED_VALUE"""),46079.4173611111)</f>
        <v>46079.417361111096</v>
      </c>
      <c r="D74" s="65">
        <f ca="1">IFERROR(__xludf.DUMMYFUNCTION("""COMPUTED_VALUE"""),662.2)</f>
        <v>662.2</v>
      </c>
      <c r="E74" s="17" t="str">
        <f ca="1">IFERROR(__xludf.DUMMYFUNCTION("""COMPUTED_VALUE"""),"MXN")</f>
        <v>MXN</v>
      </c>
      <c r="F74" s="17" t="str">
        <f ca="1">IFERROR(__xludf.DUMMYFUNCTION("""COMPUTED_VALUE"""),"Jose Luis Ramirez Gonzalez")</f>
        <v>Jose Luis Ramirez Gonzalez</v>
      </c>
      <c r="G74" s="17" t="str">
        <f ca="1">IFERROR(__xludf.DUMMYFUNCTION("""COMPUTED_VALUE"""),"WING STOP CARRANZA     TOLUCA EM     MEX")</f>
        <v>WING STOP CARRANZA     TOLUCA EM     MEX</v>
      </c>
      <c r="H74" s="17" t="str">
        <f ca="1">IFERROR(__xludf.DUMMYFUNCTION("""COMPUTED_VALUE"""),"Wing Stop Carranza Toluca Em Mex")</f>
        <v>Wing Stop Carranza Toluca Em Mex</v>
      </c>
      <c r="I74" s="17" t="str">
        <f ca="1">IFERROR(__xludf.DUMMYFUNCTION("""COMPUTED_VALUE"""),"Sales")</f>
        <v>Sales</v>
      </c>
      <c r="J74" s="17" t="str">
        <f ca="1">IFERROR(__xludf.DUMMYFUNCTION("""COMPUTED_VALUE"""),"PO1953-Comida personal ")</f>
        <v xml:space="preserve">PO1953-Comida personal </v>
      </c>
      <c r="K74" s="134" t="str">
        <f ca="1">IFERROR(__xludf.DUMMYFUNCTION("""COMPUTED_VALUE"""),"B5671201-B519-4867-B65A-91E107946280")</f>
        <v>B5671201-B519-4867-B65A-91E107946280</v>
      </c>
      <c r="L74" s="17"/>
      <c r="M74" s="17"/>
      <c r="N74" s="17"/>
      <c r="O74" s="17"/>
    </row>
    <row r="75" spans="1:15" ht="12.5">
      <c r="A75" s="17"/>
      <c r="B75" s="24"/>
      <c r="C75" s="24"/>
      <c r="D75" s="17"/>
      <c r="E75" s="17"/>
      <c r="F75" s="17"/>
      <c r="G75" s="17"/>
      <c r="H75" s="17"/>
      <c r="I75" s="17"/>
      <c r="J75" s="17"/>
      <c r="K75" s="134" t="str">
        <f ca="1">IFERROR(__xludf.DUMMYFUNCTION("""COMPUTED_VALUE"""),".")</f>
        <v>.</v>
      </c>
      <c r="L75" s="17"/>
      <c r="M75" s="17"/>
      <c r="N75" s="17"/>
      <c r="O75" s="17"/>
    </row>
    <row r="76" spans="1:15" ht="12.5">
      <c r="A76" s="17"/>
      <c r="B76" s="24"/>
      <c r="C76" s="24"/>
      <c r="D76" s="17"/>
      <c r="E76" s="17"/>
      <c r="F76" s="17"/>
      <c r="G76" s="17"/>
      <c r="H76" s="17"/>
      <c r="I76" s="17"/>
      <c r="J76" s="17"/>
      <c r="K76" s="134" t="str">
        <f ca="1">IFERROR(__xludf.DUMMYFUNCTION("""COMPUTED_VALUE"""),".")</f>
        <v>.</v>
      </c>
      <c r="L76" s="17"/>
      <c r="M76" s="17"/>
      <c r="N76" s="17"/>
      <c r="O76" s="17"/>
    </row>
    <row r="77" spans="1:15" ht="12.5">
      <c r="A77" s="17"/>
      <c r="B77" s="24"/>
      <c r="C77" s="24"/>
      <c r="D77" s="17"/>
      <c r="E77" s="17"/>
      <c r="F77" s="17"/>
      <c r="G77" s="17"/>
      <c r="H77" s="17"/>
      <c r="I77" s="17"/>
      <c r="J77" s="17"/>
      <c r="K77" s="134" t="str">
        <f ca="1">IFERROR(__xludf.DUMMYFUNCTION("""COMPUTED_VALUE"""),".")</f>
        <v>.</v>
      </c>
      <c r="L77" s="17"/>
      <c r="M77" s="17"/>
      <c r="N77" s="17"/>
      <c r="O77" s="17"/>
    </row>
    <row r="78" spans="1:15" ht="12.5">
      <c r="A78" s="17"/>
      <c r="B78" s="24"/>
      <c r="C78" s="24"/>
      <c r="D78" s="17"/>
      <c r="E78" s="17"/>
      <c r="F78" s="17"/>
      <c r="G78" s="17"/>
      <c r="H78" s="17"/>
      <c r="I78" s="17"/>
      <c r="J78" s="17"/>
      <c r="K78" s="134" t="str">
        <f ca="1">IFERROR(__xludf.DUMMYFUNCTION("""COMPUTED_VALUE"""),".")</f>
        <v>.</v>
      </c>
      <c r="L78" s="17"/>
      <c r="M78" s="17"/>
      <c r="N78" s="17"/>
      <c r="O78" s="17"/>
    </row>
    <row r="79" spans="1:15" ht="12.5">
      <c r="A79" s="17"/>
      <c r="B79" s="24"/>
      <c r="C79" s="24"/>
      <c r="D79" s="17"/>
      <c r="E79" s="17"/>
      <c r="F79" s="17"/>
      <c r="G79" s="17"/>
      <c r="H79" s="17"/>
      <c r="I79" s="17"/>
      <c r="J79" s="17"/>
      <c r="K79" s="134" t="str">
        <f ca="1">IFERROR(__xludf.DUMMYFUNCTION("""COMPUTED_VALUE"""),".")</f>
        <v>.</v>
      </c>
      <c r="L79" s="17"/>
      <c r="M79" s="17"/>
      <c r="N79" s="17"/>
      <c r="O79" s="17"/>
    </row>
    <row r="80" spans="1:15" ht="12.5">
      <c r="A80" s="17"/>
      <c r="B80" s="24"/>
      <c r="C80" s="24"/>
      <c r="D80" s="17"/>
      <c r="E80" s="17"/>
      <c r="F80" s="17"/>
      <c r="G80" s="17"/>
      <c r="H80" s="17"/>
      <c r="I80" s="17"/>
      <c r="J80" s="17"/>
      <c r="K80" s="134"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8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2013</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Sept'!$J$12:$J$1627=$A$2)"),"TRX1243")</f>
        <v>TRX1243</v>
      </c>
      <c r="B12" s="86" t="str">
        <f ca="1">IFERROR(__xludf.DUMMYFUNCTION("""COMPUTED_VALUE"""),"-")</f>
        <v>-</v>
      </c>
      <c r="C12" s="86">
        <f ca="1">IFERROR(__xludf.DUMMYFUNCTION("""COMPUTED_VALUE"""),46080.4173611111)</f>
        <v>46080.417361111096</v>
      </c>
      <c r="D12" s="65">
        <f ca="1">IFERROR(__xludf.DUMMYFUNCTION("FILTER('Edo Cta Jeeves Sept'!$G$12:$G$1300,'Edo Cta Jeeves Sept'!$J$12:$J$1300=$A$2)"),600)</f>
        <v>600</v>
      </c>
      <c r="E12" s="17" t="str">
        <f ca="1">IFERROR(__xludf.DUMMYFUNCTION("FILTER('Edo Cta Jeeves Sept'!$I$12:$I$1300,'Edo Cta Jeeves Sept'!$J$12:$J$1300=$A$2)"),"MXN")</f>
        <v>MXN</v>
      </c>
      <c r="F12" s="17" t="str">
        <f ca="1">IFERROR(__xludf.DUMMYFUNCTION("FILTER('Edo Cta Jeeves Sept'!$J$12:$J$1300,'Edo Cta Jeeves Sept'!$J$12:$J$1300=$A$2)"),"KARLA CASIQUE")</f>
        <v>KARLA CASIQUE</v>
      </c>
      <c r="G12" s="17" t="str">
        <f ca="1">IFERROR(__xludf.DUMMYFUNCTION("FILTER('Edo Cta Jeeves Sept'!$K$12:$L$1300,'Edo Cta Jeeves Sept'!$J$12:$J$1300=$A$2)"),"SERVICIO RIO AVIA      ATIZAPAN DE Z MEX")</f>
        <v>SERVICIO RIO AVIA      ATIZAPAN DE Z MEX</v>
      </c>
      <c r="H12" s="17" t="str">
        <f ca="1">IFERROR(__xludf.DUMMYFUNCTION("""COMPUTED_VALUE"""),"Servicio Rio Avia Atizapan De Z Mex")</f>
        <v>Servicio Rio Avia Atizapan De Z Mex</v>
      </c>
      <c r="I12" s="17" t="str">
        <f ca="1">IFERROR(__xludf.DUMMYFUNCTION("IMPORTRANGE(""https://docs.google.com/spreadsheets/d/1J-y1KSHO71qKAbFv86CMoqRkZBEXf-50XRed2hRUAXQ/edit?gid=1404531132#gid=1404531132"",""I12:K80"")"),"Sales")</f>
        <v>Sales</v>
      </c>
      <c r="J12" s="17" t="str">
        <f ca="1">IFERROR(__xludf.DUMMYFUNCTION("""COMPUTED_VALUE"""),"MPH CONSTRUCCIONES")</f>
        <v>MPH CONSTRUCCIONES</v>
      </c>
      <c r="K12" s="134" t="str">
        <f ca="1">IFERROR(__xludf.DUMMYFUNCTION("""COMPUTED_VALUE"""),"5ae33fce-9d20-47fe-8ec8-a769dccb67cb")</f>
        <v>5ae33fce-9d20-47fe-8ec8-a769dccb67cb</v>
      </c>
      <c r="L12" s="17"/>
      <c r="M12" s="17"/>
      <c r="N12" s="17"/>
      <c r="O12" s="17"/>
    </row>
    <row r="13" spans="1:15" ht="15.75" customHeight="1">
      <c r="A13" s="24"/>
      <c r="B13" s="86"/>
      <c r="C13" s="24"/>
      <c r="D13" s="17"/>
      <c r="E13" s="17"/>
      <c r="F13" s="17"/>
      <c r="G13" s="17"/>
      <c r="H13" s="17"/>
      <c r="I13" s="17" t="str">
        <f ca="1">IFERROR(__xludf.DUMMYFUNCTION("""COMPUTED_VALUE"""),"Sales")</f>
        <v>Sales</v>
      </c>
      <c r="J13" s="17"/>
      <c r="K13" s="17"/>
      <c r="L13" s="17"/>
      <c r="M13" s="17"/>
      <c r="N13" s="17"/>
      <c r="O13" s="17"/>
    </row>
    <row r="14" spans="1:15" ht="15.75" customHeight="1">
      <c r="A14" s="24"/>
      <c r="B14" s="86"/>
      <c r="C14" s="24"/>
      <c r="D14" s="17"/>
      <c r="E14" s="17"/>
      <c r="F14" s="17"/>
      <c r="G14" s="17"/>
      <c r="H14" s="17"/>
      <c r="I14" s="17" t="str">
        <f ca="1">IFERROR(__xludf.DUMMYFUNCTION("""COMPUTED_VALUE"""),"Sales")</f>
        <v>Sales</v>
      </c>
      <c r="J14" s="17"/>
      <c r="K14" s="17"/>
      <c r="L14" s="17"/>
      <c r="M14" s="17"/>
      <c r="N14" s="17"/>
      <c r="O14" s="17"/>
    </row>
    <row r="15" spans="1:15" ht="15.75" customHeight="1">
      <c r="A15" s="24"/>
      <c r="B15" s="24"/>
      <c r="C15" s="24"/>
      <c r="D15" s="17"/>
      <c r="E15" s="17"/>
      <c r="F15" s="17"/>
      <c r="G15" s="17"/>
      <c r="H15" s="17"/>
      <c r="I15" s="17" t="str">
        <f ca="1">IFERROR(__xludf.DUMMYFUNCTION("""COMPUTED_VALUE"""),"Sales")</f>
        <v>Sales</v>
      </c>
      <c r="J15" s="17"/>
      <c r="K15" s="17"/>
      <c r="L15" s="17"/>
      <c r="M15" s="17"/>
      <c r="N15" s="17"/>
      <c r="O15" s="17"/>
    </row>
    <row r="16" spans="1:15" ht="15.75" customHeight="1">
      <c r="A16" s="17"/>
      <c r="B16" s="24"/>
      <c r="C16" s="24"/>
      <c r="D16" s="133"/>
      <c r="E16" s="17"/>
      <c r="F16" s="17"/>
      <c r="G16" s="17"/>
      <c r="H16" s="17"/>
      <c r="I16" s="17" t="str">
        <f ca="1">IFERROR(__xludf.DUMMYFUNCTION("""COMPUTED_VALUE"""),"Sales")</f>
        <v>Sales</v>
      </c>
      <c r="J16" s="17"/>
      <c r="K16" s="17"/>
      <c r="L16" s="17"/>
      <c r="M16" s="17"/>
      <c r="N16" s="17"/>
      <c r="O16" s="17"/>
    </row>
    <row r="17" spans="1:15" ht="15.75" customHeight="1">
      <c r="A17" s="17"/>
      <c r="B17" s="24"/>
      <c r="C17" s="24"/>
      <c r="D17" s="133"/>
      <c r="E17" s="17"/>
      <c r="F17" s="17"/>
      <c r="G17" s="17"/>
      <c r="H17" s="17"/>
      <c r="I17" s="17" t="str">
        <f ca="1">IFERROR(__xludf.DUMMYFUNCTION("""COMPUTED_VALUE"""),"Sales")</f>
        <v>Sales</v>
      </c>
      <c r="J17" s="17"/>
      <c r="K17" s="17"/>
      <c r="L17" s="17"/>
      <c r="M17" s="17"/>
      <c r="N17" s="17"/>
      <c r="O17" s="17"/>
    </row>
    <row r="18" spans="1:15" ht="15.75" customHeight="1">
      <c r="A18" s="17"/>
      <c r="B18" s="24"/>
      <c r="C18" s="24"/>
      <c r="D18" s="17"/>
      <c r="E18" s="17"/>
      <c r="F18" s="17"/>
      <c r="G18" s="17"/>
      <c r="H18" s="17"/>
      <c r="I18" s="17" t="str">
        <f ca="1">IFERROR(__xludf.DUMMYFUNCTION("""COMPUTED_VALUE"""),"Sales")</f>
        <v>Sales</v>
      </c>
      <c r="J18" s="17"/>
      <c r="K18" s="17"/>
      <c r="L18" s="17"/>
      <c r="M18" s="17"/>
      <c r="N18" s="17"/>
      <c r="O18" s="17"/>
    </row>
    <row r="19" spans="1:15" ht="15.75" customHeight="1">
      <c r="A19" s="17"/>
      <c r="B19" s="24"/>
      <c r="C19" s="24"/>
      <c r="D19" s="133"/>
      <c r="E19" s="17"/>
      <c r="F19" s="17"/>
      <c r="G19" s="17"/>
      <c r="H19" s="17"/>
      <c r="I19" s="17" t="str">
        <f ca="1">IFERROR(__xludf.DUMMYFUNCTION("""COMPUTED_VALUE"""),"Sales")</f>
        <v>Sales</v>
      </c>
      <c r="J19" s="17"/>
      <c r="K19" s="17"/>
      <c r="L19" s="17"/>
      <c r="M19" s="17"/>
      <c r="N19" s="17"/>
      <c r="O19" s="17"/>
    </row>
    <row r="20" spans="1:15" ht="12.5">
      <c r="A20" s="17"/>
      <c r="B20" s="24"/>
      <c r="C20" s="24"/>
      <c r="D20" s="133"/>
      <c r="E20" s="17"/>
      <c r="F20" s="17"/>
      <c r="G20" s="17"/>
      <c r="H20" s="17"/>
      <c r="I20" s="17" t="str">
        <f ca="1">IFERROR(__xludf.DUMMYFUNCTION("""COMPUTED_VALUE"""),"Sales")</f>
        <v>Sales</v>
      </c>
      <c r="J20" s="17"/>
      <c r="K20" s="17"/>
      <c r="L20" s="17"/>
      <c r="M20" s="17"/>
      <c r="N20" s="17"/>
      <c r="O20" s="17"/>
    </row>
    <row r="21" spans="1:15" ht="12.5">
      <c r="A21" s="17"/>
      <c r="B21" s="24"/>
      <c r="C21" s="24"/>
      <c r="D21" s="133"/>
      <c r="E21" s="17"/>
      <c r="F21" s="17"/>
      <c r="G21" s="17"/>
      <c r="H21" s="17"/>
      <c r="I21" s="17" t="str">
        <f ca="1">IFERROR(__xludf.DUMMYFUNCTION("""COMPUTED_VALUE"""),"Sales")</f>
        <v>Sales</v>
      </c>
      <c r="J21" s="17"/>
      <c r="K21" s="17"/>
      <c r="L21" s="17"/>
      <c r="M21" s="17"/>
      <c r="N21" s="17"/>
      <c r="O21" s="17"/>
    </row>
    <row r="22" spans="1:15" ht="12.5">
      <c r="A22" s="17"/>
      <c r="B22" s="24"/>
      <c r="C22" s="24"/>
      <c r="D22" s="17"/>
      <c r="E22" s="17"/>
      <c r="F22" s="17"/>
      <c r="G22" s="17"/>
      <c r="H22" s="17"/>
      <c r="I22" s="17" t="str">
        <f ca="1">IFERROR(__xludf.DUMMYFUNCTION("""COMPUTED_VALUE"""),"Sales")</f>
        <v>Sales</v>
      </c>
      <c r="J22" s="17"/>
      <c r="K22" s="17"/>
      <c r="L22" s="17"/>
      <c r="M22" s="17"/>
      <c r="N22" s="17"/>
      <c r="O22" s="17"/>
    </row>
    <row r="23" spans="1:15" ht="12.5">
      <c r="A23" s="17"/>
      <c r="B23" s="24"/>
      <c r="C23" s="24"/>
      <c r="D23" s="17"/>
      <c r="E23" s="17"/>
      <c r="F23" s="17"/>
      <c r="G23" s="17"/>
      <c r="H23" s="17"/>
      <c r="I23" s="17" t="str">
        <f ca="1">IFERROR(__xludf.DUMMYFUNCTION("""COMPUTED_VALUE"""),"Sales")</f>
        <v>Sales</v>
      </c>
      <c r="J23" s="17"/>
      <c r="K23" s="17"/>
      <c r="L23" s="17"/>
      <c r="M23" s="17"/>
      <c r="N23" s="17"/>
      <c r="O23" s="17"/>
    </row>
    <row r="24" spans="1:15" ht="12.5">
      <c r="A24" s="17"/>
      <c r="B24" s="24"/>
      <c r="C24" s="24"/>
      <c r="D24" s="17"/>
      <c r="E24" s="17"/>
      <c r="F24" s="17"/>
      <c r="G24" s="17"/>
      <c r="H24" s="17"/>
      <c r="I24" s="17" t="str">
        <f ca="1">IFERROR(__xludf.DUMMYFUNCTION("""COMPUTED_VALUE"""),"Sales")</f>
        <v>Sales</v>
      </c>
      <c r="J24" s="17"/>
      <c r="K24" s="17"/>
      <c r="L24" s="17"/>
      <c r="M24" s="17"/>
      <c r="N24" s="17"/>
      <c r="O24" s="17"/>
    </row>
    <row r="25" spans="1:15" ht="12.5">
      <c r="A25" s="17"/>
      <c r="B25" s="24"/>
      <c r="C25" s="24"/>
      <c r="D25" s="17"/>
      <c r="E25" s="17"/>
      <c r="F25" s="17"/>
      <c r="G25" s="17"/>
      <c r="H25" s="17"/>
      <c r="I25" s="17" t="str">
        <f ca="1">IFERROR(__xludf.DUMMYFUNCTION("""COMPUTED_VALUE"""),"Sales")</f>
        <v>Sales</v>
      </c>
      <c r="J25" s="17"/>
      <c r="K25" s="17"/>
      <c r="L25" s="17"/>
      <c r="M25" s="17"/>
      <c r="N25" s="17"/>
      <c r="O25" s="17"/>
    </row>
    <row r="26" spans="1:15" ht="12.5">
      <c r="A26" s="17"/>
      <c r="B26" s="24"/>
      <c r="C26" s="24"/>
      <c r="D26" s="17"/>
      <c r="E26" s="17"/>
      <c r="F26" s="17"/>
      <c r="G26" s="17"/>
      <c r="H26" s="17"/>
      <c r="I26" s="17" t="str">
        <f ca="1">IFERROR(__xludf.DUMMYFUNCTION("""COMPUTED_VALUE"""),"Sales")</f>
        <v>Sales</v>
      </c>
      <c r="J26" s="17"/>
      <c r="K26" s="17"/>
      <c r="L26" s="17"/>
      <c r="M26" s="17"/>
      <c r="N26" s="17"/>
      <c r="O26" s="17"/>
    </row>
    <row r="27" spans="1:15" ht="12.5">
      <c r="A27" s="17"/>
      <c r="B27" s="24"/>
      <c r="C27" s="24"/>
      <c r="D27" s="17"/>
      <c r="E27" s="17"/>
      <c r="F27" s="17"/>
      <c r="G27" s="17"/>
      <c r="H27" s="17"/>
      <c r="I27" s="17" t="str">
        <f ca="1">IFERROR(__xludf.DUMMYFUNCTION("""COMPUTED_VALUE"""),"Sales")</f>
        <v>Sales</v>
      </c>
      <c r="J27" s="17"/>
      <c r="K27" s="17"/>
      <c r="L27" s="17"/>
      <c r="M27" s="17"/>
      <c r="N27" s="17"/>
      <c r="O27" s="17"/>
    </row>
    <row r="28" spans="1:15" ht="12.5">
      <c r="A28" s="17"/>
      <c r="B28" s="24"/>
      <c r="C28" s="24"/>
      <c r="D28" s="17"/>
      <c r="E28" s="17"/>
      <c r="F28" s="17"/>
      <c r="G28" s="17"/>
      <c r="H28" s="17"/>
      <c r="I28" s="17" t="str">
        <f ca="1">IFERROR(__xludf.DUMMYFUNCTION("""COMPUTED_VALUE"""),"Sales")</f>
        <v>Sales</v>
      </c>
      <c r="J28" s="17"/>
      <c r="K28" s="17"/>
      <c r="L28" s="17"/>
      <c r="M28" s="17"/>
      <c r="N28" s="17"/>
      <c r="O28" s="17"/>
    </row>
    <row r="29" spans="1:15" ht="12.5">
      <c r="A29" s="17"/>
      <c r="B29" s="24"/>
      <c r="C29" s="24"/>
      <c r="D29" s="17"/>
      <c r="E29" s="17"/>
      <c r="F29" s="17"/>
      <c r="G29" s="17"/>
      <c r="H29" s="17"/>
      <c r="I29" s="17" t="str">
        <f ca="1">IFERROR(__xludf.DUMMYFUNCTION("""COMPUTED_VALUE"""),"Sales")</f>
        <v>Sales</v>
      </c>
      <c r="J29" s="17"/>
      <c r="K29" s="17"/>
      <c r="L29" s="17"/>
      <c r="M29" s="17"/>
      <c r="N29" s="17"/>
      <c r="O29" s="17"/>
    </row>
    <row r="30" spans="1:15" ht="12.5">
      <c r="A30" s="17"/>
      <c r="B30" s="24"/>
      <c r="C30" s="24"/>
      <c r="D30" s="17"/>
      <c r="E30" s="17"/>
      <c r="F30" s="17"/>
      <c r="G30" s="17"/>
      <c r="H30" s="17"/>
      <c r="I30" s="17" t="str">
        <f ca="1">IFERROR(__xludf.DUMMYFUNCTION("""COMPUTED_VALUE"""),"Sales")</f>
        <v>Sales</v>
      </c>
      <c r="J30" s="17"/>
      <c r="K30" s="17"/>
      <c r="L30" s="17"/>
      <c r="M30" s="17"/>
      <c r="N30" s="17"/>
      <c r="O30" s="17"/>
    </row>
    <row r="31" spans="1:15" ht="12.5">
      <c r="A31" s="17"/>
      <c r="B31" s="24"/>
      <c r="C31" s="24"/>
      <c r="D31" s="17"/>
      <c r="E31" s="17"/>
      <c r="F31" s="17"/>
      <c r="G31" s="17"/>
      <c r="H31" s="17"/>
      <c r="I31" s="17" t="str">
        <f ca="1">IFERROR(__xludf.DUMMYFUNCTION("""COMPUTED_VALUE"""),"Sales")</f>
        <v>Sales</v>
      </c>
      <c r="J31" s="17"/>
      <c r="K31" s="17"/>
      <c r="L31" s="17"/>
      <c r="M31" s="17"/>
      <c r="N31" s="17"/>
      <c r="O31" s="17"/>
    </row>
    <row r="32" spans="1:15" ht="12.5">
      <c r="A32" s="17"/>
      <c r="B32" s="24"/>
      <c r="C32" s="24"/>
      <c r="D32" s="17"/>
      <c r="E32" s="17"/>
      <c r="F32" s="17"/>
      <c r="G32" s="17"/>
      <c r="H32" s="17"/>
      <c r="I32" s="17" t="str">
        <f ca="1">IFERROR(__xludf.DUMMYFUNCTION("""COMPUTED_VALUE"""),"Sales")</f>
        <v>Sales</v>
      </c>
      <c r="J32" s="17"/>
      <c r="K32" s="17"/>
      <c r="L32" s="17"/>
      <c r="M32" s="17"/>
      <c r="N32" s="17"/>
      <c r="O32" s="17"/>
    </row>
    <row r="33" spans="1:15" ht="12.5">
      <c r="A33" s="17"/>
      <c r="B33" s="24"/>
      <c r="C33" s="24"/>
      <c r="D33" s="17"/>
      <c r="E33" s="17"/>
      <c r="F33" s="17"/>
      <c r="G33" s="17"/>
      <c r="H33" s="17"/>
      <c r="I33" s="17" t="str">
        <f ca="1">IFERROR(__xludf.DUMMYFUNCTION("""COMPUTED_VALUE"""),"Sales")</f>
        <v>Sales</v>
      </c>
      <c r="J33" s="17"/>
      <c r="K33" s="17"/>
      <c r="L33" s="17"/>
      <c r="M33" s="17"/>
      <c r="N33" s="17"/>
      <c r="O33" s="17"/>
    </row>
    <row r="34" spans="1:15" ht="12.5">
      <c r="A34" s="17"/>
      <c r="B34" s="24"/>
      <c r="C34" s="24"/>
      <c r="D34" s="17"/>
      <c r="E34" s="17"/>
      <c r="F34" s="17"/>
      <c r="G34" s="17"/>
      <c r="H34" s="17"/>
      <c r="I34" s="17" t="str">
        <f ca="1">IFERROR(__xludf.DUMMYFUNCTION("""COMPUTED_VALUE"""),"Sales")</f>
        <v>Sales</v>
      </c>
      <c r="J34" s="17"/>
      <c r="K34" s="17"/>
      <c r="L34" s="17"/>
      <c r="M34" s="17"/>
      <c r="N34" s="17"/>
      <c r="O34" s="17"/>
    </row>
    <row r="35" spans="1:15" ht="12.5">
      <c r="A35" s="17"/>
      <c r="B35" s="24"/>
      <c r="C35" s="24"/>
      <c r="D35" s="17"/>
      <c r="E35" s="17"/>
      <c r="F35" s="17"/>
      <c r="G35" s="17"/>
      <c r="H35" s="17"/>
      <c r="I35" s="17" t="str">
        <f ca="1">IFERROR(__xludf.DUMMYFUNCTION("""COMPUTED_VALUE"""),"Sales")</f>
        <v>Sales</v>
      </c>
      <c r="J35" s="17"/>
      <c r="K35" s="17"/>
      <c r="L35" s="17"/>
      <c r="M35" s="17"/>
      <c r="N35" s="17"/>
      <c r="O35" s="17"/>
    </row>
    <row r="36" spans="1:15" ht="12.5">
      <c r="A36" s="17"/>
      <c r="B36" s="24"/>
      <c r="C36" s="24"/>
      <c r="D36" s="17"/>
      <c r="E36" s="17"/>
      <c r="F36" s="17"/>
      <c r="G36" s="17"/>
      <c r="H36" s="17"/>
      <c r="I36" s="17" t="str">
        <f ca="1">IFERROR(__xludf.DUMMYFUNCTION("""COMPUTED_VALUE"""),"Sales")</f>
        <v>Sales</v>
      </c>
      <c r="J36" s="17"/>
      <c r="K36" s="17"/>
      <c r="L36" s="17"/>
      <c r="M36" s="17"/>
      <c r="N36" s="17"/>
      <c r="O36" s="17"/>
    </row>
    <row r="37" spans="1:15" ht="12.5">
      <c r="A37" s="17"/>
      <c r="B37" s="24"/>
      <c r="C37" s="24"/>
      <c r="D37" s="17"/>
      <c r="E37" s="17"/>
      <c r="F37" s="17"/>
      <c r="G37" s="17"/>
      <c r="H37" s="17"/>
      <c r="I37" s="17" t="str">
        <f ca="1">IFERROR(__xludf.DUMMYFUNCTION("""COMPUTED_VALUE"""),"Sales")</f>
        <v>Sales</v>
      </c>
      <c r="J37" s="17"/>
      <c r="K37" s="17"/>
      <c r="L37" s="17"/>
      <c r="M37" s="17"/>
      <c r="N37" s="17"/>
      <c r="O37" s="17"/>
    </row>
    <row r="38" spans="1:15" ht="12.5">
      <c r="A38" s="17"/>
      <c r="B38" s="24"/>
      <c r="C38" s="24"/>
      <c r="D38" s="17"/>
      <c r="E38" s="17"/>
      <c r="F38" s="17"/>
      <c r="G38" s="17"/>
      <c r="H38" s="17"/>
      <c r="I38" s="17" t="str">
        <f ca="1">IFERROR(__xludf.DUMMYFUNCTION("""COMPUTED_VALUE"""),"Sales")</f>
        <v>Sales</v>
      </c>
      <c r="J38" s="17"/>
      <c r="K38" s="17"/>
      <c r="L38" s="17"/>
      <c r="M38" s="17"/>
      <c r="N38" s="17"/>
      <c r="O38" s="17"/>
    </row>
    <row r="39" spans="1:15" ht="12.5">
      <c r="A39" s="17"/>
      <c r="B39" s="24"/>
      <c r="C39" s="24"/>
      <c r="D39" s="17"/>
      <c r="E39" s="17"/>
      <c r="F39" s="17"/>
      <c r="G39" s="17"/>
      <c r="H39" s="17"/>
      <c r="I39" s="17" t="str">
        <f ca="1">IFERROR(__xludf.DUMMYFUNCTION("""COMPUTED_VALUE"""),"Sales")</f>
        <v>Sales</v>
      </c>
      <c r="J39" s="17"/>
      <c r="K39" s="17"/>
      <c r="L39" s="17"/>
      <c r="M39" s="17"/>
      <c r="N39" s="17"/>
      <c r="O39" s="17"/>
    </row>
    <row r="40" spans="1:15" ht="12.5">
      <c r="A40" s="17"/>
      <c r="B40" s="24"/>
      <c r="C40" s="24"/>
      <c r="D40" s="17"/>
      <c r="E40" s="17"/>
      <c r="F40" s="17"/>
      <c r="G40" s="17"/>
      <c r="H40" s="17"/>
      <c r="I40" s="17" t="str">
        <f ca="1">IFERROR(__xludf.DUMMYFUNCTION("""COMPUTED_VALUE"""),"Sales")</f>
        <v>Sales</v>
      </c>
      <c r="J40" s="17"/>
      <c r="K40" s="134"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34"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34"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34"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34"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34"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34" t="str">
        <f ca="1">IFERROR(__xludf.DUMMYFUNCTION("""COMPUTED_VALUE"""),".")</f>
        <v>.</v>
      </c>
      <c r="L46" s="17"/>
      <c r="M46" s="17"/>
      <c r="N46" s="17"/>
      <c r="O46" s="17"/>
    </row>
    <row r="47" spans="1:15" ht="12.5">
      <c r="A47" s="17"/>
      <c r="B47" s="24"/>
      <c r="C47" s="24"/>
      <c r="D47" s="17"/>
      <c r="E47" s="17"/>
      <c r="F47" s="17"/>
      <c r="G47" s="17"/>
      <c r="H47" s="17"/>
      <c r="I47" s="17"/>
      <c r="J47" s="17"/>
      <c r="K47" s="134" t="str">
        <f ca="1">IFERROR(__xludf.DUMMYFUNCTION("""COMPUTED_VALUE"""),".")</f>
        <v>.</v>
      </c>
      <c r="L47" s="17"/>
      <c r="M47" s="17"/>
      <c r="N47" s="17"/>
      <c r="O47" s="17"/>
    </row>
    <row r="48" spans="1:15" ht="12.5">
      <c r="A48" s="17"/>
      <c r="B48" s="24"/>
      <c r="C48" s="24"/>
      <c r="D48" s="17"/>
      <c r="E48" s="17"/>
      <c r="F48" s="17"/>
      <c r="G48" s="17"/>
      <c r="H48" s="17"/>
      <c r="I48" s="17"/>
      <c r="J48" s="17"/>
      <c r="K48" s="134" t="str">
        <f ca="1">IFERROR(__xludf.DUMMYFUNCTION("""COMPUTED_VALUE"""),".")</f>
        <v>.</v>
      </c>
      <c r="L48" s="17"/>
      <c r="M48" s="17"/>
      <c r="N48" s="17"/>
      <c r="O48" s="17"/>
    </row>
    <row r="49" spans="1:15" ht="12.5">
      <c r="A49" s="17"/>
      <c r="B49" s="24"/>
      <c r="C49" s="24"/>
      <c r="D49" s="17"/>
      <c r="E49" s="17"/>
      <c r="F49" s="17"/>
      <c r="G49" s="17"/>
      <c r="H49" s="17"/>
      <c r="I49" s="17"/>
      <c r="J49" s="17"/>
      <c r="K49" s="134" t="str">
        <f ca="1">IFERROR(__xludf.DUMMYFUNCTION("""COMPUTED_VALUE"""),".")</f>
        <v>.</v>
      </c>
      <c r="L49" s="17"/>
      <c r="M49" s="17"/>
      <c r="N49" s="17"/>
      <c r="O49" s="17"/>
    </row>
    <row r="50" spans="1:15" ht="12.5">
      <c r="A50" s="17"/>
      <c r="B50" s="24"/>
      <c r="C50" s="24"/>
      <c r="D50" s="17"/>
      <c r="E50" s="17"/>
      <c r="F50" s="17"/>
      <c r="G50" s="17"/>
      <c r="H50" s="17"/>
      <c r="I50" s="17"/>
      <c r="J50" s="17"/>
      <c r="K50" s="134" t="str">
        <f ca="1">IFERROR(__xludf.DUMMYFUNCTION("""COMPUTED_VALUE"""),".")</f>
        <v>.</v>
      </c>
      <c r="L50" s="17"/>
      <c r="M50" s="17"/>
      <c r="N50" s="17"/>
      <c r="O50" s="17"/>
    </row>
    <row r="51" spans="1:15" ht="12.5">
      <c r="A51" s="17"/>
      <c r="B51" s="24"/>
      <c r="C51" s="24"/>
      <c r="D51" s="17"/>
      <c r="E51" s="17"/>
      <c r="F51" s="17"/>
      <c r="G51" s="17"/>
      <c r="H51" s="17"/>
      <c r="I51" s="17"/>
      <c r="J51" s="17"/>
      <c r="K51" s="134" t="str">
        <f ca="1">IFERROR(__xludf.DUMMYFUNCTION("""COMPUTED_VALUE"""),".")</f>
        <v>.</v>
      </c>
      <c r="L51" s="17"/>
      <c r="M51" s="17"/>
      <c r="N51" s="17"/>
      <c r="O51" s="17"/>
    </row>
    <row r="52" spans="1:15" ht="12.5">
      <c r="A52" s="17"/>
      <c r="B52" s="24"/>
      <c r="C52" s="24"/>
      <c r="D52" s="17"/>
      <c r="E52" s="17"/>
      <c r="F52" s="17"/>
      <c r="G52" s="17"/>
      <c r="H52" s="17"/>
      <c r="I52" s="17"/>
      <c r="J52" s="17"/>
      <c r="K52" s="134" t="str">
        <f ca="1">IFERROR(__xludf.DUMMYFUNCTION("""COMPUTED_VALUE"""),".")</f>
        <v>.</v>
      </c>
      <c r="L52" s="17"/>
      <c r="M52" s="17"/>
      <c r="N52" s="17"/>
      <c r="O52" s="17"/>
    </row>
    <row r="53" spans="1:15" ht="12.5">
      <c r="A53" s="17"/>
      <c r="B53" s="24"/>
      <c r="C53" s="24"/>
      <c r="D53" s="17"/>
      <c r="E53" s="17"/>
      <c r="F53" s="17"/>
      <c r="G53" s="17"/>
      <c r="H53" s="17"/>
      <c r="I53" s="17"/>
      <c r="J53" s="17"/>
      <c r="K53" s="134" t="str">
        <f ca="1">IFERROR(__xludf.DUMMYFUNCTION("""COMPUTED_VALUE"""),".")</f>
        <v>.</v>
      </c>
      <c r="L53" s="17"/>
      <c r="M53" s="17"/>
      <c r="N53" s="17"/>
      <c r="O53" s="17"/>
    </row>
    <row r="54" spans="1:15" ht="12.5">
      <c r="A54" s="17"/>
      <c r="B54" s="24"/>
      <c r="C54" s="24"/>
      <c r="D54" s="17"/>
      <c r="E54" s="17"/>
      <c r="F54" s="17"/>
      <c r="G54" s="17"/>
      <c r="H54" s="17"/>
      <c r="I54" s="17"/>
      <c r="J54" s="17"/>
      <c r="K54" s="134" t="str">
        <f ca="1">IFERROR(__xludf.DUMMYFUNCTION("""COMPUTED_VALUE"""),".")</f>
        <v>.</v>
      </c>
      <c r="L54" s="17"/>
      <c r="M54" s="17"/>
      <c r="N54" s="17"/>
      <c r="O54" s="17"/>
    </row>
    <row r="55" spans="1:15" ht="12.5">
      <c r="A55" s="17"/>
      <c r="B55" s="24"/>
      <c r="C55" s="24"/>
      <c r="D55" s="17"/>
      <c r="E55" s="17"/>
      <c r="F55" s="17"/>
      <c r="G55" s="17"/>
      <c r="H55" s="17"/>
      <c r="I55" s="17"/>
      <c r="J55" s="17"/>
      <c r="K55" s="134" t="str">
        <f ca="1">IFERROR(__xludf.DUMMYFUNCTION("""COMPUTED_VALUE"""),".")</f>
        <v>.</v>
      </c>
      <c r="L55" s="17"/>
      <c r="M55" s="17"/>
      <c r="N55" s="17"/>
      <c r="O55" s="17"/>
    </row>
    <row r="56" spans="1:15" ht="12.5">
      <c r="A56" s="17"/>
      <c r="B56" s="24"/>
      <c r="C56" s="24"/>
      <c r="D56" s="17"/>
      <c r="E56" s="17"/>
      <c r="F56" s="17"/>
      <c r="G56" s="17"/>
      <c r="H56" s="17"/>
      <c r="I56" s="17"/>
      <c r="J56" s="17"/>
      <c r="K56" s="134" t="str">
        <f ca="1">IFERROR(__xludf.DUMMYFUNCTION("""COMPUTED_VALUE"""),".")</f>
        <v>.</v>
      </c>
      <c r="L56" s="17"/>
      <c r="M56" s="17"/>
      <c r="N56" s="17"/>
      <c r="O56" s="17"/>
    </row>
    <row r="57" spans="1:15" ht="12.5">
      <c r="A57" s="17"/>
      <c r="B57" s="24"/>
      <c r="C57" s="24"/>
      <c r="D57" s="17"/>
      <c r="E57" s="17"/>
      <c r="F57" s="17"/>
      <c r="G57" s="17"/>
      <c r="H57" s="17"/>
      <c r="I57" s="17"/>
      <c r="J57" s="17"/>
      <c r="K57" s="134" t="str">
        <f ca="1">IFERROR(__xludf.DUMMYFUNCTION("""COMPUTED_VALUE"""),".")</f>
        <v>.</v>
      </c>
      <c r="L57" s="17"/>
      <c r="M57" s="17"/>
      <c r="N57" s="17"/>
      <c r="O57" s="17"/>
    </row>
    <row r="58" spans="1:15" ht="12.5">
      <c r="A58" s="17"/>
      <c r="B58" s="24"/>
      <c r="C58" s="24"/>
      <c r="D58" s="17"/>
      <c r="E58" s="17"/>
      <c r="F58" s="17"/>
      <c r="G58" s="17"/>
      <c r="H58" s="17"/>
      <c r="I58" s="17"/>
      <c r="J58" s="17"/>
      <c r="K58" s="134" t="str">
        <f ca="1">IFERROR(__xludf.DUMMYFUNCTION("""COMPUTED_VALUE"""),".")</f>
        <v>.</v>
      </c>
      <c r="L58" s="17"/>
      <c r="M58" s="17"/>
      <c r="N58" s="17"/>
      <c r="O58" s="17"/>
    </row>
    <row r="59" spans="1:15" ht="12.5">
      <c r="A59" s="17"/>
      <c r="B59" s="24"/>
      <c r="C59" s="24"/>
      <c r="D59" s="17"/>
      <c r="E59" s="17"/>
      <c r="F59" s="17"/>
      <c r="G59" s="17"/>
      <c r="H59" s="17"/>
      <c r="I59" s="17"/>
      <c r="J59" s="17"/>
      <c r="K59" s="134" t="str">
        <f ca="1">IFERROR(__xludf.DUMMYFUNCTION("""COMPUTED_VALUE"""),".")</f>
        <v>.</v>
      </c>
      <c r="L59" s="17"/>
      <c r="M59" s="17"/>
      <c r="N59" s="17"/>
      <c r="O59" s="17"/>
    </row>
    <row r="60" spans="1:15" ht="12.5">
      <c r="A60" s="17"/>
      <c r="B60" s="24"/>
      <c r="C60" s="24"/>
      <c r="D60" s="17"/>
      <c r="E60" s="17"/>
      <c r="F60" s="17"/>
      <c r="G60" s="17"/>
      <c r="H60" s="17"/>
      <c r="I60" s="17"/>
      <c r="J60" s="17"/>
      <c r="K60" s="134" t="str">
        <f ca="1">IFERROR(__xludf.DUMMYFUNCTION("""COMPUTED_VALUE"""),".")</f>
        <v>.</v>
      </c>
      <c r="L60" s="17"/>
      <c r="M60" s="17"/>
      <c r="N60" s="17"/>
      <c r="O60" s="17"/>
    </row>
    <row r="61" spans="1:15" ht="12.5">
      <c r="A61" s="17"/>
      <c r="B61" s="24"/>
      <c r="C61" s="24"/>
      <c r="D61" s="17"/>
      <c r="E61" s="17"/>
      <c r="F61" s="17"/>
      <c r="G61" s="17"/>
      <c r="H61" s="17"/>
      <c r="I61" s="17"/>
      <c r="J61" s="17"/>
      <c r="K61" s="134" t="str">
        <f ca="1">IFERROR(__xludf.DUMMYFUNCTION("""COMPUTED_VALUE"""),".")</f>
        <v>.</v>
      </c>
      <c r="L61" s="17"/>
      <c r="M61" s="17"/>
      <c r="N61" s="17"/>
      <c r="O61" s="17"/>
    </row>
    <row r="62" spans="1:15" ht="12.5">
      <c r="A62" s="17"/>
      <c r="B62" s="24"/>
      <c r="C62" s="24"/>
      <c r="D62" s="17"/>
      <c r="E62" s="17"/>
      <c r="F62" s="17"/>
      <c r="G62" s="17"/>
      <c r="H62" s="17"/>
      <c r="I62" s="17"/>
      <c r="J62" s="17"/>
      <c r="K62" s="134" t="str">
        <f ca="1">IFERROR(__xludf.DUMMYFUNCTION("""COMPUTED_VALUE"""),".")</f>
        <v>.</v>
      </c>
      <c r="L62" s="17"/>
      <c r="M62" s="17"/>
      <c r="N62" s="17"/>
      <c r="O62" s="17"/>
    </row>
    <row r="63" spans="1:15" ht="12.5">
      <c r="A63" s="17"/>
      <c r="B63" s="24"/>
      <c r="C63" s="24"/>
      <c r="D63" s="17"/>
      <c r="E63" s="17"/>
      <c r="F63" s="17"/>
      <c r="G63" s="17"/>
      <c r="H63" s="17"/>
      <c r="I63" s="17"/>
      <c r="J63" s="17"/>
      <c r="K63" s="134" t="str">
        <f ca="1">IFERROR(__xludf.DUMMYFUNCTION("""COMPUTED_VALUE"""),".")</f>
        <v>.</v>
      </c>
      <c r="L63" s="17"/>
      <c r="M63" s="17"/>
      <c r="N63" s="17"/>
      <c r="O63" s="17"/>
    </row>
    <row r="64" spans="1:15" ht="12.5">
      <c r="A64" s="17"/>
      <c r="B64" s="24"/>
      <c r="C64" s="24"/>
      <c r="D64" s="17"/>
      <c r="E64" s="17"/>
      <c r="F64" s="17"/>
      <c r="G64" s="17"/>
      <c r="H64" s="17"/>
      <c r="I64" s="17"/>
      <c r="J64" s="17"/>
      <c r="K64" s="134" t="str">
        <f ca="1">IFERROR(__xludf.DUMMYFUNCTION("""COMPUTED_VALUE"""),".")</f>
        <v>.</v>
      </c>
      <c r="L64" s="17"/>
      <c r="M64" s="17"/>
      <c r="N64" s="17"/>
      <c r="O64" s="17"/>
    </row>
    <row r="65" spans="1:15" ht="12.5">
      <c r="A65" s="17"/>
      <c r="B65" s="24"/>
      <c r="C65" s="24"/>
      <c r="D65" s="17"/>
      <c r="E65" s="17"/>
      <c r="F65" s="17"/>
      <c r="G65" s="17"/>
      <c r="H65" s="17"/>
      <c r="I65" s="17"/>
      <c r="J65" s="17"/>
      <c r="K65" s="134" t="str">
        <f ca="1">IFERROR(__xludf.DUMMYFUNCTION("""COMPUTED_VALUE"""),".")</f>
        <v>.</v>
      </c>
      <c r="L65" s="17"/>
      <c r="M65" s="17"/>
      <c r="N65" s="17"/>
      <c r="O65" s="17"/>
    </row>
    <row r="66" spans="1:15" ht="12.5">
      <c r="A66" s="17"/>
      <c r="B66" s="24"/>
      <c r="C66" s="24"/>
      <c r="D66" s="17"/>
      <c r="E66" s="17"/>
      <c r="F66" s="17"/>
      <c r="G66" s="17"/>
      <c r="H66" s="17"/>
      <c r="I66" s="17"/>
      <c r="J66" s="17"/>
      <c r="K66" s="134" t="str">
        <f ca="1">IFERROR(__xludf.DUMMYFUNCTION("""COMPUTED_VALUE"""),".")</f>
        <v>.</v>
      </c>
      <c r="L66" s="17"/>
      <c r="M66" s="17"/>
      <c r="N66" s="17"/>
      <c r="O66" s="17"/>
    </row>
    <row r="67" spans="1:15" ht="12.5">
      <c r="A67" s="17"/>
      <c r="B67" s="24"/>
      <c r="C67" s="24"/>
      <c r="D67" s="17"/>
      <c r="E67" s="17"/>
      <c r="F67" s="17"/>
      <c r="G67" s="17"/>
      <c r="H67" s="17"/>
      <c r="I67" s="17"/>
      <c r="J67" s="17"/>
      <c r="K67" s="134" t="str">
        <f ca="1">IFERROR(__xludf.DUMMYFUNCTION("""COMPUTED_VALUE"""),".")</f>
        <v>.</v>
      </c>
      <c r="L67" s="17"/>
      <c r="M67" s="17"/>
      <c r="N67" s="17"/>
      <c r="O67" s="17"/>
    </row>
    <row r="68" spans="1:15" ht="12.5">
      <c r="A68" s="17"/>
      <c r="B68" s="24"/>
      <c r="C68" s="24"/>
      <c r="D68" s="17"/>
      <c r="E68" s="17"/>
      <c r="F68" s="17"/>
      <c r="G68" s="17"/>
      <c r="H68" s="17"/>
      <c r="I68" s="17"/>
      <c r="J68" s="17"/>
      <c r="K68" s="134" t="str">
        <f ca="1">IFERROR(__xludf.DUMMYFUNCTION("""COMPUTED_VALUE"""),".")</f>
        <v>.</v>
      </c>
      <c r="L68" s="17"/>
      <c r="M68" s="17"/>
      <c r="N68" s="17"/>
      <c r="O68" s="17"/>
    </row>
    <row r="69" spans="1:15" ht="12.5">
      <c r="A69" s="17"/>
      <c r="B69" s="24"/>
      <c r="C69" s="24"/>
      <c r="D69" s="17"/>
      <c r="E69" s="17"/>
      <c r="F69" s="17"/>
      <c r="G69" s="17"/>
      <c r="H69" s="17"/>
      <c r="I69" s="17"/>
      <c r="J69" s="17"/>
      <c r="K69" s="134" t="str">
        <f ca="1">IFERROR(__xludf.DUMMYFUNCTION("""COMPUTED_VALUE"""),".")</f>
        <v>.</v>
      </c>
      <c r="L69" s="17"/>
      <c r="M69" s="17"/>
      <c r="N69" s="17"/>
      <c r="O69" s="17"/>
    </row>
    <row r="70" spans="1:15" ht="12.5">
      <c r="A70" s="17"/>
      <c r="B70" s="24"/>
      <c r="C70" s="24"/>
      <c r="D70" s="17"/>
      <c r="E70" s="17"/>
      <c r="F70" s="17"/>
      <c r="G70" s="17"/>
      <c r="H70" s="17"/>
      <c r="I70" s="17"/>
      <c r="J70" s="17"/>
      <c r="K70" s="134" t="str">
        <f ca="1">IFERROR(__xludf.DUMMYFUNCTION("""COMPUTED_VALUE"""),".")</f>
        <v>.</v>
      </c>
      <c r="L70" s="17"/>
      <c r="M70" s="17"/>
      <c r="N70" s="17"/>
      <c r="O70" s="17"/>
    </row>
    <row r="71" spans="1:15" ht="12.5">
      <c r="A71" s="17"/>
      <c r="B71" s="24"/>
      <c r="C71" s="24"/>
      <c r="D71" s="17"/>
      <c r="E71" s="17"/>
      <c r="F71" s="17"/>
      <c r="G71" s="17"/>
      <c r="H71" s="17"/>
      <c r="I71" s="17"/>
      <c r="J71" s="17"/>
      <c r="K71" s="134" t="str">
        <f ca="1">IFERROR(__xludf.DUMMYFUNCTION("""COMPUTED_VALUE"""),".")</f>
        <v>.</v>
      </c>
      <c r="L71" s="17"/>
      <c r="M71" s="17"/>
      <c r="N71" s="17"/>
      <c r="O71" s="17"/>
    </row>
    <row r="72" spans="1:15" ht="12.5">
      <c r="A72" s="17"/>
      <c r="B72" s="24"/>
      <c r="C72" s="24"/>
      <c r="D72" s="17"/>
      <c r="E72" s="17"/>
      <c r="F72" s="17"/>
      <c r="G72" s="17"/>
      <c r="H72" s="17"/>
      <c r="I72" s="17"/>
      <c r="J72" s="17"/>
      <c r="K72" s="134" t="str">
        <f ca="1">IFERROR(__xludf.DUMMYFUNCTION("""COMPUTED_VALUE"""),".")</f>
        <v>.</v>
      </c>
      <c r="L72" s="17"/>
      <c r="M72" s="17"/>
      <c r="N72" s="17"/>
      <c r="O72" s="17"/>
    </row>
    <row r="73" spans="1:15" ht="12.5">
      <c r="A73" s="17"/>
      <c r="B73" s="24"/>
      <c r="C73" s="24"/>
      <c r="D73" s="17"/>
      <c r="E73" s="17"/>
      <c r="F73" s="17"/>
      <c r="G73" s="17"/>
      <c r="H73" s="17"/>
      <c r="I73" s="17"/>
      <c r="J73" s="17"/>
      <c r="K73" s="134" t="str">
        <f ca="1">IFERROR(__xludf.DUMMYFUNCTION("""COMPUTED_VALUE"""),".")</f>
        <v>.</v>
      </c>
      <c r="L73" s="17"/>
      <c r="M73" s="17"/>
      <c r="N73" s="17"/>
      <c r="O73" s="17"/>
    </row>
    <row r="74" spans="1:15" ht="12.5">
      <c r="A74" s="17"/>
      <c r="B74" s="24"/>
      <c r="C74" s="24"/>
      <c r="D74" s="17"/>
      <c r="E74" s="17"/>
      <c r="F74" s="17"/>
      <c r="G74" s="17"/>
      <c r="H74" s="17"/>
      <c r="I74" s="17"/>
      <c r="J74" s="17"/>
      <c r="K74" s="134" t="str">
        <f ca="1">IFERROR(__xludf.DUMMYFUNCTION("""COMPUTED_VALUE"""),".")</f>
        <v>.</v>
      </c>
      <c r="L74" s="17"/>
      <c r="M74" s="17"/>
      <c r="N74" s="17"/>
      <c r="O74" s="17"/>
    </row>
    <row r="75" spans="1:15" ht="12.5">
      <c r="A75" s="17"/>
      <c r="B75" s="24"/>
      <c r="C75" s="24"/>
      <c r="D75" s="17"/>
      <c r="E75" s="17"/>
      <c r="F75" s="17"/>
      <c r="G75" s="17"/>
      <c r="H75" s="17"/>
      <c r="I75" s="17"/>
      <c r="J75" s="17"/>
      <c r="K75" s="134" t="str">
        <f ca="1">IFERROR(__xludf.DUMMYFUNCTION("""COMPUTED_VALUE"""),".")</f>
        <v>.</v>
      </c>
      <c r="L75" s="17"/>
      <c r="M75" s="17"/>
      <c r="N75" s="17"/>
      <c r="O75" s="17"/>
    </row>
    <row r="76" spans="1:15" ht="12.5">
      <c r="A76" s="17"/>
      <c r="B76" s="24"/>
      <c r="C76" s="24"/>
      <c r="D76" s="17"/>
      <c r="E76" s="17"/>
      <c r="F76" s="17"/>
      <c r="G76" s="17"/>
      <c r="H76" s="17"/>
      <c r="I76" s="17"/>
      <c r="J76" s="17"/>
      <c r="K76" s="134" t="str">
        <f ca="1">IFERROR(__xludf.DUMMYFUNCTION("""COMPUTED_VALUE"""),".")</f>
        <v>.</v>
      </c>
      <c r="L76" s="17"/>
      <c r="M76" s="17"/>
      <c r="N76" s="17"/>
      <c r="O76" s="17"/>
    </row>
    <row r="77" spans="1:15" ht="12.5">
      <c r="A77" s="17"/>
      <c r="B77" s="24"/>
      <c r="C77" s="24"/>
      <c r="D77" s="17"/>
      <c r="E77" s="17"/>
      <c r="F77" s="17"/>
      <c r="G77" s="17"/>
      <c r="H77" s="17"/>
      <c r="I77" s="17"/>
      <c r="J77" s="17"/>
      <c r="K77" s="134" t="str">
        <f ca="1">IFERROR(__xludf.DUMMYFUNCTION("""COMPUTED_VALUE"""),".")</f>
        <v>.</v>
      </c>
      <c r="L77" s="17"/>
      <c r="M77" s="17"/>
      <c r="N77" s="17"/>
      <c r="O77" s="17"/>
    </row>
    <row r="78" spans="1:15" ht="12.5">
      <c r="A78" s="17"/>
      <c r="B78" s="24"/>
      <c r="C78" s="24"/>
      <c r="D78" s="17"/>
      <c r="E78" s="17"/>
      <c r="F78" s="17"/>
      <c r="G78" s="17"/>
      <c r="H78" s="17"/>
      <c r="I78" s="17"/>
      <c r="J78" s="17"/>
      <c r="K78" s="134" t="str">
        <f ca="1">IFERROR(__xludf.DUMMYFUNCTION("""COMPUTED_VALUE"""),".")</f>
        <v>.</v>
      </c>
      <c r="L78" s="17"/>
      <c r="M78" s="17"/>
      <c r="N78" s="17"/>
      <c r="O78" s="17"/>
    </row>
    <row r="79" spans="1:15" ht="12.5">
      <c r="A79" s="17"/>
      <c r="B79" s="24"/>
      <c r="C79" s="24"/>
      <c r="D79" s="17"/>
      <c r="E79" s="17"/>
      <c r="F79" s="17"/>
      <c r="G79" s="17"/>
      <c r="H79" s="17"/>
      <c r="I79" s="17"/>
      <c r="J79" s="17"/>
      <c r="K79" s="134" t="str">
        <f ca="1">IFERROR(__xludf.DUMMYFUNCTION("""COMPUTED_VALUE"""),".")</f>
        <v>.</v>
      </c>
      <c r="L79" s="17"/>
      <c r="M79" s="17"/>
      <c r="N79" s="17"/>
      <c r="O79" s="17"/>
    </row>
    <row r="80" spans="1:15" ht="12.5">
      <c r="A80" s="17"/>
      <c r="B80" s="24"/>
      <c r="C80" s="24"/>
      <c r="D80" s="17"/>
      <c r="E80" s="17"/>
      <c r="F80" s="17"/>
      <c r="G80" s="17"/>
      <c r="H80" s="17"/>
      <c r="I80" s="17"/>
      <c r="J80" s="17"/>
      <c r="K80" s="134"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9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4A86E8"/>
    <outlinePr summaryBelow="0" summaryRight="0"/>
  </sheetPr>
  <dimension ref="A1:O207"/>
  <sheetViews>
    <sheetView workbookViewId="0"/>
  </sheetViews>
  <sheetFormatPr baseColWidth="10" defaultColWidth="12.6328125" defaultRowHeight="15.75" customHeight="1"/>
  <cols>
    <col min="1" max="1" width="11.08984375" customWidth="1"/>
    <col min="2" max="2" width="4.08984375" customWidth="1"/>
    <col min="3" max="3" width="11.453125" customWidth="1"/>
    <col min="4" max="4" width="6" customWidth="1"/>
    <col min="5" max="5" width="11.6328125" customWidth="1"/>
    <col min="6" max="6" width="11.08984375" customWidth="1"/>
    <col min="7" max="8" width="27" customWidth="1"/>
    <col min="9" max="9" width="22.08984375" customWidth="1"/>
    <col min="10" max="10" width="91.36328125" customWidth="1"/>
    <col min="11" max="11" width="14.26953125" customWidth="1"/>
    <col min="12" max="12" width="8.90625" customWidth="1"/>
    <col min="13" max="13" width="12.08984375" customWidth="1"/>
  </cols>
  <sheetData>
    <row r="1" spans="1:15" ht="15.75" customHeight="1">
      <c r="A1" s="17"/>
      <c r="B1" s="17" t="s">
        <v>1990</v>
      </c>
      <c r="C1" s="24"/>
      <c r="D1" s="17"/>
      <c r="E1" s="17"/>
      <c r="F1" s="17"/>
      <c r="G1" s="17"/>
      <c r="H1" s="17"/>
      <c r="I1" s="17"/>
      <c r="J1" s="17"/>
      <c r="K1" s="17"/>
      <c r="L1" s="17"/>
      <c r="M1" s="17"/>
      <c r="N1" s="17"/>
      <c r="O1" s="17"/>
    </row>
    <row r="2" spans="1:15" ht="15.75" customHeight="1">
      <c r="A2" s="143" t="s">
        <v>2014</v>
      </c>
      <c r="B2" s="139"/>
      <c r="C2" s="139"/>
      <c r="D2" s="68"/>
      <c r="E2" s="141" t="s">
        <v>63</v>
      </c>
      <c r="F2" s="139"/>
      <c r="G2" s="69" t="s">
        <v>1975</v>
      </c>
      <c r="H2" s="17"/>
      <c r="I2" s="21" t="s">
        <v>1991</v>
      </c>
      <c r="J2" s="17"/>
      <c r="K2" s="17"/>
      <c r="L2" s="17"/>
      <c r="M2" s="17"/>
      <c r="N2" s="17"/>
      <c r="O2" s="17"/>
    </row>
    <row r="3" spans="1:15" ht="15.75" customHeight="1">
      <c r="A3" s="26"/>
      <c r="B3" s="26"/>
      <c r="C3" s="10"/>
      <c r="D3" s="13"/>
      <c r="E3" s="142" t="s">
        <v>74</v>
      </c>
      <c r="F3" s="139"/>
      <c r="G3" s="70" t="s">
        <v>1976</v>
      </c>
      <c r="H3" s="11"/>
      <c r="I3" s="13"/>
      <c r="J3" s="27" t="s">
        <v>2011</v>
      </c>
      <c r="K3" s="13"/>
      <c r="L3" s="13"/>
      <c r="M3" s="13"/>
      <c r="N3" s="17"/>
      <c r="O3" s="17"/>
    </row>
    <row r="4" spans="1:15" ht="15.75" customHeight="1">
      <c r="A4" s="26"/>
      <c r="B4" s="26"/>
      <c r="C4" s="10"/>
      <c r="D4" s="13"/>
      <c r="E4" s="138" t="s">
        <v>83</v>
      </c>
      <c r="F4" s="139"/>
      <c r="G4" s="70" t="s">
        <v>1977</v>
      </c>
      <c r="H4" s="11"/>
      <c r="I4" s="13"/>
      <c r="J4" s="13"/>
      <c r="K4" s="13"/>
      <c r="L4" s="13"/>
      <c r="M4" s="13"/>
      <c r="N4" s="17"/>
      <c r="O4" s="17"/>
    </row>
    <row r="5" spans="1:15" ht="15.75" customHeight="1">
      <c r="A5" s="26"/>
      <c r="B5" s="26"/>
      <c r="C5" s="10"/>
      <c r="D5" s="13"/>
      <c r="E5" s="142" t="s">
        <v>94</v>
      </c>
      <c r="F5" s="139"/>
      <c r="G5" s="70" t="s">
        <v>1978</v>
      </c>
      <c r="H5" s="11"/>
      <c r="I5" s="13"/>
      <c r="J5" s="13"/>
      <c r="K5" s="13"/>
      <c r="L5" s="13"/>
      <c r="M5" s="13"/>
      <c r="N5" s="17"/>
      <c r="O5" s="17"/>
    </row>
    <row r="6" spans="1:15" ht="15.75" customHeight="1">
      <c r="A6" s="26"/>
      <c r="B6" s="26"/>
      <c r="C6" s="10"/>
      <c r="D6" s="13"/>
      <c r="E6" s="141" t="s">
        <v>103</v>
      </c>
      <c r="F6" s="139"/>
      <c r="G6" s="70" t="s">
        <v>1980</v>
      </c>
      <c r="H6" s="11"/>
      <c r="I6" s="13"/>
      <c r="J6" s="13"/>
      <c r="K6" s="13"/>
      <c r="L6" s="13"/>
      <c r="M6" s="13"/>
      <c r="N6" s="17"/>
      <c r="O6" s="17"/>
    </row>
    <row r="7" spans="1:15" ht="15.75" customHeight="1">
      <c r="A7" s="26"/>
      <c r="B7" s="26"/>
      <c r="C7" s="10"/>
      <c r="D7" s="13"/>
      <c r="E7" s="142" t="s">
        <v>113</v>
      </c>
      <c r="F7" s="139"/>
      <c r="G7" s="70" t="s">
        <v>1981</v>
      </c>
      <c r="H7" s="11"/>
      <c r="I7" s="13"/>
      <c r="J7" s="13"/>
      <c r="K7" s="13"/>
      <c r="L7" s="13"/>
      <c r="M7" s="13"/>
      <c r="N7" s="17"/>
      <c r="O7" s="17"/>
    </row>
    <row r="8" spans="1:15" ht="15.75" customHeight="1">
      <c r="A8" s="26"/>
      <c r="B8" s="26"/>
      <c r="C8" s="10"/>
      <c r="D8" s="13"/>
      <c r="E8" s="141" t="s">
        <v>120</v>
      </c>
      <c r="F8" s="139"/>
      <c r="G8" s="70" t="s">
        <v>1982</v>
      </c>
      <c r="H8" s="11"/>
      <c r="I8" s="13"/>
      <c r="J8" s="13"/>
      <c r="K8" s="13"/>
      <c r="L8" s="13"/>
      <c r="M8" s="13"/>
      <c r="N8" s="17"/>
      <c r="O8" s="17"/>
    </row>
    <row r="9" spans="1:15" ht="15.75" customHeight="1">
      <c r="A9" s="26"/>
      <c r="B9" s="26"/>
      <c r="C9" s="10"/>
      <c r="D9" s="13"/>
      <c r="E9" s="13"/>
      <c r="F9" s="13"/>
      <c r="G9" s="11"/>
      <c r="H9" s="11"/>
      <c r="I9" s="13"/>
      <c r="J9" s="13"/>
      <c r="K9" s="13"/>
      <c r="L9" s="13"/>
      <c r="M9" s="13"/>
      <c r="N9" s="17"/>
      <c r="O9" s="17"/>
    </row>
    <row r="10" spans="1:15" ht="15.75" customHeight="1">
      <c r="A10" s="26"/>
      <c r="B10" s="26"/>
      <c r="C10" s="10"/>
      <c r="D10" s="13"/>
      <c r="E10" s="13"/>
      <c r="F10" s="13"/>
      <c r="G10" s="11"/>
      <c r="H10" s="11"/>
      <c r="I10" s="13"/>
      <c r="J10" s="13"/>
      <c r="K10" s="13"/>
      <c r="L10" s="13"/>
      <c r="M10" s="13"/>
      <c r="N10" s="17"/>
      <c r="O10" s="17"/>
    </row>
    <row r="11" spans="1:15" ht="15.75" customHeight="1">
      <c r="A11" s="78" t="s">
        <v>0</v>
      </c>
      <c r="B11" s="78" t="s">
        <v>1</v>
      </c>
      <c r="C11" s="79" t="s">
        <v>2</v>
      </c>
      <c r="D11" s="80" t="s">
        <v>3</v>
      </c>
      <c r="E11" s="81" t="s">
        <v>4</v>
      </c>
      <c r="F11" s="82" t="s">
        <v>5</v>
      </c>
      <c r="G11" s="83" t="s">
        <v>6</v>
      </c>
      <c r="H11" s="82" t="s">
        <v>7</v>
      </c>
      <c r="I11" s="35" t="s">
        <v>8</v>
      </c>
      <c r="J11" s="35" t="s">
        <v>9</v>
      </c>
      <c r="K11" s="35" t="s">
        <v>10</v>
      </c>
      <c r="L11" s="88"/>
      <c r="M11" s="88"/>
      <c r="N11" s="88"/>
      <c r="O11" s="88"/>
    </row>
    <row r="12" spans="1:15" ht="15.75" customHeight="1">
      <c r="A12" s="24" t="str">
        <f ca="1">IFERROR(__xludf.DUMMYFUNCTION("FILTER('Edo Cta Jeeves Sept'!$A$12:$C$1627,'Edo Cta Jeeves Sept'!$J$12:$J$1627=$A$2)"),"TRX1906")</f>
        <v>TRX1906</v>
      </c>
      <c r="B12" s="86" t="str">
        <f ca="1">IFERROR(__xludf.DUMMYFUNCTION("""COMPUTED_VALUE"""),"-")</f>
        <v>-</v>
      </c>
      <c r="C12" s="86">
        <f ca="1">IFERROR(__xludf.DUMMYFUNCTION("""COMPUTED_VALUE"""),46060.4173611111)</f>
        <v>46060.417361111096</v>
      </c>
      <c r="D12" s="65">
        <f ca="1">IFERROR(__xludf.DUMMYFUNCTION("FILTER('Edo Cta Jeeves Sept'!$G$12:$G$1300,'Edo Cta Jeeves Sept'!$J$12:$J$1300=$A$2)"),700)</f>
        <v>700</v>
      </c>
      <c r="E12" s="17" t="str">
        <f ca="1">IFERROR(__xludf.DUMMYFUNCTION("FILTER('Edo Cta Jeeves Sept'!$I$12:$I$1300,'Edo Cta Jeeves Sept'!$J$12:$J$1300=$A$2)"),"MXN")</f>
        <v>MXN</v>
      </c>
      <c r="F12" s="17" t="str">
        <f ca="1">IFERROR(__xludf.DUMMYFUNCTION("FILTER('Edo Cta Jeeves Sept'!$J$12:$J$1300,'Edo Cta Jeeves Sept'!$J$12:$J$1300=$A$2)"),"RENE GRANADOS")</f>
        <v>RENE GRANADOS</v>
      </c>
      <c r="G12" s="17" t="str">
        <f ca="1">IFERROR(__xludf.DUMMYFUNCTION("FILTER('Edo Cta Jeeves Sept'!$K$12:$L$1300,'Edo Cta Jeeves Sept'!$J$12:$J$1300=$A$2)"),"GASOL SAN VICENTE      CHICOLOAPAN E MEX")</f>
        <v>GASOL SAN VICENTE      CHICOLOAPAN E MEX</v>
      </c>
      <c r="H12" s="17" t="str">
        <f ca="1">IFERROR(__xludf.DUMMYFUNCTION("""COMPUTED_VALUE"""),"Gasol San Vicente Chicoloapan E Mex")</f>
        <v>Gasol San Vicente Chicoloapan E Mex</v>
      </c>
      <c r="I12" s="17" t="str">
        <f ca="1">IFERROR(__xludf.DUMMYFUNCTION("IMPORTRANGE(""https://docs.google.com/spreadsheets/d/1s5dbnrA4zzCTsSAeY8Vc-zxuv-ai3uRfwuZ3VyoFK2A/edit?gid=1404531132#gid=1404531132"",""I12:K80"")"),"Sales")</f>
        <v>Sales</v>
      </c>
      <c r="J12" s="17"/>
      <c r="K12" s="17"/>
      <c r="L12" s="17"/>
      <c r="M12" s="17"/>
      <c r="N12" s="17"/>
      <c r="O12" s="17"/>
    </row>
    <row r="13" spans="1:15" ht="15.75" customHeight="1">
      <c r="A13" s="24" t="str">
        <f ca="1">IFERROR(__xludf.DUMMYFUNCTION("""COMPUTED_VALUE"""),"TRX1896")</f>
        <v>TRX1896</v>
      </c>
      <c r="B13" s="86" t="str">
        <f ca="1">IFERROR(__xludf.DUMMYFUNCTION("""COMPUTED_VALUE"""),"-")</f>
        <v>-</v>
      </c>
      <c r="C13" s="63">
        <f ca="1">IFERROR(__xludf.DUMMYFUNCTION("""COMPUTED_VALUE"""),46063.4166666666)</f>
        <v>46063.416666666599</v>
      </c>
      <c r="D13" s="65">
        <f ca="1">IFERROR(__xludf.DUMMYFUNCTION("""COMPUTED_VALUE"""),800)</f>
        <v>800</v>
      </c>
      <c r="E13" s="17" t="str">
        <f ca="1">IFERROR(__xludf.DUMMYFUNCTION("""COMPUTED_VALUE"""),"MXN")</f>
        <v>MXN</v>
      </c>
      <c r="F13" s="17" t="str">
        <f ca="1">IFERROR(__xludf.DUMMYFUNCTION("""COMPUTED_VALUE"""),"RENE GRANADOS")</f>
        <v>RENE GRANADOS</v>
      </c>
      <c r="G13" s="17" t="str">
        <f ca="1">IFERROR(__xludf.DUMMYFUNCTION("""COMPUTED_VALUE"""),"GASOL SAN VICENTE      CHICOLOAPAN E MEX")</f>
        <v>GASOL SAN VICENTE      CHICOLOAPAN E MEX</v>
      </c>
      <c r="H13" s="17" t="str">
        <f ca="1">IFERROR(__xludf.DUMMYFUNCTION("""COMPUTED_VALUE"""),"Gasol San Vicente Chicoloapan E Mex")</f>
        <v>Gasol San Vicente Chicoloapan E Mex</v>
      </c>
      <c r="I13" s="17" t="str">
        <f ca="1">IFERROR(__xludf.DUMMYFUNCTION("""COMPUTED_VALUE"""),"Sales")</f>
        <v>Sales</v>
      </c>
      <c r="J13" s="17"/>
      <c r="K13" s="17"/>
      <c r="L13" s="17"/>
      <c r="M13" s="17"/>
      <c r="N13" s="17"/>
      <c r="O13" s="17"/>
    </row>
    <row r="14" spans="1:15" ht="15.75" customHeight="1">
      <c r="A14" s="24" t="str">
        <f ca="1">IFERROR(__xludf.DUMMYFUNCTION("""COMPUTED_VALUE"""),"TRX1031")</f>
        <v>TRX1031</v>
      </c>
      <c r="B14" s="86" t="str">
        <f ca="1">IFERROR(__xludf.DUMMYFUNCTION("""COMPUTED_VALUE"""),"-")</f>
        <v>-</v>
      </c>
      <c r="C14" s="63">
        <f ca="1">IFERROR(__xludf.DUMMYFUNCTION("""COMPUTED_VALUE"""),46074.4173611111)</f>
        <v>46074.417361111096</v>
      </c>
      <c r="D14" s="65">
        <f ca="1">IFERROR(__xludf.DUMMYFUNCTION("""COMPUTED_VALUE"""),800)</f>
        <v>800</v>
      </c>
      <c r="E14" s="17" t="str">
        <f ca="1">IFERROR(__xludf.DUMMYFUNCTION("""COMPUTED_VALUE"""),"MXN")</f>
        <v>MXN</v>
      </c>
      <c r="F14" s="17" t="str">
        <f ca="1">IFERROR(__xludf.DUMMYFUNCTION("""COMPUTED_VALUE"""),"RENE GRANADOS")</f>
        <v>RENE GRANADOS</v>
      </c>
      <c r="G14" s="17" t="str">
        <f ca="1">IFERROR(__xludf.DUMMYFUNCTION("""COMPUTED_VALUE"""),"GAS EL PABELLO MEXICA  CIUDAD DE MEX MEX")</f>
        <v>GAS EL PABELLO MEXICA  CIUDAD DE MEX MEX</v>
      </c>
      <c r="H14" s="17" t="str">
        <f ca="1">IFERROR(__xludf.DUMMYFUNCTION("""COMPUTED_VALUE"""),"Gas El Pabello Mexica Ciudad De Mex Mex")</f>
        <v>Gas El Pabello Mexica Ciudad De Mex Mex</v>
      </c>
      <c r="I14" s="17" t="str">
        <f ca="1">IFERROR(__xludf.DUMMYFUNCTION("""COMPUTED_VALUE"""),"Sales")</f>
        <v>Sales</v>
      </c>
      <c r="J14" s="17"/>
      <c r="K14" s="17"/>
      <c r="L14" s="17"/>
      <c r="M14" s="17"/>
      <c r="N14" s="17"/>
      <c r="O14" s="17"/>
    </row>
    <row r="15" spans="1:15" ht="15.75" customHeight="1">
      <c r="A15" s="24" t="str">
        <f ca="1">IFERROR(__xludf.DUMMYFUNCTION("""COMPUTED_VALUE"""),"TRX1163")</f>
        <v>TRX1163</v>
      </c>
      <c r="B15" s="86" t="str">
        <f ca="1">IFERROR(__xludf.DUMMYFUNCTION("""COMPUTED_VALUE"""),"-")</f>
        <v>-</v>
      </c>
      <c r="C15" s="63">
        <f ca="1">IFERROR(__xludf.DUMMYFUNCTION("""COMPUTED_VALUE"""),46078.4173611111)</f>
        <v>46078.417361111096</v>
      </c>
      <c r="D15" s="65">
        <f ca="1">IFERROR(__xludf.DUMMYFUNCTION("""COMPUTED_VALUE"""),700)</f>
        <v>700</v>
      </c>
      <c r="E15" s="17" t="str">
        <f ca="1">IFERROR(__xludf.DUMMYFUNCTION("""COMPUTED_VALUE"""),"MXN")</f>
        <v>MXN</v>
      </c>
      <c r="F15" s="17" t="str">
        <f ca="1">IFERROR(__xludf.DUMMYFUNCTION("""COMPUTED_VALUE"""),"RENE GRANADOS")</f>
        <v>RENE GRANADOS</v>
      </c>
      <c r="G15" s="17" t="str">
        <f ca="1">IFERROR(__xludf.DUMMYFUNCTION("""COMPUTED_VALUE"""),"TELEVIA RECARGAS APPV3 NAUCALPAN DE  MEX")</f>
        <v>TELEVIA RECARGAS APPV3 NAUCALPAN DE  MEX</v>
      </c>
      <c r="H15" s="17" t="str">
        <f ca="1">IFERROR(__xludf.DUMMYFUNCTION("""COMPUTED_VALUE"""),"Televia Recargas Appv3 Naucalpan De Mex")</f>
        <v>Televia Recargas Appv3 Naucalpan De Mex</v>
      </c>
      <c r="I15" s="17" t="str">
        <f ca="1">IFERROR(__xludf.DUMMYFUNCTION("""COMPUTED_VALUE"""),"Sales")</f>
        <v>Sales</v>
      </c>
      <c r="J15" s="17"/>
      <c r="K15" s="17"/>
      <c r="L15" s="17"/>
      <c r="M15" s="17"/>
      <c r="N15" s="17"/>
      <c r="O15" s="17"/>
    </row>
    <row r="16" spans="1:15" ht="15.75" customHeight="1">
      <c r="A16" s="17" t="str">
        <f ca="1">IFERROR(__xludf.DUMMYFUNCTION("""COMPUTED_VALUE"""),"TRX1167")</f>
        <v>TRX1167</v>
      </c>
      <c r="B16" s="86" t="str">
        <f ca="1">IFERROR(__xludf.DUMMYFUNCTION("""COMPUTED_VALUE"""),"-")</f>
        <v>-</v>
      </c>
      <c r="C16" s="63">
        <f ca="1">IFERROR(__xludf.DUMMYFUNCTION("""COMPUTED_VALUE"""),46078.4173611111)</f>
        <v>46078.417361111096</v>
      </c>
      <c r="D16" s="132">
        <f ca="1">IFERROR(__xludf.DUMMYFUNCTION("""COMPUTED_VALUE"""),190)</f>
        <v>190</v>
      </c>
      <c r="E16" s="17" t="str">
        <f ca="1">IFERROR(__xludf.DUMMYFUNCTION("""COMPUTED_VALUE"""),"MXN")</f>
        <v>MXN</v>
      </c>
      <c r="F16" s="17" t="str">
        <f ca="1">IFERROR(__xludf.DUMMYFUNCTION("""COMPUTED_VALUE"""),"RENE GRANADOS")</f>
        <v>RENE GRANADOS</v>
      </c>
      <c r="G16" s="17" t="str">
        <f ca="1">IFERROR(__xludf.DUMMYFUNCTION("""COMPUTED_VALUE"""),"OXXO LERDO MEX         CHICOLOAPAN E MEX")</f>
        <v>OXXO LERDO MEX         CHICOLOAPAN E MEX</v>
      </c>
      <c r="H16" s="17" t="str">
        <f ca="1">IFERROR(__xludf.DUMMYFUNCTION("""COMPUTED_VALUE"""),"Oxxo")</f>
        <v>Oxxo</v>
      </c>
      <c r="I16" s="17" t="str">
        <f ca="1">IFERROR(__xludf.DUMMYFUNCTION("""COMPUTED_VALUE"""),"Sales")</f>
        <v>Sales</v>
      </c>
      <c r="J16" s="17"/>
      <c r="K16" s="17"/>
      <c r="L16" s="17"/>
      <c r="M16" s="17"/>
      <c r="N16" s="17"/>
      <c r="O16" s="17"/>
    </row>
    <row r="17" spans="1:15" ht="15.75" customHeight="1">
      <c r="A17" s="17"/>
      <c r="B17" s="24"/>
      <c r="C17" s="24"/>
      <c r="D17" s="133"/>
      <c r="E17" s="17"/>
      <c r="F17" s="17"/>
      <c r="G17" s="17"/>
      <c r="H17" s="17"/>
      <c r="I17" s="17" t="str">
        <f ca="1">IFERROR(__xludf.DUMMYFUNCTION("""COMPUTED_VALUE"""),"Sales")</f>
        <v>Sales</v>
      </c>
      <c r="J17" s="17"/>
      <c r="K17" s="17"/>
      <c r="L17" s="17"/>
      <c r="M17" s="17"/>
      <c r="N17" s="17"/>
      <c r="O17" s="17"/>
    </row>
    <row r="18" spans="1:15" ht="15.75" customHeight="1">
      <c r="A18" s="17"/>
      <c r="B18" s="24"/>
      <c r="C18" s="24"/>
      <c r="D18" s="17"/>
      <c r="E18" s="17"/>
      <c r="F18" s="17"/>
      <c r="G18" s="17"/>
      <c r="H18" s="17"/>
      <c r="I18" s="17" t="str">
        <f ca="1">IFERROR(__xludf.DUMMYFUNCTION("""COMPUTED_VALUE"""),"Sales")</f>
        <v>Sales</v>
      </c>
      <c r="J18" s="17"/>
      <c r="K18" s="17"/>
      <c r="L18" s="17"/>
      <c r="M18" s="17"/>
      <c r="N18" s="17"/>
      <c r="O18" s="17"/>
    </row>
    <row r="19" spans="1:15" ht="15.75" customHeight="1">
      <c r="A19" s="17"/>
      <c r="B19" s="24"/>
      <c r="C19" s="24"/>
      <c r="D19" s="133"/>
      <c r="E19" s="17"/>
      <c r="F19" s="17"/>
      <c r="G19" s="17"/>
      <c r="H19" s="17"/>
      <c r="I19" s="17" t="str">
        <f ca="1">IFERROR(__xludf.DUMMYFUNCTION("""COMPUTED_VALUE"""),"Sales")</f>
        <v>Sales</v>
      </c>
      <c r="J19" s="17"/>
      <c r="K19" s="17"/>
      <c r="L19" s="17"/>
      <c r="M19" s="17"/>
      <c r="N19" s="17"/>
      <c r="O19" s="17"/>
    </row>
    <row r="20" spans="1:15" ht="12.5">
      <c r="A20" s="17"/>
      <c r="B20" s="24"/>
      <c r="C20" s="24"/>
      <c r="D20" s="133"/>
      <c r="E20" s="17"/>
      <c r="F20" s="17"/>
      <c r="G20" s="17"/>
      <c r="H20" s="17"/>
      <c r="I20" s="17" t="str">
        <f ca="1">IFERROR(__xludf.DUMMYFUNCTION("""COMPUTED_VALUE"""),"Sales")</f>
        <v>Sales</v>
      </c>
      <c r="J20" s="17"/>
      <c r="K20" s="17"/>
      <c r="L20" s="17"/>
      <c r="M20" s="17"/>
      <c r="N20" s="17"/>
      <c r="O20" s="17"/>
    </row>
    <row r="21" spans="1:15" ht="12.5">
      <c r="A21" s="17"/>
      <c r="B21" s="24"/>
      <c r="C21" s="24"/>
      <c r="D21" s="133"/>
      <c r="E21" s="17"/>
      <c r="F21" s="17"/>
      <c r="G21" s="17"/>
      <c r="H21" s="17"/>
      <c r="I21" s="17" t="str">
        <f ca="1">IFERROR(__xludf.DUMMYFUNCTION("""COMPUTED_VALUE"""),"Sales")</f>
        <v>Sales</v>
      </c>
      <c r="J21" s="17"/>
      <c r="K21" s="17"/>
      <c r="L21" s="17"/>
      <c r="M21" s="17"/>
      <c r="N21" s="17"/>
      <c r="O21" s="17"/>
    </row>
    <row r="22" spans="1:15" ht="12.5">
      <c r="A22" s="17"/>
      <c r="B22" s="24"/>
      <c r="C22" s="24"/>
      <c r="D22" s="17"/>
      <c r="E22" s="17"/>
      <c r="F22" s="17"/>
      <c r="G22" s="17"/>
      <c r="H22" s="17"/>
      <c r="I22" s="17" t="str">
        <f ca="1">IFERROR(__xludf.DUMMYFUNCTION("""COMPUTED_VALUE"""),"Sales")</f>
        <v>Sales</v>
      </c>
      <c r="J22" s="17"/>
      <c r="K22" s="17"/>
      <c r="L22" s="17"/>
      <c r="M22" s="17"/>
      <c r="N22" s="17"/>
      <c r="O22" s="17"/>
    </row>
    <row r="23" spans="1:15" ht="12.5">
      <c r="A23" s="17"/>
      <c r="B23" s="24"/>
      <c r="C23" s="24"/>
      <c r="D23" s="17"/>
      <c r="E23" s="17"/>
      <c r="F23" s="17"/>
      <c r="G23" s="17"/>
      <c r="H23" s="17"/>
      <c r="I23" s="17" t="str">
        <f ca="1">IFERROR(__xludf.DUMMYFUNCTION("""COMPUTED_VALUE"""),"Sales")</f>
        <v>Sales</v>
      </c>
      <c r="J23" s="17"/>
      <c r="K23" s="17"/>
      <c r="L23" s="17"/>
      <c r="M23" s="17"/>
      <c r="N23" s="17"/>
      <c r="O23" s="17"/>
    </row>
    <row r="24" spans="1:15" ht="12.5">
      <c r="A24" s="17"/>
      <c r="B24" s="24"/>
      <c r="C24" s="24"/>
      <c r="D24" s="17"/>
      <c r="E24" s="17"/>
      <c r="F24" s="17"/>
      <c r="G24" s="17"/>
      <c r="H24" s="17"/>
      <c r="I24" s="17" t="str">
        <f ca="1">IFERROR(__xludf.DUMMYFUNCTION("""COMPUTED_VALUE"""),"Sales")</f>
        <v>Sales</v>
      </c>
      <c r="J24" s="17"/>
      <c r="K24" s="17"/>
      <c r="L24" s="17"/>
      <c r="M24" s="17"/>
      <c r="N24" s="17"/>
      <c r="O24" s="17"/>
    </row>
    <row r="25" spans="1:15" ht="12.5">
      <c r="A25" s="17"/>
      <c r="B25" s="24"/>
      <c r="C25" s="24"/>
      <c r="D25" s="17"/>
      <c r="E25" s="17"/>
      <c r="F25" s="17"/>
      <c r="G25" s="17"/>
      <c r="H25" s="17"/>
      <c r="I25" s="17" t="str">
        <f ca="1">IFERROR(__xludf.DUMMYFUNCTION("""COMPUTED_VALUE"""),"Sales")</f>
        <v>Sales</v>
      </c>
      <c r="J25" s="17"/>
      <c r="K25" s="17"/>
      <c r="L25" s="17"/>
      <c r="M25" s="17"/>
      <c r="N25" s="17"/>
      <c r="O25" s="17"/>
    </row>
    <row r="26" spans="1:15" ht="12.5">
      <c r="A26" s="17"/>
      <c r="B26" s="24"/>
      <c r="C26" s="24"/>
      <c r="D26" s="17"/>
      <c r="E26" s="17"/>
      <c r="F26" s="17"/>
      <c r="G26" s="17"/>
      <c r="H26" s="17"/>
      <c r="I26" s="17" t="str">
        <f ca="1">IFERROR(__xludf.DUMMYFUNCTION("""COMPUTED_VALUE"""),"Sales")</f>
        <v>Sales</v>
      </c>
      <c r="J26" s="17"/>
      <c r="K26" s="17"/>
      <c r="L26" s="17"/>
      <c r="M26" s="17"/>
      <c r="N26" s="17"/>
      <c r="O26" s="17"/>
    </row>
    <row r="27" spans="1:15" ht="12.5">
      <c r="A27" s="17"/>
      <c r="B27" s="24"/>
      <c r="C27" s="24"/>
      <c r="D27" s="17"/>
      <c r="E27" s="17"/>
      <c r="F27" s="17"/>
      <c r="G27" s="17"/>
      <c r="H27" s="17"/>
      <c r="I27" s="17" t="str">
        <f ca="1">IFERROR(__xludf.DUMMYFUNCTION("""COMPUTED_VALUE"""),"Sales")</f>
        <v>Sales</v>
      </c>
      <c r="J27" s="17"/>
      <c r="K27" s="17"/>
      <c r="L27" s="17"/>
      <c r="M27" s="17"/>
      <c r="N27" s="17"/>
      <c r="O27" s="17"/>
    </row>
    <row r="28" spans="1:15" ht="12.5">
      <c r="A28" s="17"/>
      <c r="B28" s="24"/>
      <c r="C28" s="24"/>
      <c r="D28" s="17"/>
      <c r="E28" s="17"/>
      <c r="F28" s="17"/>
      <c r="G28" s="17"/>
      <c r="H28" s="17"/>
      <c r="I28" s="17" t="str">
        <f ca="1">IFERROR(__xludf.DUMMYFUNCTION("""COMPUTED_VALUE"""),"Sales")</f>
        <v>Sales</v>
      </c>
      <c r="J28" s="17"/>
      <c r="K28" s="17"/>
      <c r="L28" s="17"/>
      <c r="M28" s="17"/>
      <c r="N28" s="17"/>
      <c r="O28" s="17"/>
    </row>
    <row r="29" spans="1:15" ht="12.5">
      <c r="A29" s="17"/>
      <c r="B29" s="24"/>
      <c r="C29" s="24"/>
      <c r="D29" s="17"/>
      <c r="E29" s="17"/>
      <c r="F29" s="17"/>
      <c r="G29" s="17"/>
      <c r="H29" s="17"/>
      <c r="I29" s="17" t="str">
        <f ca="1">IFERROR(__xludf.DUMMYFUNCTION("""COMPUTED_VALUE"""),"Sales")</f>
        <v>Sales</v>
      </c>
      <c r="J29" s="17"/>
      <c r="K29" s="17"/>
      <c r="L29" s="17"/>
      <c r="M29" s="17"/>
      <c r="N29" s="17"/>
      <c r="O29" s="17"/>
    </row>
    <row r="30" spans="1:15" ht="12.5">
      <c r="A30" s="17"/>
      <c r="B30" s="24"/>
      <c r="C30" s="24"/>
      <c r="D30" s="17"/>
      <c r="E30" s="17"/>
      <c r="F30" s="17"/>
      <c r="G30" s="17"/>
      <c r="H30" s="17"/>
      <c r="I30" s="17" t="str">
        <f ca="1">IFERROR(__xludf.DUMMYFUNCTION("""COMPUTED_VALUE"""),"Sales")</f>
        <v>Sales</v>
      </c>
      <c r="J30" s="17"/>
      <c r="K30" s="17"/>
      <c r="L30" s="17"/>
      <c r="M30" s="17"/>
      <c r="N30" s="17"/>
      <c r="O30" s="17"/>
    </row>
    <row r="31" spans="1:15" ht="12.5">
      <c r="A31" s="17"/>
      <c r="B31" s="24"/>
      <c r="C31" s="24"/>
      <c r="D31" s="17"/>
      <c r="E31" s="17"/>
      <c r="F31" s="17"/>
      <c r="G31" s="17"/>
      <c r="H31" s="17"/>
      <c r="I31" s="17" t="str">
        <f ca="1">IFERROR(__xludf.DUMMYFUNCTION("""COMPUTED_VALUE"""),"Sales")</f>
        <v>Sales</v>
      </c>
      <c r="J31" s="17"/>
      <c r="K31" s="17"/>
      <c r="L31" s="17"/>
      <c r="M31" s="17"/>
      <c r="N31" s="17"/>
      <c r="O31" s="17"/>
    </row>
    <row r="32" spans="1:15" ht="12.5">
      <c r="A32" s="17"/>
      <c r="B32" s="24"/>
      <c r="C32" s="24"/>
      <c r="D32" s="17"/>
      <c r="E32" s="17"/>
      <c r="F32" s="17"/>
      <c r="G32" s="17"/>
      <c r="H32" s="17"/>
      <c r="I32" s="17" t="str">
        <f ca="1">IFERROR(__xludf.DUMMYFUNCTION("""COMPUTED_VALUE"""),"Sales")</f>
        <v>Sales</v>
      </c>
      <c r="J32" s="17"/>
      <c r="K32" s="17"/>
      <c r="L32" s="17"/>
      <c r="M32" s="17"/>
      <c r="N32" s="17"/>
      <c r="O32" s="17"/>
    </row>
    <row r="33" spans="1:15" ht="12.5">
      <c r="A33" s="17"/>
      <c r="B33" s="24"/>
      <c r="C33" s="24"/>
      <c r="D33" s="17"/>
      <c r="E33" s="17"/>
      <c r="F33" s="17"/>
      <c r="G33" s="17"/>
      <c r="H33" s="17"/>
      <c r="I33" s="17" t="str">
        <f ca="1">IFERROR(__xludf.DUMMYFUNCTION("""COMPUTED_VALUE"""),"Sales")</f>
        <v>Sales</v>
      </c>
      <c r="J33" s="17"/>
      <c r="K33" s="17"/>
      <c r="L33" s="17"/>
      <c r="M33" s="17"/>
      <c r="N33" s="17"/>
      <c r="O33" s="17"/>
    </row>
    <row r="34" spans="1:15" ht="12.5">
      <c r="A34" s="17"/>
      <c r="B34" s="24"/>
      <c r="C34" s="24"/>
      <c r="D34" s="17"/>
      <c r="E34" s="17"/>
      <c r="F34" s="17"/>
      <c r="G34" s="17"/>
      <c r="H34" s="17"/>
      <c r="I34" s="17" t="str">
        <f ca="1">IFERROR(__xludf.DUMMYFUNCTION("""COMPUTED_VALUE"""),"Sales")</f>
        <v>Sales</v>
      </c>
      <c r="J34" s="17"/>
      <c r="K34" s="17"/>
      <c r="L34" s="17"/>
      <c r="M34" s="17"/>
      <c r="N34" s="17"/>
      <c r="O34" s="17"/>
    </row>
    <row r="35" spans="1:15" ht="12.5">
      <c r="A35" s="17"/>
      <c r="B35" s="24"/>
      <c r="C35" s="24"/>
      <c r="D35" s="17"/>
      <c r="E35" s="17"/>
      <c r="F35" s="17"/>
      <c r="G35" s="17"/>
      <c r="H35" s="17"/>
      <c r="I35" s="17" t="str">
        <f ca="1">IFERROR(__xludf.DUMMYFUNCTION("""COMPUTED_VALUE"""),"Sales")</f>
        <v>Sales</v>
      </c>
      <c r="J35" s="17"/>
      <c r="K35" s="17"/>
      <c r="L35" s="17"/>
      <c r="M35" s="17"/>
      <c r="N35" s="17"/>
      <c r="O35" s="17"/>
    </row>
    <row r="36" spans="1:15" ht="12.5">
      <c r="A36" s="17"/>
      <c r="B36" s="24"/>
      <c r="C36" s="24"/>
      <c r="D36" s="17"/>
      <c r="E36" s="17"/>
      <c r="F36" s="17"/>
      <c r="G36" s="17"/>
      <c r="H36" s="17"/>
      <c r="I36" s="17" t="str">
        <f ca="1">IFERROR(__xludf.DUMMYFUNCTION("""COMPUTED_VALUE"""),"Sales")</f>
        <v>Sales</v>
      </c>
      <c r="J36" s="17"/>
      <c r="K36" s="17"/>
      <c r="L36" s="17"/>
      <c r="M36" s="17"/>
      <c r="N36" s="17"/>
      <c r="O36" s="17"/>
    </row>
    <row r="37" spans="1:15" ht="12.5">
      <c r="A37" s="17"/>
      <c r="B37" s="24"/>
      <c r="C37" s="24"/>
      <c r="D37" s="17"/>
      <c r="E37" s="17"/>
      <c r="F37" s="17"/>
      <c r="G37" s="17"/>
      <c r="H37" s="17"/>
      <c r="I37" s="17" t="str">
        <f ca="1">IFERROR(__xludf.DUMMYFUNCTION("""COMPUTED_VALUE"""),"Sales")</f>
        <v>Sales</v>
      </c>
      <c r="J37" s="17"/>
      <c r="K37" s="17"/>
      <c r="L37" s="17"/>
      <c r="M37" s="17"/>
      <c r="N37" s="17"/>
      <c r="O37" s="17"/>
    </row>
    <row r="38" spans="1:15" ht="12.5">
      <c r="A38" s="17"/>
      <c r="B38" s="24"/>
      <c r="C38" s="24"/>
      <c r="D38" s="17"/>
      <c r="E38" s="17"/>
      <c r="F38" s="17"/>
      <c r="G38" s="17"/>
      <c r="H38" s="17"/>
      <c r="I38" s="17" t="str">
        <f ca="1">IFERROR(__xludf.DUMMYFUNCTION("""COMPUTED_VALUE"""),"Sales")</f>
        <v>Sales</v>
      </c>
      <c r="J38" s="17"/>
      <c r="K38" s="17"/>
      <c r="L38" s="17"/>
      <c r="M38" s="17"/>
      <c r="N38" s="17"/>
      <c r="O38" s="17"/>
    </row>
    <row r="39" spans="1:15" ht="12.5">
      <c r="A39" s="17"/>
      <c r="B39" s="24"/>
      <c r="C39" s="24"/>
      <c r="D39" s="17"/>
      <c r="E39" s="17"/>
      <c r="F39" s="17"/>
      <c r="G39" s="17"/>
      <c r="H39" s="17"/>
      <c r="I39" s="17" t="str">
        <f ca="1">IFERROR(__xludf.DUMMYFUNCTION("""COMPUTED_VALUE"""),"Sales")</f>
        <v>Sales</v>
      </c>
      <c r="J39" s="17"/>
      <c r="K39" s="17"/>
      <c r="L39" s="17"/>
      <c r="M39" s="17"/>
      <c r="N39" s="17"/>
      <c r="O39" s="17"/>
    </row>
    <row r="40" spans="1:15" ht="12.5">
      <c r="A40" s="17"/>
      <c r="B40" s="24"/>
      <c r="C40" s="24"/>
      <c r="D40" s="17"/>
      <c r="E40" s="17"/>
      <c r="F40" s="17"/>
      <c r="G40" s="17"/>
      <c r="H40" s="17"/>
      <c r="I40" s="17" t="str">
        <f ca="1">IFERROR(__xludf.DUMMYFUNCTION("""COMPUTED_VALUE"""),"Sales")</f>
        <v>Sales</v>
      </c>
      <c r="J40" s="17"/>
      <c r="K40" s="134" t="str">
        <f ca="1">IFERROR(__xludf.DUMMYFUNCTION("""COMPUTED_VALUE"""),".")</f>
        <v>.</v>
      </c>
      <c r="L40" s="17"/>
      <c r="M40" s="17"/>
      <c r="N40" s="17"/>
      <c r="O40" s="17"/>
    </row>
    <row r="41" spans="1:15" ht="12.5">
      <c r="A41" s="17"/>
      <c r="B41" s="24"/>
      <c r="C41" s="24"/>
      <c r="D41" s="17"/>
      <c r="E41" s="17"/>
      <c r="F41" s="17"/>
      <c r="G41" s="17"/>
      <c r="H41" s="17"/>
      <c r="I41" s="17" t="str">
        <f ca="1">IFERROR(__xludf.DUMMYFUNCTION("""COMPUTED_VALUE"""),"Sales")</f>
        <v>Sales</v>
      </c>
      <c r="J41" s="17"/>
      <c r="K41" s="134" t="str">
        <f ca="1">IFERROR(__xludf.DUMMYFUNCTION("""COMPUTED_VALUE"""),".")</f>
        <v>.</v>
      </c>
      <c r="L41" s="17"/>
      <c r="M41" s="17"/>
      <c r="N41" s="17"/>
      <c r="O41" s="17"/>
    </row>
    <row r="42" spans="1:15" ht="12.5">
      <c r="A42" s="17"/>
      <c r="B42" s="24"/>
      <c r="C42" s="24"/>
      <c r="D42" s="17"/>
      <c r="E42" s="17"/>
      <c r="F42" s="17"/>
      <c r="G42" s="17"/>
      <c r="H42" s="17"/>
      <c r="I42" s="17" t="str">
        <f ca="1">IFERROR(__xludf.DUMMYFUNCTION("""COMPUTED_VALUE"""),"Sales")</f>
        <v>Sales</v>
      </c>
      <c r="J42" s="17"/>
      <c r="K42" s="134" t="str">
        <f ca="1">IFERROR(__xludf.DUMMYFUNCTION("""COMPUTED_VALUE"""),".")</f>
        <v>.</v>
      </c>
      <c r="L42" s="17"/>
      <c r="M42" s="17"/>
      <c r="N42" s="17"/>
      <c r="O42" s="17"/>
    </row>
    <row r="43" spans="1:15" ht="12.5">
      <c r="A43" s="17"/>
      <c r="B43" s="24"/>
      <c r="C43" s="24"/>
      <c r="D43" s="17"/>
      <c r="E43" s="17"/>
      <c r="F43" s="17"/>
      <c r="G43" s="17"/>
      <c r="H43" s="17"/>
      <c r="I43" s="17" t="str">
        <f ca="1">IFERROR(__xludf.DUMMYFUNCTION("""COMPUTED_VALUE"""),"Sales")</f>
        <v>Sales</v>
      </c>
      <c r="J43" s="17"/>
      <c r="K43" s="134" t="str">
        <f ca="1">IFERROR(__xludf.DUMMYFUNCTION("""COMPUTED_VALUE"""),".")</f>
        <v>.</v>
      </c>
      <c r="L43" s="17"/>
      <c r="M43" s="17"/>
      <c r="N43" s="17"/>
      <c r="O43" s="17"/>
    </row>
    <row r="44" spans="1:15" ht="12.5">
      <c r="A44" s="17"/>
      <c r="B44" s="24"/>
      <c r="C44" s="24"/>
      <c r="D44" s="17"/>
      <c r="E44" s="17"/>
      <c r="F44" s="17"/>
      <c r="G44" s="17"/>
      <c r="H44" s="17"/>
      <c r="I44" s="17" t="str">
        <f ca="1">IFERROR(__xludf.DUMMYFUNCTION("""COMPUTED_VALUE"""),"Sales")</f>
        <v>Sales</v>
      </c>
      <c r="J44" s="17"/>
      <c r="K44" s="134" t="str">
        <f ca="1">IFERROR(__xludf.DUMMYFUNCTION("""COMPUTED_VALUE"""),".")</f>
        <v>.</v>
      </c>
      <c r="L44" s="17"/>
      <c r="M44" s="17"/>
      <c r="N44" s="17"/>
      <c r="O44" s="17"/>
    </row>
    <row r="45" spans="1:15" ht="12.5">
      <c r="A45" s="17"/>
      <c r="B45" s="24"/>
      <c r="C45" s="24"/>
      <c r="D45" s="17"/>
      <c r="E45" s="17"/>
      <c r="F45" s="17"/>
      <c r="G45" s="17"/>
      <c r="H45" s="17"/>
      <c r="I45" s="17" t="str">
        <f ca="1">IFERROR(__xludf.DUMMYFUNCTION("""COMPUTED_VALUE"""),"Sales")</f>
        <v>Sales</v>
      </c>
      <c r="J45" s="17"/>
      <c r="K45" s="134" t="str">
        <f ca="1">IFERROR(__xludf.DUMMYFUNCTION("""COMPUTED_VALUE"""),".")</f>
        <v>.</v>
      </c>
      <c r="L45" s="17"/>
      <c r="M45" s="17"/>
      <c r="N45" s="17"/>
      <c r="O45" s="17"/>
    </row>
    <row r="46" spans="1:15" ht="12.5">
      <c r="A46" s="17"/>
      <c r="B46" s="24"/>
      <c r="C46" s="24"/>
      <c r="D46" s="17"/>
      <c r="E46" s="17"/>
      <c r="F46" s="17"/>
      <c r="G46" s="17"/>
      <c r="H46" s="17"/>
      <c r="I46" s="17" t="str">
        <f ca="1">IFERROR(__xludf.DUMMYFUNCTION("""COMPUTED_VALUE"""),"Sales")</f>
        <v>Sales</v>
      </c>
      <c r="J46" s="17"/>
      <c r="K46" s="134" t="str">
        <f ca="1">IFERROR(__xludf.DUMMYFUNCTION("""COMPUTED_VALUE"""),".")</f>
        <v>.</v>
      </c>
      <c r="L46" s="17"/>
      <c r="M46" s="17"/>
      <c r="N46" s="17"/>
      <c r="O46" s="17"/>
    </row>
    <row r="47" spans="1:15" ht="12.5">
      <c r="A47" s="17"/>
      <c r="B47" s="24"/>
      <c r="C47" s="24"/>
      <c r="D47" s="17"/>
      <c r="E47" s="17"/>
      <c r="F47" s="17"/>
      <c r="G47" s="17"/>
      <c r="H47" s="17"/>
      <c r="I47" s="17"/>
      <c r="J47" s="17"/>
      <c r="K47" s="134" t="str">
        <f ca="1">IFERROR(__xludf.DUMMYFUNCTION("""COMPUTED_VALUE"""),".")</f>
        <v>.</v>
      </c>
      <c r="L47" s="17"/>
      <c r="M47" s="17"/>
      <c r="N47" s="17"/>
      <c r="O47" s="17"/>
    </row>
    <row r="48" spans="1:15" ht="12.5">
      <c r="A48" s="17"/>
      <c r="B48" s="24"/>
      <c r="C48" s="24"/>
      <c r="D48" s="17"/>
      <c r="E48" s="17"/>
      <c r="F48" s="17"/>
      <c r="G48" s="17"/>
      <c r="H48" s="17"/>
      <c r="I48" s="17"/>
      <c r="J48" s="17"/>
      <c r="K48" s="134" t="str">
        <f ca="1">IFERROR(__xludf.DUMMYFUNCTION("""COMPUTED_VALUE"""),".")</f>
        <v>.</v>
      </c>
      <c r="L48" s="17"/>
      <c r="M48" s="17"/>
      <c r="N48" s="17"/>
      <c r="O48" s="17"/>
    </row>
    <row r="49" spans="1:15" ht="12.5">
      <c r="A49" s="17"/>
      <c r="B49" s="24"/>
      <c r="C49" s="24"/>
      <c r="D49" s="17"/>
      <c r="E49" s="17"/>
      <c r="F49" s="17"/>
      <c r="G49" s="17"/>
      <c r="H49" s="17"/>
      <c r="I49" s="17"/>
      <c r="J49" s="17"/>
      <c r="K49" s="134" t="str">
        <f ca="1">IFERROR(__xludf.DUMMYFUNCTION("""COMPUTED_VALUE"""),".")</f>
        <v>.</v>
      </c>
      <c r="L49" s="17"/>
      <c r="M49" s="17"/>
      <c r="N49" s="17"/>
      <c r="O49" s="17"/>
    </row>
    <row r="50" spans="1:15" ht="12.5">
      <c r="A50" s="17"/>
      <c r="B50" s="24"/>
      <c r="C50" s="24"/>
      <c r="D50" s="17"/>
      <c r="E50" s="17"/>
      <c r="F50" s="17"/>
      <c r="G50" s="17"/>
      <c r="H50" s="17"/>
      <c r="I50" s="17"/>
      <c r="J50" s="17"/>
      <c r="K50" s="134" t="str">
        <f ca="1">IFERROR(__xludf.DUMMYFUNCTION("""COMPUTED_VALUE"""),".")</f>
        <v>.</v>
      </c>
      <c r="L50" s="17"/>
      <c r="M50" s="17"/>
      <c r="N50" s="17"/>
      <c r="O50" s="17"/>
    </row>
    <row r="51" spans="1:15" ht="12.5">
      <c r="A51" s="17"/>
      <c r="B51" s="24"/>
      <c r="C51" s="24"/>
      <c r="D51" s="17"/>
      <c r="E51" s="17"/>
      <c r="F51" s="17"/>
      <c r="G51" s="17"/>
      <c r="H51" s="17"/>
      <c r="I51" s="17"/>
      <c r="J51" s="17"/>
      <c r="K51" s="134" t="str">
        <f ca="1">IFERROR(__xludf.DUMMYFUNCTION("""COMPUTED_VALUE"""),".")</f>
        <v>.</v>
      </c>
      <c r="L51" s="17"/>
      <c r="M51" s="17"/>
      <c r="N51" s="17"/>
      <c r="O51" s="17"/>
    </row>
    <row r="52" spans="1:15" ht="12.5">
      <c r="A52" s="17"/>
      <c r="B52" s="24"/>
      <c r="C52" s="24"/>
      <c r="D52" s="17"/>
      <c r="E52" s="17"/>
      <c r="F52" s="17"/>
      <c r="G52" s="17"/>
      <c r="H52" s="17"/>
      <c r="I52" s="17"/>
      <c r="J52" s="17"/>
      <c r="K52" s="134" t="str">
        <f ca="1">IFERROR(__xludf.DUMMYFUNCTION("""COMPUTED_VALUE"""),".")</f>
        <v>.</v>
      </c>
      <c r="L52" s="17"/>
      <c r="M52" s="17"/>
      <c r="N52" s="17"/>
      <c r="O52" s="17"/>
    </row>
    <row r="53" spans="1:15" ht="12.5">
      <c r="A53" s="17"/>
      <c r="B53" s="24"/>
      <c r="C53" s="24"/>
      <c r="D53" s="17"/>
      <c r="E53" s="17"/>
      <c r="F53" s="17"/>
      <c r="G53" s="17"/>
      <c r="H53" s="17"/>
      <c r="I53" s="17"/>
      <c r="J53" s="17"/>
      <c r="K53" s="134" t="str">
        <f ca="1">IFERROR(__xludf.DUMMYFUNCTION("""COMPUTED_VALUE"""),".")</f>
        <v>.</v>
      </c>
      <c r="L53" s="17"/>
      <c r="M53" s="17"/>
      <c r="N53" s="17"/>
      <c r="O53" s="17"/>
    </row>
    <row r="54" spans="1:15" ht="12.5">
      <c r="A54" s="17"/>
      <c r="B54" s="24"/>
      <c r="C54" s="24"/>
      <c r="D54" s="17"/>
      <c r="E54" s="17"/>
      <c r="F54" s="17"/>
      <c r="G54" s="17"/>
      <c r="H54" s="17"/>
      <c r="I54" s="17"/>
      <c r="J54" s="17"/>
      <c r="K54" s="134" t="str">
        <f ca="1">IFERROR(__xludf.DUMMYFUNCTION("""COMPUTED_VALUE"""),".")</f>
        <v>.</v>
      </c>
      <c r="L54" s="17"/>
      <c r="M54" s="17"/>
      <c r="N54" s="17"/>
      <c r="O54" s="17"/>
    </row>
    <row r="55" spans="1:15" ht="12.5">
      <c r="A55" s="17"/>
      <c r="B55" s="24"/>
      <c r="C55" s="24"/>
      <c r="D55" s="17"/>
      <c r="E55" s="17"/>
      <c r="F55" s="17"/>
      <c r="G55" s="17"/>
      <c r="H55" s="17"/>
      <c r="I55" s="17"/>
      <c r="J55" s="17"/>
      <c r="K55" s="134" t="str">
        <f ca="1">IFERROR(__xludf.DUMMYFUNCTION("""COMPUTED_VALUE"""),".")</f>
        <v>.</v>
      </c>
      <c r="L55" s="17"/>
      <c r="M55" s="17"/>
      <c r="N55" s="17"/>
      <c r="O55" s="17"/>
    </row>
    <row r="56" spans="1:15" ht="12.5">
      <c r="A56" s="17"/>
      <c r="B56" s="24"/>
      <c r="C56" s="24"/>
      <c r="D56" s="17"/>
      <c r="E56" s="17"/>
      <c r="F56" s="17"/>
      <c r="G56" s="17"/>
      <c r="H56" s="17"/>
      <c r="I56" s="17"/>
      <c r="J56" s="17"/>
      <c r="K56" s="134" t="str">
        <f ca="1">IFERROR(__xludf.DUMMYFUNCTION("""COMPUTED_VALUE"""),".")</f>
        <v>.</v>
      </c>
      <c r="L56" s="17"/>
      <c r="M56" s="17"/>
      <c r="N56" s="17"/>
      <c r="O56" s="17"/>
    </row>
    <row r="57" spans="1:15" ht="12.5">
      <c r="A57" s="17"/>
      <c r="B57" s="24"/>
      <c r="C57" s="24"/>
      <c r="D57" s="17"/>
      <c r="E57" s="17"/>
      <c r="F57" s="17"/>
      <c r="G57" s="17"/>
      <c r="H57" s="17"/>
      <c r="I57" s="17"/>
      <c r="J57" s="17"/>
      <c r="K57" s="134" t="str">
        <f ca="1">IFERROR(__xludf.DUMMYFUNCTION("""COMPUTED_VALUE"""),".")</f>
        <v>.</v>
      </c>
      <c r="L57" s="17"/>
      <c r="M57" s="17"/>
      <c r="N57" s="17"/>
      <c r="O57" s="17"/>
    </row>
    <row r="58" spans="1:15" ht="12.5">
      <c r="A58" s="17"/>
      <c r="B58" s="24"/>
      <c r="C58" s="24"/>
      <c r="D58" s="17"/>
      <c r="E58" s="17"/>
      <c r="F58" s="17"/>
      <c r="G58" s="17"/>
      <c r="H58" s="17"/>
      <c r="I58" s="17"/>
      <c r="J58" s="17"/>
      <c r="K58" s="134" t="str">
        <f ca="1">IFERROR(__xludf.DUMMYFUNCTION("""COMPUTED_VALUE"""),".")</f>
        <v>.</v>
      </c>
      <c r="L58" s="17"/>
      <c r="M58" s="17"/>
      <c r="N58" s="17"/>
      <c r="O58" s="17"/>
    </row>
    <row r="59" spans="1:15" ht="12.5">
      <c r="A59" s="17"/>
      <c r="B59" s="24"/>
      <c r="C59" s="24"/>
      <c r="D59" s="17"/>
      <c r="E59" s="17"/>
      <c r="F59" s="17"/>
      <c r="G59" s="17"/>
      <c r="H59" s="17"/>
      <c r="I59" s="17"/>
      <c r="J59" s="17"/>
      <c r="K59" s="134" t="str">
        <f ca="1">IFERROR(__xludf.DUMMYFUNCTION("""COMPUTED_VALUE"""),".")</f>
        <v>.</v>
      </c>
      <c r="L59" s="17"/>
      <c r="M59" s="17"/>
      <c r="N59" s="17"/>
      <c r="O59" s="17"/>
    </row>
    <row r="60" spans="1:15" ht="12.5">
      <c r="A60" s="17"/>
      <c r="B60" s="24"/>
      <c r="C60" s="24"/>
      <c r="D60" s="17"/>
      <c r="E60" s="17"/>
      <c r="F60" s="17"/>
      <c r="G60" s="17"/>
      <c r="H60" s="17"/>
      <c r="I60" s="17"/>
      <c r="J60" s="17"/>
      <c r="K60" s="134" t="str">
        <f ca="1">IFERROR(__xludf.DUMMYFUNCTION("""COMPUTED_VALUE"""),".")</f>
        <v>.</v>
      </c>
      <c r="L60" s="17"/>
      <c r="M60" s="17"/>
      <c r="N60" s="17"/>
      <c r="O60" s="17"/>
    </row>
    <row r="61" spans="1:15" ht="12.5">
      <c r="A61" s="17"/>
      <c r="B61" s="24"/>
      <c r="C61" s="24"/>
      <c r="D61" s="17"/>
      <c r="E61" s="17"/>
      <c r="F61" s="17"/>
      <c r="G61" s="17"/>
      <c r="H61" s="17"/>
      <c r="I61" s="17"/>
      <c r="J61" s="17"/>
      <c r="K61" s="134" t="str">
        <f ca="1">IFERROR(__xludf.DUMMYFUNCTION("""COMPUTED_VALUE"""),".")</f>
        <v>.</v>
      </c>
      <c r="L61" s="17"/>
      <c r="M61" s="17"/>
      <c r="N61" s="17"/>
      <c r="O61" s="17"/>
    </row>
    <row r="62" spans="1:15" ht="12.5">
      <c r="A62" s="17"/>
      <c r="B62" s="24"/>
      <c r="C62" s="24"/>
      <c r="D62" s="17"/>
      <c r="E62" s="17"/>
      <c r="F62" s="17"/>
      <c r="G62" s="17"/>
      <c r="H62" s="17"/>
      <c r="I62" s="17"/>
      <c r="J62" s="17"/>
      <c r="K62" s="134" t="str">
        <f ca="1">IFERROR(__xludf.DUMMYFUNCTION("""COMPUTED_VALUE"""),".")</f>
        <v>.</v>
      </c>
      <c r="L62" s="17"/>
      <c r="M62" s="17"/>
      <c r="N62" s="17"/>
      <c r="O62" s="17"/>
    </row>
    <row r="63" spans="1:15" ht="12.5">
      <c r="A63" s="17"/>
      <c r="B63" s="24"/>
      <c r="C63" s="24"/>
      <c r="D63" s="17"/>
      <c r="E63" s="17"/>
      <c r="F63" s="17"/>
      <c r="G63" s="17"/>
      <c r="H63" s="17"/>
      <c r="I63" s="17"/>
      <c r="J63" s="17"/>
      <c r="K63" s="134" t="str">
        <f ca="1">IFERROR(__xludf.DUMMYFUNCTION("""COMPUTED_VALUE"""),".")</f>
        <v>.</v>
      </c>
      <c r="L63" s="17"/>
      <c r="M63" s="17"/>
      <c r="N63" s="17"/>
      <c r="O63" s="17"/>
    </row>
    <row r="64" spans="1:15" ht="12.5">
      <c r="A64" s="17"/>
      <c r="B64" s="24"/>
      <c r="C64" s="24"/>
      <c r="D64" s="17"/>
      <c r="E64" s="17"/>
      <c r="F64" s="17"/>
      <c r="G64" s="17"/>
      <c r="H64" s="17"/>
      <c r="I64" s="17"/>
      <c r="J64" s="17"/>
      <c r="K64" s="134" t="str">
        <f ca="1">IFERROR(__xludf.DUMMYFUNCTION("""COMPUTED_VALUE"""),".")</f>
        <v>.</v>
      </c>
      <c r="L64" s="17"/>
      <c r="M64" s="17"/>
      <c r="N64" s="17"/>
      <c r="O64" s="17"/>
    </row>
    <row r="65" spans="1:15" ht="12.5">
      <c r="A65" s="17"/>
      <c r="B65" s="24"/>
      <c r="C65" s="24"/>
      <c r="D65" s="17"/>
      <c r="E65" s="17"/>
      <c r="F65" s="17"/>
      <c r="G65" s="17"/>
      <c r="H65" s="17"/>
      <c r="I65" s="17"/>
      <c r="J65" s="17"/>
      <c r="K65" s="134" t="str">
        <f ca="1">IFERROR(__xludf.DUMMYFUNCTION("""COMPUTED_VALUE"""),".")</f>
        <v>.</v>
      </c>
      <c r="L65" s="17"/>
      <c r="M65" s="17"/>
      <c r="N65" s="17"/>
      <c r="O65" s="17"/>
    </row>
    <row r="66" spans="1:15" ht="12.5">
      <c r="A66" s="17"/>
      <c r="B66" s="24"/>
      <c r="C66" s="24"/>
      <c r="D66" s="17"/>
      <c r="E66" s="17"/>
      <c r="F66" s="17"/>
      <c r="G66" s="17"/>
      <c r="H66" s="17"/>
      <c r="I66" s="17"/>
      <c r="J66" s="17"/>
      <c r="K66" s="134" t="str">
        <f ca="1">IFERROR(__xludf.DUMMYFUNCTION("""COMPUTED_VALUE"""),".")</f>
        <v>.</v>
      </c>
      <c r="L66" s="17"/>
      <c r="M66" s="17"/>
      <c r="N66" s="17"/>
      <c r="O66" s="17"/>
    </row>
    <row r="67" spans="1:15" ht="12.5">
      <c r="A67" s="17"/>
      <c r="B67" s="24"/>
      <c r="C67" s="24"/>
      <c r="D67" s="17"/>
      <c r="E67" s="17"/>
      <c r="F67" s="17"/>
      <c r="G67" s="17"/>
      <c r="H67" s="17"/>
      <c r="I67" s="17"/>
      <c r="J67" s="17"/>
      <c r="K67" s="134" t="str">
        <f ca="1">IFERROR(__xludf.DUMMYFUNCTION("""COMPUTED_VALUE"""),".")</f>
        <v>.</v>
      </c>
      <c r="L67" s="17"/>
      <c r="M67" s="17"/>
      <c r="N67" s="17"/>
      <c r="O67" s="17"/>
    </row>
    <row r="68" spans="1:15" ht="12.5">
      <c r="A68" s="17"/>
      <c r="B68" s="24"/>
      <c r="C68" s="24"/>
      <c r="D68" s="17"/>
      <c r="E68" s="17"/>
      <c r="F68" s="17"/>
      <c r="G68" s="17"/>
      <c r="H68" s="17"/>
      <c r="I68" s="17"/>
      <c r="J68" s="17"/>
      <c r="K68" s="134" t="str">
        <f ca="1">IFERROR(__xludf.DUMMYFUNCTION("""COMPUTED_VALUE"""),".")</f>
        <v>.</v>
      </c>
      <c r="L68" s="17"/>
      <c r="M68" s="17"/>
      <c r="N68" s="17"/>
      <c r="O68" s="17"/>
    </row>
    <row r="69" spans="1:15" ht="12.5">
      <c r="A69" s="17"/>
      <c r="B69" s="24"/>
      <c r="C69" s="24"/>
      <c r="D69" s="17"/>
      <c r="E69" s="17"/>
      <c r="F69" s="17"/>
      <c r="G69" s="17"/>
      <c r="H69" s="17"/>
      <c r="I69" s="17"/>
      <c r="J69" s="17"/>
      <c r="K69" s="134" t="str">
        <f ca="1">IFERROR(__xludf.DUMMYFUNCTION("""COMPUTED_VALUE"""),".")</f>
        <v>.</v>
      </c>
      <c r="L69" s="17"/>
      <c r="M69" s="17"/>
      <c r="N69" s="17"/>
      <c r="O69" s="17"/>
    </row>
    <row r="70" spans="1:15" ht="12.5">
      <c r="A70" s="17"/>
      <c r="B70" s="24"/>
      <c r="C70" s="24"/>
      <c r="D70" s="17"/>
      <c r="E70" s="17"/>
      <c r="F70" s="17"/>
      <c r="G70" s="17"/>
      <c r="H70" s="17"/>
      <c r="I70" s="17"/>
      <c r="J70" s="17"/>
      <c r="K70" s="134" t="str">
        <f ca="1">IFERROR(__xludf.DUMMYFUNCTION("""COMPUTED_VALUE"""),".")</f>
        <v>.</v>
      </c>
      <c r="L70" s="17"/>
      <c r="M70" s="17"/>
      <c r="N70" s="17"/>
      <c r="O70" s="17"/>
    </row>
    <row r="71" spans="1:15" ht="12.5">
      <c r="A71" s="17"/>
      <c r="B71" s="24"/>
      <c r="C71" s="24"/>
      <c r="D71" s="17"/>
      <c r="E71" s="17"/>
      <c r="F71" s="17"/>
      <c r="G71" s="17"/>
      <c r="H71" s="17"/>
      <c r="I71" s="17"/>
      <c r="J71" s="17"/>
      <c r="K71" s="134" t="str">
        <f ca="1">IFERROR(__xludf.DUMMYFUNCTION("""COMPUTED_VALUE"""),".")</f>
        <v>.</v>
      </c>
      <c r="L71" s="17"/>
      <c r="M71" s="17"/>
      <c r="N71" s="17"/>
      <c r="O71" s="17"/>
    </row>
    <row r="72" spans="1:15" ht="12.5">
      <c r="A72" s="17"/>
      <c r="B72" s="24"/>
      <c r="C72" s="24"/>
      <c r="D72" s="17"/>
      <c r="E72" s="17"/>
      <c r="F72" s="17"/>
      <c r="G72" s="17"/>
      <c r="H72" s="17"/>
      <c r="I72" s="17"/>
      <c r="J72" s="17"/>
      <c r="K72" s="134" t="str">
        <f ca="1">IFERROR(__xludf.DUMMYFUNCTION("""COMPUTED_VALUE"""),".")</f>
        <v>.</v>
      </c>
      <c r="L72" s="17"/>
      <c r="M72" s="17"/>
      <c r="N72" s="17"/>
      <c r="O72" s="17"/>
    </row>
    <row r="73" spans="1:15" ht="12.5">
      <c r="A73" s="17"/>
      <c r="B73" s="24"/>
      <c r="C73" s="24"/>
      <c r="D73" s="17"/>
      <c r="E73" s="17"/>
      <c r="F73" s="17"/>
      <c r="G73" s="17"/>
      <c r="H73" s="17"/>
      <c r="I73" s="17"/>
      <c r="J73" s="17"/>
      <c r="K73" s="134" t="str">
        <f ca="1">IFERROR(__xludf.DUMMYFUNCTION("""COMPUTED_VALUE"""),".")</f>
        <v>.</v>
      </c>
      <c r="L73" s="17"/>
      <c r="M73" s="17"/>
      <c r="N73" s="17"/>
      <c r="O73" s="17"/>
    </row>
    <row r="74" spans="1:15" ht="12.5">
      <c r="A74" s="17"/>
      <c r="B74" s="24"/>
      <c r="C74" s="24"/>
      <c r="D74" s="17"/>
      <c r="E74" s="17"/>
      <c r="F74" s="17"/>
      <c r="G74" s="17"/>
      <c r="H74" s="17"/>
      <c r="I74" s="17"/>
      <c r="J74" s="17"/>
      <c r="K74" s="134" t="str">
        <f ca="1">IFERROR(__xludf.DUMMYFUNCTION("""COMPUTED_VALUE"""),".")</f>
        <v>.</v>
      </c>
      <c r="L74" s="17"/>
      <c r="M74" s="17"/>
      <c r="N74" s="17"/>
      <c r="O74" s="17"/>
    </row>
    <row r="75" spans="1:15" ht="12.5">
      <c r="A75" s="17"/>
      <c r="B75" s="24"/>
      <c r="C75" s="24"/>
      <c r="D75" s="17"/>
      <c r="E75" s="17"/>
      <c r="F75" s="17"/>
      <c r="G75" s="17"/>
      <c r="H75" s="17"/>
      <c r="I75" s="17"/>
      <c r="J75" s="17"/>
      <c r="K75" s="134" t="str">
        <f ca="1">IFERROR(__xludf.DUMMYFUNCTION("""COMPUTED_VALUE"""),".")</f>
        <v>.</v>
      </c>
      <c r="L75" s="17"/>
      <c r="M75" s="17"/>
      <c r="N75" s="17"/>
      <c r="O75" s="17"/>
    </row>
    <row r="76" spans="1:15" ht="12.5">
      <c r="A76" s="17"/>
      <c r="B76" s="24"/>
      <c r="C76" s="24"/>
      <c r="D76" s="17"/>
      <c r="E76" s="17"/>
      <c r="F76" s="17"/>
      <c r="G76" s="17"/>
      <c r="H76" s="17"/>
      <c r="I76" s="17"/>
      <c r="J76" s="17"/>
      <c r="K76" s="134" t="str">
        <f ca="1">IFERROR(__xludf.DUMMYFUNCTION("""COMPUTED_VALUE"""),".")</f>
        <v>.</v>
      </c>
      <c r="L76" s="17"/>
      <c r="M76" s="17"/>
      <c r="N76" s="17"/>
      <c r="O76" s="17"/>
    </row>
    <row r="77" spans="1:15" ht="12.5">
      <c r="A77" s="17"/>
      <c r="B77" s="24"/>
      <c r="C77" s="24"/>
      <c r="D77" s="17"/>
      <c r="E77" s="17"/>
      <c r="F77" s="17"/>
      <c r="G77" s="17"/>
      <c r="H77" s="17"/>
      <c r="I77" s="17"/>
      <c r="J77" s="17"/>
      <c r="K77" s="134" t="str">
        <f ca="1">IFERROR(__xludf.DUMMYFUNCTION("""COMPUTED_VALUE"""),".")</f>
        <v>.</v>
      </c>
      <c r="L77" s="17"/>
      <c r="M77" s="17"/>
      <c r="N77" s="17"/>
      <c r="O77" s="17"/>
    </row>
    <row r="78" spans="1:15" ht="12.5">
      <c r="A78" s="17"/>
      <c r="B78" s="24"/>
      <c r="C78" s="24"/>
      <c r="D78" s="17"/>
      <c r="E78" s="17"/>
      <c r="F78" s="17"/>
      <c r="G78" s="17"/>
      <c r="H78" s="17"/>
      <c r="I78" s="17"/>
      <c r="J78" s="17"/>
      <c r="K78" s="134" t="str">
        <f ca="1">IFERROR(__xludf.DUMMYFUNCTION("""COMPUTED_VALUE"""),".")</f>
        <v>.</v>
      </c>
      <c r="L78" s="17"/>
      <c r="M78" s="17"/>
      <c r="N78" s="17"/>
      <c r="O78" s="17"/>
    </row>
    <row r="79" spans="1:15" ht="12.5">
      <c r="A79" s="17"/>
      <c r="B79" s="24"/>
      <c r="C79" s="24"/>
      <c r="D79" s="17"/>
      <c r="E79" s="17"/>
      <c r="F79" s="17"/>
      <c r="G79" s="17"/>
      <c r="H79" s="17"/>
      <c r="I79" s="17"/>
      <c r="J79" s="17"/>
      <c r="K79" s="134" t="str">
        <f ca="1">IFERROR(__xludf.DUMMYFUNCTION("""COMPUTED_VALUE"""),".")</f>
        <v>.</v>
      </c>
      <c r="L79" s="17"/>
      <c r="M79" s="17"/>
      <c r="N79" s="17"/>
      <c r="O79" s="17"/>
    </row>
    <row r="80" spans="1:15" ht="12.5">
      <c r="A80" s="17"/>
      <c r="B80" s="24"/>
      <c r="C80" s="24"/>
      <c r="D80" s="17"/>
      <c r="E80" s="17"/>
      <c r="F80" s="17"/>
      <c r="G80" s="17"/>
      <c r="H80" s="17"/>
      <c r="I80" s="17"/>
      <c r="J80" s="17"/>
      <c r="K80" s="134" t="str">
        <f ca="1">IFERROR(__xludf.DUMMYFUNCTION("""COMPUTED_VALUE"""),".")</f>
        <v>.</v>
      </c>
      <c r="L80" s="17"/>
      <c r="M80" s="17"/>
      <c r="N80" s="17"/>
      <c r="O80" s="17"/>
    </row>
    <row r="81" spans="1:15" ht="12.5">
      <c r="A81" s="17"/>
      <c r="B81" s="24"/>
      <c r="C81" s="24"/>
      <c r="D81" s="17"/>
      <c r="E81" s="17"/>
      <c r="F81" s="17"/>
      <c r="G81" s="17"/>
      <c r="H81" s="17"/>
      <c r="I81" s="17"/>
      <c r="J81" s="17"/>
      <c r="K81" s="17"/>
      <c r="L81" s="17"/>
      <c r="M81" s="17"/>
      <c r="N81" s="17"/>
      <c r="O81" s="17"/>
    </row>
    <row r="82" spans="1:15" ht="12.5">
      <c r="A82" s="17"/>
      <c r="B82" s="24"/>
      <c r="C82" s="24"/>
      <c r="D82" s="17"/>
      <c r="E82" s="17"/>
      <c r="F82" s="17"/>
      <c r="G82" s="17"/>
      <c r="H82" s="17"/>
      <c r="I82" s="17"/>
      <c r="J82" s="17"/>
      <c r="K82" s="17"/>
      <c r="L82" s="17"/>
      <c r="M82" s="17"/>
      <c r="N82" s="17"/>
      <c r="O82" s="17"/>
    </row>
    <row r="83" spans="1:15" ht="12.5">
      <c r="A83" s="17"/>
      <c r="B83" s="24"/>
      <c r="C83" s="24"/>
      <c r="D83" s="17"/>
      <c r="E83" s="17"/>
      <c r="F83" s="17"/>
      <c r="G83" s="17"/>
      <c r="H83" s="17"/>
      <c r="I83" s="17"/>
      <c r="J83" s="17"/>
      <c r="K83" s="17"/>
      <c r="L83" s="17"/>
      <c r="M83" s="17"/>
      <c r="N83" s="17"/>
      <c r="O83" s="17"/>
    </row>
    <row r="84" spans="1:15" ht="12.5">
      <c r="A84" s="17"/>
      <c r="B84" s="24"/>
      <c r="C84" s="24"/>
      <c r="D84" s="17"/>
      <c r="E84" s="17"/>
      <c r="F84" s="17"/>
      <c r="G84" s="17"/>
      <c r="H84" s="17"/>
      <c r="I84" s="17"/>
      <c r="J84" s="17"/>
      <c r="K84" s="17"/>
      <c r="L84" s="17"/>
      <c r="M84" s="17"/>
      <c r="N84" s="17"/>
      <c r="O84" s="17"/>
    </row>
    <row r="85" spans="1:15" ht="12.5">
      <c r="A85" s="17"/>
      <c r="B85" s="24"/>
      <c r="C85" s="24"/>
      <c r="D85" s="17"/>
      <c r="E85" s="17"/>
      <c r="F85" s="17"/>
      <c r="G85" s="17"/>
      <c r="H85" s="17"/>
      <c r="I85" s="17"/>
      <c r="J85" s="17"/>
      <c r="K85" s="17"/>
      <c r="L85" s="17"/>
      <c r="M85" s="17"/>
      <c r="N85" s="17"/>
      <c r="O85" s="17"/>
    </row>
    <row r="86" spans="1:15" ht="12.5">
      <c r="A86" s="17"/>
      <c r="B86" s="24"/>
      <c r="C86" s="24"/>
      <c r="D86" s="17"/>
      <c r="E86" s="17"/>
      <c r="F86" s="17"/>
      <c r="G86" s="17"/>
      <c r="H86" s="17"/>
      <c r="I86" s="17"/>
      <c r="J86" s="17"/>
      <c r="K86" s="17"/>
      <c r="L86" s="17"/>
      <c r="M86" s="17"/>
      <c r="N86" s="17"/>
      <c r="O86" s="17"/>
    </row>
    <row r="87" spans="1:15" ht="12.5">
      <c r="A87" s="17"/>
      <c r="B87" s="24"/>
      <c r="C87" s="24"/>
      <c r="D87" s="17"/>
      <c r="E87" s="17"/>
      <c r="F87" s="17"/>
      <c r="G87" s="17"/>
      <c r="H87" s="17"/>
      <c r="I87" s="17"/>
      <c r="J87" s="17"/>
      <c r="K87" s="17"/>
      <c r="L87" s="17"/>
      <c r="M87" s="17"/>
      <c r="N87" s="17"/>
      <c r="O87" s="17"/>
    </row>
    <row r="88" spans="1:15" ht="12.5">
      <c r="A88" s="17"/>
      <c r="B88" s="24"/>
      <c r="C88" s="24"/>
      <c r="D88" s="17"/>
      <c r="E88" s="17"/>
      <c r="F88" s="17"/>
      <c r="G88" s="17"/>
      <c r="H88" s="17"/>
      <c r="I88" s="17"/>
      <c r="J88" s="17"/>
      <c r="K88" s="17"/>
      <c r="L88" s="17"/>
      <c r="M88" s="17"/>
      <c r="N88" s="17"/>
      <c r="O88" s="17"/>
    </row>
    <row r="89" spans="1:15" ht="12.5">
      <c r="A89" s="17"/>
      <c r="B89" s="24"/>
      <c r="C89" s="24"/>
      <c r="D89" s="17"/>
      <c r="E89" s="17"/>
      <c r="F89" s="17"/>
      <c r="G89" s="17"/>
      <c r="H89" s="17"/>
      <c r="I89" s="17"/>
      <c r="J89" s="17"/>
      <c r="K89" s="17"/>
      <c r="L89" s="17"/>
      <c r="M89" s="17"/>
      <c r="N89" s="17"/>
      <c r="O89" s="17"/>
    </row>
    <row r="90" spans="1:15" ht="12.5">
      <c r="A90" s="17"/>
      <c r="B90" s="24"/>
      <c r="C90" s="24"/>
      <c r="D90" s="17"/>
      <c r="E90" s="17"/>
      <c r="F90" s="17"/>
      <c r="G90" s="17"/>
      <c r="H90" s="17"/>
      <c r="I90" s="17"/>
      <c r="J90" s="17"/>
      <c r="K90" s="17"/>
      <c r="L90" s="17"/>
      <c r="M90" s="17"/>
      <c r="N90" s="17"/>
      <c r="O90" s="17"/>
    </row>
    <row r="91" spans="1:15" ht="12.5">
      <c r="A91" s="17"/>
      <c r="B91" s="24"/>
      <c r="C91" s="24"/>
      <c r="D91" s="17"/>
      <c r="E91" s="17"/>
      <c r="F91" s="17"/>
      <c r="G91" s="17"/>
      <c r="H91" s="17"/>
      <c r="I91" s="17"/>
      <c r="J91" s="17"/>
      <c r="K91" s="17"/>
      <c r="L91" s="17"/>
      <c r="M91" s="17"/>
      <c r="N91" s="17"/>
      <c r="O91" s="17"/>
    </row>
    <row r="92" spans="1:15" ht="12.5">
      <c r="A92" s="17"/>
      <c r="B92" s="24"/>
      <c r="C92" s="24"/>
      <c r="D92" s="17"/>
      <c r="E92" s="17"/>
      <c r="F92" s="17"/>
      <c r="G92" s="17"/>
      <c r="H92" s="17"/>
      <c r="I92" s="17"/>
      <c r="J92" s="17"/>
      <c r="K92" s="17"/>
      <c r="L92" s="17"/>
      <c r="M92" s="17"/>
      <c r="N92" s="17"/>
      <c r="O92" s="17"/>
    </row>
    <row r="93" spans="1:15" ht="12.5">
      <c r="A93" s="17"/>
      <c r="B93" s="24"/>
      <c r="C93" s="24"/>
      <c r="D93" s="17"/>
      <c r="E93" s="17"/>
      <c r="F93" s="17"/>
      <c r="G93" s="17"/>
      <c r="H93" s="17"/>
      <c r="I93" s="17"/>
      <c r="J93" s="17"/>
      <c r="K93" s="17"/>
      <c r="L93" s="17"/>
      <c r="M93" s="17"/>
      <c r="N93" s="17"/>
      <c r="O93" s="17"/>
    </row>
    <row r="94" spans="1:15" ht="12.5">
      <c r="A94" s="17"/>
      <c r="B94" s="24"/>
      <c r="C94" s="24"/>
      <c r="D94" s="17"/>
      <c r="E94" s="17"/>
      <c r="F94" s="17"/>
      <c r="G94" s="17"/>
      <c r="H94" s="17"/>
      <c r="I94" s="17"/>
      <c r="J94" s="17"/>
      <c r="K94" s="17"/>
      <c r="L94" s="17"/>
      <c r="M94" s="17"/>
      <c r="N94" s="17"/>
      <c r="O94" s="17"/>
    </row>
    <row r="95" spans="1:15" ht="12.5">
      <c r="A95" s="17"/>
      <c r="B95" s="24"/>
      <c r="C95" s="24"/>
      <c r="D95" s="17"/>
      <c r="E95" s="17"/>
      <c r="F95" s="17"/>
      <c r="G95" s="17"/>
      <c r="H95" s="17"/>
      <c r="I95" s="17"/>
      <c r="J95" s="17"/>
      <c r="K95" s="17"/>
      <c r="L95" s="17"/>
      <c r="M95" s="17"/>
      <c r="N95" s="17"/>
      <c r="O95" s="17"/>
    </row>
    <row r="96" spans="1:15" ht="12.5">
      <c r="A96" s="17"/>
      <c r="B96" s="24"/>
      <c r="C96" s="24"/>
      <c r="D96" s="17"/>
      <c r="E96" s="17"/>
      <c r="F96" s="17"/>
      <c r="G96" s="17"/>
      <c r="H96" s="17"/>
      <c r="I96" s="17"/>
      <c r="J96" s="17"/>
      <c r="K96" s="17"/>
      <c r="L96" s="17"/>
      <c r="M96" s="17"/>
      <c r="N96" s="17"/>
      <c r="O96" s="17"/>
    </row>
    <row r="97" spans="1:15" ht="12.5">
      <c r="A97" s="17"/>
      <c r="B97" s="24"/>
      <c r="C97" s="24"/>
      <c r="D97" s="17"/>
      <c r="E97" s="17"/>
      <c r="F97" s="17"/>
      <c r="G97" s="17"/>
      <c r="H97" s="17"/>
      <c r="I97" s="17"/>
      <c r="J97" s="17"/>
      <c r="K97" s="17"/>
      <c r="L97" s="17"/>
      <c r="M97" s="17"/>
      <c r="N97" s="17"/>
      <c r="O97" s="17"/>
    </row>
    <row r="98" spans="1:15" ht="12.5">
      <c r="A98" s="17"/>
      <c r="B98" s="24"/>
      <c r="C98" s="24"/>
      <c r="D98" s="17"/>
      <c r="E98" s="17"/>
      <c r="F98" s="17"/>
      <c r="G98" s="17"/>
      <c r="H98" s="17"/>
      <c r="I98" s="17"/>
      <c r="J98" s="17"/>
      <c r="K98" s="17"/>
      <c r="L98" s="17"/>
      <c r="M98" s="17"/>
      <c r="N98" s="17"/>
      <c r="O98" s="17"/>
    </row>
    <row r="99" spans="1:15" ht="12.5">
      <c r="A99" s="17"/>
      <c r="B99" s="24"/>
      <c r="C99" s="24"/>
      <c r="D99" s="17"/>
      <c r="E99" s="17"/>
      <c r="F99" s="17"/>
      <c r="G99" s="17"/>
      <c r="H99" s="17"/>
      <c r="I99" s="17"/>
      <c r="J99" s="17"/>
      <c r="K99" s="17"/>
      <c r="L99" s="17"/>
      <c r="M99" s="17"/>
      <c r="N99" s="17"/>
      <c r="O99" s="17"/>
    </row>
    <row r="100" spans="1:15" ht="12.5">
      <c r="A100" s="17"/>
      <c r="B100" s="24"/>
      <c r="C100" s="24"/>
      <c r="D100" s="17"/>
      <c r="E100" s="17"/>
      <c r="F100" s="17"/>
      <c r="G100" s="17"/>
      <c r="H100" s="17"/>
      <c r="I100" s="17"/>
      <c r="J100" s="17"/>
      <c r="K100" s="17"/>
      <c r="L100" s="17"/>
      <c r="M100" s="17"/>
      <c r="N100" s="17"/>
      <c r="O100" s="17"/>
    </row>
    <row r="101" spans="1:15" ht="12.5">
      <c r="A101" s="17"/>
      <c r="B101" s="24"/>
      <c r="C101" s="24"/>
      <c r="D101" s="17"/>
      <c r="E101" s="17"/>
      <c r="F101" s="17"/>
      <c r="G101" s="17"/>
      <c r="H101" s="17"/>
      <c r="I101" s="17"/>
      <c r="J101" s="17"/>
      <c r="K101" s="17"/>
      <c r="L101" s="17"/>
      <c r="M101" s="17"/>
      <c r="N101" s="17"/>
      <c r="O101" s="17"/>
    </row>
    <row r="102" spans="1:15" ht="12.5">
      <c r="A102" s="17"/>
      <c r="B102" s="24"/>
      <c r="C102" s="24"/>
      <c r="D102" s="17"/>
      <c r="E102" s="17"/>
      <c r="F102" s="17"/>
      <c r="G102" s="17"/>
      <c r="H102" s="17"/>
      <c r="I102" s="17"/>
      <c r="J102" s="17"/>
      <c r="K102" s="17"/>
      <c r="L102" s="17"/>
      <c r="M102" s="17"/>
      <c r="N102" s="17"/>
      <c r="O102" s="17"/>
    </row>
    <row r="103" spans="1:15" ht="12.5">
      <c r="A103" s="17"/>
      <c r="B103" s="24"/>
      <c r="C103" s="24"/>
      <c r="D103" s="17"/>
      <c r="E103" s="17"/>
      <c r="F103" s="17"/>
      <c r="G103" s="17"/>
      <c r="H103" s="17"/>
      <c r="I103" s="17"/>
      <c r="J103" s="17"/>
      <c r="K103" s="17"/>
      <c r="L103" s="17"/>
      <c r="M103" s="17"/>
      <c r="N103" s="17"/>
      <c r="O103" s="17"/>
    </row>
    <row r="104" spans="1:15" ht="12.5">
      <c r="A104" s="17"/>
      <c r="B104" s="24"/>
      <c r="C104" s="24"/>
      <c r="D104" s="17"/>
      <c r="E104" s="17"/>
      <c r="F104" s="17"/>
      <c r="G104" s="17"/>
      <c r="H104" s="17"/>
      <c r="I104" s="17"/>
      <c r="J104" s="17"/>
      <c r="K104" s="17"/>
      <c r="L104" s="17"/>
      <c r="M104" s="17"/>
      <c r="N104" s="17"/>
      <c r="O104" s="17"/>
    </row>
    <row r="105" spans="1:15" ht="12.5">
      <c r="A105" s="17"/>
      <c r="B105" s="24"/>
      <c r="C105" s="24"/>
      <c r="D105" s="17"/>
      <c r="E105" s="17"/>
      <c r="F105" s="17"/>
      <c r="G105" s="17"/>
      <c r="H105" s="17"/>
      <c r="I105" s="17"/>
      <c r="J105" s="17"/>
      <c r="K105" s="17"/>
      <c r="L105" s="17"/>
      <c r="M105" s="17"/>
      <c r="N105" s="17"/>
      <c r="O105" s="17"/>
    </row>
    <row r="106" spans="1:15" ht="12.5">
      <c r="A106" s="17"/>
      <c r="B106" s="24"/>
      <c r="C106" s="24"/>
      <c r="D106" s="17"/>
      <c r="E106" s="17"/>
      <c r="F106" s="17"/>
      <c r="G106" s="17"/>
      <c r="H106" s="17"/>
      <c r="I106" s="17"/>
      <c r="J106" s="17"/>
      <c r="K106" s="17"/>
      <c r="L106" s="17"/>
      <c r="M106" s="17"/>
      <c r="N106" s="17"/>
      <c r="O106" s="17"/>
    </row>
    <row r="107" spans="1:15" ht="12.5">
      <c r="A107" s="17"/>
      <c r="B107" s="24"/>
      <c r="C107" s="24"/>
      <c r="D107" s="17"/>
      <c r="E107" s="17"/>
      <c r="F107" s="17"/>
      <c r="G107" s="17"/>
      <c r="H107" s="17"/>
      <c r="I107" s="17"/>
      <c r="J107" s="17"/>
      <c r="K107" s="17"/>
      <c r="L107" s="17"/>
      <c r="M107" s="17"/>
      <c r="N107" s="17"/>
      <c r="O107" s="17"/>
    </row>
    <row r="108" spans="1:15" ht="12.5">
      <c r="A108" s="17"/>
      <c r="B108" s="24"/>
      <c r="C108" s="24"/>
      <c r="D108" s="17"/>
      <c r="E108" s="17"/>
      <c r="F108" s="17"/>
      <c r="G108" s="17"/>
      <c r="H108" s="17"/>
      <c r="I108" s="17"/>
      <c r="J108" s="17"/>
      <c r="K108" s="17"/>
      <c r="L108" s="17"/>
      <c r="M108" s="17"/>
      <c r="N108" s="17"/>
      <c r="O108" s="17"/>
    </row>
    <row r="109" spans="1:15" ht="12.5">
      <c r="A109" s="17"/>
      <c r="B109" s="24"/>
      <c r="C109" s="24"/>
      <c r="D109" s="17"/>
      <c r="E109" s="17"/>
      <c r="F109" s="17"/>
      <c r="G109" s="17"/>
      <c r="H109" s="17"/>
      <c r="I109" s="17"/>
      <c r="J109" s="17"/>
      <c r="K109" s="17"/>
      <c r="L109" s="17"/>
      <c r="M109" s="17"/>
      <c r="N109" s="17"/>
      <c r="O109" s="17"/>
    </row>
    <row r="110" spans="1:15" ht="12.5">
      <c r="A110" s="17"/>
      <c r="B110" s="24"/>
      <c r="C110" s="24"/>
      <c r="D110" s="17"/>
      <c r="E110" s="17"/>
      <c r="F110" s="17"/>
      <c r="G110" s="17"/>
      <c r="H110" s="17"/>
      <c r="I110" s="17"/>
      <c r="J110" s="17"/>
      <c r="K110" s="17"/>
      <c r="L110" s="17"/>
      <c r="M110" s="17"/>
      <c r="N110" s="17"/>
      <c r="O110" s="17"/>
    </row>
    <row r="111" spans="1:15" ht="12.5">
      <c r="A111" s="17"/>
      <c r="B111" s="24"/>
      <c r="C111" s="24"/>
      <c r="D111" s="17"/>
      <c r="E111" s="17"/>
      <c r="F111" s="17"/>
      <c r="G111" s="17"/>
      <c r="H111" s="17"/>
      <c r="I111" s="17"/>
      <c r="J111" s="17"/>
      <c r="K111" s="17"/>
      <c r="L111" s="17"/>
      <c r="M111" s="17"/>
      <c r="N111" s="17"/>
      <c r="O111" s="17"/>
    </row>
    <row r="112" spans="1:15" ht="12.5">
      <c r="A112" s="17"/>
      <c r="B112" s="24"/>
      <c r="C112" s="24"/>
      <c r="D112" s="17"/>
      <c r="E112" s="17"/>
      <c r="F112" s="17"/>
      <c r="G112" s="17"/>
      <c r="H112" s="17"/>
      <c r="I112" s="17"/>
      <c r="J112" s="17"/>
      <c r="K112" s="17"/>
      <c r="L112" s="17"/>
      <c r="M112" s="17"/>
      <c r="N112" s="17"/>
      <c r="O112" s="17"/>
    </row>
    <row r="113" spans="1:15" ht="12.5">
      <c r="A113" s="17"/>
      <c r="B113" s="24"/>
      <c r="C113" s="24"/>
      <c r="D113" s="17"/>
      <c r="E113" s="17"/>
      <c r="F113" s="17"/>
      <c r="G113" s="17"/>
      <c r="H113" s="17"/>
      <c r="I113" s="17"/>
      <c r="J113" s="17"/>
      <c r="K113" s="17"/>
      <c r="L113" s="17"/>
      <c r="M113" s="17"/>
      <c r="N113" s="17"/>
      <c r="O113" s="17"/>
    </row>
    <row r="114" spans="1:15" ht="12.5">
      <c r="A114" s="17"/>
      <c r="B114" s="24"/>
      <c r="C114" s="24"/>
      <c r="D114" s="17"/>
      <c r="E114" s="17"/>
      <c r="F114" s="17"/>
      <c r="G114" s="17"/>
      <c r="H114" s="17"/>
      <c r="I114" s="17"/>
      <c r="J114" s="17"/>
      <c r="K114" s="17"/>
      <c r="L114" s="17"/>
      <c r="M114" s="17"/>
      <c r="N114" s="17"/>
      <c r="O114" s="17"/>
    </row>
    <row r="115" spans="1:15" ht="12.5">
      <c r="A115" s="17"/>
      <c r="B115" s="24"/>
      <c r="C115" s="24"/>
      <c r="D115" s="17"/>
      <c r="E115" s="17"/>
      <c r="F115" s="17"/>
      <c r="G115" s="17"/>
      <c r="H115" s="17"/>
      <c r="I115" s="17"/>
      <c r="J115" s="17"/>
      <c r="K115" s="17"/>
      <c r="L115" s="17"/>
      <c r="M115" s="17"/>
      <c r="N115" s="17"/>
      <c r="O115" s="17"/>
    </row>
    <row r="116" spans="1:15" ht="12.5">
      <c r="A116" s="17"/>
      <c r="B116" s="24"/>
      <c r="C116" s="24"/>
      <c r="D116" s="17"/>
      <c r="E116" s="17"/>
      <c r="F116" s="17"/>
      <c r="G116" s="17"/>
      <c r="H116" s="17"/>
      <c r="I116" s="17"/>
      <c r="J116" s="17"/>
      <c r="K116" s="17"/>
      <c r="L116" s="17"/>
      <c r="M116" s="17"/>
      <c r="N116" s="17"/>
      <c r="O116" s="17"/>
    </row>
    <row r="117" spans="1:15" ht="12.5">
      <c r="A117" s="17"/>
      <c r="B117" s="24"/>
      <c r="C117" s="24"/>
      <c r="D117" s="17"/>
      <c r="E117" s="17"/>
      <c r="F117" s="17"/>
      <c r="G117" s="17"/>
      <c r="H117" s="17"/>
      <c r="I117" s="17"/>
      <c r="J117" s="17"/>
      <c r="K117" s="17"/>
      <c r="L117" s="17"/>
      <c r="M117" s="17"/>
      <c r="N117" s="17"/>
      <c r="O117" s="17"/>
    </row>
    <row r="118" spans="1:15" ht="12.5">
      <c r="A118" s="17"/>
      <c r="B118" s="24"/>
      <c r="C118" s="24"/>
      <c r="D118" s="17"/>
      <c r="E118" s="17"/>
      <c r="F118" s="17"/>
      <c r="G118" s="17"/>
      <c r="H118" s="17"/>
      <c r="I118" s="17"/>
      <c r="J118" s="17"/>
      <c r="K118" s="17"/>
      <c r="L118" s="17"/>
      <c r="M118" s="17"/>
      <c r="N118" s="17"/>
      <c r="O118" s="17"/>
    </row>
    <row r="119" spans="1:15" ht="12.5">
      <c r="A119" s="17"/>
      <c r="B119" s="24"/>
      <c r="C119" s="24"/>
      <c r="D119" s="17"/>
      <c r="E119" s="17"/>
      <c r="F119" s="17"/>
      <c r="G119" s="17"/>
      <c r="H119" s="17"/>
      <c r="I119" s="17"/>
      <c r="J119" s="17"/>
      <c r="K119" s="17"/>
      <c r="L119" s="17"/>
      <c r="M119" s="17"/>
      <c r="N119" s="17"/>
      <c r="O119" s="17"/>
    </row>
    <row r="120" spans="1:15" ht="12.5">
      <c r="A120" s="17"/>
      <c r="B120" s="24"/>
      <c r="C120" s="24"/>
      <c r="D120" s="17"/>
      <c r="E120" s="17"/>
      <c r="F120" s="17"/>
      <c r="G120" s="17"/>
      <c r="H120" s="17"/>
      <c r="I120" s="17"/>
      <c r="J120" s="17"/>
      <c r="K120" s="17"/>
      <c r="L120" s="17"/>
      <c r="M120" s="17"/>
      <c r="N120" s="17"/>
      <c r="O120" s="17"/>
    </row>
    <row r="121" spans="1:15" ht="12.5">
      <c r="A121" s="17"/>
      <c r="B121" s="24"/>
      <c r="C121" s="24"/>
      <c r="D121" s="17"/>
      <c r="E121" s="17"/>
      <c r="F121" s="17"/>
      <c r="G121" s="17"/>
      <c r="H121" s="17"/>
      <c r="I121" s="17"/>
      <c r="J121" s="17"/>
      <c r="K121" s="17"/>
      <c r="L121" s="17"/>
      <c r="M121" s="17"/>
      <c r="N121" s="17"/>
      <c r="O121" s="17"/>
    </row>
    <row r="122" spans="1:15" ht="12.5">
      <c r="A122" s="17"/>
      <c r="B122" s="24"/>
      <c r="C122" s="24"/>
      <c r="D122" s="17"/>
      <c r="E122" s="17"/>
      <c r="F122" s="17"/>
      <c r="G122" s="17"/>
      <c r="H122" s="17"/>
      <c r="I122" s="17"/>
      <c r="J122" s="17"/>
      <c r="K122" s="17"/>
      <c r="L122" s="17"/>
      <c r="M122" s="17"/>
      <c r="N122" s="17"/>
      <c r="O122" s="17"/>
    </row>
    <row r="123" spans="1:15" ht="12.5">
      <c r="A123" s="17"/>
      <c r="B123" s="24"/>
      <c r="C123" s="24"/>
      <c r="D123" s="17"/>
      <c r="E123" s="17"/>
      <c r="F123" s="17"/>
      <c r="G123" s="17"/>
      <c r="H123" s="17"/>
      <c r="I123" s="17"/>
      <c r="J123" s="17"/>
      <c r="K123" s="17"/>
      <c r="L123" s="17"/>
      <c r="M123" s="17"/>
      <c r="N123" s="17"/>
      <c r="O123" s="17"/>
    </row>
    <row r="124" spans="1:15" ht="12.5">
      <c r="A124" s="17"/>
      <c r="B124" s="24"/>
      <c r="C124" s="24"/>
      <c r="D124" s="17"/>
      <c r="E124" s="17"/>
      <c r="F124" s="17"/>
      <c r="G124" s="17"/>
      <c r="H124" s="17"/>
      <c r="I124" s="17"/>
      <c r="J124" s="17"/>
      <c r="K124" s="17"/>
      <c r="L124" s="17"/>
      <c r="M124" s="17"/>
      <c r="N124" s="17"/>
      <c r="O124" s="17"/>
    </row>
    <row r="125" spans="1:15" ht="12.5">
      <c r="A125" s="17"/>
      <c r="B125" s="24"/>
      <c r="C125" s="24"/>
      <c r="D125" s="17"/>
      <c r="E125" s="17"/>
      <c r="F125" s="17"/>
      <c r="G125" s="17"/>
      <c r="H125" s="17"/>
      <c r="I125" s="17"/>
      <c r="J125" s="17"/>
      <c r="K125" s="17"/>
      <c r="L125" s="17"/>
      <c r="M125" s="17"/>
      <c r="N125" s="17"/>
      <c r="O125" s="17"/>
    </row>
    <row r="126" spans="1:15" ht="12.5">
      <c r="A126" s="17"/>
      <c r="B126" s="24"/>
      <c r="C126" s="24"/>
      <c r="D126" s="17"/>
      <c r="E126" s="17"/>
      <c r="F126" s="17"/>
      <c r="G126" s="17"/>
      <c r="H126" s="17"/>
      <c r="I126" s="17"/>
      <c r="J126" s="17"/>
      <c r="K126" s="17"/>
      <c r="L126" s="17"/>
      <c r="M126" s="17"/>
      <c r="N126" s="17"/>
      <c r="O126" s="17"/>
    </row>
    <row r="127" spans="1:15" ht="12.5">
      <c r="A127" s="17"/>
      <c r="B127" s="24"/>
      <c r="C127" s="24"/>
      <c r="D127" s="17"/>
      <c r="E127" s="17"/>
      <c r="F127" s="17"/>
      <c r="G127" s="17"/>
      <c r="H127" s="17"/>
      <c r="I127" s="17"/>
      <c r="J127" s="17"/>
      <c r="K127" s="17"/>
      <c r="L127" s="17"/>
      <c r="M127" s="17"/>
      <c r="N127" s="17"/>
      <c r="O127" s="17"/>
    </row>
    <row r="128" spans="1:15" ht="12.5">
      <c r="A128" s="17"/>
      <c r="B128" s="24"/>
      <c r="C128" s="24"/>
      <c r="D128" s="17"/>
      <c r="E128" s="17"/>
      <c r="F128" s="17"/>
      <c r="G128" s="17"/>
      <c r="H128" s="17"/>
      <c r="I128" s="17"/>
      <c r="J128" s="17"/>
      <c r="K128" s="17"/>
      <c r="L128" s="17"/>
      <c r="M128" s="17"/>
      <c r="N128" s="17"/>
      <c r="O128" s="17"/>
    </row>
    <row r="129" spans="1:15" ht="12.5">
      <c r="A129" s="17"/>
      <c r="B129" s="24"/>
      <c r="C129" s="24"/>
      <c r="D129" s="17"/>
      <c r="E129" s="17"/>
      <c r="F129" s="17"/>
      <c r="G129" s="17"/>
      <c r="H129" s="17"/>
      <c r="I129" s="17"/>
      <c r="J129" s="17"/>
      <c r="K129" s="17"/>
      <c r="L129" s="17"/>
      <c r="M129" s="17"/>
      <c r="N129" s="17"/>
      <c r="O129" s="17"/>
    </row>
    <row r="130" spans="1:15" ht="12.5">
      <c r="A130" s="17"/>
      <c r="B130" s="24"/>
      <c r="C130" s="24"/>
      <c r="D130" s="17"/>
      <c r="E130" s="17"/>
      <c r="F130" s="17"/>
      <c r="G130" s="17"/>
      <c r="H130" s="17"/>
      <c r="I130" s="17"/>
      <c r="J130" s="17"/>
      <c r="K130" s="17"/>
      <c r="L130" s="17"/>
      <c r="M130" s="17"/>
      <c r="N130" s="17"/>
      <c r="O130" s="17"/>
    </row>
    <row r="131" spans="1:15" ht="12.5">
      <c r="A131" s="17"/>
      <c r="B131" s="24"/>
      <c r="C131" s="24"/>
      <c r="D131" s="17"/>
      <c r="E131" s="17"/>
      <c r="F131" s="17"/>
      <c r="G131" s="17"/>
      <c r="H131" s="17"/>
      <c r="I131" s="17"/>
      <c r="J131" s="17"/>
      <c r="K131" s="17"/>
      <c r="L131" s="17"/>
      <c r="M131" s="17"/>
      <c r="N131" s="17"/>
      <c r="O131" s="17"/>
    </row>
    <row r="132" spans="1:15" ht="12.5">
      <c r="A132" s="17"/>
      <c r="B132" s="24"/>
      <c r="C132" s="24"/>
      <c r="D132" s="17"/>
      <c r="E132" s="17"/>
      <c r="F132" s="17"/>
      <c r="G132" s="17"/>
      <c r="H132" s="17"/>
      <c r="I132" s="17"/>
      <c r="J132" s="17"/>
      <c r="K132" s="17"/>
      <c r="L132" s="17"/>
      <c r="M132" s="17"/>
      <c r="N132" s="17"/>
      <c r="O132" s="17"/>
    </row>
    <row r="133" spans="1:15" ht="12.5">
      <c r="A133" s="17"/>
      <c r="B133" s="24"/>
      <c r="C133" s="24"/>
      <c r="D133" s="17"/>
      <c r="E133" s="17"/>
      <c r="F133" s="17"/>
      <c r="G133" s="17"/>
      <c r="H133" s="17"/>
      <c r="I133" s="17"/>
      <c r="J133" s="17"/>
      <c r="K133" s="17"/>
      <c r="L133" s="17"/>
      <c r="M133" s="17"/>
      <c r="N133" s="17"/>
      <c r="O133" s="17"/>
    </row>
    <row r="134" spans="1:15" ht="12.5">
      <c r="A134" s="17"/>
      <c r="B134" s="24"/>
      <c r="C134" s="24"/>
      <c r="D134" s="17"/>
      <c r="E134" s="17"/>
      <c r="F134" s="17"/>
      <c r="G134" s="17"/>
      <c r="H134" s="17"/>
      <c r="I134" s="17"/>
      <c r="J134" s="17"/>
      <c r="K134" s="17"/>
      <c r="L134" s="17"/>
      <c r="M134" s="17"/>
      <c r="N134" s="17"/>
      <c r="O134" s="17"/>
    </row>
    <row r="135" spans="1:15" ht="12.5">
      <c r="A135" s="17"/>
      <c r="B135" s="24"/>
      <c r="C135" s="24"/>
      <c r="D135" s="17"/>
      <c r="E135" s="17"/>
      <c r="F135" s="17"/>
      <c r="G135" s="17"/>
      <c r="H135" s="17"/>
      <c r="I135" s="17"/>
      <c r="J135" s="17"/>
      <c r="K135" s="17"/>
      <c r="L135" s="17"/>
      <c r="M135" s="17"/>
      <c r="N135" s="17"/>
      <c r="O135" s="17"/>
    </row>
    <row r="136" spans="1:15" ht="12.5">
      <c r="A136" s="17"/>
      <c r="B136" s="24"/>
      <c r="C136" s="24"/>
      <c r="D136" s="17"/>
      <c r="E136" s="17"/>
      <c r="F136" s="17"/>
      <c r="G136" s="17"/>
      <c r="H136" s="17"/>
      <c r="I136" s="17"/>
      <c r="J136" s="17"/>
      <c r="K136" s="17"/>
      <c r="L136" s="17"/>
      <c r="M136" s="17"/>
      <c r="N136" s="17"/>
      <c r="O136" s="17"/>
    </row>
    <row r="137" spans="1:15" ht="12.5">
      <c r="A137" s="17"/>
      <c r="B137" s="24"/>
      <c r="C137" s="24"/>
      <c r="D137" s="17"/>
      <c r="E137" s="17"/>
      <c r="F137" s="17"/>
      <c r="G137" s="17"/>
      <c r="H137" s="17"/>
      <c r="I137" s="17"/>
      <c r="J137" s="17"/>
      <c r="K137" s="17"/>
      <c r="L137" s="17"/>
      <c r="M137" s="17"/>
      <c r="N137" s="17"/>
      <c r="O137" s="17"/>
    </row>
    <row r="138" spans="1:15" ht="12.5">
      <c r="A138" s="17"/>
      <c r="B138" s="24"/>
      <c r="C138" s="24"/>
      <c r="D138" s="17"/>
      <c r="E138" s="17"/>
      <c r="F138" s="17"/>
      <c r="G138" s="17"/>
      <c r="H138" s="17"/>
      <c r="I138" s="17"/>
      <c r="J138" s="17"/>
      <c r="K138" s="17"/>
      <c r="L138" s="17"/>
      <c r="M138" s="17"/>
      <c r="N138" s="17"/>
      <c r="O138" s="17"/>
    </row>
    <row r="139" spans="1:15" ht="12.5">
      <c r="A139" s="17"/>
      <c r="B139" s="24"/>
      <c r="C139" s="24"/>
      <c r="D139" s="17"/>
      <c r="E139" s="17"/>
      <c r="F139" s="17"/>
      <c r="G139" s="17"/>
      <c r="H139" s="17"/>
      <c r="I139" s="17"/>
      <c r="J139" s="17"/>
      <c r="K139" s="17"/>
      <c r="L139" s="17"/>
      <c r="M139" s="17"/>
      <c r="N139" s="17"/>
      <c r="O139" s="17"/>
    </row>
    <row r="140" spans="1:15" ht="12.5">
      <c r="A140" s="17"/>
      <c r="B140" s="24"/>
      <c r="C140" s="24"/>
      <c r="D140" s="17"/>
      <c r="E140" s="17"/>
      <c r="F140" s="17"/>
      <c r="G140" s="17"/>
      <c r="H140" s="17"/>
      <c r="I140" s="17"/>
      <c r="J140" s="17"/>
      <c r="K140" s="17"/>
      <c r="L140" s="17"/>
      <c r="M140" s="17"/>
      <c r="N140" s="17"/>
      <c r="O140" s="17"/>
    </row>
    <row r="141" spans="1:15" ht="12.5">
      <c r="A141" s="17"/>
      <c r="B141" s="24"/>
      <c r="C141" s="24"/>
      <c r="D141" s="17"/>
      <c r="E141" s="17"/>
      <c r="F141" s="17"/>
      <c r="G141" s="17"/>
      <c r="H141" s="17"/>
      <c r="I141" s="17"/>
      <c r="J141" s="17"/>
      <c r="K141" s="17"/>
      <c r="L141" s="17"/>
      <c r="M141" s="17"/>
      <c r="N141" s="17"/>
      <c r="O141" s="17"/>
    </row>
    <row r="142" spans="1:15" ht="12.5">
      <c r="A142" s="17"/>
      <c r="B142" s="24"/>
      <c r="C142" s="24"/>
      <c r="D142" s="17"/>
      <c r="E142" s="17"/>
      <c r="F142" s="17"/>
      <c r="G142" s="17"/>
      <c r="H142" s="17"/>
      <c r="I142" s="17"/>
      <c r="J142" s="17"/>
      <c r="K142" s="17"/>
      <c r="L142" s="17"/>
      <c r="M142" s="17"/>
      <c r="N142" s="17"/>
      <c r="O142" s="17"/>
    </row>
    <row r="143" spans="1:15" ht="12.5">
      <c r="A143" s="17"/>
      <c r="B143" s="24"/>
      <c r="C143" s="24"/>
      <c r="D143" s="17"/>
      <c r="E143" s="17"/>
      <c r="F143" s="17"/>
      <c r="G143" s="17"/>
      <c r="H143" s="17"/>
      <c r="I143" s="17"/>
      <c r="J143" s="17"/>
      <c r="K143" s="17"/>
      <c r="L143" s="17"/>
      <c r="M143" s="17"/>
      <c r="N143" s="17"/>
      <c r="O143" s="17"/>
    </row>
    <row r="144" spans="1:15" ht="12.5">
      <c r="A144" s="17"/>
      <c r="B144" s="24"/>
      <c r="C144" s="24"/>
      <c r="D144" s="17"/>
      <c r="E144" s="17"/>
      <c r="F144" s="17"/>
      <c r="G144" s="17"/>
      <c r="H144" s="17"/>
      <c r="I144" s="17"/>
      <c r="J144" s="17"/>
      <c r="K144" s="17"/>
      <c r="L144" s="17"/>
      <c r="M144" s="17"/>
      <c r="N144" s="17"/>
      <c r="O144" s="17"/>
    </row>
    <row r="145" spans="1:15" ht="12.5">
      <c r="A145" s="17"/>
      <c r="B145" s="24"/>
      <c r="C145" s="24"/>
      <c r="D145" s="17"/>
      <c r="E145" s="17"/>
      <c r="F145" s="17"/>
      <c r="G145" s="17"/>
      <c r="H145" s="17"/>
      <c r="I145" s="17"/>
      <c r="J145" s="17"/>
      <c r="K145" s="17"/>
      <c r="L145" s="17"/>
      <c r="M145" s="17"/>
      <c r="N145" s="17"/>
      <c r="O145" s="17"/>
    </row>
    <row r="146" spans="1:15" ht="12.5">
      <c r="A146" s="17"/>
      <c r="B146" s="24"/>
      <c r="C146" s="24"/>
      <c r="D146" s="17"/>
      <c r="E146" s="17"/>
      <c r="F146" s="17"/>
      <c r="G146" s="17"/>
      <c r="H146" s="17"/>
      <c r="I146" s="17"/>
      <c r="J146" s="17"/>
      <c r="K146" s="17"/>
      <c r="L146" s="17"/>
      <c r="M146" s="17"/>
      <c r="N146" s="17"/>
      <c r="O146" s="17"/>
    </row>
    <row r="147" spans="1:15" ht="12.5">
      <c r="A147" s="17"/>
      <c r="B147" s="24"/>
      <c r="C147" s="24"/>
      <c r="D147" s="17"/>
      <c r="E147" s="17"/>
      <c r="F147" s="17"/>
      <c r="G147" s="17"/>
      <c r="H147" s="17"/>
      <c r="I147" s="17"/>
      <c r="J147" s="17"/>
      <c r="K147" s="17"/>
      <c r="L147" s="17"/>
      <c r="M147" s="17"/>
      <c r="N147" s="17"/>
      <c r="O147" s="17"/>
    </row>
    <row r="148" spans="1:15" ht="12.5">
      <c r="A148" s="17"/>
      <c r="B148" s="24"/>
      <c r="C148" s="24"/>
      <c r="D148" s="17"/>
      <c r="E148" s="17"/>
      <c r="F148" s="17"/>
      <c r="G148" s="17"/>
      <c r="H148" s="17"/>
      <c r="I148" s="17"/>
      <c r="J148" s="17"/>
      <c r="K148" s="17"/>
      <c r="L148" s="17"/>
      <c r="M148" s="17"/>
      <c r="N148" s="17"/>
      <c r="O148" s="17"/>
    </row>
    <row r="149" spans="1:15" ht="12.5">
      <c r="A149" s="17"/>
      <c r="B149" s="24"/>
      <c r="C149" s="24"/>
      <c r="D149" s="17"/>
      <c r="E149" s="17"/>
      <c r="F149" s="17"/>
      <c r="G149" s="17"/>
      <c r="H149" s="17"/>
      <c r="I149" s="17"/>
      <c r="J149" s="17"/>
      <c r="K149" s="17"/>
      <c r="L149" s="17"/>
      <c r="M149" s="17"/>
      <c r="N149" s="17"/>
      <c r="O149" s="17"/>
    </row>
    <row r="150" spans="1:15" ht="12.5">
      <c r="A150" s="17"/>
      <c r="B150" s="24"/>
      <c r="C150" s="24"/>
      <c r="D150" s="17"/>
      <c r="E150" s="17"/>
      <c r="F150" s="17"/>
      <c r="G150" s="17"/>
      <c r="H150" s="17"/>
      <c r="I150" s="17"/>
      <c r="J150" s="17"/>
      <c r="K150" s="17"/>
      <c r="L150" s="17"/>
      <c r="M150" s="17"/>
      <c r="N150" s="17"/>
      <c r="O150" s="17"/>
    </row>
    <row r="151" spans="1:15" ht="12.5">
      <c r="A151" s="17"/>
      <c r="B151" s="24"/>
      <c r="C151" s="24"/>
      <c r="D151" s="17"/>
      <c r="E151" s="17"/>
      <c r="F151" s="17"/>
      <c r="G151" s="17"/>
      <c r="H151" s="17"/>
      <c r="I151" s="17"/>
      <c r="J151" s="17"/>
      <c r="K151" s="17"/>
      <c r="L151" s="17"/>
      <c r="M151" s="17"/>
      <c r="N151" s="17"/>
      <c r="O151" s="17"/>
    </row>
    <row r="152" spans="1:15" ht="12.5">
      <c r="A152" s="17"/>
      <c r="B152" s="24"/>
      <c r="C152" s="24"/>
      <c r="D152" s="17"/>
      <c r="E152" s="17"/>
      <c r="F152" s="17"/>
      <c r="G152" s="17"/>
      <c r="H152" s="17"/>
      <c r="I152" s="17"/>
      <c r="J152" s="17"/>
      <c r="K152" s="17"/>
      <c r="L152" s="17"/>
      <c r="M152" s="17"/>
      <c r="N152" s="17"/>
      <c r="O152" s="17"/>
    </row>
    <row r="153" spans="1:15" ht="12.5">
      <c r="A153" s="17"/>
      <c r="B153" s="24"/>
      <c r="C153" s="24"/>
      <c r="D153" s="17"/>
      <c r="E153" s="17"/>
      <c r="F153" s="17"/>
      <c r="G153" s="17"/>
      <c r="H153" s="17"/>
      <c r="I153" s="17"/>
      <c r="J153" s="17"/>
      <c r="K153" s="17"/>
      <c r="L153" s="17"/>
      <c r="M153" s="17"/>
      <c r="N153" s="17"/>
      <c r="O153" s="17"/>
    </row>
    <row r="154" spans="1:15" ht="12.5">
      <c r="A154" s="17"/>
      <c r="B154" s="24"/>
      <c r="C154" s="24"/>
      <c r="D154" s="17"/>
      <c r="E154" s="17"/>
      <c r="F154" s="17"/>
      <c r="G154" s="17"/>
      <c r="H154" s="17"/>
      <c r="I154" s="17"/>
      <c r="J154" s="17"/>
      <c r="K154" s="17"/>
      <c r="L154" s="17"/>
      <c r="M154" s="17"/>
      <c r="N154" s="17"/>
      <c r="O154" s="17"/>
    </row>
    <row r="155" spans="1:15" ht="12.5">
      <c r="A155" s="17"/>
      <c r="B155" s="24"/>
      <c r="C155" s="24"/>
      <c r="D155" s="17"/>
      <c r="E155" s="17"/>
      <c r="F155" s="17"/>
      <c r="G155" s="17"/>
      <c r="H155" s="17"/>
      <c r="I155" s="17"/>
      <c r="J155" s="17"/>
      <c r="K155" s="17"/>
      <c r="L155" s="17"/>
      <c r="M155" s="17"/>
      <c r="N155" s="17"/>
      <c r="O155" s="17"/>
    </row>
    <row r="156" spans="1:15" ht="12.5">
      <c r="A156" s="17"/>
      <c r="B156" s="24"/>
      <c r="C156" s="24"/>
      <c r="D156" s="17"/>
      <c r="E156" s="17"/>
      <c r="F156" s="17"/>
      <c r="G156" s="17"/>
      <c r="H156" s="17"/>
      <c r="I156" s="17"/>
      <c r="J156" s="17"/>
      <c r="K156" s="17"/>
      <c r="L156" s="17"/>
      <c r="M156" s="17"/>
      <c r="N156" s="17"/>
      <c r="O156" s="17"/>
    </row>
    <row r="157" spans="1:15" ht="12.5">
      <c r="A157" s="17"/>
      <c r="B157" s="24"/>
      <c r="C157" s="24"/>
      <c r="D157" s="17"/>
      <c r="E157" s="17"/>
      <c r="F157" s="17"/>
      <c r="G157" s="17"/>
      <c r="H157" s="17"/>
      <c r="I157" s="17"/>
      <c r="J157" s="17"/>
      <c r="K157" s="17"/>
      <c r="L157" s="17"/>
      <c r="M157" s="17"/>
      <c r="N157" s="17"/>
      <c r="O157" s="17"/>
    </row>
    <row r="158" spans="1:15" ht="12.5">
      <c r="A158" s="17"/>
      <c r="B158" s="24"/>
      <c r="C158" s="24"/>
      <c r="D158" s="17"/>
      <c r="E158" s="17"/>
      <c r="F158" s="17"/>
      <c r="G158" s="17"/>
      <c r="H158" s="17"/>
      <c r="I158" s="17"/>
      <c r="J158" s="17"/>
      <c r="K158" s="17"/>
      <c r="L158" s="17"/>
      <c r="M158" s="17"/>
      <c r="N158" s="17"/>
      <c r="O158" s="17"/>
    </row>
    <row r="159" spans="1:15" ht="12.5">
      <c r="A159" s="17"/>
      <c r="B159" s="24"/>
      <c r="C159" s="24"/>
      <c r="D159" s="17"/>
      <c r="E159" s="17"/>
      <c r="F159" s="17"/>
      <c r="G159" s="17"/>
      <c r="H159" s="17"/>
      <c r="I159" s="17"/>
      <c r="J159" s="17"/>
      <c r="K159" s="17"/>
      <c r="L159" s="17"/>
      <c r="M159" s="17"/>
      <c r="N159" s="17"/>
      <c r="O159" s="17"/>
    </row>
    <row r="160" spans="1:15" ht="12.5">
      <c r="A160" s="17"/>
      <c r="B160" s="24"/>
      <c r="C160" s="24"/>
      <c r="D160" s="17"/>
      <c r="E160" s="17"/>
      <c r="F160" s="17"/>
      <c r="G160" s="17"/>
      <c r="H160" s="17"/>
      <c r="I160" s="17"/>
      <c r="J160" s="17"/>
      <c r="K160" s="17"/>
      <c r="L160" s="17"/>
      <c r="M160" s="17"/>
      <c r="N160" s="17"/>
      <c r="O160" s="17"/>
    </row>
    <row r="161" spans="1:15" ht="12.5">
      <c r="A161" s="17"/>
      <c r="B161" s="24"/>
      <c r="C161" s="24"/>
      <c r="D161" s="17"/>
      <c r="E161" s="17"/>
      <c r="F161" s="17"/>
      <c r="G161" s="17"/>
      <c r="H161" s="17"/>
      <c r="I161" s="17"/>
      <c r="J161" s="17"/>
      <c r="K161" s="17"/>
      <c r="L161" s="17"/>
      <c r="M161" s="17"/>
      <c r="N161" s="17"/>
      <c r="O161" s="17"/>
    </row>
    <row r="162" spans="1:15" ht="12.5">
      <c r="A162" s="17"/>
      <c r="B162" s="24"/>
      <c r="C162" s="24"/>
      <c r="D162" s="17"/>
      <c r="E162" s="17"/>
      <c r="F162" s="17"/>
      <c r="G162" s="17"/>
      <c r="H162" s="17"/>
      <c r="I162" s="17"/>
      <c r="J162" s="17"/>
      <c r="K162" s="17"/>
      <c r="L162" s="17"/>
      <c r="M162" s="17"/>
      <c r="N162" s="17"/>
      <c r="O162" s="17"/>
    </row>
    <row r="163" spans="1:15" ht="12.5">
      <c r="A163" s="17"/>
      <c r="B163" s="24"/>
      <c r="C163" s="24"/>
      <c r="D163" s="17"/>
      <c r="E163" s="17"/>
      <c r="F163" s="17"/>
      <c r="G163" s="17"/>
      <c r="H163" s="17"/>
      <c r="I163" s="17"/>
      <c r="J163" s="17"/>
      <c r="K163" s="17"/>
      <c r="L163" s="17"/>
      <c r="M163" s="17"/>
      <c r="N163" s="17"/>
      <c r="O163" s="17"/>
    </row>
    <row r="164" spans="1:15" ht="12.5">
      <c r="A164" s="17"/>
      <c r="B164" s="24"/>
      <c r="C164" s="24"/>
      <c r="D164" s="17"/>
      <c r="E164" s="17"/>
      <c r="F164" s="17"/>
      <c r="G164" s="17"/>
      <c r="H164" s="17"/>
      <c r="I164" s="17"/>
      <c r="J164" s="17"/>
      <c r="K164" s="17"/>
      <c r="L164" s="17"/>
      <c r="M164" s="17"/>
      <c r="N164" s="17"/>
      <c r="O164" s="17"/>
    </row>
    <row r="165" spans="1:15" ht="12.5">
      <c r="A165" s="17"/>
      <c r="B165" s="24"/>
      <c r="C165" s="24"/>
      <c r="D165" s="17"/>
      <c r="E165" s="17"/>
      <c r="F165" s="17"/>
      <c r="G165" s="17"/>
      <c r="H165" s="17"/>
      <c r="I165" s="17"/>
      <c r="J165" s="17"/>
      <c r="K165" s="17"/>
      <c r="L165" s="17"/>
      <c r="M165" s="17"/>
      <c r="N165" s="17"/>
      <c r="O165" s="17"/>
    </row>
    <row r="166" spans="1:15" ht="12.5">
      <c r="A166" s="17"/>
      <c r="B166" s="24"/>
      <c r="C166" s="24"/>
      <c r="D166" s="17"/>
      <c r="E166" s="17"/>
      <c r="F166" s="17"/>
      <c r="G166" s="17"/>
      <c r="H166" s="17"/>
      <c r="I166" s="17"/>
      <c r="J166" s="17"/>
      <c r="K166" s="17"/>
      <c r="L166" s="17"/>
      <c r="M166" s="17"/>
      <c r="N166" s="17"/>
      <c r="O166" s="17"/>
    </row>
    <row r="167" spans="1:15" ht="12.5">
      <c r="A167" s="17"/>
      <c r="B167" s="24"/>
      <c r="C167" s="24"/>
      <c r="D167" s="17"/>
      <c r="E167" s="17"/>
      <c r="F167" s="17"/>
      <c r="G167" s="17"/>
      <c r="H167" s="17"/>
      <c r="I167" s="17"/>
      <c r="J167" s="17"/>
      <c r="K167" s="17"/>
      <c r="L167" s="17"/>
      <c r="M167" s="17"/>
      <c r="N167" s="17"/>
      <c r="O167" s="17"/>
    </row>
    <row r="168" spans="1:15" ht="12.5">
      <c r="A168" s="17"/>
      <c r="B168" s="24"/>
      <c r="C168" s="24"/>
      <c r="D168" s="17"/>
      <c r="E168" s="17"/>
      <c r="F168" s="17"/>
      <c r="G168" s="17"/>
      <c r="H168" s="17"/>
      <c r="I168" s="17"/>
      <c r="J168" s="17"/>
      <c r="K168" s="17"/>
      <c r="L168" s="17"/>
      <c r="M168" s="17"/>
      <c r="N168" s="17"/>
      <c r="O168" s="17"/>
    </row>
    <row r="169" spans="1:15" ht="12.5">
      <c r="A169" s="17"/>
      <c r="B169" s="24"/>
      <c r="C169" s="24"/>
      <c r="D169" s="17"/>
      <c r="E169" s="17"/>
      <c r="F169" s="17"/>
      <c r="G169" s="17"/>
      <c r="H169" s="17"/>
      <c r="I169" s="17"/>
      <c r="J169" s="17"/>
      <c r="K169" s="17"/>
      <c r="L169" s="17"/>
      <c r="M169" s="17"/>
      <c r="N169" s="17"/>
      <c r="O169" s="17"/>
    </row>
    <row r="170" spans="1:15" ht="12.5">
      <c r="A170" s="17"/>
      <c r="B170" s="24"/>
      <c r="C170" s="24"/>
      <c r="D170" s="17"/>
      <c r="E170" s="17"/>
      <c r="F170" s="17"/>
      <c r="G170" s="17"/>
      <c r="H170" s="17"/>
      <c r="I170" s="17"/>
      <c r="J170" s="17"/>
      <c r="K170" s="17"/>
      <c r="L170" s="17"/>
      <c r="M170" s="17"/>
      <c r="N170" s="17"/>
      <c r="O170" s="17"/>
    </row>
    <row r="171" spans="1:15" ht="12.5">
      <c r="A171" s="17"/>
      <c r="B171" s="24"/>
      <c r="C171" s="24"/>
      <c r="D171" s="17"/>
      <c r="E171" s="17"/>
      <c r="F171" s="17"/>
      <c r="G171" s="17"/>
      <c r="H171" s="17"/>
      <c r="I171" s="17"/>
      <c r="J171" s="17"/>
      <c r="K171" s="17"/>
      <c r="L171" s="17"/>
      <c r="M171" s="17"/>
      <c r="N171" s="17"/>
      <c r="O171" s="17"/>
    </row>
    <row r="172" spans="1:15" ht="12.5">
      <c r="A172" s="17"/>
      <c r="B172" s="24"/>
      <c r="C172" s="24"/>
      <c r="D172" s="17"/>
      <c r="E172" s="17"/>
      <c r="F172" s="17"/>
      <c r="G172" s="17"/>
      <c r="H172" s="17"/>
      <c r="I172" s="17"/>
      <c r="J172" s="17"/>
      <c r="K172" s="17"/>
      <c r="L172" s="17"/>
      <c r="M172" s="17"/>
      <c r="N172" s="17"/>
      <c r="O172" s="17"/>
    </row>
    <row r="173" spans="1:15" ht="12.5">
      <c r="A173" s="17"/>
      <c r="B173" s="24"/>
      <c r="C173" s="24"/>
      <c r="D173" s="17"/>
      <c r="E173" s="17"/>
      <c r="F173" s="17"/>
      <c r="G173" s="17"/>
      <c r="H173" s="17"/>
      <c r="I173" s="17"/>
      <c r="J173" s="17"/>
      <c r="K173" s="17"/>
      <c r="L173" s="17"/>
      <c r="M173" s="17"/>
      <c r="N173" s="17"/>
      <c r="O173" s="17"/>
    </row>
    <row r="174" spans="1:15" ht="12.5">
      <c r="A174" s="17"/>
      <c r="B174" s="24"/>
      <c r="C174" s="24"/>
      <c r="D174" s="17"/>
      <c r="E174" s="17"/>
      <c r="F174" s="17"/>
      <c r="G174" s="17"/>
      <c r="H174" s="17"/>
      <c r="I174" s="17"/>
      <c r="J174" s="17"/>
      <c r="K174" s="17"/>
      <c r="L174" s="17"/>
      <c r="M174" s="17"/>
      <c r="N174" s="17"/>
      <c r="O174" s="17"/>
    </row>
    <row r="175" spans="1:15" ht="12.5">
      <c r="A175" s="17"/>
      <c r="B175" s="24"/>
      <c r="C175" s="24"/>
      <c r="D175" s="17"/>
      <c r="E175" s="17"/>
      <c r="F175" s="17"/>
      <c r="G175" s="17"/>
      <c r="H175" s="17"/>
      <c r="I175" s="17"/>
      <c r="J175" s="17"/>
      <c r="K175" s="17"/>
      <c r="L175" s="17"/>
      <c r="M175" s="17"/>
      <c r="N175" s="17"/>
      <c r="O175" s="17"/>
    </row>
    <row r="176" spans="1:15" ht="12.5">
      <c r="A176" s="17"/>
      <c r="B176" s="24"/>
      <c r="C176" s="24"/>
      <c r="D176" s="17"/>
      <c r="E176" s="17"/>
      <c r="F176" s="17"/>
      <c r="G176" s="17"/>
      <c r="H176" s="17"/>
      <c r="I176" s="17"/>
      <c r="J176" s="17"/>
      <c r="K176" s="17"/>
      <c r="L176" s="17"/>
      <c r="M176" s="17"/>
      <c r="N176" s="17"/>
      <c r="O176" s="17"/>
    </row>
    <row r="177" spans="1:15" ht="12.5">
      <c r="A177" s="17"/>
      <c r="B177" s="24"/>
      <c r="C177" s="24"/>
      <c r="D177" s="17"/>
      <c r="E177" s="17"/>
      <c r="F177" s="17"/>
      <c r="G177" s="17"/>
      <c r="H177" s="17"/>
      <c r="I177" s="17"/>
      <c r="J177" s="17"/>
      <c r="K177" s="17"/>
      <c r="L177" s="17"/>
      <c r="M177" s="17"/>
      <c r="N177" s="17"/>
      <c r="O177" s="17"/>
    </row>
    <row r="178" spans="1:15" ht="12.5">
      <c r="A178" s="17"/>
      <c r="B178" s="24"/>
      <c r="C178" s="24"/>
      <c r="D178" s="17"/>
      <c r="E178" s="17"/>
      <c r="F178" s="17"/>
      <c r="G178" s="17"/>
      <c r="H178" s="17"/>
      <c r="I178" s="17"/>
      <c r="J178" s="17"/>
      <c r="K178" s="17"/>
      <c r="L178" s="17"/>
      <c r="M178" s="17"/>
      <c r="N178" s="17"/>
      <c r="O178" s="17"/>
    </row>
    <row r="179" spans="1:15" ht="12.5">
      <c r="A179" s="17"/>
      <c r="B179" s="24"/>
      <c r="C179" s="24"/>
      <c r="D179" s="17"/>
      <c r="E179" s="17"/>
      <c r="F179" s="17"/>
      <c r="G179" s="17"/>
      <c r="H179" s="17"/>
      <c r="I179" s="17"/>
      <c r="J179" s="17"/>
      <c r="K179" s="17"/>
      <c r="L179" s="17"/>
      <c r="M179" s="17"/>
      <c r="N179" s="17"/>
      <c r="O179" s="17"/>
    </row>
    <row r="180" spans="1:15" ht="12.5">
      <c r="A180" s="17"/>
      <c r="B180" s="24"/>
      <c r="C180" s="24"/>
      <c r="D180" s="17"/>
      <c r="E180" s="17"/>
      <c r="F180" s="17"/>
      <c r="G180" s="17"/>
      <c r="H180" s="17"/>
      <c r="I180" s="17"/>
      <c r="J180" s="17"/>
      <c r="K180" s="17"/>
      <c r="L180" s="17"/>
      <c r="M180" s="17"/>
      <c r="N180" s="17"/>
      <c r="O180" s="17"/>
    </row>
    <row r="181" spans="1:15" ht="12.5">
      <c r="A181" s="17"/>
      <c r="B181" s="24"/>
      <c r="C181" s="24"/>
      <c r="D181" s="17"/>
      <c r="E181" s="17"/>
      <c r="F181" s="17"/>
      <c r="G181" s="17"/>
      <c r="H181" s="17"/>
      <c r="I181" s="17"/>
      <c r="J181" s="17"/>
      <c r="K181" s="17"/>
      <c r="L181" s="17"/>
      <c r="M181" s="17"/>
      <c r="N181" s="17"/>
      <c r="O181" s="17"/>
    </row>
    <row r="182" spans="1:15" ht="12.5">
      <c r="A182" s="17"/>
      <c r="B182" s="24"/>
      <c r="C182" s="24"/>
      <c r="D182" s="17"/>
      <c r="E182" s="17"/>
      <c r="F182" s="17"/>
      <c r="G182" s="17"/>
      <c r="H182" s="17"/>
      <c r="I182" s="17"/>
      <c r="J182" s="17"/>
      <c r="K182" s="17"/>
      <c r="L182" s="17"/>
      <c r="M182" s="17"/>
      <c r="N182" s="17"/>
      <c r="O182" s="17"/>
    </row>
    <row r="183" spans="1:15" ht="12.5">
      <c r="A183" s="17"/>
      <c r="B183" s="24"/>
      <c r="C183" s="24"/>
      <c r="D183" s="17"/>
      <c r="E183" s="17"/>
      <c r="F183" s="17"/>
      <c r="G183" s="17"/>
      <c r="H183" s="17"/>
      <c r="I183" s="17"/>
      <c r="J183" s="17"/>
      <c r="K183" s="17"/>
      <c r="L183" s="17"/>
      <c r="M183" s="17"/>
      <c r="N183" s="17"/>
      <c r="O183" s="17"/>
    </row>
    <row r="184" spans="1:15" ht="12.5">
      <c r="A184" s="17"/>
      <c r="B184" s="24"/>
      <c r="C184" s="24"/>
      <c r="D184" s="17"/>
      <c r="E184" s="17"/>
      <c r="F184" s="17"/>
      <c r="G184" s="17"/>
      <c r="H184" s="17"/>
      <c r="I184" s="17"/>
      <c r="J184" s="17"/>
      <c r="K184" s="17"/>
      <c r="L184" s="17"/>
      <c r="M184" s="17"/>
      <c r="N184" s="17"/>
      <c r="O184" s="17"/>
    </row>
    <row r="185" spans="1:15" ht="12.5">
      <c r="A185" s="17"/>
      <c r="B185" s="24"/>
      <c r="C185" s="24"/>
      <c r="D185" s="17"/>
      <c r="E185" s="17"/>
      <c r="F185" s="17"/>
      <c r="G185" s="17"/>
      <c r="H185" s="17"/>
      <c r="I185" s="17"/>
      <c r="J185" s="17"/>
      <c r="K185" s="17"/>
      <c r="L185" s="17"/>
      <c r="M185" s="17"/>
      <c r="N185" s="17"/>
      <c r="O185" s="17"/>
    </row>
    <row r="186" spans="1:15" ht="12.5">
      <c r="A186" s="17"/>
      <c r="B186" s="24"/>
      <c r="C186" s="24"/>
      <c r="D186" s="17"/>
      <c r="E186" s="17"/>
      <c r="F186" s="17"/>
      <c r="G186" s="17"/>
      <c r="H186" s="17"/>
      <c r="I186" s="17"/>
      <c r="J186" s="17"/>
      <c r="K186" s="17"/>
      <c r="L186" s="17"/>
      <c r="M186" s="17"/>
      <c r="N186" s="17"/>
      <c r="O186" s="17"/>
    </row>
    <row r="187" spans="1:15" ht="12.5">
      <c r="A187" s="17"/>
      <c r="B187" s="24"/>
      <c r="C187" s="24"/>
      <c r="D187" s="17"/>
      <c r="E187" s="17"/>
      <c r="F187" s="17"/>
      <c r="G187" s="17"/>
      <c r="H187" s="17"/>
      <c r="I187" s="17"/>
      <c r="J187" s="17"/>
      <c r="K187" s="17"/>
      <c r="L187" s="17"/>
      <c r="M187" s="17"/>
      <c r="N187" s="17"/>
      <c r="O187" s="17"/>
    </row>
    <row r="188" spans="1:15" ht="12.5">
      <c r="A188" s="17"/>
      <c r="B188" s="24"/>
      <c r="C188" s="24"/>
      <c r="D188" s="17"/>
      <c r="E188" s="17"/>
      <c r="F188" s="17"/>
      <c r="G188" s="17"/>
      <c r="H188" s="17"/>
      <c r="I188" s="17"/>
      <c r="J188" s="17"/>
      <c r="K188" s="17"/>
      <c r="L188" s="17"/>
      <c r="M188" s="17"/>
      <c r="N188" s="17"/>
      <c r="O188" s="17"/>
    </row>
    <row r="189" spans="1:15" ht="12.5">
      <c r="A189" s="17"/>
      <c r="B189" s="24"/>
      <c r="C189" s="24"/>
      <c r="D189" s="17"/>
      <c r="E189" s="17"/>
      <c r="F189" s="17"/>
      <c r="G189" s="17"/>
      <c r="H189" s="17"/>
      <c r="I189" s="17"/>
      <c r="J189" s="17"/>
      <c r="K189" s="17"/>
      <c r="L189" s="17"/>
      <c r="M189" s="17"/>
      <c r="N189" s="17"/>
      <c r="O189" s="17"/>
    </row>
    <row r="190" spans="1:15" ht="12.5">
      <c r="A190" s="17"/>
      <c r="B190" s="24"/>
      <c r="C190" s="24"/>
      <c r="D190" s="17"/>
      <c r="E190" s="17"/>
      <c r="F190" s="17"/>
      <c r="G190" s="17"/>
      <c r="H190" s="17"/>
      <c r="I190" s="17"/>
      <c r="J190" s="17"/>
      <c r="K190" s="17"/>
      <c r="L190" s="17"/>
      <c r="M190" s="17"/>
      <c r="N190" s="17"/>
      <c r="O190" s="17"/>
    </row>
    <row r="191" spans="1:15" ht="12.5">
      <c r="A191" s="17"/>
      <c r="B191" s="24"/>
      <c r="C191" s="24"/>
      <c r="D191" s="17"/>
      <c r="E191" s="17"/>
      <c r="F191" s="17"/>
      <c r="G191" s="17"/>
      <c r="H191" s="17"/>
      <c r="I191" s="17"/>
      <c r="J191" s="17"/>
      <c r="K191" s="17"/>
      <c r="L191" s="17"/>
      <c r="M191" s="17"/>
      <c r="N191" s="17"/>
      <c r="O191" s="17"/>
    </row>
    <row r="192" spans="1:15" ht="12.5">
      <c r="A192" s="17"/>
      <c r="B192" s="24"/>
      <c r="C192" s="24"/>
      <c r="D192" s="17"/>
      <c r="E192" s="17"/>
      <c r="F192" s="17"/>
      <c r="G192" s="17"/>
      <c r="H192" s="17"/>
      <c r="I192" s="17"/>
      <c r="J192" s="17"/>
      <c r="K192" s="17"/>
      <c r="L192" s="17"/>
      <c r="M192" s="17"/>
      <c r="N192" s="17"/>
      <c r="O192" s="17"/>
    </row>
    <row r="193" spans="1:15" ht="12.5">
      <c r="A193" s="17"/>
      <c r="B193" s="24"/>
      <c r="C193" s="24"/>
      <c r="D193" s="17"/>
      <c r="E193" s="17"/>
      <c r="F193" s="17"/>
      <c r="G193" s="17"/>
      <c r="H193" s="17"/>
      <c r="I193" s="17"/>
      <c r="J193" s="17"/>
      <c r="K193" s="17"/>
      <c r="L193" s="17"/>
      <c r="M193" s="17"/>
      <c r="N193" s="17"/>
      <c r="O193" s="17"/>
    </row>
    <row r="194" spans="1:15" ht="12.5">
      <c r="A194" s="17"/>
      <c r="B194" s="24"/>
      <c r="C194" s="24"/>
      <c r="D194" s="17"/>
      <c r="E194" s="17"/>
      <c r="F194" s="17"/>
      <c r="G194" s="17"/>
      <c r="H194" s="17"/>
      <c r="I194" s="17"/>
      <c r="J194" s="17"/>
      <c r="K194" s="17"/>
      <c r="L194" s="17"/>
      <c r="M194" s="17"/>
      <c r="N194" s="17"/>
      <c r="O194" s="17"/>
    </row>
    <row r="195" spans="1:15" ht="12.5">
      <c r="A195" s="17"/>
      <c r="B195" s="24"/>
      <c r="C195" s="24"/>
      <c r="D195" s="17"/>
      <c r="E195" s="17"/>
      <c r="F195" s="17"/>
      <c r="G195" s="17"/>
      <c r="H195" s="17"/>
      <c r="I195" s="17"/>
      <c r="J195" s="17"/>
      <c r="K195" s="17"/>
      <c r="L195" s="17"/>
      <c r="M195" s="17"/>
      <c r="N195" s="17"/>
      <c r="O195" s="17"/>
    </row>
    <row r="196" spans="1:15" ht="12.5">
      <c r="A196" s="17"/>
      <c r="B196" s="24"/>
      <c r="C196" s="24"/>
      <c r="D196" s="17"/>
      <c r="E196" s="17"/>
      <c r="F196" s="17"/>
      <c r="G196" s="17"/>
      <c r="H196" s="17"/>
      <c r="I196" s="17"/>
      <c r="J196" s="17"/>
      <c r="K196" s="17"/>
      <c r="L196" s="17"/>
      <c r="M196" s="17"/>
      <c r="N196" s="17"/>
      <c r="O196" s="17"/>
    </row>
    <row r="197" spans="1:15" ht="12.5">
      <c r="A197" s="17"/>
      <c r="B197" s="24"/>
      <c r="C197" s="24"/>
      <c r="D197" s="17"/>
      <c r="E197" s="17"/>
      <c r="F197" s="17"/>
      <c r="G197" s="17"/>
      <c r="H197" s="17"/>
      <c r="I197" s="17"/>
      <c r="J197" s="17"/>
      <c r="K197" s="17"/>
      <c r="L197" s="17"/>
      <c r="M197" s="17"/>
      <c r="N197" s="17"/>
      <c r="O197" s="17"/>
    </row>
    <row r="198" spans="1:15" ht="12.5">
      <c r="A198" s="17"/>
      <c r="B198" s="24"/>
      <c r="C198" s="24"/>
      <c r="D198" s="17"/>
      <c r="E198" s="17"/>
      <c r="F198" s="17"/>
      <c r="G198" s="17"/>
      <c r="H198" s="17"/>
      <c r="I198" s="17"/>
      <c r="J198" s="17"/>
      <c r="K198" s="17"/>
      <c r="L198" s="17"/>
      <c r="M198" s="17"/>
      <c r="N198" s="17"/>
      <c r="O198" s="17"/>
    </row>
    <row r="199" spans="1:15" ht="12.5">
      <c r="A199" s="17"/>
      <c r="B199" s="24"/>
      <c r="C199" s="24"/>
      <c r="D199" s="17"/>
      <c r="E199" s="17"/>
      <c r="F199" s="17"/>
      <c r="G199" s="17"/>
      <c r="H199" s="17"/>
      <c r="I199" s="17"/>
      <c r="J199" s="17"/>
      <c r="K199" s="17"/>
      <c r="L199" s="17"/>
      <c r="M199" s="17"/>
      <c r="N199" s="17"/>
      <c r="O199" s="17"/>
    </row>
    <row r="200" spans="1:15" ht="12.5">
      <c r="A200" s="17"/>
      <c r="B200" s="24"/>
      <c r="C200" s="24"/>
      <c r="D200" s="17"/>
      <c r="E200" s="17"/>
      <c r="F200" s="17"/>
      <c r="G200" s="17"/>
      <c r="H200" s="17"/>
      <c r="I200" s="17"/>
      <c r="J200" s="17"/>
      <c r="K200" s="17"/>
      <c r="L200" s="17"/>
      <c r="M200" s="17"/>
      <c r="N200" s="17"/>
      <c r="O200" s="17"/>
    </row>
    <row r="201" spans="1:15" ht="12.5">
      <c r="A201" s="17"/>
      <c r="B201" s="24"/>
      <c r="C201" s="24"/>
      <c r="D201" s="17"/>
      <c r="E201" s="17"/>
      <c r="F201" s="17"/>
      <c r="G201" s="17"/>
      <c r="H201" s="17"/>
      <c r="I201" s="17"/>
      <c r="J201" s="17"/>
      <c r="K201" s="17"/>
      <c r="L201" s="17"/>
      <c r="M201" s="17"/>
      <c r="N201" s="17"/>
      <c r="O201" s="17"/>
    </row>
    <row r="202" spans="1:15" ht="12.5">
      <c r="A202" s="17"/>
      <c r="B202" s="24"/>
      <c r="C202" s="24"/>
      <c r="D202" s="17"/>
      <c r="E202" s="17"/>
      <c r="F202" s="17"/>
      <c r="G202" s="17"/>
      <c r="H202" s="17"/>
      <c r="I202" s="17"/>
      <c r="J202" s="17"/>
      <c r="K202" s="17"/>
      <c r="L202" s="17"/>
      <c r="M202" s="17"/>
      <c r="N202" s="17"/>
      <c r="O202" s="17"/>
    </row>
    <row r="203" spans="1:15" ht="12.5">
      <c r="A203" s="17"/>
      <c r="B203" s="24"/>
      <c r="C203" s="24"/>
      <c r="D203" s="17"/>
      <c r="E203" s="17"/>
      <c r="F203" s="17"/>
      <c r="G203" s="17"/>
      <c r="H203" s="17"/>
      <c r="I203" s="17"/>
      <c r="J203" s="17"/>
      <c r="K203" s="17"/>
      <c r="L203" s="17"/>
      <c r="M203" s="17"/>
      <c r="N203" s="17"/>
      <c r="O203" s="17"/>
    </row>
    <row r="204" spans="1:15" ht="12.5">
      <c r="A204" s="17"/>
      <c r="B204" s="24"/>
      <c r="C204" s="24"/>
      <c r="D204" s="17"/>
      <c r="E204" s="17"/>
      <c r="F204" s="17"/>
      <c r="G204" s="17"/>
      <c r="H204" s="17"/>
      <c r="I204" s="17"/>
      <c r="J204" s="17"/>
      <c r="K204" s="17"/>
      <c r="L204" s="17"/>
      <c r="M204" s="17"/>
      <c r="N204" s="17"/>
      <c r="O204" s="17"/>
    </row>
    <row r="205" spans="1:15" ht="12.5">
      <c r="A205" s="17"/>
      <c r="B205" s="24"/>
      <c r="C205" s="24"/>
      <c r="D205" s="17"/>
      <c r="E205" s="17"/>
      <c r="F205" s="17"/>
      <c r="G205" s="17"/>
      <c r="H205" s="17"/>
      <c r="I205" s="17"/>
      <c r="J205" s="17"/>
      <c r="K205" s="17"/>
      <c r="L205" s="17"/>
      <c r="M205" s="17"/>
      <c r="N205" s="17"/>
      <c r="O205" s="17"/>
    </row>
    <row r="206" spans="1:15" ht="12.5">
      <c r="A206" s="17"/>
      <c r="B206" s="24"/>
      <c r="C206" s="24"/>
      <c r="D206" s="17"/>
      <c r="E206" s="17"/>
      <c r="F206" s="17"/>
      <c r="G206" s="17"/>
      <c r="H206" s="17"/>
      <c r="I206" s="17"/>
      <c r="J206" s="17"/>
      <c r="K206" s="17"/>
      <c r="L206" s="17"/>
      <c r="M206" s="17"/>
      <c r="N206" s="17"/>
      <c r="O206" s="17"/>
    </row>
    <row r="207" spans="1:15" ht="12.5">
      <c r="A207" s="17"/>
      <c r="B207" s="24"/>
      <c r="C207" s="24"/>
      <c r="D207" s="17"/>
      <c r="E207" s="17"/>
      <c r="F207" s="17"/>
      <c r="G207" s="17"/>
      <c r="H207" s="17"/>
      <c r="I207" s="17"/>
      <c r="J207" s="17"/>
      <c r="K207" s="17"/>
      <c r="L207" s="17"/>
      <c r="M207" s="17"/>
      <c r="N207" s="17"/>
      <c r="O207" s="17"/>
    </row>
  </sheetData>
  <mergeCells count="8">
    <mergeCell ref="E6:F6"/>
    <mergeCell ref="E7:F7"/>
    <mergeCell ref="E8:F8"/>
    <mergeCell ref="A2:C2"/>
    <mergeCell ref="E2:F2"/>
    <mergeCell ref="E3:F3"/>
    <mergeCell ref="E4:F4"/>
    <mergeCell ref="E5:F5"/>
  </mergeCells>
  <hyperlinks>
    <hyperlink ref="I2" location="'Edo Cta Jeeves Sept'!A1" display="Inicio" xr:uid="{00000000-0004-0000-5A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92</vt:i4>
      </vt:variant>
    </vt:vector>
  </HeadingPairs>
  <TitlesOfParts>
    <vt:vector size="92" baseType="lpstr">
      <vt:lpstr>Hoja1</vt:lpstr>
      <vt:lpstr>Consolidación de datos </vt:lpstr>
      <vt:lpstr>Edo Cta Jeeves Sept</vt:lpstr>
      <vt:lpstr>catalogo</vt:lpstr>
      <vt:lpstr>#16 Rogelio</vt:lpstr>
      <vt:lpstr>#64 Erik Castillo</vt:lpstr>
      <vt:lpstr>#2 Cesar</vt:lpstr>
      <vt:lpstr>#1 Annelies</vt:lpstr>
      <vt:lpstr>#3 Cesar Uriel</vt:lpstr>
      <vt:lpstr>#4 Daniel Autrique</vt:lpstr>
      <vt:lpstr>#5 Fernanda</vt:lpstr>
      <vt:lpstr>#6 Fernando Sanchez</vt:lpstr>
      <vt:lpstr>#7 Isaac</vt:lpstr>
      <vt:lpstr>#8 Jose Ignacio</vt:lpstr>
      <vt:lpstr>#9 Jose Maria</vt:lpstr>
      <vt:lpstr>#13 Miguel</vt:lpstr>
      <vt:lpstr>#10 Juan Cappellini</vt:lpstr>
      <vt:lpstr>#12 Macarena</vt:lpstr>
      <vt:lpstr>#11 Juan Carlos</vt:lpstr>
      <vt:lpstr>#14 Patricio. </vt:lpstr>
      <vt:lpstr>#15 Raul</vt:lpstr>
      <vt:lpstr>#17 Sebastian</vt:lpstr>
      <vt:lpstr>#18 Josue Samuel Galindo Sosa</vt:lpstr>
      <vt:lpstr>#19 Daniel Alejandro Castillo R</vt:lpstr>
      <vt:lpstr>#21 Jesus Gonzalez Grana</vt:lpstr>
      <vt:lpstr>#20 Gerardo Guadalupe Ruiz Huer</vt:lpstr>
      <vt:lpstr>#22 Yosef Siman-tov Cohen</vt:lpstr>
      <vt:lpstr>#23 Marcos Gobbi</vt:lpstr>
      <vt:lpstr>#24 Andres Camacho</vt:lpstr>
      <vt:lpstr>#25 Jorge Estrada</vt:lpstr>
      <vt:lpstr>#26 Alexandra Ballesteros</vt:lpstr>
      <vt:lpstr>#28 Fernando Villalobos</vt:lpstr>
      <vt:lpstr>#30 Manuel Ibarra</vt:lpstr>
      <vt:lpstr> #31 Emiliano Cavazos</vt:lpstr>
      <vt:lpstr>#34 Juan Pablo Ramos</vt:lpstr>
      <vt:lpstr>#35 Termis</vt:lpstr>
      <vt:lpstr>#40 Gabriela Zacarias</vt:lpstr>
      <vt:lpstr>#41 Jose Arechavala</vt:lpstr>
      <vt:lpstr>#27 Camilo Montañez</vt:lpstr>
      <vt:lpstr>#29 Jonatan Cid</vt:lpstr>
      <vt:lpstr>#33 Andrea Villamil</vt:lpstr>
      <vt:lpstr>#32 Fernando Robles</vt:lpstr>
      <vt:lpstr>#36 Jose Luis Aquino</vt:lpstr>
      <vt:lpstr>#37 Angel Pantoja</vt:lpstr>
      <vt:lpstr>#38 Facundo Sirolli</vt:lpstr>
      <vt:lpstr>#39 Catalina Vives</vt:lpstr>
      <vt:lpstr>#42 Rodrigo Perea</vt:lpstr>
      <vt:lpstr>#43 Pablo Ortiz</vt:lpstr>
      <vt:lpstr>#44 JP Hammerstein</vt:lpstr>
      <vt:lpstr>#45 Erick Cival</vt:lpstr>
      <vt:lpstr>#46 Kallie Parchman</vt:lpstr>
      <vt:lpstr>#48 Andres Preza</vt:lpstr>
      <vt:lpstr>#49 Jahaziel Galan</vt:lpstr>
      <vt:lpstr>#52 Tommaso Rivetti</vt:lpstr>
      <vt:lpstr>#51 Saul Murillo</vt:lpstr>
      <vt:lpstr>#47 Genaro Reyes</vt:lpstr>
      <vt:lpstr>#50 Flora Cruz</vt:lpstr>
      <vt:lpstr>#53 Monserrat Benitez</vt:lpstr>
      <vt:lpstr>#55 Gerardo Madrid</vt:lpstr>
      <vt:lpstr>#56 Carlos Ivan Gonzalez Merino</vt:lpstr>
      <vt:lpstr>#54 Mario Castorela</vt:lpstr>
      <vt:lpstr>#57 Paloma Santos</vt:lpstr>
      <vt:lpstr>#58 Jose Rosas</vt:lpstr>
      <vt:lpstr>#59 Mario Guadarrama</vt:lpstr>
      <vt:lpstr>#60 Carlos Aleman</vt:lpstr>
      <vt:lpstr>#61 Jorge Diaz</vt:lpstr>
      <vt:lpstr>#62 Jorge Rojas</vt:lpstr>
      <vt:lpstr>#63 Diego Morodo</vt:lpstr>
      <vt:lpstr>#65 Diana Miranda</vt:lpstr>
      <vt:lpstr>#66 Jorge Ramirez</vt:lpstr>
      <vt:lpstr>#67 Gustavo Rivas</vt:lpstr>
      <vt:lpstr>#68 Alfonso Bello</vt:lpstr>
      <vt:lpstr>#69 Cole Anderson</vt:lpstr>
      <vt:lpstr>#70 Mariano Alcaraz</vt:lpstr>
      <vt:lpstr>#71 Alan R </vt:lpstr>
      <vt:lpstr>#72 Julio Güemes</vt:lpstr>
      <vt:lpstr>#73 Manuel Caldera</vt:lpstr>
      <vt:lpstr>#74 Alan G</vt:lpstr>
      <vt:lpstr>#75 Naomi Gonzalez</vt:lpstr>
      <vt:lpstr>#76 Ricardo Malo</vt:lpstr>
      <vt:lpstr>#77 Tonancy Isidoro</vt:lpstr>
      <vt:lpstr>#78 Daniel Caraveo</vt:lpstr>
      <vt:lpstr>#79 Cindy Aguirre</vt:lpstr>
      <vt:lpstr>#80 Jorge Pena De La Luz</vt:lpstr>
      <vt:lpstr>#81 Aldahir Chiw</vt:lpstr>
      <vt:lpstr>#82 Antonio Lopez</vt:lpstr>
      <vt:lpstr>#83 Montserrat Camacho</vt:lpstr>
      <vt:lpstr>#84 Harold Pape</vt:lpstr>
      <vt:lpstr>#85 Jose Luis Franco</vt:lpstr>
      <vt:lpstr>#86 Jose Luis Ramirez Gonzalez</vt:lpstr>
      <vt:lpstr>#87 Karla Casique</vt:lpstr>
      <vt:lpstr>#88 Rene Granados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Omar Alvarez</cp:lastModifiedBy>
  <dcterms:modified xsi:type="dcterms:W3CDTF">2026-03-26T19:09:51Z</dcterms:modified>
</cp:coreProperties>
</file>